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Documents\DCS\CSG-1\Missions\FUN MAP\NTTR\"/>
    </mc:Choice>
  </mc:AlternateContent>
  <bookViews>
    <workbookView xWindow="0" yWindow="0" windowWidth="22260" windowHeight="11430"/>
  </bookViews>
  <sheets>
    <sheet name="MDC" sheetId="6" r:id="rId1"/>
    <sheet name="ROUTE" sheetId="9" r:id="rId2"/>
    <sheet name="Fuel" sheetId="7" r:id="rId3"/>
    <sheet name="Weight" sheetId="8" r:id="rId4"/>
    <sheet name="COMMS" sheetId="14" r:id="rId5"/>
    <sheet name="OBJECTS" sheetId="5" r:id="rId6"/>
    <sheet name="CALCULATORS" sheetId="17" r:id="rId7"/>
    <sheet name="REF" sheetId="16" r:id="rId8"/>
    <sheet name="DATA Validation" sheetId="11" r:id="rId9"/>
  </sheets>
  <definedNames>
    <definedName name="_xlnm.Print_Area" localSheetId="4">COMMS!$A$1:$H$22</definedName>
    <definedName name="_xlnm.Print_Area" localSheetId="0">MDC!$A$1:$CL$52</definedName>
    <definedName name="_xlnm.Print_Area" localSheetId="1">ROUTE!$A$4:$Q$29</definedName>
  </definedNames>
  <calcPr calcId="152511"/>
</workbook>
</file>

<file path=xl/calcChain.xml><?xml version="1.0" encoding="utf-8"?>
<calcChain xmlns="http://schemas.openxmlformats.org/spreadsheetml/2006/main">
  <c r="N27" i="17" l="1"/>
  <c r="N15" i="17"/>
  <c r="N30" i="17"/>
  <c r="P30" i="17"/>
  <c r="N20" i="17"/>
  <c r="N21" i="17"/>
  <c r="N26" i="17"/>
  <c r="P26" i="17"/>
  <c r="N19" i="17"/>
  <c r="N18" i="17"/>
  <c r="N29" i="17"/>
  <c r="N17" i="17"/>
  <c r="C21" i="17"/>
  <c r="C18" i="17"/>
  <c r="C17" i="17"/>
  <c r="C16" i="17"/>
  <c r="C15" i="17"/>
  <c r="C14" i="17"/>
  <c r="G13" i="17"/>
  <c r="C13" i="17"/>
  <c r="C12" i="17"/>
  <c r="C11" i="17"/>
  <c r="C10" i="17"/>
  <c r="C9" i="17"/>
  <c r="C8" i="17"/>
  <c r="J7" i="17"/>
  <c r="H7" i="17"/>
  <c r="C7" i="17"/>
  <c r="J6" i="17"/>
  <c r="H6" i="17"/>
  <c r="N28" i="17"/>
  <c r="N13" i="17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BO1" i="6"/>
  <c r="BI1" i="6"/>
  <c r="BC1" i="6"/>
  <c r="S4" i="6"/>
  <c r="Q4" i="6"/>
  <c r="E26" i="9"/>
  <c r="I26" i="9"/>
  <c r="C18" i="7"/>
  <c r="C17" i="7" s="1"/>
  <c r="G8" i="7"/>
  <c r="G10" i="7"/>
  <c r="G9" i="7"/>
  <c r="N5" i="9"/>
  <c r="Q5" i="9" s="1"/>
  <c r="K6" i="9"/>
  <c r="J7" i="9" s="1"/>
  <c r="K7" i="9"/>
  <c r="K8" i="9"/>
  <c r="K9" i="9"/>
  <c r="J10" i="9" s="1"/>
  <c r="K10" i="9"/>
  <c r="K11" i="9"/>
  <c r="J12" i="9" s="1"/>
  <c r="K12" i="9"/>
  <c r="J13" i="9" s="1"/>
  <c r="K13" i="9"/>
  <c r="J11" i="9"/>
  <c r="M11" i="9" s="1"/>
  <c r="J9" i="9"/>
  <c r="AC7" i="6" s="1"/>
  <c r="M9" i="9"/>
  <c r="J8" i="9"/>
  <c r="M8" i="9" s="1"/>
  <c r="K5" i="9"/>
  <c r="J6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7" i="9"/>
  <c r="N25" i="9"/>
  <c r="N27" i="9"/>
  <c r="N6" i="9"/>
  <c r="J14" i="9"/>
  <c r="M14" i="9" s="1"/>
  <c r="K14" i="9"/>
  <c r="AW1" i="6"/>
  <c r="CG1" i="6"/>
  <c r="AQ1" i="6"/>
  <c r="AK1" i="6"/>
  <c r="BU1" i="6"/>
  <c r="V5" i="6"/>
  <c r="J15" i="9"/>
  <c r="M15" i="9" s="1"/>
  <c r="J16" i="9"/>
  <c r="AC14" i="6" s="1"/>
  <c r="J17" i="9"/>
  <c r="M17" i="9" s="1"/>
  <c r="J18" i="9"/>
  <c r="M18" i="9" s="1"/>
  <c r="J19" i="9"/>
  <c r="M19" i="9" s="1"/>
  <c r="J20" i="9"/>
  <c r="M20" i="9" s="1"/>
  <c r="J21" i="9"/>
  <c r="M21" i="9" s="1"/>
  <c r="J22" i="9"/>
  <c r="AC20" i="6" s="1"/>
  <c r="J23" i="9"/>
  <c r="M23" i="9" s="1"/>
  <c r="J24" i="9"/>
  <c r="M24" i="9" s="1"/>
  <c r="J25" i="9"/>
  <c r="M25" i="9" s="1"/>
  <c r="K15" i="9"/>
  <c r="K16" i="9"/>
  <c r="K17" i="9"/>
  <c r="K18" i="9"/>
  <c r="K19" i="9"/>
  <c r="K20" i="9"/>
  <c r="K21" i="9"/>
  <c r="K22" i="9"/>
  <c r="K23" i="9"/>
  <c r="K24" i="9"/>
  <c r="K25" i="9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E13" i="6"/>
  <c r="AE14" i="6"/>
  <c r="AE15" i="6"/>
  <c r="AE16" i="6"/>
  <c r="AE23" i="6"/>
  <c r="P26" i="9"/>
  <c r="AG23" i="6"/>
  <c r="AA23" i="6"/>
  <c r="V23" i="6"/>
  <c r="T23" i="6"/>
  <c r="S23" i="6"/>
  <c r="AG22" i="6"/>
  <c r="AA22" i="6"/>
  <c r="X22" i="6"/>
  <c r="V22" i="6"/>
  <c r="T22" i="6"/>
  <c r="AG21" i="6"/>
  <c r="AA21" i="6"/>
  <c r="X21" i="6"/>
  <c r="V21" i="6"/>
  <c r="T21" i="6"/>
  <c r="AG20" i="6"/>
  <c r="AA20" i="6"/>
  <c r="X20" i="6"/>
  <c r="V20" i="6"/>
  <c r="T20" i="6"/>
  <c r="AG19" i="6"/>
  <c r="AA19" i="6"/>
  <c r="X19" i="6"/>
  <c r="V19" i="6"/>
  <c r="T19" i="6"/>
  <c r="AG18" i="6"/>
  <c r="AC18" i="6"/>
  <c r="AA18" i="6"/>
  <c r="X18" i="6"/>
  <c r="V18" i="6"/>
  <c r="T18" i="6"/>
  <c r="AG17" i="6"/>
  <c r="AA17" i="6"/>
  <c r="X17" i="6"/>
  <c r="V17" i="6"/>
  <c r="T17" i="6"/>
  <c r="AG16" i="6"/>
  <c r="AC16" i="6"/>
  <c r="AA16" i="6"/>
  <c r="X16" i="6"/>
  <c r="V16" i="6"/>
  <c r="T16" i="6"/>
  <c r="AG15" i="6"/>
  <c r="AA15" i="6"/>
  <c r="X15" i="6"/>
  <c r="V15" i="6"/>
  <c r="T15" i="6"/>
  <c r="AG14" i="6"/>
  <c r="AA14" i="6"/>
  <c r="X14" i="6"/>
  <c r="V14" i="6"/>
  <c r="T14" i="6"/>
  <c r="AG13" i="6"/>
  <c r="AA13" i="6"/>
  <c r="X13" i="6"/>
  <c r="V13" i="6"/>
  <c r="T13" i="6"/>
  <c r="AG12" i="6"/>
  <c r="AC12" i="6"/>
  <c r="AA12" i="6"/>
  <c r="X12" i="6"/>
  <c r="V12" i="6"/>
  <c r="T12" i="6"/>
  <c r="AG11" i="6"/>
  <c r="AA11" i="6"/>
  <c r="X11" i="6"/>
  <c r="V11" i="6"/>
  <c r="T11" i="6"/>
  <c r="AG10" i="6"/>
  <c r="AA10" i="6"/>
  <c r="X10" i="6"/>
  <c r="V10" i="6"/>
  <c r="T10" i="6"/>
  <c r="AG9" i="6"/>
  <c r="AA9" i="6"/>
  <c r="X9" i="6"/>
  <c r="V9" i="6"/>
  <c r="T9" i="6"/>
  <c r="AG8" i="6"/>
  <c r="AA8" i="6"/>
  <c r="V8" i="6"/>
  <c r="T8" i="6"/>
  <c r="AG7" i="6"/>
  <c r="AA7" i="6"/>
  <c r="V7" i="6"/>
  <c r="T7" i="6"/>
  <c r="AG6" i="6"/>
  <c r="AA6" i="6"/>
  <c r="V6" i="6"/>
  <c r="T6" i="6"/>
  <c r="AG5" i="6"/>
  <c r="AA5" i="6"/>
  <c r="T5" i="6"/>
  <c r="AA4" i="6"/>
  <c r="V4" i="6"/>
  <c r="T4" i="6"/>
  <c r="AG4" i="6"/>
  <c r="AC23" i="6"/>
  <c r="AE18" i="6"/>
  <c r="S22" i="6"/>
  <c r="S19" i="6"/>
  <c r="S20" i="6"/>
  <c r="S21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AC4" i="6"/>
  <c r="AE4" i="6"/>
  <c r="AE5" i="6"/>
  <c r="M6" i="9"/>
  <c r="AE1" i="6"/>
  <c r="Y1" i="6"/>
  <c r="S1" i="6"/>
  <c r="AC19" i="6"/>
  <c r="AC17" i="6"/>
  <c r="AE12" i="6"/>
  <c r="AC22" i="6"/>
  <c r="AC6" i="6"/>
  <c r="AC9" i="6"/>
  <c r="AE7" i="6"/>
  <c r="AE6" i="6"/>
  <c r="AE8" i="6"/>
  <c r="I12" i="8"/>
  <c r="E7" i="8"/>
  <c r="AE9" i="6"/>
  <c r="C27" i="7"/>
  <c r="AE10" i="6"/>
  <c r="AE11" i="6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/>
  <c r="E12" i="8"/>
  <c r="E13" i="8"/>
  <c r="E8" i="8"/>
  <c r="E9" i="8"/>
  <c r="F52" i="8"/>
  <c r="E20" i="8"/>
  <c r="F20" i="8"/>
  <c r="E27" i="8"/>
  <c r="F27" i="8"/>
  <c r="F38" i="8"/>
  <c r="E62" i="8"/>
  <c r="F62" i="8"/>
  <c r="E52" i="8"/>
  <c r="E38" i="8"/>
  <c r="AE17" i="6"/>
  <c r="AE19" i="6"/>
  <c r="H6" i="8"/>
  <c r="I9" i="8"/>
  <c r="AE20" i="6"/>
  <c r="AE21" i="6"/>
  <c r="AE22" i="6"/>
  <c r="Q6" i="6" l="1"/>
  <c r="C16" i="7"/>
  <c r="Q5" i="6" s="1"/>
  <c r="Q7" i="6"/>
  <c r="M10" i="9"/>
  <c r="AC8" i="6"/>
  <c r="N26" i="9"/>
  <c r="Q6" i="9"/>
  <c r="AJ4" i="6" s="1"/>
  <c r="AC15" i="6"/>
  <c r="AC21" i="6"/>
  <c r="AC13" i="6"/>
  <c r="M13" i="9"/>
  <c r="AC11" i="6"/>
  <c r="M7" i="9"/>
  <c r="Q7" i="9" s="1"/>
  <c r="AC5" i="6"/>
  <c r="AC10" i="6"/>
  <c r="M12" i="9"/>
  <c r="J26" i="9"/>
  <c r="J28" i="9" s="1"/>
  <c r="M22" i="9"/>
  <c r="M16" i="9"/>
  <c r="M26" i="9" l="1"/>
  <c r="N28" i="9" s="1"/>
  <c r="O5" i="9" s="1"/>
  <c r="O6" i="9" s="1"/>
  <c r="AJ5" i="6"/>
  <c r="Q8" i="9"/>
  <c r="C15" i="7" l="1"/>
  <c r="C24" i="7"/>
  <c r="C25" i="7" s="1"/>
  <c r="C20" i="7"/>
  <c r="Q9" i="9"/>
  <c r="AJ6" i="6"/>
  <c r="O7" i="9"/>
  <c r="AI4" i="6"/>
  <c r="AI5" i="6" l="1"/>
  <c r="O8" i="9"/>
  <c r="Q10" i="9"/>
  <c r="AJ7" i="6"/>
  <c r="O9" i="9" l="1"/>
  <c r="AI6" i="6"/>
  <c r="Q11" i="9"/>
  <c r="AJ8" i="6"/>
  <c r="Q12" i="9" l="1"/>
  <c r="AJ9" i="6"/>
  <c r="O10" i="9"/>
  <c r="AI7" i="6"/>
  <c r="O11" i="9" l="1"/>
  <c r="AI8" i="6"/>
  <c r="AJ10" i="6"/>
  <c r="Q13" i="9"/>
  <c r="AJ11" i="6" l="1"/>
  <c r="Q14" i="9"/>
  <c r="O12" i="9"/>
  <c r="AI9" i="6"/>
  <c r="Q15" i="9" l="1"/>
  <c r="AJ12" i="6"/>
  <c r="AI10" i="6"/>
  <c r="O13" i="9"/>
  <c r="AI11" i="6" l="1"/>
  <c r="O14" i="9"/>
  <c r="Q16" i="9"/>
  <c r="AJ13" i="6"/>
  <c r="Q17" i="9" l="1"/>
  <c r="AJ14" i="6"/>
  <c r="O15" i="9"/>
  <c r="AI12" i="6"/>
  <c r="O16" i="9" l="1"/>
  <c r="AI13" i="6"/>
  <c r="AJ15" i="6"/>
  <c r="Q18" i="9"/>
  <c r="AJ16" i="6" l="1"/>
  <c r="Q19" i="9"/>
  <c r="AI14" i="6"/>
  <c r="O17" i="9"/>
  <c r="AJ17" i="6" l="1"/>
  <c r="Q20" i="9"/>
  <c r="O18" i="9"/>
  <c r="AI15" i="6"/>
  <c r="Q21" i="9" l="1"/>
  <c r="AJ18" i="6"/>
  <c r="AI16" i="6"/>
  <c r="O19" i="9"/>
  <c r="AI17" i="6" l="1"/>
  <c r="O20" i="9"/>
  <c r="Q22" i="9"/>
  <c r="AJ19" i="6"/>
  <c r="O21" i="9" l="1"/>
  <c r="AI18" i="6"/>
  <c r="AJ20" i="6"/>
  <c r="Q23" i="9"/>
  <c r="AJ21" i="6" l="1"/>
  <c r="Q24" i="9"/>
  <c r="AI19" i="6"/>
  <c r="O22" i="9"/>
  <c r="Q25" i="9" l="1"/>
  <c r="AJ23" i="6" s="1"/>
  <c r="AJ22" i="6"/>
  <c r="O23" i="9"/>
  <c r="AI20" i="6"/>
  <c r="AI21" i="6" l="1"/>
  <c r="O24" i="9"/>
  <c r="AI22" i="6" l="1"/>
  <c r="O25" i="9"/>
  <c r="AI23" i="6" s="1"/>
</calcChain>
</file>

<file path=xl/sharedStrings.xml><?xml version="1.0" encoding="utf-8"?>
<sst xmlns="http://schemas.openxmlformats.org/spreadsheetml/2006/main" count="652" uniqueCount="514">
  <si>
    <t>MISSION DATA CARD</t>
  </si>
  <si>
    <t>MISSION BRIEF</t>
  </si>
  <si>
    <t>WAYPOINTS</t>
  </si>
  <si>
    <t>WP</t>
  </si>
  <si>
    <t>BIG PICTURE</t>
  </si>
  <si>
    <t>TIGER</t>
  </si>
  <si>
    <t>JOKER</t>
  </si>
  <si>
    <t>BINGO</t>
  </si>
  <si>
    <t>TOTAL</t>
  </si>
  <si>
    <t>TARGET</t>
  </si>
  <si>
    <t>IP</t>
  </si>
  <si>
    <t>HOLD RIGHT TURNS</t>
  </si>
  <si>
    <t>HOLD LEFT TURNS</t>
  </si>
  <si>
    <t>WAYPOINT</t>
  </si>
  <si>
    <t>Z - DIVE</t>
  </si>
  <si>
    <t>LAUNCH &amp; RECOVERY</t>
  </si>
  <si>
    <t>SECTION 1</t>
  </si>
  <si>
    <t>SECTION 2</t>
  </si>
  <si>
    <t>SECTION 3</t>
  </si>
  <si>
    <t>SECTION 4</t>
  </si>
  <si>
    <t>TARGET AREA</t>
  </si>
  <si>
    <t>TEXT BOX</t>
  </si>
  <si>
    <t>ROUTE LINE</t>
  </si>
  <si>
    <t>PACKAGE COMMS</t>
  </si>
  <si>
    <t>OVERVIEW</t>
  </si>
  <si>
    <t>Date</t>
  </si>
  <si>
    <t>Mission Type</t>
  </si>
  <si>
    <t>Fuel</t>
  </si>
  <si>
    <t>Known Threats</t>
  </si>
  <si>
    <t>Qty</t>
  </si>
  <si>
    <t>Objective</t>
  </si>
  <si>
    <t>Notes</t>
  </si>
  <si>
    <t>Agency</t>
  </si>
  <si>
    <t>Freq</t>
  </si>
  <si>
    <t>Task</t>
  </si>
  <si>
    <t>Mission Codewords</t>
  </si>
  <si>
    <t>Phase</t>
  </si>
  <si>
    <t>Name</t>
  </si>
  <si>
    <t>Pilot</t>
  </si>
  <si>
    <t>Loadout</t>
  </si>
  <si>
    <t>Dist</t>
  </si>
  <si>
    <t>Alt</t>
  </si>
  <si>
    <t>WEATHER</t>
  </si>
  <si>
    <t>SUPPORT</t>
  </si>
  <si>
    <t>Twr</t>
  </si>
  <si>
    <t>Rwy</t>
  </si>
  <si>
    <t>App/Dep</t>
  </si>
  <si>
    <t>Dep</t>
  </si>
  <si>
    <t>Arr</t>
  </si>
  <si>
    <t>Divert</t>
  </si>
  <si>
    <t>SOP Reserve</t>
  </si>
  <si>
    <t>Max Distance</t>
  </si>
  <si>
    <t>lbs</t>
  </si>
  <si>
    <t>BINGO profile</t>
  </si>
  <si>
    <t>Egress rejoin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</si>
  <si>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</si>
  <si>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</si>
  <si>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</si>
  <si>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</si>
  <si>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</si>
  <si>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</si>
  <si>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</si>
  <si>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</si>
  <si>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</si>
  <si>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</si>
  <si>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</si>
  <si>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</si>
  <si>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</si>
  <si>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</si>
  <si>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</si>
  <si>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</si>
  <si>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</si>
  <si>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</si>
  <si>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</si>
  <si>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</si>
  <si>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</si>
  <si>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</si>
  <si>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</si>
  <si>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</si>
  <si>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</si>
  <si>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</si>
  <si>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</si>
  <si>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</si>
  <si>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</si>
  <si>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</si>
  <si>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</si>
  <si>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</si>
  <si>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</si>
  <si>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</si>
  <si>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</si>
  <si>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</si>
  <si>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</si>
  <si>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</si>
  <si>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</si>
  <si>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</si>
  <si>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</si>
  <si>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</si>
  <si>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</si>
  <si>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</si>
  <si>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</si>
  <si>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</si>
  <si>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</si>
  <si>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</si>
  <si>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</si>
  <si>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</si>
  <si>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</si>
  <si>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</si>
  <si>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</si>
  <si>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</si>
  <si>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</si>
  <si>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</si>
  <si>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</si>
  <si>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</si>
  <si>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</si>
  <si>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AAR</t>
  </si>
  <si>
    <t>Eqpt Weight inc fuel</t>
  </si>
  <si>
    <t>Max Weight</t>
  </si>
  <si>
    <t>lbs/10nm 6.5 AOA 16.5k-17.5k ft MSL</t>
  </si>
  <si>
    <t>NOTES</t>
  </si>
  <si>
    <t>Btn</t>
  </si>
  <si>
    <t>Tcn</t>
  </si>
  <si>
    <t>Fuel Taken</t>
  </si>
  <si>
    <t>Excess</t>
  </si>
  <si>
    <t>TACTICAL COMM PLAN</t>
  </si>
  <si>
    <t>Aircraft</t>
  </si>
  <si>
    <t>Callsign</t>
  </si>
  <si>
    <t>lbs loaded</t>
  </si>
  <si>
    <t>Commit Time</t>
  </si>
  <si>
    <t>TCN</t>
  </si>
  <si>
    <t>MFR</t>
  </si>
  <si>
    <t>EFR</t>
  </si>
  <si>
    <t>Interval</t>
  </si>
  <si>
    <t>WEASEL 2</t>
  </si>
  <si>
    <t>PUSH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</si>
  <si>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</si>
  <si>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</si>
  <si>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</si>
  <si>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</si>
  <si>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</si>
  <si>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</si>
  <si>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</si>
  <si>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1600ft</t>
  </si>
  <si>
    <t>6600ft</t>
  </si>
  <si>
    <t>26000ft</t>
  </si>
  <si>
    <t>YOMO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</si>
  <si>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</si>
  <si>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</si>
  <si>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</si>
  <si>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</si>
  <si>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</si>
  <si>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</si>
  <si>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</si>
  <si>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</si>
  <si>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</si>
  <si>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LANDSHARK</t>
  </si>
  <si>
    <t>PKG CDR</t>
  </si>
  <si>
    <t>SNAPPER 1</t>
  </si>
  <si>
    <t>SKATE 1</t>
  </si>
  <si>
    <t>CLOSE ESCORT</t>
  </si>
  <si>
    <t>FIGHTER SWEEP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</si>
  <si>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</si>
  <si>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</si>
  <si>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</si>
  <si>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</si>
  <si>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</si>
  <si>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</si>
  <si>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</si>
  <si>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</si>
  <si>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</si>
  <si>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</si>
  <si>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</si>
  <si>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</si>
  <si>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</si>
  <si>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</si>
  <si>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</si>
  <si>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</si>
  <si>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</si>
  <si>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</si>
  <si>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</si>
  <si>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</si>
  <si>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</si>
  <si>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</si>
  <si>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</si>
  <si>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</si>
  <si>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</si>
  <si>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</si>
  <si>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</si>
  <si>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</si>
  <si>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</si>
  <si>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</si>
  <si>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</si>
  <si>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</si>
  <si>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</si>
  <si>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</si>
  <si>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</si>
  <si>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</si>
  <si>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</si>
  <si>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</si>
  <si>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</si>
  <si>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</si>
  <si>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</si>
  <si>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</si>
  <si>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</si>
  <si>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</si>
  <si>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</si>
  <si>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</si>
  <si>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</si>
  <si>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</si>
  <si>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</si>
  <si>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</si>
  <si>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</si>
  <si>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FLIGHTS/CALLSIGNS</t>
  </si>
  <si>
    <t>REFUEL</t>
  </si>
  <si>
    <t>Refuelling Required</t>
  </si>
  <si>
    <t>Refuelling Taken</t>
  </si>
  <si>
    <t>Climb</t>
  </si>
  <si>
    <t>Rejoin</t>
  </si>
  <si>
    <t>LEG FUEL</t>
  </si>
  <si>
    <t>Z - POP</t>
  </si>
  <si>
    <t>BASE</t>
  </si>
  <si>
    <t>Total + SOP Reserve</t>
  </si>
  <si>
    <t>NM</t>
  </si>
  <si>
    <t>INTERVAL</t>
  </si>
  <si>
    <t>POP-UP ATTACK</t>
  </si>
  <si>
    <t>MATRIX</t>
  </si>
  <si>
    <t>SHANK 2</t>
  </si>
  <si>
    <t>AI</t>
  </si>
  <si>
    <t>SHANK 1</t>
  </si>
  <si>
    <t>N</t>
  </si>
  <si>
    <t>E</t>
  </si>
  <si>
    <t>Coordinates</t>
  </si>
  <si>
    <t>COORDINATES</t>
  </si>
  <si>
    <t>LAS</t>
  </si>
  <si>
    <t>BULLET 1</t>
  </si>
  <si>
    <t>BULLET 2</t>
  </si>
  <si>
    <t>NIKEL 1</t>
  </si>
  <si>
    <t>NIKEL 2</t>
  </si>
  <si>
    <t>STONE 1</t>
  </si>
  <si>
    <t>STONE 2</t>
  </si>
  <si>
    <t>FIST 1</t>
  </si>
  <si>
    <t>DEAD</t>
  </si>
  <si>
    <t>ROLEX</t>
  </si>
  <si>
    <t>HOLDING</t>
  </si>
  <si>
    <t>OFF STATION</t>
  </si>
  <si>
    <t>OFF TARGET</t>
  </si>
  <si>
    <t>MSN SUCCESS</t>
  </si>
  <si>
    <t>RTB</t>
  </si>
  <si>
    <t>CHL</t>
  </si>
  <si>
    <t>FREQ</t>
  </si>
  <si>
    <t>DESC</t>
  </si>
  <si>
    <t>CLR</t>
  </si>
  <si>
    <t>LL DEC/SEC CONVERSION</t>
  </si>
  <si>
    <t>minutes</t>
  </si>
  <si>
    <t>YARDSTICK</t>
  </si>
  <si>
    <t>LEAD</t>
  </si>
  <si>
    <t>WING</t>
  </si>
  <si>
    <t>TACP</t>
  </si>
  <si>
    <t>BROADSWORD</t>
  </si>
  <si>
    <t>SHOWTIME</t>
  </si>
  <si>
    <t>MAGIC</t>
  </si>
  <si>
    <t>TOS</t>
  </si>
  <si>
    <t>ETD</t>
  </si>
  <si>
    <t>FEV</t>
  </si>
  <si>
    <t>TOS FUEL</t>
  </si>
  <si>
    <t>Excess time</t>
  </si>
  <si>
    <t>WP1 Leg Fuel includes fuel for Launch, Climb and Rejoin</t>
  </si>
  <si>
    <t>Total Flight Time</t>
  </si>
  <si>
    <t>Yellow cells are calculated. Do not alter.</t>
  </si>
  <si>
    <t>White cells can be edited.</t>
  </si>
  <si>
    <t>HOOKER</t>
  </si>
  <si>
    <t>FAD</t>
  </si>
  <si>
    <t>FAC(A)</t>
  </si>
  <si>
    <t>MG1006</t>
  </si>
  <si>
    <t>lbs @ Initial</t>
  </si>
  <si>
    <t>SHOOTER 1</t>
  </si>
  <si>
    <t>SHOOTER 11</t>
  </si>
  <si>
    <t>SHOOTER 13</t>
  </si>
  <si>
    <t>SHOOTER 12</t>
  </si>
  <si>
    <t>SHOOTER 14</t>
  </si>
  <si>
    <t>MISTY 11</t>
  </si>
  <si>
    <t>SHOOTER 22</t>
  </si>
  <si>
    <t>SHOOTER 21</t>
  </si>
  <si>
    <t>SHOOTER 23</t>
  </si>
  <si>
    <t>SHOOTER 24</t>
  </si>
  <si>
    <t>MISTY 12</t>
  </si>
  <si>
    <t>MISTY 13</t>
  </si>
  <si>
    <t>MISTY 14</t>
  </si>
  <si>
    <t>VIPER 11</t>
  </si>
  <si>
    <t>VIPER 12</t>
  </si>
  <si>
    <t>VIPER 13</t>
  </si>
  <si>
    <t>VIPER 14</t>
  </si>
  <si>
    <t>SHOOTER 2</t>
  </si>
  <si>
    <t>GND</t>
  </si>
  <si>
    <t>TWR</t>
  </si>
  <si>
    <t>APP</t>
  </si>
  <si>
    <t>ffph</t>
  </si>
  <si>
    <t>Takeoff</t>
  </si>
  <si>
    <t>Flight</t>
  </si>
  <si>
    <t>Al Dhafra</t>
  </si>
  <si>
    <t>96X</t>
  </si>
  <si>
    <t>55FS PRESETS</t>
  </si>
  <si>
    <t>nm from Recovery</t>
  </si>
  <si>
    <t>Fuel (external) (max = 5006 lb)</t>
  </si>
  <si>
    <t>55FS</t>
  </si>
  <si>
    <t>(CAS = 8400, TAC = 9600, REC = 5400)</t>
  </si>
  <si>
    <t>V1</t>
  </si>
  <si>
    <t>SA15</t>
  </si>
  <si>
    <t>SA3</t>
  </si>
  <si>
    <t>52</t>
  </si>
  <si>
    <t>1681</t>
  </si>
  <si>
    <t>1682</t>
  </si>
  <si>
    <t>1683</t>
  </si>
  <si>
    <t>1684</t>
  </si>
  <si>
    <t>AI AWACS</t>
  </si>
  <si>
    <t>SA10</t>
  </si>
  <si>
    <t>MIG29</t>
  </si>
  <si>
    <t>L39</t>
  </si>
  <si>
    <t>F5</t>
  </si>
  <si>
    <t>31R</t>
  </si>
  <si>
    <t>U2</t>
  </si>
  <si>
    <t>U3</t>
  </si>
  <si>
    <t>51Y</t>
  </si>
  <si>
    <t>114Y</t>
  </si>
  <si>
    <t>430</t>
  </si>
  <si>
    <t>Flight Time</t>
  </si>
  <si>
    <t>Primary</t>
  </si>
  <si>
    <t>DMPI</t>
  </si>
  <si>
    <t>Coord</t>
  </si>
  <si>
    <t>WEAPON</t>
  </si>
  <si>
    <t>Profile</t>
  </si>
  <si>
    <t>Fuze</t>
  </si>
  <si>
    <t>Type</t>
  </si>
  <si>
    <t>SEM</t>
  </si>
  <si>
    <t>DELIVERY</t>
  </si>
  <si>
    <t>Hdg</t>
  </si>
  <si>
    <t>Elev</t>
  </si>
  <si>
    <t>Egress</t>
  </si>
  <si>
    <t xml:space="preserve"> </t>
  </si>
  <si>
    <t>HOF</t>
  </si>
  <si>
    <t>Ripple</t>
  </si>
  <si>
    <t>344.025</t>
  </si>
  <si>
    <t>SMC1</t>
  </si>
  <si>
    <t>251.5</t>
  </si>
  <si>
    <t>SOF</t>
  </si>
  <si>
    <t>Shooter Ops</t>
  </si>
  <si>
    <t>U1</t>
  </si>
  <si>
    <t>137.95</t>
  </si>
  <si>
    <t>CAS/Mach</t>
  </si>
  <si>
    <t>367.575</t>
  </si>
  <si>
    <t>Taxi</t>
  </si>
  <si>
    <t>T/O</t>
  </si>
  <si>
    <t>CBU97</t>
  </si>
  <si>
    <t>N/A</t>
  </si>
  <si>
    <t>Jade 06</t>
  </si>
  <si>
    <t>CTAF GROUND</t>
  </si>
  <si>
    <t>Jade 07</t>
  </si>
  <si>
    <t>CTAF TOWER</t>
  </si>
  <si>
    <t>Jade 08</t>
  </si>
  <si>
    <t>APP/DEP</t>
  </si>
  <si>
    <t>Jade 09</t>
  </si>
  <si>
    <t>RANGE CTRL</t>
  </si>
  <si>
    <t>Jade 10</t>
  </si>
  <si>
    <t>TKR1</t>
  </si>
  <si>
    <t>VF-2</t>
  </si>
  <si>
    <t>Topaz 01</t>
  </si>
  <si>
    <t>TKR2</t>
  </si>
  <si>
    <t>Topaz 02</t>
  </si>
  <si>
    <t>Beige 03</t>
  </si>
  <si>
    <t>HMLA</t>
  </si>
  <si>
    <t>Amber 01</t>
  </si>
  <si>
    <t>FAD 1</t>
  </si>
  <si>
    <t>Bone 01</t>
  </si>
  <si>
    <t>Amber 02</t>
  </si>
  <si>
    <t>FAD 2</t>
  </si>
  <si>
    <t>Bone 02</t>
  </si>
  <si>
    <t>VFA-25</t>
  </si>
  <si>
    <t>Sapphire 01</t>
  </si>
  <si>
    <t>Grape 01</t>
  </si>
  <si>
    <t>Sapphire 02</t>
  </si>
  <si>
    <t>AMC1</t>
  </si>
  <si>
    <t>Platinum 01</t>
  </si>
  <si>
    <t>Jade 01</t>
  </si>
  <si>
    <t>TAD1</t>
  </si>
  <si>
    <t>Onyx 01</t>
  </si>
  <si>
    <t>Jade 02</t>
  </si>
  <si>
    <t>TAD2</t>
  </si>
  <si>
    <t>Onyx 02</t>
  </si>
  <si>
    <t>VMFA-251</t>
  </si>
  <si>
    <t>Emerald 06</t>
  </si>
  <si>
    <t>SCAR 1</t>
  </si>
  <si>
    <t>Scarlet 01</t>
  </si>
  <si>
    <t>Emerald 07</t>
  </si>
  <si>
    <t>266.375</t>
  </si>
  <si>
    <t>SCAR 2</t>
  </si>
  <si>
    <t>Scarlet 02</t>
  </si>
  <si>
    <t>VMA-231</t>
  </si>
  <si>
    <t>Emerald 01</t>
  </si>
  <si>
    <t>Pearl 01</t>
  </si>
  <si>
    <t>Emerald 02</t>
  </si>
  <si>
    <t>OPEN</t>
  </si>
  <si>
    <t>MARSHALL</t>
  </si>
  <si>
    <t>480FS</t>
  </si>
  <si>
    <t>Sapphire 06</t>
  </si>
  <si>
    <r>
      <t xml:space="preserve">CRUISE @ 0.7M
PUSH hold @ FL220-230 030WP2
TIGER @ PUSH
DCS Username CALLSIGN | NAME (ex: </t>
    </r>
    <r>
      <rPr>
        <i/>
        <sz val="12"/>
        <color rgb="FF000000"/>
        <rFont val="Arial Narrow"/>
        <family val="2"/>
      </rPr>
      <t>SHOOTER 11 | YOMO</t>
    </r>
    <r>
      <rPr>
        <sz val="12"/>
        <color rgb="FF000000"/>
        <rFont val="Arial Narrow"/>
        <family val="2"/>
      </rPr>
      <t>)</t>
    </r>
  </si>
  <si>
    <t>20:25</t>
  </si>
  <si>
    <t>[CLM/TSEM]</t>
  </si>
  <si>
    <t>Delivery</t>
  </si>
  <si>
    <t>[N/T/NT]</t>
  </si>
  <si>
    <t>[WPN]</t>
  </si>
  <si>
    <t>Weapons [WPN]</t>
  </si>
  <si>
    <t>GBU12</t>
  </si>
  <si>
    <t>GBU10</t>
  </si>
  <si>
    <t>CBU82</t>
  </si>
  <si>
    <t>Safe Escape Manoeuvre (SEM)</t>
  </si>
  <si>
    <t>CLM</t>
  </si>
  <si>
    <t>Climbing Safe Escape</t>
  </si>
  <si>
    <t>TSEM</t>
  </si>
  <si>
    <t>Turning Safe Escape</t>
  </si>
  <si>
    <t>[#]</t>
  </si>
  <si>
    <t>[FT]</t>
  </si>
  <si>
    <t>[DIR &gt; WP]</t>
  </si>
  <si>
    <t>[WP/COORD]</t>
  </si>
  <si>
    <t>[DEG M/T]</t>
  </si>
  <si>
    <t>[NM]</t>
  </si>
  <si>
    <t>[NAME]</t>
  </si>
  <si>
    <t>[DMPI ID]</t>
  </si>
  <si>
    <t>[LAT LONG]</t>
  </si>
  <si>
    <t>[DESC]</t>
  </si>
  <si>
    <t>[IMAGE]</t>
  </si>
  <si>
    <t>EFF CRUS 6000 - ATTACK 9000</t>
  </si>
  <si>
    <t>VLD</t>
  </si>
  <si>
    <t>DB</t>
  </si>
  <si>
    <t>HARB</t>
  </si>
  <si>
    <t>HADB</t>
  </si>
  <si>
    <t>Visual Level Delivery</t>
  </si>
  <si>
    <t>Dive Bomb</t>
  </si>
  <si>
    <t>High Alititude Release Bomb</t>
  </si>
  <si>
    <t>High Alititude Dive Bomb</t>
  </si>
  <si>
    <t>LAT</t>
  </si>
  <si>
    <t>Low Altitude Toss</t>
  </si>
  <si>
    <t>[VLD/DB/HARB/HADB/LAT/STRF]</t>
  </si>
  <si>
    <t>STRF</t>
  </si>
  <si>
    <t>Strafe</t>
  </si>
  <si>
    <t>[CCIP/DTOS/CCRP/LADD/BCN]</t>
  </si>
  <si>
    <t>[SINGLE/PAIR]</t>
  </si>
  <si>
    <t>[Z DIAG]</t>
  </si>
  <si>
    <t>Dive Angle</t>
  </si>
  <si>
    <t>MAP Distance</t>
  </si>
  <si>
    <t>Release Speed (KTAS)</t>
  </si>
  <si>
    <t>GS</t>
  </si>
  <si>
    <t>Climb Angle</t>
  </si>
  <si>
    <t>Tracking Time (seconds)</t>
  </si>
  <si>
    <t>Tracking Distance (ft)</t>
  </si>
  <si>
    <t>Angle Off</t>
  </si>
  <si>
    <t>Aim Off Distance</t>
  </si>
  <si>
    <t>Bomb Range (FT ref 34-1-2)</t>
  </si>
  <si>
    <t>Vertical Tracking Distance (FT)</t>
  </si>
  <si>
    <t>Recommended Angle Off</t>
  </si>
  <si>
    <t>Track Point Alt</t>
  </si>
  <si>
    <t>Apex Alt (3-3.5G roll-in)</t>
  </si>
  <si>
    <t>Pull-Down Alt</t>
  </si>
  <si>
    <t>Pop-to-Pull-Down Distance</t>
  </si>
  <si>
    <t>Release Height (FT AGL)</t>
  </si>
  <si>
    <t>Turn Radius</t>
  </si>
  <si>
    <t>12 APRIL 2020</t>
  </si>
  <si>
    <t>20:15</t>
  </si>
  <si>
    <t>20:30</t>
  </si>
  <si>
    <t>KHASAB</t>
  </si>
  <si>
    <t>84X</t>
  </si>
  <si>
    <t>19</t>
  </si>
  <si>
    <t>46</t>
  </si>
  <si>
    <t>ROUTE</t>
  </si>
  <si>
    <t>Spd</t>
  </si>
  <si>
    <t>Heading</t>
  </si>
  <si>
    <t>Paste blue shaded data from JTF-1_CF_ROUTE_EXPORT.xlsx into blue shaded area below.</t>
  </si>
  <si>
    <t>IFF</t>
  </si>
  <si>
    <t>5511</t>
  </si>
  <si>
    <t>5512</t>
  </si>
  <si>
    <t>Step</t>
  </si>
  <si>
    <t>Dec to Sec</t>
  </si>
  <si>
    <t>Sec to Dec</t>
  </si>
  <si>
    <t>ft</t>
  </si>
  <si>
    <t>Nellis AFB</t>
  </si>
  <si>
    <t>N36:13.533 W115:02.617</t>
  </si>
  <si>
    <t>1841 ft</t>
  </si>
  <si>
    <t>APEX</t>
  </si>
  <si>
    <t>N36:21.592 W114:54.355</t>
  </si>
  <si>
    <t>6.6 M</t>
  </si>
  <si>
    <t>JUNNO</t>
  </si>
  <si>
    <t>N36:43.800 W114:52.770</t>
  </si>
  <si>
    <t>351°</t>
  </si>
  <si>
    <t>DREAM</t>
  </si>
  <si>
    <t>N37:10.340 W114:59.530</t>
  </si>
  <si>
    <t>337°</t>
  </si>
  <si>
    <t>N37:36.705 W114:57.825</t>
  </si>
  <si>
    <t>11.6 M</t>
  </si>
  <si>
    <t>JASYN</t>
  </si>
  <si>
    <t>GARTH</t>
  </si>
  <si>
    <t>N37:17.960 W116:21.260</t>
  </si>
  <si>
    <t>N37:34.000 W116:04.500</t>
  </si>
  <si>
    <t>207°</t>
  </si>
  <si>
    <t>N36:34.493 W116:02.466</t>
  </si>
  <si>
    <t>STRYK</t>
  </si>
  <si>
    <t>N36:25.663 W115:30.715</t>
  </si>
  <si>
    <t>097°</t>
  </si>
  <si>
    <t>GASS PEAK</t>
  </si>
  <si>
    <t>N36:24.054 W115:10.824</t>
  </si>
  <si>
    <t>084°</t>
  </si>
  <si>
    <t>089°</t>
  </si>
  <si>
    <t>003°</t>
  </si>
  <si>
    <t>219°</t>
  </si>
  <si>
    <t>149°</t>
  </si>
  <si>
    <t>STDT GAP</t>
  </si>
  <si>
    <t>BLTD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</si>
</sst>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  <numFmt numFmtId="168" formatCode="0.000"/>
    <numFmt numFmtId="169" formatCode="hh\+mm\+ss"/>
    <numFmt numFmtId="170" formatCode="_-* #,##0.0_-;\-* #,##0.0_-;_-* &quot;-&quot;??_-;_-@_-"/>
  </numFmts>
  <fonts count="3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sz val="14"/>
      <name val="Arial Narrow"/>
      <family val="2"/>
    </font>
    <font>
      <sz val="12"/>
      <color rgb="FF000000"/>
      <name val="Arial Narrow"/>
      <family val="2"/>
    </font>
    <font>
      <sz val="13"/>
      <color rgb="FF000000"/>
      <name val="Arial Narrow"/>
      <family val="2"/>
    </font>
    <font>
      <b/>
      <sz val="11"/>
      <color theme="0"/>
      <name val="Calibri"/>
      <family val="2"/>
    </font>
    <font>
      <b/>
      <sz val="12"/>
      <color rgb="FF000000"/>
      <name val="Arial Narrow"/>
      <family val="2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8"/>
      <color rgb="FF000000"/>
      <name val="Arial Narrow"/>
      <family val="2"/>
    </font>
    <font>
      <sz val="20"/>
      <color rgb="FF000000"/>
      <name val="Arial Narrow"/>
      <family val="2"/>
    </font>
    <font>
      <sz val="24"/>
      <color rgb="FF000000"/>
      <name val="Arial Narrow"/>
      <family val="2"/>
    </font>
    <font>
      <i/>
      <sz val="12"/>
      <color rgb="FF000000"/>
      <name val="Arial Narrow"/>
      <family val="2"/>
    </font>
    <font>
      <u/>
      <sz val="11"/>
      <color rgb="FF000000"/>
      <name val="Calibri"/>
      <family val="2"/>
    </font>
    <font>
      <b/>
      <sz val="14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0" fontId="3" fillId="0" borderId="1"/>
    <xf numFmtId="0" fontId="9" fillId="0" borderId="1" applyNumberFormat="0" applyFill="0" applyBorder="0" applyAlignment="0" applyProtection="0"/>
    <xf numFmtId="9" fontId="3" fillId="0" borderId="1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1"/>
    <xf numFmtId="0" fontId="1" fillId="0" borderId="1"/>
    <xf numFmtId="0" fontId="4" fillId="0" borderId="1"/>
    <xf numFmtId="43" fontId="4" fillId="0" borderId="1" applyFont="0" applyFill="0" applyBorder="0" applyAlignment="0" applyProtection="0"/>
  </cellStyleXfs>
  <cellXfs count="578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/>
    <xf numFmtId="0" fontId="3" fillId="0" borderId="1" xfId="2"/>
    <xf numFmtId="0" fontId="8" fillId="0" borderId="1" xfId="2" applyFont="1" applyAlignment="1">
      <alignment vertical="center"/>
    </xf>
    <xf numFmtId="0" fontId="3" fillId="0" borderId="1" xfId="2" applyAlignment="1">
      <alignment vertical="center"/>
    </xf>
    <xf numFmtId="0" fontId="9" fillId="0" borderId="1" xfId="3"/>
    <xf numFmtId="0" fontId="11" fillId="0" borderId="1" xfId="2" applyFont="1" applyAlignment="1">
      <alignment vertical="center"/>
    </xf>
    <xf numFmtId="0" fontId="3" fillId="0" borderId="1" xfId="2" applyAlignment="1">
      <alignment horizontal="center" vertical="center"/>
    </xf>
    <xf numFmtId="0" fontId="6" fillId="0" borderId="1" xfId="2" applyFont="1"/>
    <xf numFmtId="0" fontId="12" fillId="0" borderId="26" xfId="2" applyFont="1" applyBorder="1" applyAlignment="1">
      <alignment horizontal="center" vertical="center"/>
    </xf>
    <xf numFmtId="0" fontId="3" fillId="3" borderId="28" xfId="2" applyFill="1" applyBorder="1" applyProtection="1">
      <protection locked="0"/>
    </xf>
    <xf numFmtId="0" fontId="3" fillId="0" borderId="22" xfId="2" applyBorder="1"/>
    <xf numFmtId="0" fontId="12" fillId="7" borderId="1" xfId="2" applyFont="1" applyFill="1"/>
    <xf numFmtId="0" fontId="3" fillId="7" borderId="1" xfId="2" applyFill="1"/>
    <xf numFmtId="9" fontId="0" fillId="0" borderId="1" xfId="4" applyFont="1"/>
    <xf numFmtId="0" fontId="12" fillId="0" borderId="1" xfId="2" applyFont="1" applyFill="1"/>
    <xf numFmtId="0" fontId="3" fillId="0" borderId="1" xfId="2" applyFill="1"/>
    <xf numFmtId="0" fontId="3" fillId="0" borderId="1" xfId="2" applyFill="1" applyBorder="1"/>
    <xf numFmtId="0" fontId="3" fillId="0" borderId="1" xfId="2" applyFill="1" applyBorder="1" applyAlignment="1">
      <alignment vertical="center"/>
    </xf>
    <xf numFmtId="0" fontId="3" fillId="0" borderId="1" xfId="2" applyBorder="1"/>
    <xf numFmtId="0" fontId="3" fillId="0" borderId="1" xfId="2" applyBorder="1" applyAlignment="1">
      <alignment vertical="center" wrapText="1"/>
    </xf>
    <xf numFmtId="0" fontId="6" fillId="0" borderId="1" xfId="2" applyFont="1" applyAlignment="1">
      <alignment vertical="center"/>
    </xf>
    <xf numFmtId="0" fontId="12" fillId="0" borderId="1" xfId="2" applyFont="1" applyBorder="1" applyAlignment="1">
      <alignment wrapText="1"/>
    </xf>
    <xf numFmtId="0" fontId="9" fillId="0" borderId="1" xfId="3" applyBorder="1" applyAlignment="1" applyProtection="1">
      <alignment horizontal="center" vertical="center"/>
      <protection locked="0"/>
    </xf>
    <xf numFmtId="0" fontId="8" fillId="0" borderId="1" xfId="2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9" fontId="13" fillId="0" borderId="1" xfId="2" applyNumberFormat="1" applyFont="1" applyFill="1" applyBorder="1" applyAlignment="1">
      <alignment horizontal="center"/>
    </xf>
    <xf numFmtId="0" fontId="3" fillId="0" borderId="1" xfId="2" applyFill="1" applyBorder="1" applyAlignment="1">
      <alignment vertical="center" wrapText="1"/>
    </xf>
    <xf numFmtId="0" fontId="8" fillId="3" borderId="38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9" fontId="3" fillId="0" borderId="1" xfId="5" applyFont="1" applyFill="1" applyBorder="1"/>
    <xf numFmtId="0" fontId="4" fillId="0" borderId="0" xfId="0" applyFont="1" applyAlignment="1">
      <alignment horizontal="left"/>
    </xf>
    <xf numFmtId="0" fontId="16" fillId="0" borderId="27" xfId="2" applyFont="1" applyFill="1" applyBorder="1" applyAlignment="1">
      <alignment horizontal="center"/>
    </xf>
    <xf numFmtId="0" fontId="4" fillId="0" borderId="0" xfId="0" applyFont="1" applyAlignment="1"/>
    <xf numFmtId="43" fontId="0" fillId="0" borderId="0" xfId="0" applyNumberFormat="1" applyFont="1" applyAlignment="1"/>
    <xf numFmtId="0" fontId="22" fillId="0" borderId="1" xfId="0" applyFont="1" applyFill="1" applyBorder="1" applyAlignment="1" applyProtection="1">
      <alignment vertical="center"/>
      <protection locked="0"/>
    </xf>
    <xf numFmtId="0" fontId="3" fillId="3" borderId="28" xfId="2" applyNumberFormat="1" applyFill="1" applyBorder="1" applyProtection="1">
      <protection locked="0"/>
    </xf>
    <xf numFmtId="0" fontId="16" fillId="6" borderId="27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3" fillId="0" borderId="43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49" fontId="18" fillId="0" borderId="14" xfId="0" applyNumberFormat="1" applyFont="1" applyBorder="1" applyAlignment="1" applyProtection="1">
      <alignment horizontal="center" vertical="center"/>
      <protection locked="0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11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8" fillId="2" borderId="14" xfId="0" applyNumberFormat="1" applyFont="1" applyFill="1" applyBorder="1" applyAlignment="1" applyProtection="1">
      <alignment horizontal="center" vertical="center"/>
      <protection locked="0"/>
    </xf>
    <xf numFmtId="49" fontId="18" fillId="0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13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0" fontId="18" fillId="5" borderId="2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0" xfId="0" applyFont="1" applyAlignment="1" applyProtection="1">
      <alignment horizontal="right"/>
      <protection locked="0"/>
    </xf>
    <xf numFmtId="165" fontId="18" fillId="0" borderId="1" xfId="0" applyNumberFormat="1" applyFont="1" applyFill="1" applyBorder="1" applyAlignment="1" applyProtection="1">
      <alignment horizontal="center"/>
    </xf>
    <xf numFmtId="165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0" fontId="7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8" fillId="0" borderId="9" xfId="0" applyFont="1" applyFill="1" applyBorder="1" applyAlignment="1" applyProtection="1">
      <alignment horizontal="center"/>
    </xf>
    <xf numFmtId="167" fontId="18" fillId="0" borderId="0" xfId="0" applyNumberFormat="1" applyFont="1" applyAlignment="1" applyProtection="1">
      <protection locked="0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8" fillId="0" borderId="11" xfId="0" applyNumberFormat="1" applyFont="1" applyFill="1" applyBorder="1" applyAlignment="1" applyProtection="1">
      <alignment horizontal="center" vertical="center"/>
      <protection locked="0"/>
    </xf>
    <xf numFmtId="49" fontId="18" fillId="2" borderId="14" xfId="0" applyNumberFormat="1" applyFont="1" applyFill="1" applyBorder="1" applyAlignment="1" applyProtection="1">
      <alignment horizontal="center" vertical="center"/>
      <protection locked="0"/>
    </xf>
    <xf numFmtId="164" fontId="4" fillId="0" borderId="0" xfId="0" applyNumberFormat="1" applyFont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25" fillId="0" borderId="17" xfId="0" applyNumberFormat="1" applyFont="1" applyBorder="1" applyAlignment="1" applyProtection="1">
      <alignment horizontal="center" vertical="center"/>
    </xf>
    <xf numFmtId="0" fontId="25" fillId="2" borderId="17" xfId="0" applyNumberFormat="1" applyFont="1" applyFill="1" applyBorder="1" applyAlignment="1" applyProtection="1">
      <alignment horizontal="center" vertical="center"/>
    </xf>
    <xf numFmtId="0" fontId="25" fillId="0" borderId="15" xfId="0" applyNumberFormat="1" applyFont="1" applyBorder="1" applyAlignment="1" applyProtection="1">
      <alignment horizontal="center" vertical="center"/>
    </xf>
    <xf numFmtId="0" fontId="25" fillId="0" borderId="11" xfId="0" applyNumberFormat="1" applyFont="1" applyBorder="1" applyAlignment="1" applyProtection="1">
      <alignment horizontal="center" vertical="center"/>
    </xf>
    <xf numFmtId="0" fontId="25" fillId="2" borderId="11" xfId="0" applyNumberFormat="1" applyFont="1" applyFill="1" applyBorder="1" applyAlignment="1" applyProtection="1">
      <alignment horizontal="center" vertical="center"/>
    </xf>
    <xf numFmtId="0" fontId="25" fillId="0" borderId="13" xfId="0" applyNumberFormat="1" applyFont="1" applyBorder="1" applyAlignment="1" applyProtection="1">
      <alignment horizontal="center" vertical="center"/>
    </xf>
    <xf numFmtId="0" fontId="25" fillId="2" borderId="44" xfId="0" applyNumberFormat="1" applyFont="1" applyFill="1" applyBorder="1" applyAlignment="1" applyProtection="1">
      <alignment horizontal="center" vertical="center"/>
    </xf>
    <xf numFmtId="0" fontId="3" fillId="7" borderId="1" xfId="2" applyNumberFormat="1" applyFill="1"/>
    <xf numFmtId="0" fontId="0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NumberFormat="1" applyFont="1" applyFill="1" applyBorder="1" applyAlignment="1" applyProtection="1">
      <protection locked="0"/>
    </xf>
    <xf numFmtId="49" fontId="18" fillId="5" borderId="2" xfId="0" applyNumberFormat="1" applyFont="1" applyFill="1" applyBorder="1" applyAlignment="1" applyProtection="1">
      <alignment horizontal="center" vertical="center"/>
    </xf>
    <xf numFmtId="49" fontId="18" fillId="5" borderId="3" xfId="0" applyNumberFormat="1" applyFont="1" applyFill="1" applyBorder="1" applyAlignment="1" applyProtection="1">
      <alignment horizontal="center" vertical="center"/>
    </xf>
    <xf numFmtId="49" fontId="18" fillId="5" borderId="10" xfId="0" applyNumberFormat="1" applyFont="1" applyFill="1" applyBorder="1" applyAlignment="1" applyProtection="1">
      <alignment horizontal="center" vertical="center"/>
    </xf>
    <xf numFmtId="49" fontId="18" fillId="5" borderId="2" xfId="0" applyNumberFormat="1" applyFont="1" applyFill="1" applyBorder="1" applyAlignment="1" applyProtection="1">
      <alignment vertical="center"/>
    </xf>
    <xf numFmtId="164" fontId="4" fillId="6" borderId="2" xfId="0" applyNumberFormat="1" applyFont="1" applyFill="1" applyBorder="1" applyAlignment="1" applyProtection="1"/>
    <xf numFmtId="164" fontId="0" fillId="6" borderId="2" xfId="0" applyNumberFormat="1" applyFont="1" applyFill="1" applyBorder="1" applyAlignment="1" applyProtection="1"/>
    <xf numFmtId="164" fontId="0" fillId="6" borderId="2" xfId="1" applyNumberFormat="1" applyFont="1" applyFill="1" applyBorder="1" applyAlignment="1" applyProtection="1"/>
    <xf numFmtId="164" fontId="15" fillId="6" borderId="2" xfId="0" applyNumberFormat="1" applyFont="1" applyFill="1" applyBorder="1" applyAlignment="1" applyProtection="1"/>
    <xf numFmtId="0" fontId="24" fillId="0" borderId="0" xfId="0" applyFont="1" applyAlignment="1" applyProtection="1">
      <alignment horizontal="left"/>
      <protection locked="0"/>
    </xf>
    <xf numFmtId="1" fontId="18" fillId="7" borderId="46" xfId="0" applyNumberFormat="1" applyFont="1" applyFill="1" applyBorder="1" applyAlignment="1" applyProtection="1">
      <alignment horizontal="center"/>
    </xf>
    <xf numFmtId="1" fontId="18" fillId="7" borderId="2" xfId="0" applyNumberFormat="1" applyFont="1" applyFill="1" applyBorder="1" applyAlignment="1" applyProtection="1">
      <alignment horizontal="center"/>
    </xf>
    <xf numFmtId="21" fontId="18" fillId="7" borderId="13" xfId="0" applyNumberFormat="1" applyFont="1" applyFill="1" applyBorder="1" applyAlignment="1" applyProtection="1">
      <alignment horizontal="center" vertical="center"/>
      <protection locked="0"/>
    </xf>
    <xf numFmtId="21" fontId="18" fillId="7" borderId="11" xfId="0" applyNumberFormat="1" applyFont="1" applyFill="1" applyBorder="1" applyAlignment="1" applyProtection="1">
      <alignment horizontal="center" vertical="center"/>
      <protection locked="0"/>
    </xf>
    <xf numFmtId="0" fontId="18" fillId="7" borderId="13" xfId="0" applyFont="1" applyFill="1" applyBorder="1" applyAlignment="1" applyProtection="1">
      <alignment horizontal="center" vertical="center"/>
      <protection locked="0"/>
    </xf>
    <xf numFmtId="21" fontId="18" fillId="7" borderId="11" xfId="0" applyNumberFormat="1" applyFont="1" applyFill="1" applyBorder="1" applyAlignment="1" applyProtection="1">
      <alignment horizontal="center"/>
      <protection locked="0"/>
    </xf>
    <xf numFmtId="0" fontId="18" fillId="7" borderId="11" xfId="0" applyFont="1" applyFill="1" applyBorder="1" applyAlignment="1" applyProtection="1">
      <alignment horizontal="center"/>
      <protection locked="0"/>
    </xf>
    <xf numFmtId="0" fontId="18" fillId="10" borderId="11" xfId="0" applyFont="1" applyFill="1" applyBorder="1" applyAlignment="1" applyProtection="1">
      <alignment horizontal="center"/>
      <protection locked="0"/>
    </xf>
    <xf numFmtId="0" fontId="18" fillId="7" borderId="13" xfId="0" applyFont="1" applyFill="1" applyBorder="1" applyAlignment="1" applyProtection="1">
      <alignment horizontal="center"/>
    </xf>
    <xf numFmtId="1" fontId="18" fillId="7" borderId="13" xfId="0" applyNumberFormat="1" applyFont="1" applyFill="1" applyBorder="1" applyAlignment="1" applyProtection="1">
      <alignment horizontal="center"/>
    </xf>
    <xf numFmtId="0" fontId="18" fillId="7" borderId="11" xfId="0" applyFont="1" applyFill="1" applyBorder="1" applyAlignment="1" applyProtection="1">
      <alignment horizontal="center"/>
    </xf>
    <xf numFmtId="1" fontId="18" fillId="7" borderId="11" xfId="0" applyNumberFormat="1" applyFont="1" applyFill="1" applyBorder="1" applyAlignment="1" applyProtection="1">
      <alignment horizontal="center"/>
    </xf>
    <xf numFmtId="1" fontId="18" fillId="7" borderId="14" xfId="0" applyNumberFormat="1" applyFont="1" applyFill="1" applyBorder="1" applyAlignment="1" applyProtection="1">
      <alignment horizontal="center"/>
    </xf>
    <xf numFmtId="0" fontId="24" fillId="0" borderId="0" xfId="0" applyFont="1" applyAlignment="1" applyProtection="1">
      <protection locked="0"/>
    </xf>
    <xf numFmtId="169" fontId="18" fillId="7" borderId="2" xfId="0" applyNumberFormat="1" applyFont="1" applyFill="1" applyBorder="1" applyAlignment="1" applyProtection="1">
      <alignment horizontal="center"/>
    </xf>
    <xf numFmtId="21" fontId="18" fillId="7" borderId="14" xfId="0" applyNumberFormat="1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right"/>
    </xf>
    <xf numFmtId="0" fontId="18" fillId="7" borderId="14" xfId="0" applyFont="1" applyFill="1" applyBorder="1" applyAlignment="1" applyProtection="1">
      <alignment horizontal="center"/>
      <protection locked="0"/>
    </xf>
    <xf numFmtId="0" fontId="18" fillId="9" borderId="13" xfId="0" applyFont="1" applyFill="1" applyBorder="1" applyAlignment="1" applyProtection="1">
      <alignment horizontal="center" vertical="center"/>
      <protection locked="0"/>
    </xf>
    <xf numFmtId="21" fontId="18" fillId="9" borderId="13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33" fillId="0" borderId="0" xfId="0" applyFont="1" applyFill="1" applyAlignment="1" applyProtection="1">
      <alignment horizontal="left" vertical="center"/>
      <protection locked="0"/>
    </xf>
    <xf numFmtId="0" fontId="18" fillId="10" borderId="13" xfId="0" applyFont="1" applyFill="1" applyBorder="1" applyAlignment="1" applyProtection="1">
      <alignment horizontal="center"/>
      <protection locked="0"/>
    </xf>
    <xf numFmtId="0" fontId="23" fillId="10" borderId="11" xfId="0" applyFont="1" applyFill="1" applyBorder="1" applyAlignment="1" applyProtection="1">
      <alignment horizontal="center"/>
      <protection locked="0"/>
    </xf>
    <xf numFmtId="0" fontId="23" fillId="10" borderId="14" xfId="0" applyFont="1" applyFill="1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horizontal="left" vertical="center"/>
      <protection locked="0"/>
    </xf>
    <xf numFmtId="0" fontId="34" fillId="0" borderId="0" xfId="0" applyFont="1" applyAlignment="1" applyProtection="1">
      <alignment horizontal="left" vertical="center"/>
      <protection locked="0"/>
    </xf>
    <xf numFmtId="0" fontId="18" fillId="9" borderId="15" xfId="0" applyFont="1" applyFill="1" applyBorder="1" applyAlignment="1" applyProtection="1">
      <alignment horizontal="left" vertical="center"/>
      <protection locked="0"/>
    </xf>
    <xf numFmtId="0" fontId="18" fillId="9" borderId="15" xfId="0" applyFont="1" applyFill="1" applyBorder="1" applyAlignment="1" applyProtection="1">
      <alignment horizontal="center" vertical="center"/>
      <protection locked="0"/>
    </xf>
    <xf numFmtId="169" fontId="18" fillId="9" borderId="13" xfId="0" applyNumberFormat="1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7" xfId="0" applyNumberFormat="1" applyFont="1" applyFill="1" applyBorder="1" applyAlignment="1" applyProtection="1">
      <alignment horizontal="left" vertical="center"/>
    </xf>
    <xf numFmtId="0" fontId="18" fillId="9" borderId="17" xfId="0" applyNumberFormat="1" applyFont="1" applyFill="1" applyBorder="1" applyAlignment="1" applyProtection="1">
      <alignment horizontal="center" vertical="center"/>
    </xf>
    <xf numFmtId="21" fontId="18" fillId="9" borderId="11" xfId="0" applyNumberFormat="1" applyFont="1" applyFill="1" applyBorder="1" applyAlignment="1" applyProtection="1">
      <alignment horizontal="center" vertical="center"/>
      <protection locked="0"/>
    </xf>
    <xf numFmtId="169" fontId="18" fillId="9" borderId="11" xfId="0" applyNumberFormat="1" applyFont="1" applyFill="1" applyBorder="1" applyAlignment="1" applyProtection="1">
      <alignment horizontal="center" vertical="center"/>
      <protection locked="0"/>
    </xf>
    <xf numFmtId="0" fontId="18" fillId="9" borderId="14" xfId="0" applyFont="1" applyFill="1" applyBorder="1" applyAlignment="1" applyProtection="1">
      <alignment horizontal="center" vertical="center"/>
      <protection locked="0"/>
    </xf>
    <xf numFmtId="0" fontId="18" fillId="9" borderId="18" xfId="0" applyNumberFormat="1" applyFont="1" applyFill="1" applyBorder="1" applyAlignment="1" applyProtection="1">
      <alignment horizontal="left" vertical="center"/>
    </xf>
    <xf numFmtId="0" fontId="18" fillId="9" borderId="18" xfId="0" applyNumberFormat="1" applyFont="1" applyFill="1" applyBorder="1" applyAlignment="1" applyProtection="1">
      <alignment horizontal="center" vertical="center"/>
    </xf>
    <xf numFmtId="169" fontId="18" fillId="9" borderId="14" xfId="0" applyNumberFormat="1" applyFont="1" applyFill="1" applyBorder="1" applyAlignment="1" applyProtection="1">
      <alignment horizontal="center" vertical="center"/>
      <protection locked="0"/>
    </xf>
    <xf numFmtId="21" fontId="18" fillId="0" borderId="0" xfId="0" applyNumberFormat="1" applyFont="1" applyAlignment="1" applyProtection="1">
      <alignment horizontal="center"/>
      <protection locked="0"/>
    </xf>
    <xf numFmtId="49" fontId="18" fillId="5" borderId="10" xfId="0" applyNumberFormat="1" applyFont="1" applyFill="1" applyBorder="1" applyAlignment="1" applyProtection="1">
      <alignment horizontal="center" vertical="center"/>
    </xf>
    <xf numFmtId="49" fontId="18" fillId="0" borderId="11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3" fontId="0" fillId="0" borderId="0" xfId="0" applyNumberFormat="1" applyFont="1" applyAlignment="1">
      <alignment horizontal="right"/>
    </xf>
    <xf numFmtId="0" fontId="7" fillId="0" borderId="1" xfId="0" applyFont="1" applyFill="1" applyBorder="1" applyAlignment="1">
      <alignment horizontal="right"/>
    </xf>
    <xf numFmtId="164" fontId="4" fillId="0" borderId="1" xfId="0" applyNumberFormat="1" applyFont="1" applyFill="1" applyBorder="1" applyAlignment="1" applyProtection="1"/>
    <xf numFmtId="164" fontId="0" fillId="0" borderId="1" xfId="0" applyNumberFormat="1" applyFont="1" applyFill="1" applyBorder="1" applyAlignment="1" applyProtection="1"/>
    <xf numFmtId="164" fontId="0" fillId="0" borderId="1" xfId="1" applyNumberFormat="1" applyFont="1" applyFill="1" applyBorder="1" applyAlignment="1" applyProtection="1"/>
    <xf numFmtId="0" fontId="2" fillId="0" borderId="1" xfId="6"/>
    <xf numFmtId="0" fontId="2" fillId="0" borderId="1" xfId="6" applyAlignment="1">
      <alignment vertical="center"/>
    </xf>
    <xf numFmtId="49" fontId="2" fillId="0" borderId="1" xfId="6" applyNumberFormat="1" applyAlignment="1">
      <alignment horizontal="center"/>
    </xf>
    <xf numFmtId="49" fontId="2" fillId="0" borderId="1" xfId="6" applyNumberFormat="1"/>
    <xf numFmtId="49" fontId="29" fillId="8" borderId="20" xfId="2" applyNumberFormat="1" applyFont="1" applyFill="1" applyBorder="1" applyAlignment="1">
      <alignment horizontal="center" vertical="center"/>
    </xf>
    <xf numFmtId="49" fontId="29" fillId="8" borderId="9" xfId="2" applyNumberFormat="1" applyFont="1" applyFill="1" applyBorder="1" applyAlignment="1">
      <alignment horizontal="center" vertical="center"/>
    </xf>
    <xf numFmtId="49" fontId="29" fillId="8" borderId="10" xfId="2" applyNumberFormat="1" applyFont="1" applyFill="1" applyBorder="1" applyAlignment="1">
      <alignment horizontal="center" vertical="center"/>
    </xf>
    <xf numFmtId="49" fontId="29" fillId="8" borderId="5" xfId="2" applyNumberFormat="1" applyFont="1" applyFill="1" applyBorder="1" applyAlignment="1">
      <alignment horizontal="center" vertical="center"/>
    </xf>
    <xf numFmtId="168" fontId="30" fillId="9" borderId="13" xfId="2" applyNumberFormat="1" applyFont="1" applyFill="1" applyBorder="1" applyAlignment="1">
      <alignment horizontal="center" vertical="center"/>
    </xf>
    <xf numFmtId="0" fontId="30" fillId="9" borderId="13" xfId="2" applyNumberFormat="1" applyFont="1" applyFill="1" applyBorder="1" applyAlignment="1">
      <alignment horizontal="center" vertical="center"/>
    </xf>
    <xf numFmtId="49" fontId="29" fillId="8" borderId="1" xfId="2" applyNumberFormat="1" applyFont="1" applyFill="1" applyBorder="1" applyAlignment="1">
      <alignment horizontal="center" vertical="center"/>
    </xf>
    <xf numFmtId="168" fontId="30" fillId="10" borderId="11" xfId="2" applyNumberFormat="1" applyFont="1" applyFill="1" applyBorder="1" applyAlignment="1">
      <alignment horizontal="center" vertical="center"/>
    </xf>
    <xf numFmtId="0" fontId="30" fillId="10" borderId="11" xfId="2" applyNumberFormat="1" applyFont="1" applyFill="1" applyBorder="1" applyAlignment="1">
      <alignment horizontal="center" vertical="center"/>
    </xf>
    <xf numFmtId="168" fontId="30" fillId="9" borderId="11" xfId="2" applyNumberFormat="1" applyFont="1" applyFill="1" applyBorder="1" applyAlignment="1">
      <alignment horizontal="center" vertical="center"/>
    </xf>
    <xf numFmtId="0" fontId="30" fillId="9" borderId="11" xfId="2" applyNumberFormat="1" applyFont="1" applyFill="1" applyBorder="1" applyAlignment="1">
      <alignment horizontal="center" vertical="center"/>
    </xf>
    <xf numFmtId="49" fontId="30" fillId="10" borderId="11" xfId="2" applyNumberFormat="1" applyFont="1" applyFill="1" applyBorder="1" applyAlignment="1">
      <alignment horizontal="center" vertical="center"/>
    </xf>
    <xf numFmtId="49" fontId="31" fillId="9" borderId="11" xfId="2" applyNumberFormat="1" applyFont="1" applyFill="1" applyBorder="1" applyAlignment="1">
      <alignment horizontal="center" vertical="center"/>
    </xf>
    <xf numFmtId="0" fontId="31" fillId="9" borderId="11" xfId="2" applyNumberFormat="1" applyFont="1" applyFill="1" applyBorder="1" applyAlignment="1">
      <alignment horizontal="center" vertical="center"/>
    </xf>
    <xf numFmtId="0" fontId="31" fillId="10" borderId="11" xfId="2" applyNumberFormat="1" applyFont="1" applyFill="1" applyBorder="1" applyAlignment="1">
      <alignment horizontal="center" vertical="center"/>
    </xf>
    <xf numFmtId="168" fontId="31" fillId="10" borderId="11" xfId="2" applyNumberFormat="1" applyFont="1" applyFill="1" applyBorder="1" applyAlignment="1">
      <alignment horizontal="center" vertical="center"/>
    </xf>
    <xf numFmtId="49" fontId="31" fillId="10" borderId="11" xfId="2" applyNumberFormat="1" applyFont="1" applyFill="1" applyBorder="1" applyAlignment="1">
      <alignment horizontal="center" vertical="center"/>
    </xf>
    <xf numFmtId="49" fontId="30" fillId="9" borderId="11" xfId="2" applyNumberFormat="1" applyFont="1" applyFill="1" applyBorder="1" applyAlignment="1">
      <alignment horizontal="center" vertical="center"/>
    </xf>
    <xf numFmtId="49" fontId="29" fillId="8" borderId="21" xfId="2" applyNumberFormat="1" applyFont="1" applyFill="1" applyBorder="1" applyAlignment="1">
      <alignment horizontal="center" vertical="center"/>
    </xf>
    <xf numFmtId="168" fontId="30" fillId="10" borderId="14" xfId="2" applyNumberFormat="1" applyFont="1" applyFill="1" applyBorder="1" applyAlignment="1">
      <alignment horizontal="center" vertical="center"/>
    </xf>
    <xf numFmtId="0" fontId="30" fillId="10" borderId="14" xfId="2" applyNumberFormat="1" applyFont="1" applyFill="1" applyBorder="1" applyAlignment="1">
      <alignment horizontal="center" vertical="center"/>
    </xf>
    <xf numFmtId="49" fontId="29" fillId="8" borderId="22" xfId="2" applyNumberFormat="1" applyFont="1" applyFill="1" applyBorder="1" applyAlignment="1">
      <alignment horizontal="center" vertical="center"/>
    </xf>
    <xf numFmtId="0" fontId="18" fillId="7" borderId="51" xfId="0" applyFont="1" applyFill="1" applyBorder="1" applyAlignment="1" applyProtection="1">
      <alignment horizontal="center"/>
    </xf>
    <xf numFmtId="0" fontId="18" fillId="0" borderId="46" xfId="0" applyFont="1" applyBorder="1" applyAlignment="1" applyProtection="1">
      <alignment horizontal="right"/>
      <protection locked="0"/>
    </xf>
    <xf numFmtId="0" fontId="19" fillId="0" borderId="23" xfId="0" applyFont="1" applyBorder="1" applyAlignment="1" applyProtection="1">
      <protection locked="0"/>
    </xf>
    <xf numFmtId="0" fontId="19" fillId="0" borderId="0" xfId="0" applyNumberFormat="1" applyFont="1" applyAlignment="1" applyProtection="1">
      <protection locked="0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51" xfId="0" applyNumberFormat="1" applyFont="1" applyFill="1" applyBorder="1" applyAlignment="1" applyProtection="1">
      <alignment horizontal="center" vertical="center"/>
      <protection locked="0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14" xfId="0" applyNumberFormat="1" applyFont="1" applyBorder="1" applyAlignment="1" applyProtection="1">
      <alignment horizontal="center" vertical="center"/>
      <protection locked="0"/>
    </xf>
    <xf numFmtId="49" fontId="18" fillId="0" borderId="46" xfId="0" applyNumberFormat="1" applyFont="1" applyBorder="1" applyAlignment="1" applyProtection="1">
      <alignment horizontal="center" vertical="center"/>
      <protection locked="0"/>
    </xf>
    <xf numFmtId="49" fontId="18" fillId="10" borderId="11" xfId="0" applyNumberFormat="1" applyFont="1" applyFill="1" applyBorder="1" applyAlignment="1" applyProtection="1">
      <alignment horizontal="center" vertical="center"/>
      <protection locked="0"/>
    </xf>
    <xf numFmtId="49" fontId="18" fillId="5" borderId="3" xfId="0" applyNumberFormat="1" applyFont="1" applyFill="1" applyBorder="1" applyAlignment="1" applyProtection="1">
      <alignment horizontal="center" vertical="center"/>
    </xf>
    <xf numFmtId="0" fontId="25" fillId="0" borderId="17" xfId="0" applyNumberFormat="1" applyFont="1" applyBorder="1" applyAlignment="1" applyProtection="1">
      <alignment horizontal="center" vertical="center"/>
    </xf>
    <xf numFmtId="0" fontId="25" fillId="2" borderId="17" xfId="0" applyNumberFormat="1" applyFont="1" applyFill="1" applyBorder="1" applyAlignment="1" applyProtection="1">
      <alignment horizontal="center" vertical="center"/>
    </xf>
    <xf numFmtId="0" fontId="25" fillId="0" borderId="15" xfId="0" applyNumberFormat="1" applyFont="1" applyBorder="1" applyAlignment="1" applyProtection="1">
      <alignment horizontal="center" vertical="center"/>
    </xf>
    <xf numFmtId="0" fontId="25" fillId="2" borderId="44" xfId="0" applyNumberFormat="1" applyFont="1" applyFill="1" applyBorder="1" applyAlignment="1" applyProtection="1">
      <alignment horizontal="center" vertical="center"/>
    </xf>
    <xf numFmtId="0" fontId="36" fillId="0" borderId="0" xfId="0" applyFont="1" applyAlignment="1"/>
    <xf numFmtId="0" fontId="19" fillId="0" borderId="5" xfId="0" applyFont="1" applyBorder="1" applyAlignment="1" applyProtection="1">
      <protection locked="0"/>
    </xf>
    <xf numFmtId="0" fontId="19" fillId="0" borderId="1" xfId="0" applyFont="1" applyBorder="1" applyAlignment="1" applyProtection="1">
      <protection locked="0"/>
    </xf>
    <xf numFmtId="0" fontId="19" fillId="0" borderId="21" xfId="0" applyFont="1" applyBorder="1" applyAlignment="1" applyProtection="1">
      <protection locked="0"/>
    </xf>
    <xf numFmtId="0" fontId="19" fillId="0" borderId="22" xfId="0" applyFont="1" applyBorder="1" applyAlignment="1" applyProtection="1">
      <protection locked="0"/>
    </xf>
    <xf numFmtId="0" fontId="19" fillId="0" borderId="20" xfId="0" applyFont="1" applyBorder="1" applyAlignment="1" applyProtection="1">
      <protection locked="0"/>
    </xf>
    <xf numFmtId="0" fontId="19" fillId="0" borderId="9" xfId="0" applyFont="1" applyBorder="1" applyAlignment="1" applyProtection="1">
      <protection locked="0"/>
    </xf>
    <xf numFmtId="0" fontId="19" fillId="0" borderId="12" xfId="0" applyFont="1" applyBorder="1" applyAlignment="1" applyProtection="1">
      <protection locked="0"/>
    </xf>
    <xf numFmtId="0" fontId="19" fillId="0" borderId="6" xfId="0" applyFont="1" applyBorder="1" applyAlignment="1" applyProtection="1">
      <protection locked="0"/>
    </xf>
    <xf numFmtId="0" fontId="19" fillId="0" borderId="1" xfId="0" applyFont="1" applyBorder="1" applyAlignment="1" applyProtection="1">
      <alignment horizontal="center"/>
      <protection locked="0"/>
    </xf>
    <xf numFmtId="0" fontId="0" fillId="0" borderId="20" xfId="0" applyFont="1" applyFill="1" applyBorder="1" applyAlignment="1"/>
    <xf numFmtId="0" fontId="0" fillId="0" borderId="9" xfId="0" applyFont="1" applyFill="1" applyBorder="1" applyAlignment="1"/>
    <xf numFmtId="0" fontId="0" fillId="0" borderId="5" xfId="0" applyFont="1" applyFill="1" applyBorder="1" applyAlignment="1"/>
    <xf numFmtId="0" fontId="0" fillId="0" borderId="21" xfId="0" applyFont="1" applyFill="1" applyBorder="1" applyAlignment="1"/>
    <xf numFmtId="0" fontId="0" fillId="0" borderId="22" xfId="0" applyFont="1" applyFill="1" applyBorder="1" applyAlignment="1"/>
    <xf numFmtId="0" fontId="0" fillId="0" borderId="1" xfId="0" applyFont="1" applyBorder="1" applyAlignment="1"/>
    <xf numFmtId="0" fontId="0" fillId="0" borderId="9" xfId="0" applyFont="1" applyBorder="1" applyAlignment="1"/>
    <xf numFmtId="0" fontId="0" fillId="0" borderId="12" xfId="0" applyFont="1" applyBorder="1" applyAlignment="1"/>
    <xf numFmtId="0" fontId="0" fillId="0" borderId="6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0" xfId="0" applyFont="1" applyBorder="1" applyAlignment="1"/>
    <xf numFmtId="0" fontId="0" fillId="0" borderId="5" xfId="0" applyFont="1" applyBorder="1" applyAlignment="1"/>
    <xf numFmtId="0" fontId="0" fillId="0" borderId="21" xfId="0" applyFont="1" applyBorder="1" applyAlignment="1"/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5" borderId="2" xfId="0" applyNumberFormat="1" applyFont="1" applyFill="1" applyBorder="1" applyAlignment="1" applyProtection="1">
      <alignment horizontal="center" vertical="center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8" fillId="5" borderId="3" xfId="0" applyNumberFormat="1" applyFont="1" applyFill="1" applyBorder="1" applyAlignment="1" applyProtection="1">
      <alignment vertical="center"/>
    </xf>
    <xf numFmtId="0" fontId="25" fillId="0" borderId="15" xfId="0" applyNumberFormat="1" applyFont="1" applyBorder="1" applyAlignment="1" applyProtection="1">
      <alignment vertical="center"/>
    </xf>
    <xf numFmtId="0" fontId="25" fillId="2" borderId="17" xfId="0" applyNumberFormat="1" applyFont="1" applyFill="1" applyBorder="1" applyAlignment="1" applyProtection="1">
      <alignment vertical="center"/>
    </xf>
    <xf numFmtId="0" fontId="25" fillId="0" borderId="17" xfId="0" applyNumberFormat="1" applyFont="1" applyBorder="1" applyAlignment="1" applyProtection="1">
      <alignment vertical="center"/>
    </xf>
    <xf numFmtId="0" fontId="25" fillId="2" borderId="44" xfId="0" applyNumberFormat="1" applyFont="1" applyFill="1" applyBorder="1" applyAlignment="1" applyProtection="1">
      <alignment vertical="center"/>
    </xf>
    <xf numFmtId="0" fontId="18" fillId="0" borderId="11" xfId="0" applyNumberFormat="1" applyFont="1" applyBorder="1" applyAlignment="1" applyProtection="1">
      <alignment horizontal="center" vertical="center"/>
      <protection locked="0"/>
    </xf>
    <xf numFmtId="0" fontId="18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" xfId="8" applyFont="1" applyAlignment="1"/>
    <xf numFmtId="0" fontId="4" fillId="2" borderId="46" xfId="8" applyFont="1" applyFill="1" applyBorder="1" applyAlignment="1">
      <alignment horizontal="center" vertical="center"/>
    </xf>
    <xf numFmtId="0" fontId="4" fillId="0" borderId="1" xfId="8" applyFont="1" applyBorder="1" applyAlignment="1"/>
    <xf numFmtId="0" fontId="4" fillId="5" borderId="2" xfId="8" applyFont="1" applyFill="1" applyBorder="1" applyAlignment="1">
      <alignment horizontal="center"/>
    </xf>
    <xf numFmtId="0" fontId="4" fillId="5" borderId="2" xfId="8" applyFont="1" applyFill="1" applyBorder="1" applyAlignment="1">
      <alignment horizontal="center" vertical="center"/>
    </xf>
    <xf numFmtId="0" fontId="4" fillId="0" borderId="1" xfId="8" applyFont="1" applyBorder="1" applyAlignment="1">
      <alignment horizontal="right"/>
    </xf>
    <xf numFmtId="0" fontId="4" fillId="2" borderId="2" xfId="8" applyFont="1" applyFill="1" applyBorder="1" applyAlignment="1">
      <alignment horizontal="center"/>
    </xf>
    <xf numFmtId="1" fontId="4" fillId="6" borderId="3" xfId="8" applyNumberFormat="1" applyFont="1" applyFill="1" applyBorder="1" applyAlignment="1">
      <alignment horizontal="center"/>
    </xf>
    <xf numFmtId="1" fontId="4" fillId="6" borderId="2" xfId="8" applyNumberFormat="1" applyFont="1" applyFill="1" applyBorder="1" applyAlignment="1">
      <alignment horizontal="center"/>
    </xf>
    <xf numFmtId="0" fontId="4" fillId="0" borderId="1" xfId="8" applyFont="1" applyFill="1" applyBorder="1" applyAlignment="1"/>
    <xf numFmtId="167" fontId="4" fillId="6" borderId="2" xfId="8" applyNumberFormat="1" applyFont="1" applyFill="1" applyBorder="1" applyAlignment="1">
      <alignment horizontal="center" vertical="center"/>
    </xf>
    <xf numFmtId="0" fontId="4" fillId="6" borderId="2" xfId="8" applyFont="1" applyFill="1" applyBorder="1" applyAlignment="1">
      <alignment horizontal="center" vertical="center"/>
    </xf>
    <xf numFmtId="1" fontId="4" fillId="2" borderId="2" xfId="8" applyNumberFormat="1" applyFont="1" applyFill="1" applyBorder="1" applyAlignment="1">
      <alignment horizontal="center"/>
    </xf>
    <xf numFmtId="168" fontId="4" fillId="6" borderId="3" xfId="8" applyNumberFormat="1" applyFont="1" applyFill="1" applyBorder="1" applyAlignment="1">
      <alignment horizontal="center"/>
    </xf>
    <xf numFmtId="168" fontId="4" fillId="6" borderId="2" xfId="8" applyNumberFormat="1" applyFont="1" applyFill="1" applyBorder="1" applyAlignment="1">
      <alignment horizontal="center"/>
    </xf>
    <xf numFmtId="1" fontId="4" fillId="0" borderId="1" xfId="8" applyNumberFormat="1" applyFont="1" applyFill="1" applyBorder="1" applyAlignment="1"/>
    <xf numFmtId="167" fontId="4" fillId="0" borderId="1" xfId="8" applyNumberFormat="1" applyFont="1" applyAlignment="1"/>
    <xf numFmtId="0" fontId="4" fillId="0" borderId="2" xfId="8" applyNumberFormat="1" applyFont="1" applyFill="1" applyBorder="1" applyAlignment="1">
      <alignment horizontal="center" vertical="center"/>
    </xf>
    <xf numFmtId="0" fontId="4" fillId="6" borderId="2" xfId="8" applyNumberFormat="1" applyFont="1" applyFill="1" applyBorder="1" applyAlignment="1">
      <alignment horizontal="center" vertical="center"/>
    </xf>
    <xf numFmtId="0" fontId="4" fillId="0" borderId="1" xfId="8" applyFont="1" applyFill="1" applyAlignment="1"/>
    <xf numFmtId="164" fontId="4" fillId="2" borderId="2" xfId="9" applyNumberFormat="1" applyFont="1" applyFill="1" applyBorder="1" applyAlignment="1"/>
    <xf numFmtId="164" fontId="0" fillId="6" borderId="2" xfId="9" applyNumberFormat="1" applyFont="1" applyFill="1" applyBorder="1" applyAlignment="1"/>
    <xf numFmtId="164" fontId="4" fillId="0" borderId="1" xfId="8" applyNumberFormat="1" applyFont="1" applyAlignment="1"/>
    <xf numFmtId="43" fontId="4" fillId="0" borderId="1" xfId="8" applyNumberFormat="1" applyFont="1" applyAlignment="1"/>
    <xf numFmtId="0" fontId="4" fillId="0" borderId="1" xfId="8" applyNumberFormat="1" applyFont="1" applyAlignment="1"/>
    <xf numFmtId="0" fontId="4" fillId="0" borderId="1" xfId="8" applyFont="1" applyAlignment="1">
      <alignment horizontal="right"/>
    </xf>
    <xf numFmtId="0" fontId="7" fillId="0" borderId="1" xfId="8" applyFont="1" applyAlignment="1">
      <alignment horizontal="right"/>
    </xf>
    <xf numFmtId="0" fontId="7" fillId="0" borderId="1" xfId="8" applyNumberFormat="1" applyFont="1" applyAlignment="1">
      <alignment horizontal="right"/>
    </xf>
    <xf numFmtId="0" fontId="7" fillId="0" borderId="1" xfId="8" applyFont="1" applyFill="1" applyBorder="1" applyAlignment="1">
      <alignment horizontal="right"/>
    </xf>
    <xf numFmtId="0" fontId="4" fillId="0" borderId="1" xfId="8" applyFont="1" applyFill="1" applyBorder="1" applyAlignment="1">
      <alignment horizontal="right"/>
    </xf>
    <xf numFmtId="170" fontId="0" fillId="6" borderId="2" xfId="9" applyNumberFormat="1" applyFont="1" applyFill="1" applyBorder="1" applyAlignment="1"/>
    <xf numFmtId="0" fontId="17" fillId="0" borderId="3" xfId="0" applyNumberFormat="1" applyFont="1" applyBorder="1" applyAlignment="1" applyProtection="1">
      <alignment horizontal="center" vertical="center" wrapText="1"/>
    </xf>
    <xf numFmtId="0" fontId="17" fillId="0" borderId="4" xfId="0" applyNumberFormat="1" applyFont="1" applyBorder="1" applyAlignment="1" applyProtection="1">
      <alignment horizontal="center" vertical="center" wrapText="1"/>
    </xf>
    <xf numFmtId="0" fontId="17" fillId="0" borderId="10" xfId="0" applyNumberFormat="1" applyFont="1" applyBorder="1" applyAlignment="1" applyProtection="1">
      <alignment horizontal="center" vertical="center" wrapText="1"/>
    </xf>
    <xf numFmtId="0" fontId="18" fillId="0" borderId="3" xfId="0" applyNumberFormat="1" applyFont="1" applyBorder="1" applyAlignment="1" applyProtection="1">
      <alignment horizontal="center" vertical="center" wrapText="1"/>
    </xf>
    <xf numFmtId="0" fontId="18" fillId="0" borderId="4" xfId="0" applyNumberFormat="1" applyFont="1" applyBorder="1" applyAlignment="1" applyProtection="1">
      <alignment horizontal="center" vertical="center" wrapText="1"/>
    </xf>
    <xf numFmtId="0" fontId="18" fillId="0" borderId="10" xfId="0" applyNumberFormat="1" applyFont="1" applyBorder="1" applyAlignment="1" applyProtection="1">
      <alignment horizontal="center" vertical="center" wrapText="1"/>
    </xf>
    <xf numFmtId="0" fontId="17" fillId="0" borderId="3" xfId="0" applyNumberFormat="1" applyFont="1" applyBorder="1" applyAlignment="1" applyProtection="1">
      <alignment horizontal="center" vertical="center"/>
    </xf>
    <xf numFmtId="0" fontId="17" fillId="0" borderId="4" xfId="0" applyNumberFormat="1" applyFont="1" applyBorder="1" applyAlignment="1" applyProtection="1">
      <alignment horizontal="center" vertical="center"/>
    </xf>
    <xf numFmtId="0" fontId="17" fillId="0" borderId="10" xfId="0" applyNumberFormat="1" applyFont="1" applyBorder="1" applyAlignment="1" applyProtection="1">
      <alignment horizontal="center" vertical="center"/>
    </xf>
    <xf numFmtId="49" fontId="20" fillId="4" borderId="3" xfId="0" applyNumberFormat="1" applyFont="1" applyFill="1" applyBorder="1" applyAlignment="1" applyProtection="1">
      <alignment horizontal="center" vertical="center"/>
    </xf>
    <xf numFmtId="49" fontId="20" fillId="4" borderId="4" xfId="0" applyNumberFormat="1" applyFont="1" applyFill="1" applyBorder="1" applyAlignment="1" applyProtection="1">
      <alignment horizontal="center" vertical="center"/>
    </xf>
    <xf numFmtId="49" fontId="20" fillId="4" borderId="10" xfId="0" applyNumberFormat="1" applyFont="1" applyFill="1" applyBorder="1" applyAlignment="1" applyProtection="1">
      <alignment horizontal="center" vertical="center"/>
    </xf>
    <xf numFmtId="49" fontId="37" fillId="0" borderId="20" xfId="0" applyNumberFormat="1" applyFont="1" applyFill="1" applyBorder="1" applyAlignment="1" applyProtection="1">
      <alignment horizontal="center" vertical="center"/>
    </xf>
    <xf numFmtId="49" fontId="37" fillId="0" borderId="9" xfId="0" applyNumberFormat="1" applyFont="1" applyFill="1" applyBorder="1" applyAlignment="1" applyProtection="1">
      <alignment horizontal="center" vertical="center"/>
    </xf>
    <xf numFmtId="49" fontId="37" fillId="0" borderId="12" xfId="0" applyNumberFormat="1" applyFont="1" applyFill="1" applyBorder="1" applyAlignment="1" applyProtection="1">
      <alignment horizontal="center" vertical="center"/>
    </xf>
    <xf numFmtId="49" fontId="37" fillId="0" borderId="5" xfId="0" applyNumberFormat="1" applyFont="1" applyFill="1" applyBorder="1" applyAlignment="1" applyProtection="1">
      <alignment horizontal="center" vertical="center"/>
    </xf>
    <xf numFmtId="49" fontId="37" fillId="0" borderId="1" xfId="0" applyNumberFormat="1" applyFont="1" applyFill="1" applyBorder="1" applyAlignment="1" applyProtection="1">
      <alignment horizontal="center" vertical="center"/>
    </xf>
    <xf numFmtId="49" fontId="37" fillId="0" borderId="6" xfId="0" applyNumberFormat="1" applyFont="1" applyFill="1" applyBorder="1" applyAlignment="1" applyProtection="1">
      <alignment horizontal="center" vertical="center"/>
    </xf>
    <xf numFmtId="49" fontId="37" fillId="0" borderId="21" xfId="0" applyNumberFormat="1" applyFont="1" applyFill="1" applyBorder="1" applyAlignment="1" applyProtection="1">
      <alignment horizontal="center" vertical="center"/>
    </xf>
    <xf numFmtId="49" fontId="37" fillId="0" borderId="22" xfId="0" applyNumberFormat="1" applyFont="1" applyFill="1" applyBorder="1" applyAlignment="1" applyProtection="1">
      <alignment horizontal="center" vertical="center"/>
    </xf>
    <xf numFmtId="49" fontId="37" fillId="0" borderId="23" xfId="0" applyNumberFormat="1" applyFont="1" applyFill="1" applyBorder="1" applyAlignment="1" applyProtection="1">
      <alignment horizontal="center" vertical="center"/>
    </xf>
    <xf numFmtId="49" fontId="27" fillId="2" borderId="17" xfId="0" applyNumberFormat="1" applyFont="1" applyFill="1" applyBorder="1" applyAlignment="1" applyProtection="1">
      <alignment horizontal="left" vertical="center"/>
      <protection locked="0"/>
    </xf>
    <xf numFmtId="49" fontId="27" fillId="2" borderId="8" xfId="0" applyNumberFormat="1" applyFont="1" applyFill="1" applyBorder="1" applyAlignment="1" applyProtection="1">
      <alignment horizontal="left" vertical="center"/>
      <protection locked="0"/>
    </xf>
    <xf numFmtId="49" fontId="27" fillId="2" borderId="7" xfId="0" applyNumberFormat="1" applyFont="1" applyFill="1" applyBorder="1" applyAlignment="1" applyProtection="1">
      <alignment horizontal="left" vertical="center"/>
      <protection locked="0"/>
    </xf>
    <xf numFmtId="49" fontId="27" fillId="0" borderId="17" xfId="0" applyNumberFormat="1" applyFont="1" applyBorder="1" applyAlignment="1" applyProtection="1">
      <alignment horizontal="left" vertical="center"/>
      <protection locked="0"/>
    </xf>
    <xf numFmtId="49" fontId="27" fillId="0" borderId="8" xfId="0" applyNumberFormat="1" applyFont="1" applyBorder="1" applyAlignment="1" applyProtection="1">
      <alignment horizontal="left" vertical="center"/>
      <protection locked="0"/>
    </xf>
    <xf numFmtId="49" fontId="27" fillId="0" borderId="7" xfId="0" applyNumberFormat="1" applyFont="1" applyBorder="1" applyAlignment="1" applyProtection="1">
      <alignment horizontal="left" vertical="center"/>
      <protection locked="0"/>
    </xf>
    <xf numFmtId="49" fontId="18" fillId="0" borderId="11" xfId="0" applyNumberFormat="1" applyFont="1" applyBorder="1" applyAlignment="1" applyProtection="1">
      <alignment horizontal="left" vertical="center"/>
      <protection locked="0"/>
    </xf>
    <xf numFmtId="49" fontId="18" fillId="0" borderId="17" xfId="0" applyNumberFormat="1" applyFont="1" applyBorder="1" applyAlignment="1" applyProtection="1">
      <alignment horizontal="left" vertical="center"/>
      <protection locked="0"/>
    </xf>
    <xf numFmtId="49" fontId="18" fillId="0" borderId="8" xfId="0" applyNumberFormat="1" applyFont="1" applyBorder="1" applyAlignment="1" applyProtection="1">
      <alignment horizontal="left" vertical="center"/>
      <protection locked="0"/>
    </xf>
    <xf numFmtId="49" fontId="18" fillId="0" borderId="7" xfId="0" applyNumberFormat="1" applyFont="1" applyBorder="1" applyAlignment="1" applyProtection="1">
      <alignment horizontal="left" vertical="center"/>
      <protection locked="0"/>
    </xf>
    <xf numFmtId="49" fontId="18" fillId="5" borderId="3" xfId="0" applyNumberFormat="1" applyFont="1" applyFill="1" applyBorder="1" applyAlignment="1" applyProtection="1">
      <alignment horizontal="center" vertical="center"/>
    </xf>
    <xf numFmtId="49" fontId="18" fillId="5" borderId="4" xfId="0" applyNumberFormat="1" applyFont="1" applyFill="1" applyBorder="1" applyAlignment="1" applyProtection="1">
      <alignment horizontal="center" vertical="center"/>
    </xf>
    <xf numFmtId="49" fontId="18" fillId="5" borderId="10" xfId="0" applyNumberFormat="1" applyFont="1" applyFill="1" applyBorder="1" applyAlignment="1" applyProtection="1">
      <alignment horizontal="center" vertical="center"/>
    </xf>
    <xf numFmtId="167" fontId="25" fillId="2" borderId="17" xfId="0" applyNumberFormat="1" applyFont="1" applyFill="1" applyBorder="1" applyAlignment="1" applyProtection="1">
      <alignment horizontal="center" vertical="center"/>
    </xf>
    <xf numFmtId="167" fontId="25" fillId="2" borderId="7" xfId="0" applyNumberFormat="1" applyFont="1" applyFill="1" applyBorder="1" applyAlignment="1" applyProtection="1">
      <alignment horizontal="center" vertical="center"/>
    </xf>
    <xf numFmtId="0" fontId="25" fillId="0" borderId="17" xfId="0" applyNumberFormat="1" applyFont="1" applyBorder="1" applyAlignment="1" applyProtection="1">
      <alignment horizontal="center" vertical="center"/>
    </xf>
    <xf numFmtId="0" fontId="25" fillId="0" borderId="8" xfId="0" applyNumberFormat="1" applyFont="1" applyBorder="1" applyAlignment="1" applyProtection="1">
      <alignment horizontal="center" vertical="center"/>
    </xf>
    <xf numFmtId="0" fontId="25" fillId="0" borderId="7" xfId="0" applyNumberFormat="1" applyFont="1" applyBorder="1" applyAlignment="1" applyProtection="1">
      <alignment horizontal="center" vertical="center"/>
    </xf>
    <xf numFmtId="0" fontId="25" fillId="2" borderId="18" xfId="0" applyNumberFormat="1" applyFont="1" applyFill="1" applyBorder="1" applyAlignment="1" applyProtection="1">
      <alignment horizontal="center" vertical="center"/>
    </xf>
    <xf numFmtId="0" fontId="25" fillId="2" borderId="25" xfId="0" applyNumberFormat="1" applyFont="1" applyFill="1" applyBorder="1" applyAlignment="1" applyProtection="1">
      <alignment horizontal="center" vertical="center"/>
    </xf>
    <xf numFmtId="0" fontId="25" fillId="2" borderId="19" xfId="0" applyNumberFormat="1" applyFont="1" applyFill="1" applyBorder="1" applyAlignment="1" applyProtection="1">
      <alignment horizontal="center" vertical="center"/>
    </xf>
    <xf numFmtId="0" fontId="25" fillId="2" borderId="17" xfId="0" applyNumberFormat="1" applyFont="1" applyFill="1" applyBorder="1" applyAlignment="1" applyProtection="1">
      <alignment horizontal="center" vertical="center"/>
    </xf>
    <xf numFmtId="0" fontId="25" fillId="2" borderId="8" xfId="0" applyNumberFormat="1" applyFont="1" applyFill="1" applyBorder="1" applyAlignment="1" applyProtection="1">
      <alignment horizontal="center" vertical="center"/>
    </xf>
    <xf numFmtId="0" fontId="25" fillId="2" borderId="7" xfId="0" applyNumberFormat="1" applyFont="1" applyFill="1" applyBorder="1" applyAlignment="1" applyProtection="1">
      <alignment horizontal="center" vertical="center"/>
    </xf>
    <xf numFmtId="49" fontId="18" fillId="0" borderId="15" xfId="0" applyNumberFormat="1" applyFont="1" applyBorder="1" applyAlignment="1" applyProtection="1">
      <alignment horizontal="left" vertical="center"/>
      <protection locked="0"/>
    </xf>
    <xf numFmtId="49" fontId="18" fillId="0" borderId="24" xfId="0" applyNumberFormat="1" applyFont="1" applyBorder="1" applyAlignment="1" applyProtection="1">
      <alignment horizontal="left" vertical="center"/>
      <protection locked="0"/>
    </xf>
    <xf numFmtId="49" fontId="18" fillId="0" borderId="16" xfId="0" applyNumberFormat="1" applyFont="1" applyBorder="1" applyAlignment="1" applyProtection="1">
      <alignment horizontal="left" vertical="center"/>
      <protection locked="0"/>
    </xf>
    <xf numFmtId="49" fontId="18" fillId="2" borderId="17" xfId="0" applyNumberFormat="1" applyFont="1" applyFill="1" applyBorder="1" applyAlignment="1" applyProtection="1">
      <alignment horizontal="left" vertical="center"/>
      <protection locked="0"/>
    </xf>
    <xf numFmtId="49" fontId="18" fillId="2" borderId="8" xfId="0" applyNumberFormat="1" applyFont="1" applyFill="1" applyBorder="1" applyAlignment="1" applyProtection="1">
      <alignment horizontal="left" vertical="center"/>
      <protection locked="0"/>
    </xf>
    <xf numFmtId="49" fontId="18" fillId="2" borderId="7" xfId="0" applyNumberFormat="1" applyFont="1" applyFill="1" applyBorder="1" applyAlignment="1" applyProtection="1">
      <alignment horizontal="left" vertical="center"/>
      <protection locked="0"/>
    </xf>
    <xf numFmtId="49" fontId="18" fillId="0" borderId="15" xfId="0" applyNumberFormat="1" applyFont="1" applyBorder="1" applyAlignment="1" applyProtection="1">
      <alignment horizontal="center" vertical="center"/>
      <protection locked="0"/>
    </xf>
    <xf numFmtId="49" fontId="18" fillId="0" borderId="24" xfId="0" applyNumberFormat="1" applyFont="1" applyBorder="1" applyAlignment="1" applyProtection="1">
      <alignment horizontal="center" vertical="center"/>
      <protection locked="0"/>
    </xf>
    <xf numFmtId="49" fontId="18" fillId="0" borderId="16" xfId="0" applyNumberFormat="1" applyFont="1" applyBorder="1" applyAlignment="1" applyProtection="1">
      <alignment horizontal="center" vertical="center"/>
      <protection locked="0"/>
    </xf>
    <xf numFmtId="49" fontId="18" fillId="2" borderId="17" xfId="0" applyNumberFormat="1" applyFont="1" applyFill="1" applyBorder="1" applyAlignment="1" applyProtection="1">
      <alignment horizontal="center" vertical="center"/>
      <protection locked="0"/>
    </xf>
    <xf numFmtId="49" fontId="18" fillId="2" borderId="8" xfId="0" applyNumberFormat="1" applyFont="1" applyFill="1" applyBorder="1" applyAlignment="1" applyProtection="1">
      <alignment horizontal="center" vertical="center"/>
      <protection locked="0"/>
    </xf>
    <xf numFmtId="49" fontId="18" fillId="2" borderId="7" xfId="0" applyNumberFormat="1" applyFont="1" applyFill="1" applyBorder="1" applyAlignment="1" applyProtection="1">
      <alignment horizontal="center" vertical="center"/>
      <protection locked="0"/>
    </xf>
    <xf numFmtId="0" fontId="18" fillId="0" borderId="17" xfId="0" applyNumberFormat="1" applyFont="1" applyBorder="1" applyAlignment="1" applyProtection="1">
      <alignment horizontal="center" vertical="center"/>
      <protection locked="0"/>
    </xf>
    <xf numFmtId="0" fontId="18" fillId="0" borderId="8" xfId="0" applyNumberFormat="1" applyFont="1" applyBorder="1" applyAlignment="1" applyProtection="1">
      <alignment horizontal="center" vertical="center"/>
      <protection locked="0"/>
    </xf>
    <xf numFmtId="0" fontId="18" fillId="0" borderId="7" xfId="0" applyNumberFormat="1" applyFont="1" applyBorder="1" applyAlignment="1" applyProtection="1">
      <alignment horizontal="center" vertical="center"/>
      <protection locked="0"/>
    </xf>
    <xf numFmtId="0" fontId="18" fillId="0" borderId="15" xfId="0" applyNumberFormat="1" applyFont="1" applyBorder="1" applyAlignment="1" applyProtection="1">
      <alignment horizontal="center" vertical="center"/>
      <protection locked="0"/>
    </xf>
    <xf numFmtId="167" fontId="25" fillId="0" borderId="17" xfId="0" applyNumberFormat="1" applyFont="1" applyBorder="1" applyAlignment="1" applyProtection="1">
      <alignment horizontal="center" vertical="center"/>
    </xf>
    <xf numFmtId="167" fontId="25" fillId="0" borderId="7" xfId="0" applyNumberFormat="1" applyFont="1" applyBorder="1" applyAlignment="1" applyProtection="1">
      <alignment horizontal="center" vertical="center"/>
    </xf>
    <xf numFmtId="49" fontId="18" fillId="0" borderId="17" xfId="0" applyNumberFormat="1" applyFont="1" applyBorder="1" applyAlignment="1" applyProtection="1">
      <alignment horizontal="center" vertical="center"/>
      <protection locked="0"/>
    </xf>
    <xf numFmtId="49" fontId="18" fillId="0" borderId="8" xfId="0" applyNumberFormat="1" applyFont="1" applyBorder="1" applyAlignment="1" applyProtection="1">
      <alignment horizontal="center" vertical="center"/>
      <protection locked="0"/>
    </xf>
    <xf numFmtId="49" fontId="18" fillId="0" borderId="7" xfId="0" applyNumberFormat="1" applyFont="1" applyBorder="1" applyAlignment="1" applyProtection="1">
      <alignment horizontal="center" vertical="center"/>
      <protection locked="0"/>
    </xf>
    <xf numFmtId="49" fontId="27" fillId="0" borderId="15" xfId="0" applyNumberFormat="1" applyFont="1" applyBorder="1" applyAlignment="1" applyProtection="1">
      <alignment horizontal="left" vertical="center"/>
      <protection locked="0"/>
    </xf>
    <xf numFmtId="49" fontId="27" fillId="0" borderId="24" xfId="0" applyNumberFormat="1" applyFont="1" applyBorder="1" applyAlignment="1" applyProtection="1">
      <alignment horizontal="left" vertical="center"/>
      <protection locked="0"/>
    </xf>
    <xf numFmtId="49" fontId="27" fillId="0" borderId="16" xfId="0" applyNumberFormat="1" applyFont="1" applyBorder="1" applyAlignment="1" applyProtection="1">
      <alignment horizontal="left" vertical="center"/>
      <protection locked="0"/>
    </xf>
    <xf numFmtId="49" fontId="18" fillId="0" borderId="11" xfId="0" applyNumberFormat="1" applyFont="1" applyFill="1" applyBorder="1" applyAlignment="1" applyProtection="1">
      <alignment horizontal="center" vertical="center"/>
      <protection locked="0"/>
    </xf>
    <xf numFmtId="21" fontId="25" fillId="0" borderId="17" xfId="0" applyNumberFormat="1" applyFont="1" applyBorder="1" applyAlignment="1" applyProtection="1">
      <alignment horizontal="center" vertical="center"/>
    </xf>
    <xf numFmtId="21" fontId="25" fillId="0" borderId="7" xfId="0" applyNumberFormat="1" applyFont="1" applyBorder="1" applyAlignment="1" applyProtection="1">
      <alignment horizontal="center" vertical="center"/>
    </xf>
    <xf numFmtId="49" fontId="18" fillId="0" borderId="46" xfId="0" applyNumberFormat="1" applyFont="1" applyBorder="1" applyAlignment="1" applyProtection="1">
      <alignment horizontal="center" vertical="center"/>
      <protection locked="0"/>
    </xf>
    <xf numFmtId="49" fontId="18" fillId="0" borderId="53" xfId="0" applyNumberFormat="1" applyFont="1" applyBorder="1" applyAlignment="1" applyProtection="1">
      <alignment horizontal="center" vertical="center"/>
      <protection locked="0"/>
    </xf>
    <xf numFmtId="49" fontId="18" fillId="0" borderId="54" xfId="0" applyNumberFormat="1" applyFont="1" applyBorder="1" applyAlignment="1" applyProtection="1">
      <alignment horizontal="center" vertical="center"/>
      <protection locked="0"/>
    </xf>
    <xf numFmtId="49" fontId="18" fillId="0" borderId="46" xfId="0" applyNumberFormat="1" applyFont="1" applyBorder="1" applyAlignment="1" applyProtection="1">
      <alignment horizontal="center" vertical="center" wrapText="1"/>
    </xf>
    <xf numFmtId="49" fontId="18" fillId="0" borderId="53" xfId="0" applyNumberFormat="1" applyFont="1" applyBorder="1" applyAlignment="1" applyProtection="1">
      <alignment horizontal="center" vertical="center" wrapText="1"/>
    </xf>
    <xf numFmtId="49" fontId="18" fillId="0" borderId="54" xfId="0" applyNumberFormat="1" applyFont="1" applyBorder="1" applyAlignment="1" applyProtection="1">
      <alignment horizontal="center" vertical="center" wrapText="1"/>
    </xf>
    <xf numFmtId="0" fontId="24" fillId="0" borderId="11" xfId="0" applyNumberFormat="1" applyFont="1" applyBorder="1" applyAlignment="1" applyProtection="1">
      <alignment horizontal="left" vertical="center"/>
    </xf>
    <xf numFmtId="0" fontId="24" fillId="2" borderId="11" xfId="0" applyNumberFormat="1" applyFont="1" applyFill="1" applyBorder="1" applyAlignment="1" applyProtection="1">
      <alignment horizontal="left" vertical="center"/>
    </xf>
    <xf numFmtId="21" fontId="25" fillId="2" borderId="17" xfId="0" applyNumberFormat="1" applyFont="1" applyFill="1" applyBorder="1" applyAlignment="1" applyProtection="1">
      <alignment horizontal="center" vertical="center"/>
    </xf>
    <xf numFmtId="21" fontId="25" fillId="2" borderId="7" xfId="0" applyNumberFormat="1" applyFont="1" applyFill="1" applyBorder="1" applyAlignment="1" applyProtection="1">
      <alignment horizontal="center" vertical="center"/>
    </xf>
    <xf numFmtId="167" fontId="25" fillId="2" borderId="44" xfId="0" applyNumberFormat="1" applyFont="1" applyFill="1" applyBorder="1" applyAlignment="1" applyProtection="1">
      <alignment horizontal="center" vertical="center"/>
    </xf>
    <xf numFmtId="167" fontId="25" fillId="2" borderId="45" xfId="0" applyNumberFormat="1" applyFont="1" applyFill="1" applyBorder="1" applyAlignment="1" applyProtection="1">
      <alignment horizontal="center" vertical="center"/>
    </xf>
    <xf numFmtId="21" fontId="25" fillId="2" borderId="44" xfId="0" applyNumberFormat="1" applyFont="1" applyFill="1" applyBorder="1" applyAlignment="1" applyProtection="1">
      <alignment horizontal="center" vertical="center"/>
    </xf>
    <xf numFmtId="21" fontId="25" fillId="2" borderId="45" xfId="0" applyNumberFormat="1" applyFont="1" applyFill="1" applyBorder="1" applyAlignment="1" applyProtection="1">
      <alignment horizontal="center" vertical="center"/>
    </xf>
    <xf numFmtId="0" fontId="25" fillId="2" borderId="44" xfId="0" applyNumberFormat="1" applyFont="1" applyFill="1" applyBorder="1" applyAlignment="1" applyProtection="1">
      <alignment horizontal="center" vertical="center"/>
    </xf>
    <xf numFmtId="0" fontId="25" fillId="2" borderId="45" xfId="0" applyNumberFormat="1" applyFont="1" applyFill="1" applyBorder="1" applyAlignment="1" applyProtection="1">
      <alignment horizontal="center" vertical="center"/>
    </xf>
    <xf numFmtId="49" fontId="18" fillId="5" borderId="2" xfId="0" applyNumberFormat="1" applyFont="1" applyFill="1" applyBorder="1" applyAlignment="1" applyProtection="1">
      <alignment horizontal="center" vertical="center"/>
    </xf>
    <xf numFmtId="49" fontId="18" fillId="2" borderId="11" xfId="0" applyNumberFormat="1" applyFont="1" applyFill="1" applyBorder="1" applyAlignment="1" applyProtection="1">
      <alignment horizontal="left" vertical="center"/>
      <protection locked="0"/>
    </xf>
    <xf numFmtId="49" fontId="18" fillId="0" borderId="20" xfId="0" applyNumberFormat="1" applyFont="1" applyBorder="1" applyAlignment="1" applyProtection="1">
      <alignment horizontal="center" vertical="center"/>
      <protection locked="0"/>
    </xf>
    <xf numFmtId="49" fontId="18" fillId="0" borderId="9" xfId="0" applyNumberFormat="1" applyFont="1" applyBorder="1" applyAlignment="1" applyProtection="1">
      <alignment horizontal="center" vertical="center"/>
      <protection locked="0"/>
    </xf>
    <xf numFmtId="49" fontId="18" fillId="0" borderId="12" xfId="0" applyNumberFormat="1" applyFont="1" applyBorder="1" applyAlignment="1" applyProtection="1">
      <alignment horizontal="center" vertical="center"/>
      <protection locked="0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14" xfId="0" applyNumberFormat="1" applyFont="1" applyBorder="1" applyAlignment="1" applyProtection="1">
      <alignment horizontal="center" vertical="center"/>
      <protection locked="0"/>
    </xf>
    <xf numFmtId="49" fontId="18" fillId="10" borderId="17" xfId="0" applyNumberFormat="1" applyFont="1" applyFill="1" applyBorder="1" applyAlignment="1" applyProtection="1">
      <alignment horizontal="center" vertical="center"/>
      <protection locked="0"/>
    </xf>
    <xf numFmtId="49" fontId="18" fillId="10" borderId="8" xfId="0" applyNumberFormat="1" applyFont="1" applyFill="1" applyBorder="1" applyAlignment="1" applyProtection="1">
      <alignment horizontal="center" vertical="center"/>
      <protection locked="0"/>
    </xf>
    <xf numFmtId="49" fontId="18" fillId="10" borderId="7" xfId="0" applyNumberFormat="1" applyFont="1" applyFill="1" applyBorder="1" applyAlignment="1" applyProtection="1">
      <alignment horizontal="center" vertical="center"/>
      <protection locked="0"/>
    </xf>
    <xf numFmtId="49" fontId="18" fillId="0" borderId="18" xfId="0" applyNumberFormat="1" applyFont="1" applyBorder="1" applyAlignment="1" applyProtection="1">
      <alignment horizontal="center" vertical="center"/>
      <protection locked="0"/>
    </xf>
    <xf numFmtId="49" fontId="18" fillId="0" borderId="25" xfId="0" applyNumberFormat="1" applyFont="1" applyBorder="1" applyAlignment="1" applyProtection="1">
      <alignment horizontal="center" vertical="center"/>
      <protection locked="0"/>
    </xf>
    <xf numFmtId="49" fontId="18" fillId="0" borderId="19" xfId="0" applyNumberFormat="1" applyFont="1" applyBorder="1" applyAlignment="1" applyProtection="1">
      <alignment horizontal="center" vertical="center"/>
      <protection locked="0"/>
    </xf>
    <xf numFmtId="49" fontId="18" fillId="10" borderId="11" xfId="0" applyNumberFormat="1" applyFont="1" applyFill="1" applyBorder="1" applyAlignment="1" applyProtection="1">
      <alignment horizontal="center" vertical="center"/>
      <protection locked="0"/>
    </xf>
    <xf numFmtId="0" fontId="18" fillId="0" borderId="47" xfId="0" applyNumberFormat="1" applyFont="1" applyBorder="1" applyAlignment="1" applyProtection="1">
      <alignment horizontal="center" vertical="center"/>
    </xf>
    <xf numFmtId="0" fontId="18" fillId="0" borderId="48" xfId="0" applyNumberFormat="1" applyFont="1" applyBorder="1" applyAlignment="1" applyProtection="1">
      <alignment horizontal="center" vertical="center"/>
    </xf>
    <xf numFmtId="168" fontId="18" fillId="0" borderId="17" xfId="0" applyNumberFormat="1" applyFont="1" applyBorder="1" applyAlignment="1" applyProtection="1">
      <alignment horizontal="center" vertical="center"/>
      <protection locked="0"/>
    </xf>
    <xf numFmtId="168" fontId="18" fillId="0" borderId="7" xfId="0" applyNumberFormat="1" applyFont="1" applyBorder="1" applyAlignment="1" applyProtection="1">
      <alignment horizontal="center" vertical="center"/>
      <protection locked="0"/>
    </xf>
    <xf numFmtId="0" fontId="27" fillId="0" borderId="17" xfId="0" applyNumberFormat="1" applyFont="1" applyBorder="1" applyAlignment="1" applyProtection="1">
      <alignment horizontal="left" vertical="center"/>
      <protection locked="0"/>
    </xf>
    <xf numFmtId="0" fontId="27" fillId="0" borderId="8" xfId="0" applyNumberFormat="1" applyFont="1" applyBorder="1" applyAlignment="1" applyProtection="1">
      <alignment horizontal="left" vertical="center"/>
      <protection locked="0"/>
    </xf>
    <xf numFmtId="0" fontId="27" fillId="0" borderId="7" xfId="0" applyNumberFormat="1" applyFont="1" applyBorder="1" applyAlignment="1" applyProtection="1">
      <alignment horizontal="left" vertical="center"/>
      <protection locked="0"/>
    </xf>
    <xf numFmtId="49" fontId="18" fillId="0" borderId="11" xfId="0" applyNumberFormat="1" applyFont="1" applyBorder="1" applyAlignment="1" applyProtection="1">
      <alignment horizontal="center" vertical="center"/>
      <protection locked="0"/>
    </xf>
    <xf numFmtId="49" fontId="18" fillId="2" borderId="14" xfId="0" applyNumberFormat="1" applyFont="1" applyFill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8" fillId="0" borderId="39" xfId="0" applyNumberFormat="1" applyFont="1" applyBorder="1" applyAlignment="1" applyProtection="1">
      <alignment horizontal="center" vertical="center"/>
      <protection locked="0"/>
    </xf>
    <xf numFmtId="0" fontId="17" fillId="0" borderId="2" xfId="0" applyNumberFormat="1" applyFont="1" applyBorder="1" applyAlignment="1" applyProtection="1">
      <alignment horizontal="center" vertical="center"/>
    </xf>
    <xf numFmtId="49" fontId="21" fillId="0" borderId="15" xfId="0" applyNumberFormat="1" applyFont="1" applyBorder="1" applyAlignment="1" applyProtection="1">
      <alignment horizontal="right" vertical="center" wrapText="1"/>
    </xf>
    <xf numFmtId="49" fontId="21" fillId="0" borderId="24" xfId="0" applyNumberFormat="1" applyFont="1" applyBorder="1" applyAlignment="1" applyProtection="1">
      <alignment horizontal="right" vertical="center" wrapText="1"/>
    </xf>
    <xf numFmtId="49" fontId="18" fillId="2" borderId="17" xfId="0" applyNumberFormat="1" applyFont="1" applyFill="1" applyBorder="1" applyAlignment="1" applyProtection="1">
      <alignment horizontal="right" vertical="center" wrapText="1"/>
    </xf>
    <xf numFmtId="49" fontId="18" fillId="2" borderId="8" xfId="0" applyNumberFormat="1" applyFont="1" applyFill="1" applyBorder="1" applyAlignment="1" applyProtection="1">
      <alignment horizontal="right" vertical="center" wrapText="1"/>
    </xf>
    <xf numFmtId="49" fontId="18" fillId="0" borderId="17" xfId="0" applyNumberFormat="1" applyFont="1" applyBorder="1" applyAlignment="1" applyProtection="1">
      <alignment horizontal="right" vertical="center" wrapText="1"/>
    </xf>
    <xf numFmtId="49" fontId="18" fillId="0" borderId="8" xfId="0" applyNumberFormat="1" applyFont="1" applyBorder="1" applyAlignment="1" applyProtection="1">
      <alignment horizontal="right" vertical="center" wrapText="1"/>
    </xf>
    <xf numFmtId="0" fontId="24" fillId="0" borderId="15" xfId="0" applyNumberFormat="1" applyFont="1" applyBorder="1" applyAlignment="1" applyProtection="1">
      <alignment horizontal="center" vertical="center"/>
    </xf>
    <xf numFmtId="0" fontId="24" fillId="0" borderId="24" xfId="0" applyNumberFormat="1" applyFont="1" applyBorder="1" applyAlignment="1" applyProtection="1">
      <alignment horizontal="center" vertical="center"/>
    </xf>
    <xf numFmtId="0" fontId="24" fillId="0" borderId="16" xfId="0" applyNumberFormat="1" applyFont="1" applyBorder="1" applyAlignment="1" applyProtection="1">
      <alignment horizontal="center" vertical="center"/>
    </xf>
    <xf numFmtId="0" fontId="24" fillId="2" borderId="17" xfId="0" applyNumberFormat="1" applyFont="1" applyFill="1" applyBorder="1" applyAlignment="1" applyProtection="1">
      <alignment horizontal="center" vertical="center"/>
    </xf>
    <xf numFmtId="0" fontId="24" fillId="2" borderId="8" xfId="0" applyNumberFormat="1" applyFont="1" applyFill="1" applyBorder="1" applyAlignment="1" applyProtection="1">
      <alignment horizontal="center" vertical="center"/>
    </xf>
    <xf numFmtId="0" fontId="24" fillId="2" borderId="7" xfId="0" applyNumberFormat="1" applyFont="1" applyFill="1" applyBorder="1" applyAlignment="1" applyProtection="1">
      <alignment horizontal="center" vertical="center"/>
    </xf>
    <xf numFmtId="0" fontId="24" fillId="0" borderId="17" xfId="0" applyNumberFormat="1" applyFont="1" applyBorder="1" applyAlignment="1" applyProtection="1">
      <alignment horizontal="center" vertical="center"/>
    </xf>
    <xf numFmtId="0" fontId="24" fillId="0" borderId="8" xfId="0" applyNumberFormat="1" applyFont="1" applyBorder="1" applyAlignment="1" applyProtection="1">
      <alignment horizontal="center" vertical="center"/>
    </xf>
    <xf numFmtId="0" fontId="24" fillId="0" borderId="7" xfId="0" applyNumberFormat="1" applyFont="1" applyBorder="1" applyAlignment="1" applyProtection="1">
      <alignment horizontal="center" vertical="center"/>
    </xf>
    <xf numFmtId="0" fontId="24" fillId="0" borderId="13" xfId="0" applyNumberFormat="1" applyFont="1" applyBorder="1" applyAlignment="1" applyProtection="1">
      <alignment horizontal="left" vertical="center"/>
    </xf>
    <xf numFmtId="49" fontId="18" fillId="0" borderId="5" xfId="0" applyNumberFormat="1" applyFont="1" applyBorder="1" applyAlignment="1" applyProtection="1">
      <alignment horizontal="center" vertical="center"/>
      <protection locked="0"/>
    </xf>
    <xf numFmtId="49" fontId="18" fillId="0" borderId="1" xfId="0" applyNumberFormat="1" applyFont="1" applyBorder="1" applyAlignment="1" applyProtection="1">
      <alignment horizontal="center" vertical="center"/>
      <protection locked="0"/>
    </xf>
    <xf numFmtId="49" fontId="18" fillId="0" borderId="6" xfId="0" applyNumberFormat="1" applyFont="1" applyBorder="1" applyAlignment="1" applyProtection="1">
      <alignment horizontal="center" vertical="center"/>
      <protection locked="0"/>
    </xf>
    <xf numFmtId="49" fontId="18" fillId="0" borderId="21" xfId="0" applyNumberFormat="1" applyFont="1" applyBorder="1" applyAlignment="1" applyProtection="1">
      <alignment horizontal="center" vertical="center"/>
      <protection locked="0"/>
    </xf>
    <xf numFmtId="49" fontId="18" fillId="0" borderId="22" xfId="0" applyNumberFormat="1" applyFont="1" applyBorder="1" applyAlignment="1" applyProtection="1">
      <alignment horizontal="center" vertical="center"/>
      <protection locked="0"/>
    </xf>
    <xf numFmtId="49" fontId="18" fillId="0" borderId="23" xfId="0" applyNumberFormat="1" applyFont="1" applyBorder="1" applyAlignment="1" applyProtection="1">
      <alignment horizontal="center" vertical="center"/>
      <protection locked="0"/>
    </xf>
    <xf numFmtId="49" fontId="20" fillId="4" borderId="3" xfId="0" applyNumberFormat="1" applyFont="1" applyFill="1" applyBorder="1" applyAlignment="1" applyProtection="1">
      <alignment horizontal="center" vertical="center"/>
      <protection locked="0"/>
    </xf>
    <xf numFmtId="49" fontId="20" fillId="4" borderId="4" xfId="0" applyNumberFormat="1" applyFont="1" applyFill="1" applyBorder="1" applyAlignment="1" applyProtection="1">
      <alignment horizontal="center" vertical="center"/>
      <protection locked="0"/>
    </xf>
    <xf numFmtId="49" fontId="20" fillId="4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24" xfId="0" applyNumberFormat="1" applyFont="1" applyBorder="1" applyAlignment="1" applyProtection="1">
      <alignment horizontal="center" vertical="center"/>
    </xf>
    <xf numFmtId="0" fontId="21" fillId="0" borderId="16" xfId="0" applyNumberFormat="1" applyFont="1" applyBorder="1" applyAlignment="1" applyProtection="1">
      <alignment horizontal="center" vertical="center"/>
    </xf>
    <xf numFmtId="0" fontId="18" fillId="2" borderId="8" xfId="0" applyNumberFormat="1" applyFont="1" applyFill="1" applyBorder="1" applyAlignment="1" applyProtection="1">
      <alignment horizontal="center" vertical="center"/>
    </xf>
    <xf numFmtId="0" fontId="18" fillId="2" borderId="7" xfId="0" applyNumberFormat="1" applyFont="1" applyFill="1" applyBorder="1" applyAlignment="1" applyProtection="1">
      <alignment horizontal="center" vertical="center"/>
    </xf>
    <xf numFmtId="0" fontId="18" fillId="0" borderId="8" xfId="0" applyNumberFormat="1" applyFont="1" applyBorder="1" applyAlignment="1" applyProtection="1">
      <alignment horizontal="center" vertical="center"/>
    </xf>
    <xf numFmtId="0" fontId="18" fillId="0" borderId="7" xfId="0" applyNumberFormat="1" applyFont="1" applyBorder="1" applyAlignment="1" applyProtection="1">
      <alignment horizontal="center" vertical="center"/>
    </xf>
    <xf numFmtId="49" fontId="18" fillId="2" borderId="18" xfId="0" applyNumberFormat="1" applyFont="1" applyFill="1" applyBorder="1" applyAlignment="1" applyProtection="1">
      <alignment horizontal="right" vertical="center" wrapText="1"/>
    </xf>
    <xf numFmtId="49" fontId="18" fillId="2" borderId="25" xfId="0" applyNumberFormat="1" applyFont="1" applyFill="1" applyBorder="1" applyAlignment="1" applyProtection="1">
      <alignment horizontal="right" vertical="center" wrapText="1"/>
    </xf>
    <xf numFmtId="0" fontId="25" fillId="0" borderId="15" xfId="0" applyNumberFormat="1" applyFont="1" applyBorder="1" applyAlignment="1" applyProtection="1">
      <alignment horizontal="center" vertical="center"/>
    </xf>
    <xf numFmtId="0" fontId="25" fillId="0" borderId="16" xfId="0" applyNumberFormat="1" applyFont="1" applyBorder="1" applyAlignment="1" applyProtection="1">
      <alignment horizontal="center" vertical="center"/>
    </xf>
    <xf numFmtId="21" fontId="25" fillId="0" borderId="15" xfId="0" applyNumberFormat="1" applyFont="1" applyBorder="1" applyAlignment="1" applyProtection="1">
      <alignment horizontal="center" vertical="center"/>
    </xf>
    <xf numFmtId="21" fontId="25" fillId="0" borderId="16" xfId="0" applyNumberFormat="1" applyFont="1" applyBorder="1" applyAlignment="1" applyProtection="1">
      <alignment horizontal="center" vertical="center"/>
    </xf>
    <xf numFmtId="49" fontId="17" fillId="0" borderId="2" xfId="0" applyNumberFormat="1" applyFont="1" applyBorder="1" applyAlignment="1" applyProtection="1">
      <alignment horizontal="center" vertical="center" wrapText="1"/>
      <protection locked="0"/>
    </xf>
    <xf numFmtId="49" fontId="18" fillId="0" borderId="2" xfId="0" applyNumberFormat="1" applyFont="1" applyBorder="1" applyAlignment="1" applyProtection="1">
      <alignment horizontal="center" vertical="center" wrapText="1"/>
    </xf>
    <xf numFmtId="49" fontId="17" fillId="0" borderId="2" xfId="0" applyNumberFormat="1" applyFont="1" applyBorder="1" applyAlignment="1" applyProtection="1">
      <alignment horizontal="center" vertical="center"/>
      <protection locked="0"/>
    </xf>
    <xf numFmtId="0" fontId="17" fillId="0" borderId="2" xfId="0" applyNumberFormat="1" applyFont="1" applyBorder="1" applyAlignment="1" applyProtection="1">
      <alignment horizontal="center" vertical="center" wrapText="1"/>
    </xf>
    <xf numFmtId="0" fontId="18" fillId="0" borderId="13" xfId="0" applyNumberFormat="1" applyFont="1" applyBorder="1" applyAlignment="1" applyProtection="1">
      <alignment horizontal="center" vertical="center"/>
      <protection locked="0"/>
    </xf>
    <xf numFmtId="49" fontId="22" fillId="0" borderId="15" xfId="0" applyNumberFormat="1" applyFont="1" applyBorder="1" applyAlignment="1" applyProtection="1">
      <alignment horizontal="center" vertical="center"/>
      <protection locked="0"/>
    </xf>
    <xf numFmtId="49" fontId="22" fillId="0" borderId="16" xfId="0" applyNumberFormat="1" applyFont="1" applyBorder="1" applyAlignment="1" applyProtection="1">
      <alignment horizontal="center" vertical="center"/>
      <protection locked="0"/>
    </xf>
    <xf numFmtId="49" fontId="22" fillId="2" borderId="17" xfId="0" applyNumberFormat="1" applyFont="1" applyFill="1" applyBorder="1" applyAlignment="1" applyProtection="1">
      <alignment horizontal="center" vertical="center"/>
      <protection locked="0"/>
    </xf>
    <xf numFmtId="49" fontId="22" fillId="2" borderId="7" xfId="0" applyNumberFormat="1" applyFont="1" applyFill="1" applyBorder="1" applyAlignment="1" applyProtection="1">
      <alignment horizontal="center" vertical="center"/>
      <protection locked="0"/>
    </xf>
    <xf numFmtId="0" fontId="18" fillId="0" borderId="2" xfId="0" applyNumberFormat="1" applyFont="1" applyBorder="1" applyAlignment="1" applyProtection="1">
      <alignment horizontal="center" vertical="center" wrapText="1"/>
    </xf>
    <xf numFmtId="0" fontId="18" fillId="2" borderId="25" xfId="0" applyNumberFormat="1" applyFont="1" applyFill="1" applyBorder="1" applyAlignment="1" applyProtection="1">
      <alignment horizontal="center" vertical="center"/>
    </xf>
    <xf numFmtId="0" fontId="18" fillId="2" borderId="19" xfId="0" applyNumberFormat="1" applyFont="1" applyFill="1" applyBorder="1" applyAlignment="1" applyProtection="1">
      <alignment horizontal="center" vertical="center"/>
    </xf>
    <xf numFmtId="167" fontId="25" fillId="0" borderId="15" xfId="0" applyNumberFormat="1" applyFont="1" applyBorder="1" applyAlignment="1" applyProtection="1">
      <alignment horizontal="center" vertical="center"/>
    </xf>
    <xf numFmtId="167" fontId="25" fillId="0" borderId="16" xfId="0" applyNumberFormat="1" applyFont="1" applyBorder="1" applyAlignment="1" applyProtection="1">
      <alignment horizontal="center" vertical="center"/>
    </xf>
    <xf numFmtId="49" fontId="18" fillId="0" borderId="20" xfId="0" applyNumberFormat="1" applyFont="1" applyBorder="1" applyAlignment="1" applyProtection="1">
      <alignment horizontal="left" vertical="center" wrapText="1"/>
      <protection locked="0"/>
    </xf>
    <xf numFmtId="49" fontId="18" fillId="0" borderId="9" xfId="0" applyNumberFormat="1" applyFont="1" applyBorder="1" applyAlignment="1" applyProtection="1">
      <alignment horizontal="left" vertical="center" wrapText="1"/>
      <protection locked="0"/>
    </xf>
    <xf numFmtId="49" fontId="18" fillId="0" borderId="12" xfId="0" applyNumberFormat="1" applyFont="1" applyBorder="1" applyAlignment="1" applyProtection="1">
      <alignment horizontal="left" vertical="center" wrapText="1"/>
      <protection locked="0"/>
    </xf>
    <xf numFmtId="49" fontId="18" fillId="0" borderId="5" xfId="0" applyNumberFormat="1" applyFont="1" applyBorder="1" applyAlignment="1" applyProtection="1">
      <alignment horizontal="left" vertical="center" wrapText="1"/>
      <protection locked="0"/>
    </xf>
    <xf numFmtId="49" fontId="18" fillId="0" borderId="1" xfId="0" applyNumberFormat="1" applyFont="1" applyBorder="1" applyAlignment="1" applyProtection="1">
      <alignment horizontal="left" vertical="center" wrapText="1"/>
      <protection locked="0"/>
    </xf>
    <xf numFmtId="49" fontId="18" fillId="0" borderId="6" xfId="0" applyNumberFormat="1" applyFont="1" applyBorder="1" applyAlignment="1" applyProtection="1">
      <alignment horizontal="left" vertical="center" wrapText="1"/>
      <protection locked="0"/>
    </xf>
    <xf numFmtId="49" fontId="18" fillId="0" borderId="44" xfId="0" applyNumberFormat="1" applyFont="1" applyBorder="1" applyAlignment="1" applyProtection="1">
      <alignment horizontal="center" vertical="center"/>
      <protection locked="0"/>
    </xf>
    <xf numFmtId="49" fontId="18" fillId="0" borderId="52" xfId="0" applyNumberFormat="1" applyFont="1" applyBorder="1" applyAlignment="1" applyProtection="1">
      <alignment horizontal="center" vertical="center"/>
      <protection locked="0"/>
    </xf>
    <xf numFmtId="49" fontId="18" fillId="0" borderId="45" xfId="0" applyNumberFormat="1" applyFont="1" applyBorder="1" applyAlignment="1" applyProtection="1">
      <alignment horizontal="center" vertical="center"/>
      <protection locked="0"/>
    </xf>
    <xf numFmtId="49" fontId="18" fillId="5" borderId="3" xfId="0" applyNumberFormat="1" applyFont="1" applyFill="1" applyBorder="1" applyAlignment="1" applyProtection="1">
      <alignment horizontal="left" vertical="center"/>
    </xf>
    <xf numFmtId="49" fontId="18" fillId="5" borderId="4" xfId="0" applyNumberFormat="1" applyFont="1" applyFill="1" applyBorder="1" applyAlignment="1" applyProtection="1">
      <alignment horizontal="left" vertical="center"/>
    </xf>
    <xf numFmtId="49" fontId="18" fillId="5" borderId="10" xfId="0" applyNumberFormat="1" applyFont="1" applyFill="1" applyBorder="1" applyAlignment="1" applyProtection="1">
      <alignment horizontal="left" vertical="center"/>
    </xf>
    <xf numFmtId="49" fontId="22" fillId="0" borderId="17" xfId="0" applyNumberFormat="1" applyFont="1" applyFill="1" applyBorder="1" applyAlignment="1" applyProtection="1">
      <alignment horizontal="center" vertical="center"/>
      <protection locked="0"/>
    </xf>
    <xf numFmtId="49" fontId="22" fillId="0" borderId="7" xfId="0" applyNumberFormat="1" applyFont="1" applyFill="1" applyBorder="1" applyAlignment="1" applyProtection="1">
      <alignment horizontal="center" vertical="center"/>
      <protection locked="0"/>
    </xf>
    <xf numFmtId="49" fontId="22" fillId="2" borderId="18" xfId="0" applyNumberFormat="1" applyFont="1" applyFill="1" applyBorder="1" applyAlignment="1" applyProtection="1">
      <alignment horizontal="center" vertical="center"/>
      <protection locked="0"/>
    </xf>
    <xf numFmtId="49" fontId="22" fillId="2" borderId="19" xfId="0" applyNumberFormat="1" applyFont="1" applyFill="1" applyBorder="1" applyAlignment="1" applyProtection="1">
      <alignment horizontal="center" vertical="center"/>
      <protection locked="0"/>
    </xf>
    <xf numFmtId="49" fontId="18" fillId="3" borderId="3" xfId="0" applyNumberFormat="1" applyFont="1" applyFill="1" applyBorder="1" applyAlignment="1" applyProtection="1">
      <alignment horizontal="left" vertical="center"/>
    </xf>
    <xf numFmtId="49" fontId="18" fillId="3" borderId="4" xfId="0" applyNumberFormat="1" applyFont="1" applyFill="1" applyBorder="1" applyAlignment="1" applyProtection="1">
      <alignment horizontal="left" vertical="center"/>
    </xf>
    <xf numFmtId="49" fontId="18" fillId="0" borderId="40" xfId="0" applyNumberFormat="1" applyFont="1" applyBorder="1" applyAlignment="1" applyProtection="1">
      <alignment horizontal="center" vertical="center"/>
      <protection locked="0"/>
    </xf>
    <xf numFmtId="49" fontId="18" fillId="0" borderId="41" xfId="0" applyNumberFormat="1" applyFont="1" applyBorder="1" applyAlignment="1" applyProtection="1">
      <alignment horizontal="center" vertical="center"/>
      <protection locked="0"/>
    </xf>
    <xf numFmtId="49" fontId="18" fillId="0" borderId="42" xfId="0" applyNumberFormat="1" applyFont="1" applyBorder="1" applyAlignment="1" applyProtection="1">
      <alignment horizontal="center" vertical="center"/>
      <protection locked="0"/>
    </xf>
    <xf numFmtId="0" fontId="18" fillId="2" borderId="18" xfId="0" applyNumberFormat="1" applyFont="1" applyFill="1" applyBorder="1" applyAlignment="1" applyProtection="1">
      <alignment horizontal="center" vertical="center"/>
      <protection locked="0"/>
    </xf>
    <xf numFmtId="0" fontId="18" fillId="2" borderId="25" xfId="0" applyNumberFormat="1" applyFont="1" applyFill="1" applyBorder="1" applyAlignment="1" applyProtection="1">
      <alignment horizontal="center" vertical="center"/>
      <protection locked="0"/>
    </xf>
    <xf numFmtId="0" fontId="18" fillId="2" borderId="19" xfId="0" applyNumberFormat="1" applyFont="1" applyFill="1" applyBorder="1" applyAlignment="1" applyProtection="1">
      <alignment horizontal="center" vertical="center"/>
      <protection locked="0"/>
    </xf>
    <xf numFmtId="49" fontId="18" fillId="0" borderId="13" xfId="0" applyNumberFormat="1" applyFont="1" applyFill="1" applyBorder="1" applyAlignment="1" applyProtection="1">
      <alignment horizontal="center" vertical="center"/>
      <protection locked="0"/>
    </xf>
    <xf numFmtId="49" fontId="18" fillId="5" borderId="4" xfId="0" applyNumberFormat="1" applyFont="1" applyFill="1" applyBorder="1" applyAlignment="1" applyProtection="1">
      <alignment horizontal="left" vertical="center"/>
      <protection locked="0"/>
    </xf>
    <xf numFmtId="49" fontId="18" fillId="5" borderId="10" xfId="0" applyNumberFormat="1" applyFont="1" applyFill="1" applyBorder="1" applyAlignment="1" applyProtection="1">
      <alignment horizontal="left" vertical="center"/>
      <protection locked="0"/>
    </xf>
    <xf numFmtId="0" fontId="18" fillId="2" borderId="47" xfId="0" applyNumberFormat="1" applyFont="1" applyFill="1" applyBorder="1" applyAlignment="1" applyProtection="1">
      <alignment horizontal="center" vertical="center"/>
    </xf>
    <xf numFmtId="0" fontId="18" fillId="2" borderId="48" xfId="0" applyNumberFormat="1" applyFont="1" applyFill="1" applyBorder="1" applyAlignment="1" applyProtection="1">
      <alignment horizontal="center" vertical="center"/>
    </xf>
    <xf numFmtId="49" fontId="24" fillId="0" borderId="20" xfId="0" applyNumberFormat="1" applyFont="1" applyBorder="1" applyAlignment="1" applyProtection="1">
      <alignment horizontal="left" vertical="center" wrapText="1"/>
      <protection locked="0"/>
    </xf>
    <xf numFmtId="49" fontId="24" fillId="0" borderId="9" xfId="0" applyNumberFormat="1" applyFont="1" applyBorder="1" applyAlignment="1" applyProtection="1">
      <alignment horizontal="left" vertical="center" wrapText="1"/>
      <protection locked="0"/>
    </xf>
    <xf numFmtId="49" fontId="24" fillId="0" borderId="12" xfId="0" applyNumberFormat="1" applyFont="1" applyBorder="1" applyAlignment="1" applyProtection="1">
      <alignment horizontal="left" vertical="center" wrapText="1"/>
      <protection locked="0"/>
    </xf>
    <xf numFmtId="49" fontId="24" fillId="0" borderId="5" xfId="0" applyNumberFormat="1" applyFont="1" applyBorder="1" applyAlignment="1" applyProtection="1">
      <alignment horizontal="left" vertical="center" wrapText="1"/>
      <protection locked="0"/>
    </xf>
    <xf numFmtId="49" fontId="24" fillId="0" borderId="1" xfId="0" applyNumberFormat="1" applyFont="1" applyBorder="1" applyAlignment="1" applyProtection="1">
      <alignment horizontal="left" vertical="center" wrapText="1"/>
      <protection locked="0"/>
    </xf>
    <xf numFmtId="49" fontId="24" fillId="0" borderId="6" xfId="0" applyNumberFormat="1" applyFont="1" applyBorder="1" applyAlignment="1" applyProtection="1">
      <alignment horizontal="left" vertical="center" wrapText="1"/>
      <protection locked="0"/>
    </xf>
    <xf numFmtId="49" fontId="24" fillId="0" borderId="21" xfId="0" applyNumberFormat="1" applyFont="1" applyBorder="1" applyAlignment="1" applyProtection="1">
      <alignment horizontal="left" vertical="center" wrapText="1"/>
      <protection locked="0"/>
    </xf>
    <xf numFmtId="49" fontId="24" fillId="0" borderId="22" xfId="0" applyNumberFormat="1" applyFont="1" applyBorder="1" applyAlignment="1" applyProtection="1">
      <alignment horizontal="left" vertical="center" wrapText="1"/>
      <protection locked="0"/>
    </xf>
    <xf numFmtId="49" fontId="24" fillId="0" borderId="23" xfId="0" applyNumberFormat="1" applyFont="1" applyBorder="1" applyAlignment="1" applyProtection="1">
      <alignment horizontal="left" vertical="center" wrapText="1"/>
      <protection locked="0"/>
    </xf>
    <xf numFmtId="167" fontId="18" fillId="0" borderId="47" xfId="0" applyNumberFormat="1" applyFont="1" applyBorder="1" applyAlignment="1" applyProtection="1">
      <alignment horizontal="center" vertical="center"/>
    </xf>
    <xf numFmtId="167" fontId="18" fillId="0" borderId="48" xfId="0" applyNumberFormat="1" applyFont="1" applyBorder="1" applyAlignment="1" applyProtection="1">
      <alignment horizontal="center" vertical="center"/>
    </xf>
    <xf numFmtId="167" fontId="18" fillId="2" borderId="47" xfId="0" applyNumberFormat="1" applyFont="1" applyFill="1" applyBorder="1" applyAlignment="1" applyProtection="1">
      <alignment horizontal="center" vertical="center"/>
    </xf>
    <xf numFmtId="167" fontId="18" fillId="2" borderId="48" xfId="0" applyNumberFormat="1" applyFont="1" applyFill="1" applyBorder="1" applyAlignment="1" applyProtection="1">
      <alignment horizontal="center" vertical="center"/>
    </xf>
    <xf numFmtId="49" fontId="18" fillId="3" borderId="2" xfId="0" applyNumberFormat="1" applyFont="1" applyFill="1" applyBorder="1" applyAlignment="1" applyProtection="1">
      <alignment horizontal="center" vertical="center"/>
    </xf>
    <xf numFmtId="49" fontId="18" fillId="0" borderId="3" xfId="0" applyNumberFormat="1" applyFont="1" applyBorder="1" applyAlignment="1" applyProtection="1">
      <alignment horizontal="center" vertical="center"/>
      <protection locked="0"/>
    </xf>
    <xf numFmtId="49" fontId="18" fillId="0" borderId="4" xfId="0" applyNumberFormat="1" applyFont="1" applyBorder="1" applyAlignment="1" applyProtection="1">
      <alignment horizontal="center" vertical="center"/>
      <protection locked="0"/>
    </xf>
    <xf numFmtId="49" fontId="18" fillId="0" borderId="10" xfId="0" applyNumberFormat="1" applyFont="1" applyBorder="1" applyAlignment="1" applyProtection="1">
      <alignment horizontal="center" vertical="center"/>
      <protection locked="0"/>
    </xf>
    <xf numFmtId="49" fontId="18" fillId="0" borderId="3" xfId="0" applyNumberFormat="1" applyFont="1" applyFill="1" applyBorder="1" applyAlignment="1" applyProtection="1">
      <alignment horizontal="center" vertical="center"/>
      <protection locked="0"/>
    </xf>
    <xf numFmtId="49" fontId="18" fillId="0" borderId="4" xfId="0" applyNumberFormat="1" applyFont="1" applyFill="1" applyBorder="1" applyAlignment="1" applyProtection="1">
      <alignment horizontal="center" vertical="center"/>
      <protection locked="0"/>
    </xf>
    <xf numFmtId="49" fontId="18" fillId="0" borderId="10" xfId="0" applyNumberFormat="1" applyFont="1" applyFill="1" applyBorder="1" applyAlignment="1" applyProtection="1">
      <alignment horizontal="center" vertical="center"/>
      <protection locked="0"/>
    </xf>
    <xf numFmtId="49" fontId="18" fillId="0" borderId="14" xfId="0" applyNumberFormat="1" applyFont="1" applyFill="1" applyBorder="1" applyAlignment="1" applyProtection="1">
      <alignment horizontal="center" vertical="center"/>
      <protection locked="0"/>
    </xf>
    <xf numFmtId="167" fontId="18" fillId="0" borderId="49" xfId="0" applyNumberFormat="1" applyFont="1" applyBorder="1" applyAlignment="1" applyProtection="1">
      <alignment horizontal="center" vertical="center"/>
    </xf>
    <xf numFmtId="167" fontId="18" fillId="0" borderId="50" xfId="0" applyNumberFormat="1" applyFont="1" applyBorder="1" applyAlignment="1" applyProtection="1">
      <alignment horizontal="center" vertical="center"/>
    </xf>
    <xf numFmtId="49" fontId="18" fillId="5" borderId="3" xfId="0" applyNumberFormat="1" applyFont="1" applyFill="1" applyBorder="1" applyAlignment="1" applyProtection="1">
      <alignment horizontal="right" vertical="center"/>
      <protection locked="0"/>
    </xf>
    <xf numFmtId="49" fontId="18" fillId="5" borderId="4" xfId="0" applyNumberFormat="1" applyFont="1" applyFill="1" applyBorder="1" applyAlignment="1" applyProtection="1">
      <alignment horizontal="right" vertical="center"/>
      <protection locked="0"/>
    </xf>
    <xf numFmtId="0" fontId="18" fillId="0" borderId="49" xfId="0" applyNumberFormat="1" applyFont="1" applyBorder="1" applyAlignment="1" applyProtection="1">
      <alignment horizontal="center" vertical="center"/>
    </xf>
    <xf numFmtId="0" fontId="18" fillId="0" borderId="50" xfId="0" applyNumberFormat="1" applyFont="1" applyBorder="1" applyAlignment="1" applyProtection="1">
      <alignment horizontal="center" vertical="center"/>
    </xf>
    <xf numFmtId="168" fontId="18" fillId="0" borderId="15" xfId="0" applyNumberFormat="1" applyFont="1" applyBorder="1" applyAlignment="1" applyProtection="1">
      <alignment horizontal="center" vertical="center"/>
      <protection locked="0"/>
    </xf>
    <xf numFmtId="168" fontId="18" fillId="0" borderId="16" xfId="0" applyNumberFormat="1" applyFont="1" applyBorder="1" applyAlignment="1" applyProtection="1">
      <alignment horizontal="center" vertical="center"/>
      <protection locked="0"/>
    </xf>
    <xf numFmtId="168" fontId="18" fillId="2" borderId="17" xfId="0" applyNumberFormat="1" applyFont="1" applyFill="1" applyBorder="1" applyAlignment="1" applyProtection="1">
      <alignment horizontal="center" vertical="center"/>
      <protection locked="0"/>
    </xf>
    <xf numFmtId="168" fontId="18" fillId="2" borderId="7" xfId="0" applyNumberFormat="1" applyFont="1" applyFill="1" applyBorder="1" applyAlignment="1" applyProtection="1">
      <alignment horizontal="center" vertical="center"/>
      <protection locked="0"/>
    </xf>
    <xf numFmtId="168" fontId="18" fillId="0" borderId="18" xfId="0" applyNumberFormat="1" applyFont="1" applyBorder="1" applyAlignment="1" applyProtection="1">
      <alignment horizontal="center" vertical="center"/>
      <protection locked="0"/>
    </xf>
    <xf numFmtId="168" fontId="18" fillId="0" borderId="19" xfId="0" applyNumberFormat="1" applyFont="1" applyBorder="1" applyAlignment="1" applyProtection="1">
      <alignment horizontal="center" vertical="center"/>
      <protection locked="0"/>
    </xf>
    <xf numFmtId="49" fontId="18" fillId="5" borderId="20" xfId="0" applyNumberFormat="1" applyFont="1" applyFill="1" applyBorder="1" applyAlignment="1" applyProtection="1">
      <alignment horizontal="center" vertical="center"/>
    </xf>
    <xf numFmtId="49" fontId="18" fillId="5" borderId="12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Border="1" applyAlignment="1" applyProtection="1">
      <alignment horizontal="center" vertical="center"/>
      <protection locked="0"/>
    </xf>
    <xf numFmtId="49" fontId="18" fillId="5" borderId="2" xfId="0" applyNumberFormat="1" applyFont="1" applyFill="1" applyBorder="1" applyAlignment="1" applyProtection="1">
      <alignment horizontal="center" vertical="center" wrapText="1"/>
    </xf>
    <xf numFmtId="49" fontId="1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18" fillId="5" borderId="3" xfId="0" applyNumberFormat="1" applyFont="1" applyFill="1" applyBorder="1" applyAlignment="1" applyProtection="1">
      <alignment horizontal="center" vertical="center" wrapText="1"/>
    </xf>
    <xf numFmtId="49" fontId="18" fillId="5" borderId="4" xfId="0" applyNumberFormat="1" applyFont="1" applyFill="1" applyBorder="1" applyAlignment="1" applyProtection="1">
      <alignment horizontal="center" vertical="center" wrapText="1"/>
    </xf>
    <xf numFmtId="49" fontId="18" fillId="5" borderId="10" xfId="0" applyNumberFormat="1" applyFont="1" applyFill="1" applyBorder="1" applyAlignment="1" applyProtection="1">
      <alignment horizontal="center" vertical="center" wrapText="1"/>
    </xf>
    <xf numFmtId="49" fontId="18" fillId="0" borderId="44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52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45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3" xfId="0" applyNumberFormat="1" applyFont="1" applyFill="1" applyBorder="1" applyAlignment="1" applyProtection="1">
      <alignment horizontal="center" vertical="center" wrapText="1"/>
    </xf>
    <xf numFmtId="49" fontId="20" fillId="4" borderId="4" xfId="0" applyNumberFormat="1" applyFont="1" applyFill="1" applyBorder="1" applyAlignment="1" applyProtection="1">
      <alignment horizontal="center" vertical="center" wrapText="1"/>
    </xf>
    <xf numFmtId="49" fontId="20" fillId="4" borderId="10" xfId="0" applyNumberFormat="1" applyFont="1" applyFill="1" applyBorder="1" applyAlignment="1" applyProtection="1">
      <alignment horizontal="center" vertical="center" wrapText="1"/>
    </xf>
    <xf numFmtId="49" fontId="18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24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21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23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20" xfId="0" applyNumberFormat="1" applyFont="1" applyFill="1" applyBorder="1" applyAlignment="1" applyProtection="1">
      <alignment horizontal="center" vertical="center" wrapText="1"/>
    </xf>
    <xf numFmtId="49" fontId="20" fillId="4" borderId="9" xfId="0" applyNumberFormat="1" applyFont="1" applyFill="1" applyBorder="1" applyAlignment="1" applyProtection="1">
      <alignment horizontal="center" vertical="center" wrapText="1"/>
    </xf>
    <xf numFmtId="49" fontId="20" fillId="4" borderId="12" xfId="0" applyNumberFormat="1" applyFont="1" applyFill="1" applyBorder="1" applyAlignment="1" applyProtection="1">
      <alignment horizontal="center" vertical="center" wrapText="1"/>
    </xf>
    <xf numFmtId="49" fontId="23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2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3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23" fillId="0" borderId="21" xfId="0" applyNumberFormat="1" applyFont="1" applyFill="1" applyBorder="1" applyAlignment="1" applyProtection="1">
      <alignment horizontal="left" vertical="center" wrapText="1"/>
      <protection locked="0"/>
    </xf>
    <xf numFmtId="49" fontId="23" fillId="0" borderId="22" xfId="0" applyNumberFormat="1" applyFont="1" applyFill="1" applyBorder="1" applyAlignment="1" applyProtection="1">
      <alignment horizontal="left" vertical="center" wrapText="1"/>
      <protection locked="0"/>
    </xf>
    <xf numFmtId="49" fontId="23" fillId="0" borderId="23" xfId="0" applyNumberFormat="1" applyFont="1" applyFill="1" applyBorder="1" applyAlignment="1" applyProtection="1">
      <alignment horizontal="left" vertical="center" wrapText="1"/>
      <protection locked="0"/>
    </xf>
    <xf numFmtId="49" fontId="23" fillId="5" borderId="3" xfId="0" applyNumberFormat="1" applyFont="1" applyFill="1" applyBorder="1" applyAlignment="1" applyProtection="1">
      <alignment horizontal="center" vertical="center" wrapText="1"/>
    </xf>
    <xf numFmtId="49" fontId="23" fillId="5" borderId="4" xfId="0" applyNumberFormat="1" applyFont="1" applyFill="1" applyBorder="1" applyAlignment="1" applyProtection="1">
      <alignment horizontal="center" vertical="center" wrapText="1"/>
    </xf>
    <xf numFmtId="49" fontId="23" fillId="5" borderId="10" xfId="0" applyNumberFormat="1" applyFont="1" applyFill="1" applyBorder="1" applyAlignment="1" applyProtection="1">
      <alignment horizontal="center" vertical="center" wrapText="1"/>
    </xf>
    <xf numFmtId="49" fontId="18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23" fillId="5" borderId="2" xfId="0" applyNumberFormat="1" applyFont="1" applyFill="1" applyBorder="1" applyAlignment="1" applyProtection="1">
      <alignment horizontal="center" vertical="center" wrapText="1"/>
    </xf>
    <xf numFmtId="49" fontId="18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10" fillId="0" borderId="1" xfId="2" applyFont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3" fillId="0" borderId="1" xfId="2" applyFill="1" applyBorder="1" applyAlignment="1">
      <alignment horizontal="center" vertical="center" wrapText="1"/>
    </xf>
    <xf numFmtId="0" fontId="14" fillId="0" borderId="1" xfId="2" applyFont="1" applyBorder="1" applyAlignment="1" applyProtection="1">
      <alignment horizontal="center"/>
      <protection locked="0"/>
    </xf>
    <xf numFmtId="0" fontId="12" fillId="0" borderId="29" xfId="2" applyFont="1" applyBorder="1" applyAlignment="1">
      <alignment horizontal="center" vertical="center" wrapText="1"/>
    </xf>
    <xf numFmtId="0" fontId="12" fillId="0" borderId="33" xfId="2" applyFont="1" applyBorder="1" applyAlignment="1">
      <alignment horizontal="center" vertical="center" wrapText="1"/>
    </xf>
    <xf numFmtId="0" fontId="12" fillId="0" borderId="30" xfId="2" applyFont="1" applyBorder="1" applyAlignment="1">
      <alignment horizontal="center" vertical="center" wrapText="1"/>
    </xf>
    <xf numFmtId="0" fontId="12" fillId="0" borderId="31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12" fillId="0" borderId="32" xfId="2" applyFont="1" applyBorder="1" applyAlignment="1">
      <alignment horizontal="center" vertical="center" wrapText="1"/>
    </xf>
    <xf numFmtId="49" fontId="28" fillId="0" borderId="22" xfId="2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6" fillId="4" borderId="1" xfId="8" applyFont="1" applyFill="1" applyAlignment="1">
      <alignment horizontal="center"/>
    </xf>
    <xf numFmtId="0" fontId="26" fillId="4" borderId="1" xfId="8" applyFont="1" applyFill="1" applyAlignment="1">
      <alignment horizontal="center" vertical="center"/>
    </xf>
  </cellXfs>
  <cellStyles count="10">
    <cellStyle name="Comma" xfId="1" builtinId="3"/>
    <cellStyle name="Comma 2" xfId="9"/>
    <cellStyle name="Hyperlink" xfId="3" builtinId="8"/>
    <cellStyle name="Normal" xfId="0" builtinId="0"/>
    <cellStyle name="Normal 2" xfId="2"/>
    <cellStyle name="Normal 2 2" xfId="6"/>
    <cellStyle name="Normal 2 3" xfId="7"/>
    <cellStyle name="Normal 3" xfId="8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79375</xdr:colOff>
      <xdr:row>2</xdr:row>
      <xdr:rowOff>39687</xdr:rowOff>
    </xdr:from>
    <xdr:to>
      <xdr:col>53</xdr:col>
      <xdr:colOff>265403</xdr:colOff>
      <xdr:row>51</xdr:row>
      <xdr:rowOff>150812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674687"/>
          <a:ext cx="6663028" cy="946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16328" y="2480028"/>
          <a:ext cx="1394530" cy="743303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xmlns="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35378" y="809978"/>
          <a:ext cx="1394530" cy="743303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xmlns="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xmlns="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xmlns="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046105" y="1012472"/>
          <a:ext cx="587729" cy="271639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xmlns="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xmlns="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055630" y="2682522"/>
          <a:ext cx="587729" cy="271639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xmlns="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xmlns="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036580" y="4304947"/>
          <a:ext cx="587729" cy="278695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xmlns="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xmlns="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081383" y="5974996"/>
          <a:ext cx="621563" cy="289328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xmlns="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xmlns="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15</xdr:col>
      <xdr:colOff>185821</xdr:colOff>
      <xdr:row>3</xdr:row>
      <xdr:rowOff>176389</xdr:rowOff>
    </xdr:from>
    <xdr:to>
      <xdr:col>20</xdr:col>
      <xdr:colOff>14109</xdr:colOff>
      <xdr:row>8</xdr:row>
      <xdr:rowOff>178153</xdr:rowOff>
    </xdr:to>
    <xdr:grpSp>
      <xdr:nvGrpSpPr>
        <xdr:cNvPr id="3" name="Group 2"/>
        <xdr:cNvGrpSpPr/>
      </xdr:nvGrpSpPr>
      <xdr:grpSpPr>
        <a:xfrm>
          <a:off x="8835932" y="726722"/>
          <a:ext cx="1733288" cy="918987"/>
          <a:chOff x="8423370" y="831650"/>
          <a:chExt cx="1594476" cy="781024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xmlns="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602923" y="845170"/>
            <a:ext cx="10579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xmlns="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23370" y="1350594"/>
            <a:ext cx="122532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804126" y="1046985"/>
            <a:ext cx="12137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674"/>
            <a:ext cx="107481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xmlns="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31650"/>
            <a:ext cx="1056547" cy="7780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289280</xdr:colOff>
      <xdr:row>13</xdr:row>
      <xdr:rowOff>35278</xdr:rowOff>
    </xdr:from>
    <xdr:to>
      <xdr:col>20</xdr:col>
      <xdr:colOff>217843</xdr:colOff>
      <xdr:row>19</xdr:row>
      <xdr:rowOff>64330</xdr:rowOff>
    </xdr:to>
    <xdr:grpSp>
      <xdr:nvGrpSpPr>
        <xdr:cNvPr id="54" name="Group 437"/>
        <xdr:cNvGrpSpPr>
          <a:grpSpLocks/>
        </xdr:cNvGrpSpPr>
      </xdr:nvGrpSpPr>
      <xdr:grpSpPr bwMode="auto">
        <a:xfrm>
          <a:off x="8558391" y="2420056"/>
          <a:ext cx="2214563" cy="1129718"/>
          <a:chOff x="2016" y="1488"/>
          <a:chExt cx="2784" cy="1502"/>
        </a:xfrm>
      </xdr:grpSpPr>
      <xdr:sp macro="" textlink="">
        <xdr:nvSpPr>
          <xdr:cNvPr id="55" name="Line 438"/>
          <xdr:cNvSpPr>
            <a:spLocks noChangeShapeType="1"/>
          </xdr:cNvSpPr>
        </xdr:nvSpPr>
        <xdr:spPr bwMode="auto">
          <a:xfrm>
            <a:off x="2498" y="1488"/>
            <a:ext cx="84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6" name="Line 439"/>
          <xdr:cNvSpPr>
            <a:spLocks noChangeShapeType="1"/>
          </xdr:cNvSpPr>
        </xdr:nvSpPr>
        <xdr:spPr bwMode="auto">
          <a:xfrm>
            <a:off x="2292" y="1980"/>
            <a:ext cx="84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7" name="Line 440"/>
          <xdr:cNvSpPr>
            <a:spLocks noChangeShapeType="1"/>
          </xdr:cNvSpPr>
        </xdr:nvSpPr>
        <xdr:spPr bwMode="auto">
          <a:xfrm flipV="1">
            <a:off x="2016" y="2976"/>
            <a:ext cx="72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8" name="Line 441"/>
          <xdr:cNvSpPr>
            <a:spLocks noChangeShapeType="1"/>
          </xdr:cNvSpPr>
        </xdr:nvSpPr>
        <xdr:spPr bwMode="auto">
          <a:xfrm flipH="1">
            <a:off x="2736" y="1488"/>
            <a:ext cx="585" cy="148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9" name="Line 442"/>
          <xdr:cNvSpPr>
            <a:spLocks noChangeShapeType="1"/>
          </xdr:cNvSpPr>
        </xdr:nvSpPr>
        <xdr:spPr bwMode="auto">
          <a:xfrm>
            <a:off x="3340" y="1488"/>
            <a:ext cx="599" cy="14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0" name="Line 443"/>
          <xdr:cNvSpPr>
            <a:spLocks noChangeShapeType="1"/>
          </xdr:cNvSpPr>
        </xdr:nvSpPr>
        <xdr:spPr bwMode="auto">
          <a:xfrm>
            <a:off x="3546" y="1980"/>
            <a:ext cx="8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1" name="Line 444"/>
          <xdr:cNvSpPr>
            <a:spLocks noChangeShapeType="1"/>
          </xdr:cNvSpPr>
        </xdr:nvSpPr>
        <xdr:spPr bwMode="auto">
          <a:xfrm>
            <a:off x="3742" y="2472"/>
            <a:ext cx="85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445"/>
          <xdr:cNvSpPr>
            <a:spLocks noChangeShapeType="1"/>
          </xdr:cNvSpPr>
        </xdr:nvSpPr>
        <xdr:spPr bwMode="auto">
          <a:xfrm>
            <a:off x="3936" y="2964"/>
            <a:ext cx="86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" name="Oval 446"/>
          <xdr:cNvSpPr>
            <a:spLocks noChangeArrowheads="1"/>
          </xdr:cNvSpPr>
        </xdr:nvSpPr>
        <xdr:spPr bwMode="auto">
          <a:xfrm>
            <a:off x="3097" y="2034"/>
            <a:ext cx="486" cy="492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4" name="Rectangle 447"/>
          <xdr:cNvSpPr>
            <a:spLocks noChangeArrowheads="1"/>
          </xdr:cNvSpPr>
        </xdr:nvSpPr>
        <xdr:spPr bwMode="auto">
          <a:xfrm>
            <a:off x="2910" y="2574"/>
            <a:ext cx="842" cy="4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</xdr:colOff>
      <xdr:row>3</xdr:row>
      <xdr:rowOff>171450</xdr:rowOff>
    </xdr:from>
    <xdr:to>
      <xdr:col>24</xdr:col>
      <xdr:colOff>334772</xdr:colOff>
      <xdr:row>18</xdr:row>
      <xdr:rowOff>149680</xdr:rowOff>
    </xdr:to>
    <xdr:grpSp>
      <xdr:nvGrpSpPr>
        <xdr:cNvPr id="2" name="Group 1"/>
        <xdr:cNvGrpSpPr/>
      </xdr:nvGrpSpPr>
      <xdr:grpSpPr>
        <a:xfrm>
          <a:off x="10388600" y="723900"/>
          <a:ext cx="4576572" cy="2740480"/>
          <a:chOff x="7454900" y="7073900"/>
          <a:chExt cx="4576572" cy="2740480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454900" y="7073900"/>
            <a:ext cx="4576572" cy="2724150"/>
          </a:xfrm>
          <a:prstGeom prst="rect">
            <a:avLst/>
          </a:prstGeom>
        </xdr:spPr>
      </xdr:pic>
      <xdr:sp macro="" textlink="$N$26">
        <xdr:nvSpPr>
          <xdr:cNvPr id="4" name="TextBox 3"/>
          <xdr:cNvSpPr txBox="1"/>
        </xdr:nvSpPr>
        <xdr:spPr>
          <a:xfrm>
            <a:off x="9474200" y="956945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681733E0-4706-4723-9202-8BA7218C40F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7,480 </a:t>
            </a:fld>
            <a:endParaRPr lang="en-GB" sz="1100"/>
          </a:p>
        </xdr:txBody>
      </xdr:sp>
      <xdr:sp macro="" textlink="$N$21">
        <xdr:nvSpPr>
          <xdr:cNvPr id="5" name="TextBox 4"/>
          <xdr:cNvSpPr txBox="1"/>
        </xdr:nvSpPr>
        <xdr:spPr>
          <a:xfrm>
            <a:off x="8870950" y="873125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1F2CB18E-D040-4090-B736-4177376554AB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4,081 </a:t>
            </a:fld>
            <a:endParaRPr lang="en-GB" sz="1100"/>
          </a:p>
        </xdr:txBody>
      </xdr:sp>
      <xdr:sp macro="" textlink="$N$10">
        <xdr:nvSpPr>
          <xdr:cNvPr id="6" name="TextBox 5"/>
          <xdr:cNvSpPr txBox="1"/>
        </xdr:nvSpPr>
        <xdr:spPr>
          <a:xfrm>
            <a:off x="9817100" y="874395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D70F14A2-3931-46B3-8298-1FD22E30A80A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3,399 </a:t>
            </a:fld>
            <a:endParaRPr lang="en-GB" sz="1100"/>
          </a:p>
        </xdr:txBody>
      </xdr:sp>
      <xdr:sp macro="" textlink="$N$30">
        <xdr:nvSpPr>
          <xdr:cNvPr id="7" name="TextBox 6"/>
          <xdr:cNvSpPr txBox="1"/>
        </xdr:nvSpPr>
        <xdr:spPr>
          <a:xfrm>
            <a:off x="10972800" y="932180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E4449E75-F964-4042-BE3A-428B7B6F0AC2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6,304 </a:t>
            </a:fld>
            <a:endParaRPr lang="en-GB" sz="1100"/>
          </a:p>
        </xdr:txBody>
      </xdr:sp>
      <xdr:sp macro="" textlink="$N$19">
        <xdr:nvSpPr>
          <xdr:cNvPr id="8" name="TextBox 7"/>
          <xdr:cNvSpPr txBox="1"/>
        </xdr:nvSpPr>
        <xdr:spPr>
          <a:xfrm>
            <a:off x="7543800" y="803910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7CF77538-0AB3-4C80-936C-F02E133F05A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1,094 </a:t>
            </a:fld>
            <a:endParaRPr lang="en-GB" sz="1100"/>
          </a:p>
        </xdr:txBody>
      </xdr:sp>
      <xdr:sp macro="" textlink="$N$18">
        <xdr:nvSpPr>
          <xdr:cNvPr id="9" name="TextBox 8"/>
          <xdr:cNvSpPr txBox="1"/>
        </xdr:nvSpPr>
        <xdr:spPr>
          <a:xfrm>
            <a:off x="8966200" y="756285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7D02E856-228F-4725-9E2B-518A000A738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3,694 </a:t>
            </a:fld>
            <a:endParaRPr lang="en-GB" sz="1100"/>
          </a:p>
        </xdr:txBody>
      </xdr:sp>
      <xdr:sp macro="" textlink="$N$9">
        <xdr:nvSpPr>
          <xdr:cNvPr id="10" name="TextBox 9"/>
          <xdr:cNvSpPr txBox="1"/>
        </xdr:nvSpPr>
        <xdr:spPr>
          <a:xfrm>
            <a:off x="10077450" y="814070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DB399B09-1D31-4BBF-A917-8905E583F43B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2,600 </a:t>
            </a:fld>
            <a:endParaRPr lang="en-GB" sz="1100"/>
          </a:p>
        </xdr:txBody>
      </xdr:sp>
      <xdr:sp macro="" textlink="$N$6">
        <xdr:nvSpPr>
          <xdr:cNvPr id="11" name="TextBox 10"/>
          <xdr:cNvSpPr txBox="1"/>
        </xdr:nvSpPr>
        <xdr:spPr>
          <a:xfrm>
            <a:off x="11195050" y="8553450"/>
            <a:ext cx="260350" cy="24130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8BA77094-B0E2-4C74-B23D-EDD6FAD55F7F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15 </a:t>
            </a:fld>
            <a:endParaRPr lang="en-GB" sz="1100"/>
          </a:p>
        </xdr:txBody>
      </xdr:sp>
    </xdr:grpSp>
    <xdr:clientData/>
  </xdr:twoCellAnchor>
  <xdr:twoCellAnchor>
    <xdr:from>
      <xdr:col>17</xdr:col>
      <xdr:colOff>25401</xdr:colOff>
      <xdr:row>20</xdr:row>
      <xdr:rowOff>19051</xdr:rowOff>
    </xdr:from>
    <xdr:to>
      <xdr:col>23</xdr:col>
      <xdr:colOff>495300</xdr:colOff>
      <xdr:row>35</xdr:row>
      <xdr:rowOff>3819</xdr:rowOff>
    </xdr:to>
    <xdr:grpSp>
      <xdr:nvGrpSpPr>
        <xdr:cNvPr id="12" name="Group 11"/>
        <xdr:cNvGrpSpPr/>
      </xdr:nvGrpSpPr>
      <xdr:grpSpPr>
        <a:xfrm>
          <a:off x="10388601" y="3702051"/>
          <a:ext cx="4127499" cy="2747018"/>
          <a:chOff x="3841751" y="5689601"/>
          <a:chExt cx="4127499" cy="2747018"/>
        </a:xfrm>
      </xdr:grpSpPr>
      <xdr:grpSp>
        <xdr:nvGrpSpPr>
          <xdr:cNvPr id="13" name="Group 12"/>
          <xdr:cNvGrpSpPr/>
        </xdr:nvGrpSpPr>
        <xdr:grpSpPr>
          <a:xfrm>
            <a:off x="3841751" y="5689601"/>
            <a:ext cx="4127499" cy="2747018"/>
            <a:chOff x="11620501" y="7181851"/>
            <a:chExt cx="4127499" cy="2747018"/>
          </a:xfrm>
        </xdr:grpSpPr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620501" y="7181851"/>
              <a:ext cx="4127499" cy="2747018"/>
            </a:xfrm>
            <a:prstGeom prst="rect">
              <a:avLst/>
            </a:prstGeom>
          </xdr:spPr>
        </xdr:pic>
        <xdr:sp macro="" textlink="$N$13">
          <xdr:nvSpPr>
            <xdr:cNvPr id="16" name="TextBox 15"/>
            <xdr:cNvSpPr txBox="1"/>
          </xdr:nvSpPr>
          <xdr:spPr>
            <a:xfrm>
              <a:off x="12820650" y="8802460"/>
              <a:ext cx="501650" cy="24493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fld id="{AFB7302D-6BCB-483E-837B-BD26CB0A61C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13,200 </a:t>
              </a:fld>
              <a:endParaRPr lang="en-GB" sz="1100"/>
            </a:p>
          </xdr:txBody>
        </xdr:sp>
        <xdr:sp macro="" textlink="$N$18">
          <xdr:nvSpPr>
            <xdr:cNvPr id="17" name="TextBox 16"/>
            <xdr:cNvSpPr txBox="1"/>
          </xdr:nvSpPr>
          <xdr:spPr>
            <a:xfrm>
              <a:off x="15049500" y="7581900"/>
              <a:ext cx="450850" cy="228600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fld id="{C88D5663-8188-4B99-941D-4507D5DEE51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3,694 </a:t>
              </a:fld>
              <a:endParaRPr lang="en-GB" sz="1100"/>
            </a:p>
          </xdr:txBody>
        </xdr:sp>
        <xdr:sp macro="" textlink="$N$28">
          <xdr:nvSpPr>
            <xdr:cNvPr id="18" name="TextBox 17"/>
            <xdr:cNvSpPr txBox="1"/>
          </xdr:nvSpPr>
          <xdr:spPr>
            <a:xfrm>
              <a:off x="12547600" y="7283450"/>
              <a:ext cx="431800" cy="2413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9FEB2057-90B6-41BC-8669-38E324C9950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3,400 </a:t>
              </a:fld>
              <a:endParaRPr lang="en-GB" sz="1100"/>
            </a:p>
          </xdr:txBody>
        </xdr:sp>
        <xdr:sp macro="" textlink="$N$29">
          <xdr:nvSpPr>
            <xdr:cNvPr id="19" name="TextBox 18"/>
            <xdr:cNvSpPr txBox="1"/>
          </xdr:nvSpPr>
          <xdr:spPr>
            <a:xfrm>
              <a:off x="14287500" y="7239000"/>
              <a:ext cx="431800" cy="2413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B6886628-F3F4-40E9-88D5-06A2B9FED74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4,400 </a:t>
              </a:fld>
              <a:endParaRPr lang="en-GB" sz="1100"/>
            </a:p>
          </xdr:txBody>
        </xdr:sp>
        <xdr:sp macro="" textlink="$N$9">
          <xdr:nvSpPr>
            <xdr:cNvPr id="20" name="TextBox 19"/>
            <xdr:cNvSpPr txBox="1"/>
          </xdr:nvSpPr>
          <xdr:spPr>
            <a:xfrm>
              <a:off x="15106651" y="8362951"/>
              <a:ext cx="431800" cy="2413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35B927CF-DAA5-489B-AD10-CC8D7BBF32C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2,600 </a:t>
              </a:fld>
              <a:endParaRPr lang="en-GB" sz="1100"/>
            </a:p>
          </xdr:txBody>
        </xdr:sp>
        <xdr:sp macro="" textlink="$N$5">
          <xdr:nvSpPr>
            <xdr:cNvPr id="21" name="TextBox 20"/>
            <xdr:cNvSpPr txBox="1"/>
          </xdr:nvSpPr>
          <xdr:spPr>
            <a:xfrm>
              <a:off x="13843000" y="8382000"/>
              <a:ext cx="336550" cy="2349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5B0AE147-4F65-4F10-BA0F-05A51AD6F26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40 </a:t>
              </a:fld>
              <a:endParaRPr lang="en-GB" sz="1100"/>
            </a:p>
          </xdr:txBody>
        </xdr:sp>
        <xdr:sp macro="" textlink="$N$26">
          <xdr:nvSpPr>
            <xdr:cNvPr id="22" name="TextBox 21"/>
            <xdr:cNvSpPr txBox="1"/>
          </xdr:nvSpPr>
          <xdr:spPr>
            <a:xfrm>
              <a:off x="13525500" y="9283700"/>
              <a:ext cx="476250" cy="2413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57DDFE47-41B4-4E3C-9991-8AFF1CBF5B1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7,480 </a:t>
              </a:fld>
              <a:endParaRPr lang="en-GB" sz="1100"/>
            </a:p>
          </xdr:txBody>
        </xdr:sp>
        <xdr:sp macro="" textlink="$N$30">
          <xdr:nvSpPr>
            <xdr:cNvPr id="23" name="TextBox 22"/>
            <xdr:cNvSpPr txBox="1"/>
          </xdr:nvSpPr>
          <xdr:spPr>
            <a:xfrm>
              <a:off x="15024100" y="9480550"/>
              <a:ext cx="501650" cy="2476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2388AD57-83E1-41C0-9AAA-D9C0893308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6,304 </a:t>
              </a:fld>
              <a:endParaRPr lang="en-GB" sz="1100"/>
            </a:p>
          </xdr:txBody>
        </xdr:sp>
      </xdr:grpSp>
      <xdr:sp macro="" textlink="$N$27">
        <xdr:nvSpPr>
          <xdr:cNvPr id="14" name="TextBox 13"/>
          <xdr:cNvSpPr txBox="1"/>
        </xdr:nvSpPr>
        <xdr:spPr>
          <a:xfrm>
            <a:off x="5137150" y="6451600"/>
            <a:ext cx="260350" cy="24130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0797A9BE-63BC-4CC9-8F41-DC4F807713BF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20 </a:t>
            </a:fld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hecksix-f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8"/>
  <sheetViews>
    <sheetView tabSelected="1" showRuler="0" zoomScaleNormal="100" zoomScaleSheetLayoutView="70" zoomScalePageLayoutView="60" workbookViewId="0">
      <selection activeCell="V14" sqref="V14:Y14"/>
    </sheetView>
  </sheetViews>
  <sheetFormatPr defaultColWidth="5.453125" defaultRowHeight="15" customHeight="1" x14ac:dyDescent="0.3"/>
  <cols>
    <col min="1" max="16" width="5.453125" style="58"/>
    <col min="17" max="17" width="5.7265625" style="58" bestFit="1" customWidth="1"/>
    <col min="18" max="16384" width="5.453125" style="58"/>
  </cols>
  <sheetData>
    <row r="1" spans="1:90" ht="35.25" customHeight="1" x14ac:dyDescent="0.3">
      <c r="A1" s="414" t="s">
        <v>272</v>
      </c>
      <c r="B1" s="414"/>
      <c r="C1" s="414"/>
      <c r="D1" s="414"/>
      <c r="E1" s="414"/>
      <c r="F1" s="414"/>
      <c r="G1" s="415" t="s">
        <v>0</v>
      </c>
      <c r="H1" s="415"/>
      <c r="I1" s="415"/>
      <c r="J1" s="415"/>
      <c r="K1" s="415"/>
      <c r="L1" s="415"/>
      <c r="M1" s="416" t="s">
        <v>274</v>
      </c>
      <c r="N1" s="416"/>
      <c r="O1" s="416"/>
      <c r="P1" s="416"/>
      <c r="Q1" s="416"/>
      <c r="R1" s="416"/>
      <c r="S1" s="417" t="str">
        <f>A1</f>
        <v>MG1006</v>
      </c>
      <c r="T1" s="417"/>
      <c r="U1" s="417"/>
      <c r="V1" s="417"/>
      <c r="W1" s="417"/>
      <c r="X1" s="417"/>
      <c r="Y1" s="423" t="str">
        <f>$G$1</f>
        <v>MISSION DATA CARD</v>
      </c>
      <c r="Z1" s="423"/>
      <c r="AA1" s="423"/>
      <c r="AB1" s="423"/>
      <c r="AC1" s="423"/>
      <c r="AD1" s="423"/>
      <c r="AE1" s="376" t="str">
        <f>$M$1</f>
        <v>SHOOTER 1</v>
      </c>
      <c r="AF1" s="376"/>
      <c r="AG1" s="376"/>
      <c r="AH1" s="376"/>
      <c r="AI1" s="376"/>
      <c r="AJ1" s="376"/>
      <c r="AK1" s="263" t="str">
        <f>$A$1</f>
        <v>MG1006</v>
      </c>
      <c r="AL1" s="264"/>
      <c r="AM1" s="264"/>
      <c r="AN1" s="264"/>
      <c r="AO1" s="264"/>
      <c r="AP1" s="265"/>
      <c r="AQ1" s="266" t="str">
        <f>$G$1</f>
        <v>MISSION DATA CARD</v>
      </c>
      <c r="AR1" s="267"/>
      <c r="AS1" s="267"/>
      <c r="AT1" s="267"/>
      <c r="AU1" s="267"/>
      <c r="AV1" s="268"/>
      <c r="AW1" s="269" t="str">
        <f>$M$1</f>
        <v>SHOOTER 1</v>
      </c>
      <c r="AX1" s="270"/>
      <c r="AY1" s="270"/>
      <c r="AZ1" s="270"/>
      <c r="BA1" s="270"/>
      <c r="BB1" s="271"/>
      <c r="BC1" s="263" t="str">
        <f>$A$1</f>
        <v>MG1006</v>
      </c>
      <c r="BD1" s="264"/>
      <c r="BE1" s="264"/>
      <c r="BF1" s="264"/>
      <c r="BG1" s="264"/>
      <c r="BH1" s="265"/>
      <c r="BI1" s="266" t="str">
        <f>$G$1</f>
        <v>MISSION DATA CARD</v>
      </c>
      <c r="BJ1" s="267"/>
      <c r="BK1" s="267"/>
      <c r="BL1" s="267"/>
      <c r="BM1" s="267"/>
      <c r="BN1" s="268"/>
      <c r="BO1" s="269" t="str">
        <f>$M$1</f>
        <v>SHOOTER 1</v>
      </c>
      <c r="BP1" s="270"/>
      <c r="BQ1" s="270"/>
      <c r="BR1" s="270"/>
      <c r="BS1" s="270"/>
      <c r="BT1" s="271"/>
      <c r="BU1" s="417" t="str">
        <f>AK1</f>
        <v>MG1006</v>
      </c>
      <c r="BV1" s="417"/>
      <c r="BW1" s="417"/>
      <c r="BX1" s="417"/>
      <c r="BY1" s="417"/>
      <c r="BZ1" s="417"/>
      <c r="CA1" s="423" t="s">
        <v>0</v>
      </c>
      <c r="CB1" s="423"/>
      <c r="CC1" s="423"/>
      <c r="CD1" s="423"/>
      <c r="CE1" s="423"/>
      <c r="CF1" s="423"/>
      <c r="CG1" s="376" t="str">
        <f>AW1</f>
        <v>SHOOTER 1</v>
      </c>
      <c r="CH1" s="376"/>
      <c r="CI1" s="376"/>
      <c r="CJ1" s="376"/>
      <c r="CK1" s="376"/>
      <c r="CL1" s="376"/>
    </row>
    <row r="2" spans="1:90" ht="15" customHeight="1" x14ac:dyDescent="0.3">
      <c r="A2" s="272" t="s">
        <v>24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4"/>
      <c r="S2" s="399" t="s">
        <v>2</v>
      </c>
      <c r="T2" s="400"/>
      <c r="U2" s="400"/>
      <c r="V2" s="400"/>
      <c r="W2" s="400"/>
      <c r="X2" s="400"/>
      <c r="Y2" s="400"/>
      <c r="Z2" s="400"/>
      <c r="AA2" s="400"/>
      <c r="AB2" s="400"/>
      <c r="AC2" s="400"/>
      <c r="AD2" s="400"/>
      <c r="AE2" s="400"/>
      <c r="AF2" s="400"/>
      <c r="AG2" s="400"/>
      <c r="AH2" s="400"/>
      <c r="AI2" s="400"/>
      <c r="AJ2" s="401"/>
      <c r="AK2" s="272" t="s">
        <v>471</v>
      </c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3"/>
      <c r="AY2" s="273"/>
      <c r="AZ2" s="273"/>
      <c r="BA2" s="273"/>
      <c r="BB2" s="274"/>
      <c r="BC2" s="272" t="s">
        <v>20</v>
      </c>
      <c r="BD2" s="273"/>
      <c r="BE2" s="273"/>
      <c r="BF2" s="273"/>
      <c r="BG2" s="273"/>
      <c r="BH2" s="273"/>
      <c r="BI2" s="273"/>
      <c r="BJ2" s="273"/>
      <c r="BK2" s="273"/>
      <c r="BL2" s="273"/>
      <c r="BM2" s="273"/>
      <c r="BN2" s="273"/>
      <c r="BO2" s="273"/>
      <c r="BP2" s="273"/>
      <c r="BQ2" s="273"/>
      <c r="BR2" s="273"/>
      <c r="BS2" s="273"/>
      <c r="BT2" s="274"/>
      <c r="BU2" s="503" t="s">
        <v>9</v>
      </c>
      <c r="BV2" s="504"/>
      <c r="BW2" s="504"/>
      <c r="BX2" s="504"/>
      <c r="BY2" s="504"/>
      <c r="BZ2" s="504"/>
      <c r="CA2" s="504"/>
      <c r="CB2" s="504"/>
      <c r="CC2" s="504"/>
      <c r="CD2" s="504"/>
      <c r="CE2" s="504"/>
      <c r="CF2" s="504"/>
      <c r="CG2" s="504"/>
      <c r="CH2" s="504"/>
      <c r="CI2" s="504"/>
      <c r="CJ2" s="504"/>
      <c r="CK2" s="504"/>
      <c r="CL2" s="505"/>
    </row>
    <row r="3" spans="1:90" ht="15" customHeight="1" x14ac:dyDescent="0.3">
      <c r="A3" s="294" t="s">
        <v>25</v>
      </c>
      <c r="B3" s="295"/>
      <c r="C3" s="295"/>
      <c r="D3" s="296"/>
      <c r="E3" s="294" t="s">
        <v>26</v>
      </c>
      <c r="F3" s="295"/>
      <c r="G3" s="295"/>
      <c r="H3" s="296"/>
      <c r="I3" s="351" t="s">
        <v>478</v>
      </c>
      <c r="J3" s="351"/>
      <c r="K3" s="351" t="s">
        <v>349</v>
      </c>
      <c r="L3" s="351"/>
      <c r="M3" s="351" t="s">
        <v>350</v>
      </c>
      <c r="N3" s="351"/>
      <c r="O3" s="294" t="s">
        <v>27</v>
      </c>
      <c r="P3" s="295"/>
      <c r="Q3" s="295"/>
      <c r="R3" s="296"/>
      <c r="S3" s="95" t="s">
        <v>3</v>
      </c>
      <c r="T3" s="294" t="s">
        <v>37</v>
      </c>
      <c r="U3" s="296"/>
      <c r="V3" s="294" t="s">
        <v>230</v>
      </c>
      <c r="W3" s="295"/>
      <c r="X3" s="295"/>
      <c r="Y3" s="296"/>
      <c r="Z3" s="193" t="s">
        <v>334</v>
      </c>
      <c r="AA3" s="96" t="s">
        <v>40</v>
      </c>
      <c r="AB3" s="193" t="s">
        <v>472</v>
      </c>
      <c r="AC3" s="294" t="s">
        <v>162</v>
      </c>
      <c r="AD3" s="296"/>
      <c r="AE3" s="294" t="s">
        <v>163</v>
      </c>
      <c r="AF3" s="296"/>
      <c r="AG3" s="294" t="s">
        <v>41</v>
      </c>
      <c r="AH3" s="296"/>
      <c r="AI3" s="225" t="s">
        <v>129</v>
      </c>
      <c r="AJ3" s="225" t="s">
        <v>130</v>
      </c>
      <c r="AK3" s="275" t="s">
        <v>428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77"/>
      <c r="BC3" s="275" t="s">
        <v>428</v>
      </c>
      <c r="BD3" s="276"/>
      <c r="BE3" s="276"/>
      <c r="BF3" s="276"/>
      <c r="BG3" s="276"/>
      <c r="BH3" s="276"/>
      <c r="BI3" s="276"/>
      <c r="BJ3" s="276"/>
      <c r="BK3" s="276"/>
      <c r="BL3" s="276"/>
      <c r="BM3" s="276"/>
      <c r="BN3" s="276"/>
      <c r="BO3" s="276"/>
      <c r="BP3" s="276"/>
      <c r="BQ3" s="276"/>
      <c r="BR3" s="276"/>
      <c r="BS3" s="276"/>
      <c r="BT3" s="277"/>
      <c r="BU3" s="493" t="s">
        <v>325</v>
      </c>
      <c r="BV3" s="493"/>
      <c r="BW3" s="493"/>
      <c r="BX3" s="506" t="s">
        <v>424</v>
      </c>
      <c r="BY3" s="507"/>
      <c r="BZ3" s="507"/>
      <c r="CA3" s="507"/>
      <c r="CB3" s="507"/>
      <c r="CC3" s="508"/>
      <c r="CD3" s="509" t="s">
        <v>427</v>
      </c>
      <c r="CE3" s="509"/>
      <c r="CF3" s="509"/>
      <c r="CG3" s="509"/>
      <c r="CH3" s="509"/>
      <c r="CI3" s="509"/>
      <c r="CJ3" s="509"/>
      <c r="CK3" s="509"/>
      <c r="CL3" s="510"/>
    </row>
    <row r="4" spans="1:90" ht="15" customHeight="1" x14ac:dyDescent="0.3">
      <c r="A4" s="353" t="s">
        <v>464</v>
      </c>
      <c r="B4" s="354"/>
      <c r="C4" s="354"/>
      <c r="D4" s="355"/>
      <c r="E4" s="353" t="s">
        <v>226</v>
      </c>
      <c r="F4" s="354"/>
      <c r="G4" s="354"/>
      <c r="H4" s="355"/>
      <c r="I4" s="335" t="s">
        <v>465</v>
      </c>
      <c r="J4" s="335"/>
      <c r="K4" s="335" t="s">
        <v>404</v>
      </c>
      <c r="L4" s="335"/>
      <c r="M4" s="338" t="s">
        <v>466</v>
      </c>
      <c r="N4" s="338"/>
      <c r="O4" s="377" t="s">
        <v>8</v>
      </c>
      <c r="P4" s="378"/>
      <c r="Q4" s="402">
        <f>Fuel!$C$22</f>
        <v>9000</v>
      </c>
      <c r="R4" s="403"/>
      <c r="S4" s="90">
        <f>IF(ROUTE!A6 &lt;&gt;"",ROUTE!A6,"")</f>
        <v>1</v>
      </c>
      <c r="T4" s="392" t="str">
        <f>IF(ROUTE!B6&lt;&gt;"",ROUTE!B6,"")</f>
        <v>JUNNO</v>
      </c>
      <c r="U4" s="392"/>
      <c r="V4" s="383" t="str">
        <f>IF(ROUTE!C6&lt;&gt;"",ROUTE!C6,"")</f>
        <v>N36:43.800 W114:52.770</v>
      </c>
      <c r="W4" s="384"/>
      <c r="X4" s="384"/>
      <c r="Y4" s="385"/>
      <c r="Z4" s="196" t="str">
        <f>IF(ROUTE!D6&lt;&gt;"",ROUTE!D6,"")</f>
        <v>003°</v>
      </c>
      <c r="AA4" s="87">
        <f>IF(ROUTE!E6&lt;&gt;"",ROUTE!E6,"")</f>
        <v>31</v>
      </c>
      <c r="AB4" s="196">
        <f>IF(ROUTE!G6&lt;&gt;"",ROUTE!G6,"")</f>
        <v>244</v>
      </c>
      <c r="AC4" s="426">
        <f>IF(ROUTE!J6&lt;&gt;"",ROUTE!J6,"")</f>
        <v>4.8263888888888662E-3</v>
      </c>
      <c r="AD4" s="427"/>
      <c r="AE4" s="412">
        <f>IF(ROUTE!H6&lt;&gt;"",ROUTE!H6,"")</f>
        <v>0.33815972222222218</v>
      </c>
      <c r="AF4" s="413"/>
      <c r="AG4" s="410" t="str">
        <f>IF(ROUTE!F6&lt;&gt;"",ROUTE!F6,"")</f>
        <v>6.6 M</v>
      </c>
      <c r="AH4" s="411"/>
      <c r="AI4" s="226">
        <f>IF(ROUTE!O6&lt;&gt;"",ROUTE!O6,"")</f>
        <v>6140</v>
      </c>
      <c r="AJ4" s="226">
        <f>IF(ROUTE!Q6&lt;&gt;"",ROUTE!Q6,"")</f>
        <v>6490</v>
      </c>
      <c r="AK4" s="278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80"/>
      <c r="BC4" s="278"/>
      <c r="BD4" s="279"/>
      <c r="BE4" s="279"/>
      <c r="BF4" s="279"/>
      <c r="BG4" s="279"/>
      <c r="BH4" s="279"/>
      <c r="BI4" s="279"/>
      <c r="BJ4" s="279"/>
      <c r="BK4" s="279"/>
      <c r="BL4" s="279"/>
      <c r="BM4" s="279"/>
      <c r="BN4" s="279"/>
      <c r="BO4" s="279"/>
      <c r="BP4" s="279"/>
      <c r="BQ4" s="279"/>
      <c r="BR4" s="279"/>
      <c r="BS4" s="279"/>
      <c r="BT4" s="280"/>
      <c r="BU4" s="493" t="s">
        <v>326</v>
      </c>
      <c r="BV4" s="493"/>
      <c r="BW4" s="493"/>
      <c r="BX4" s="494" t="s">
        <v>425</v>
      </c>
      <c r="BY4" s="495"/>
      <c r="BZ4" s="495"/>
      <c r="CA4" s="495"/>
      <c r="CB4" s="495"/>
      <c r="CC4" s="496"/>
      <c r="CD4" s="511"/>
      <c r="CE4" s="511"/>
      <c r="CF4" s="511"/>
      <c r="CG4" s="511"/>
      <c r="CH4" s="511"/>
      <c r="CI4" s="511"/>
      <c r="CJ4" s="511"/>
      <c r="CK4" s="511"/>
      <c r="CL4" s="512"/>
    </row>
    <row r="5" spans="1:90" ht="15" customHeight="1" x14ac:dyDescent="0.3">
      <c r="A5" s="393"/>
      <c r="B5" s="394"/>
      <c r="C5" s="394"/>
      <c r="D5" s="395"/>
      <c r="E5" s="393"/>
      <c r="F5" s="394"/>
      <c r="G5" s="394"/>
      <c r="H5" s="395"/>
      <c r="I5" s="336"/>
      <c r="J5" s="336"/>
      <c r="K5" s="336"/>
      <c r="L5" s="336"/>
      <c r="M5" s="339"/>
      <c r="N5" s="339"/>
      <c r="O5" s="379" t="s">
        <v>5</v>
      </c>
      <c r="P5" s="380"/>
      <c r="Q5" s="404">
        <f>Fuel!$C$16</f>
        <v>4800</v>
      </c>
      <c r="R5" s="405"/>
      <c r="S5" s="89">
        <f>IF(ROUTE!A7 &lt;&gt;"",ROUTE!A7,"")</f>
        <v>2</v>
      </c>
      <c r="T5" s="342" t="str">
        <f>IF(ROUTE!B7&lt;&gt;"",ROUTE!B7,"")</f>
        <v>DREAM</v>
      </c>
      <c r="U5" s="342"/>
      <c r="V5" s="386" t="str">
        <f>IF(ROUTE!C7&lt;&gt;"",ROUTE!C7,"")</f>
        <v>N37:10.340 W114:59.530</v>
      </c>
      <c r="W5" s="387"/>
      <c r="X5" s="387"/>
      <c r="Y5" s="388"/>
      <c r="Z5" s="195" t="str">
        <f>IF(ROUTE!D7&lt;&gt;"",ROUTE!D7,"")</f>
        <v>337°</v>
      </c>
      <c r="AA5" s="86">
        <f>IF(ROUTE!E7&lt;&gt;"",ROUTE!E7,"")</f>
        <v>27</v>
      </c>
      <c r="AB5" s="195">
        <f>IF(ROUTE!G7&lt;&gt;"",ROUTE!G7,"")</f>
        <v>244</v>
      </c>
      <c r="AC5" s="297">
        <f>IF(ROUTE!J7&lt;&gt;"",ROUTE!J7,"")</f>
        <v>4.1782407407408018E-3</v>
      </c>
      <c r="AD5" s="298"/>
      <c r="AE5" s="343">
        <f>IF(ROUTE!H7&lt;&gt;"",ROUTE!H7,"")</f>
        <v>0.34233796296296298</v>
      </c>
      <c r="AF5" s="344"/>
      <c r="AG5" s="305" t="str">
        <f>IF(ROUTE!F7&lt;&gt;"",ROUTE!F7,"")</f>
        <v>6.6 M</v>
      </c>
      <c r="AH5" s="307"/>
      <c r="AI5" s="227">
        <f>IF(ROUTE!O7&lt;&gt;"",ROUTE!O7,"")</f>
        <v>5560</v>
      </c>
      <c r="AJ5" s="227">
        <f>IF(ROUTE!Q7&lt;&gt;"",ROUTE!Q7,"")</f>
        <v>5910</v>
      </c>
      <c r="AK5" s="278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80"/>
      <c r="BC5" s="278"/>
      <c r="BD5" s="279"/>
      <c r="BE5" s="279"/>
      <c r="BF5" s="279"/>
      <c r="BG5" s="279"/>
      <c r="BH5" s="279"/>
      <c r="BI5" s="279"/>
      <c r="BJ5" s="279"/>
      <c r="BK5" s="279"/>
      <c r="BL5" s="279"/>
      <c r="BM5" s="279"/>
      <c r="BN5" s="279"/>
      <c r="BO5" s="279"/>
      <c r="BP5" s="279"/>
      <c r="BQ5" s="279"/>
      <c r="BR5" s="279"/>
      <c r="BS5" s="279"/>
      <c r="BT5" s="280"/>
      <c r="BU5" s="493" t="s">
        <v>327</v>
      </c>
      <c r="BV5" s="493"/>
      <c r="BW5" s="493"/>
      <c r="BX5" s="515" t="s">
        <v>426</v>
      </c>
      <c r="BY5" s="516"/>
      <c r="BZ5" s="516"/>
      <c r="CA5" s="516"/>
      <c r="CB5" s="516"/>
      <c r="CC5" s="517"/>
      <c r="CD5" s="513"/>
      <c r="CE5" s="513"/>
      <c r="CF5" s="513"/>
      <c r="CG5" s="513"/>
      <c r="CH5" s="513"/>
      <c r="CI5" s="513"/>
      <c r="CJ5" s="513"/>
      <c r="CK5" s="513"/>
      <c r="CL5" s="514"/>
    </row>
    <row r="6" spans="1:90" ht="15" customHeight="1" x14ac:dyDescent="0.3">
      <c r="A6" s="393"/>
      <c r="B6" s="394"/>
      <c r="C6" s="394"/>
      <c r="D6" s="395"/>
      <c r="E6" s="393"/>
      <c r="F6" s="394"/>
      <c r="G6" s="394"/>
      <c r="H6" s="395"/>
      <c r="I6" s="336"/>
      <c r="J6" s="336"/>
      <c r="K6" s="336"/>
      <c r="L6" s="336"/>
      <c r="M6" s="339"/>
      <c r="N6" s="339"/>
      <c r="O6" s="381" t="s">
        <v>6</v>
      </c>
      <c r="P6" s="382"/>
      <c r="Q6" s="406">
        <f>Fuel!$C$17</f>
        <v>3200</v>
      </c>
      <c r="R6" s="407"/>
      <c r="S6" s="88">
        <f>IF(ROUTE!A8 &lt;&gt;"",ROUTE!A8,"")</f>
        <v>3</v>
      </c>
      <c r="T6" s="341" t="str">
        <f>IF(ROUTE!B8&lt;&gt;"",ROUTE!B8,"")</f>
        <v>STDT GAP</v>
      </c>
      <c r="U6" s="341"/>
      <c r="V6" s="389" t="str">
        <f>IF(ROUTE!C8&lt;&gt;"",ROUTE!C8,"")</f>
        <v>N37:36.705 W114:57.825</v>
      </c>
      <c r="W6" s="390"/>
      <c r="X6" s="390"/>
      <c r="Y6" s="391"/>
      <c r="Z6" s="194" t="str">
        <f>IF(ROUTE!D8&lt;&gt;"",ROUTE!D8,"")</f>
        <v>351°</v>
      </c>
      <c r="AA6" s="85">
        <f>IF(ROUTE!E8&lt;&gt;"",ROUTE!E8,"")</f>
        <v>26</v>
      </c>
      <c r="AB6" s="194">
        <f>IF(ROUTE!G8&lt;&gt;"",ROUTE!G8,"")</f>
        <v>244</v>
      </c>
      <c r="AC6" s="324">
        <f>IF(ROUTE!J8&lt;&gt;"",ROUTE!J8,"")</f>
        <v>4.0856481481481577E-3</v>
      </c>
      <c r="AD6" s="325"/>
      <c r="AE6" s="333">
        <f>IF(ROUTE!H8&lt;&gt;"",ROUTE!H8,"")</f>
        <v>0.34642361111111114</v>
      </c>
      <c r="AF6" s="334"/>
      <c r="AG6" s="299" t="str">
        <f>IF(ROUTE!F8&lt;&gt;"",ROUTE!F8,"")</f>
        <v>6.6 M</v>
      </c>
      <c r="AH6" s="301"/>
      <c r="AI6" s="228">
        <f>IF(ROUTE!O8&lt;&gt;"",ROUTE!O8,"")</f>
        <v>5000</v>
      </c>
      <c r="AJ6" s="228">
        <f>IF(ROUTE!Q8&lt;&gt;"",ROUTE!Q8,"")</f>
        <v>5350</v>
      </c>
      <c r="AK6" s="278"/>
      <c r="AL6" s="279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80"/>
      <c r="BC6" s="278"/>
      <c r="BD6" s="279"/>
      <c r="BE6" s="279"/>
      <c r="BF6" s="279"/>
      <c r="BG6" s="279"/>
      <c r="BH6" s="279"/>
      <c r="BI6" s="279"/>
      <c r="BJ6" s="279"/>
      <c r="BK6" s="279"/>
      <c r="BL6" s="279"/>
      <c r="BM6" s="279"/>
      <c r="BN6" s="279"/>
      <c r="BO6" s="279"/>
      <c r="BP6" s="279"/>
      <c r="BQ6" s="279"/>
      <c r="BR6" s="279"/>
      <c r="BS6" s="279"/>
      <c r="BT6" s="280"/>
      <c r="BU6" s="503" t="s">
        <v>328</v>
      </c>
      <c r="BV6" s="504"/>
      <c r="BW6" s="504"/>
      <c r="BX6" s="504"/>
      <c r="BY6" s="504"/>
      <c r="BZ6" s="504"/>
      <c r="CA6" s="504"/>
      <c r="CB6" s="504"/>
      <c r="CC6" s="504"/>
      <c r="CD6" s="504"/>
      <c r="CE6" s="504"/>
      <c r="CF6" s="504"/>
      <c r="CG6" s="504"/>
      <c r="CH6" s="504"/>
      <c r="CI6" s="504"/>
      <c r="CJ6" s="504"/>
      <c r="CK6" s="504"/>
      <c r="CL6" s="505"/>
    </row>
    <row r="7" spans="1:90" ht="15" customHeight="1" x14ac:dyDescent="0.3">
      <c r="A7" s="396"/>
      <c r="B7" s="397"/>
      <c r="C7" s="397"/>
      <c r="D7" s="398"/>
      <c r="E7" s="396"/>
      <c r="F7" s="397"/>
      <c r="G7" s="397"/>
      <c r="H7" s="398"/>
      <c r="I7" s="337"/>
      <c r="J7" s="337"/>
      <c r="K7" s="337"/>
      <c r="L7" s="337"/>
      <c r="M7" s="340"/>
      <c r="N7" s="340"/>
      <c r="O7" s="408" t="s">
        <v>7</v>
      </c>
      <c r="P7" s="409"/>
      <c r="Q7" s="424">
        <f>Fuel!$C$18</f>
        <v>2700</v>
      </c>
      <c r="R7" s="425"/>
      <c r="S7" s="89">
        <f>IF(ROUTE!A9 &lt;&gt;"",ROUTE!A9,"")</f>
        <v>4</v>
      </c>
      <c r="T7" s="342" t="str">
        <f>IF(ROUTE!B9&lt;&gt;"",ROUTE!B9,"")</f>
        <v>BLTD PEAK</v>
      </c>
      <c r="U7" s="342"/>
      <c r="V7" s="386" t="str">
        <f>IF(ROUTE!C9&lt;&gt;"",ROUTE!C9,"")</f>
        <v>N37:34.000 W116:04.500</v>
      </c>
      <c r="W7" s="387"/>
      <c r="X7" s="387"/>
      <c r="Y7" s="388"/>
      <c r="Z7" s="195" t="str">
        <f>IF(ROUTE!D9&lt;&gt;"",ROUTE!D9,"")</f>
        <v>219°</v>
      </c>
      <c r="AA7" s="86">
        <f>IF(ROUTE!E9&lt;&gt;"",ROUTE!E9,"")</f>
        <v>53</v>
      </c>
      <c r="AB7" s="195">
        <f>IF(ROUTE!G9&lt;&gt;"",ROUTE!G9,"")</f>
        <v>244</v>
      </c>
      <c r="AC7" s="297">
        <f>IF(ROUTE!J9&lt;&gt;"",ROUTE!J9,"")</f>
        <v>8.1712962962963154E-3</v>
      </c>
      <c r="AD7" s="298"/>
      <c r="AE7" s="343">
        <f>IF(ROUTE!H9&lt;&gt;"",ROUTE!H9,"")</f>
        <v>0.35459490740740746</v>
      </c>
      <c r="AF7" s="344"/>
      <c r="AG7" s="305" t="str">
        <f>IF(ROUTE!F9&lt;&gt;"",ROUTE!F9,"")</f>
        <v>6.6 M</v>
      </c>
      <c r="AH7" s="307"/>
      <c r="AI7" s="227">
        <f>IF(ROUTE!O9&lt;&gt;"",ROUTE!O9,"")</f>
        <v>3880</v>
      </c>
      <c r="AJ7" s="227">
        <f>IF(ROUTE!Q9&lt;&gt;"",ROUTE!Q9,"")</f>
        <v>4230</v>
      </c>
      <c r="AK7" s="278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280"/>
      <c r="BC7" s="278"/>
      <c r="BD7" s="279"/>
      <c r="BE7" s="279"/>
      <c r="BF7" s="279"/>
      <c r="BG7" s="279"/>
      <c r="BH7" s="279"/>
      <c r="BI7" s="279"/>
      <c r="BJ7" s="279"/>
      <c r="BK7" s="279"/>
      <c r="BL7" s="279"/>
      <c r="BM7" s="279"/>
      <c r="BN7" s="279"/>
      <c r="BO7" s="279"/>
      <c r="BP7" s="279"/>
      <c r="BQ7" s="279"/>
      <c r="BR7" s="279"/>
      <c r="BS7" s="279"/>
      <c r="BT7" s="280"/>
      <c r="BU7" s="493" t="s">
        <v>331</v>
      </c>
      <c r="BV7" s="493"/>
      <c r="BW7" s="493"/>
      <c r="BX7" s="506" t="s">
        <v>408</v>
      </c>
      <c r="BY7" s="507"/>
      <c r="BZ7" s="507"/>
      <c r="CA7" s="507"/>
      <c r="CB7" s="507"/>
      <c r="CC7" s="508"/>
      <c r="CD7" s="493" t="s">
        <v>131</v>
      </c>
      <c r="CE7" s="493"/>
      <c r="CF7" s="493"/>
      <c r="CG7" s="506" t="s">
        <v>419</v>
      </c>
      <c r="CH7" s="507"/>
      <c r="CI7" s="507"/>
      <c r="CJ7" s="507"/>
      <c r="CK7" s="507"/>
      <c r="CL7" s="508"/>
    </row>
    <row r="8" spans="1:90" ht="15" customHeight="1" x14ac:dyDescent="0.3">
      <c r="A8" s="351" t="s">
        <v>124</v>
      </c>
      <c r="B8" s="351"/>
      <c r="C8" s="351" t="s">
        <v>125</v>
      </c>
      <c r="D8" s="351"/>
      <c r="E8" s="351"/>
      <c r="F8" s="294" t="s">
        <v>38</v>
      </c>
      <c r="G8" s="296"/>
      <c r="H8" s="95" t="s">
        <v>232</v>
      </c>
      <c r="I8" s="294" t="s">
        <v>39</v>
      </c>
      <c r="J8" s="295"/>
      <c r="K8" s="295"/>
      <c r="L8" s="295"/>
      <c r="M8" s="295"/>
      <c r="N8" s="295"/>
      <c r="O8" s="295"/>
      <c r="P8" s="296"/>
      <c r="Q8" s="223" t="s">
        <v>475</v>
      </c>
      <c r="R8" s="95" t="s">
        <v>128</v>
      </c>
      <c r="S8" s="88">
        <f>IF(ROUTE!A10 &lt;&gt;"",ROUTE!A10,"")</f>
        <v>5</v>
      </c>
      <c r="T8" s="341" t="str">
        <f>IF(ROUTE!B10&lt;&gt;"",ROUTE!B10,"")</f>
        <v>GARTH</v>
      </c>
      <c r="U8" s="341"/>
      <c r="V8" s="389" t="str">
        <f>IF(ROUTE!C10&lt;&gt;"",ROUTE!C10,"")</f>
        <v>N37:17.960 W116:21.260</v>
      </c>
      <c r="W8" s="390"/>
      <c r="X8" s="390"/>
      <c r="Y8" s="391"/>
      <c r="Z8" s="194" t="str">
        <f>IF(ROUTE!D10&lt;&gt;"",ROUTE!D10,"")</f>
        <v>207°</v>
      </c>
      <c r="AA8" s="85">
        <f>IF(ROUTE!E10&lt;&gt;"",ROUTE!E10,"")</f>
        <v>21</v>
      </c>
      <c r="AB8" s="194">
        <f>IF(ROUTE!G10&lt;&gt;"",ROUTE!G10,"")</f>
        <v>227</v>
      </c>
      <c r="AC8" s="324">
        <f>IF(ROUTE!J10&lt;&gt;"",ROUTE!J10,"")</f>
        <v>3.2175925925925775E-3</v>
      </c>
      <c r="AD8" s="325"/>
      <c r="AE8" s="333">
        <f>IF(ROUTE!H10&lt;&gt;"",ROUTE!H10,"")</f>
        <v>0.35781250000000003</v>
      </c>
      <c r="AF8" s="334"/>
      <c r="AG8" s="299" t="str">
        <f>IF(ROUTE!F10&lt;&gt;"",ROUTE!F10,"")</f>
        <v>11.6 M</v>
      </c>
      <c r="AH8" s="301"/>
      <c r="AI8" s="228">
        <f>IF(ROUTE!O10&lt;&gt;"",ROUTE!O10,"")</f>
        <v>3430</v>
      </c>
      <c r="AJ8" s="228">
        <f>IF(ROUTE!Q10&lt;&gt;"",ROUTE!Q10,"")</f>
        <v>3780</v>
      </c>
      <c r="AK8" s="278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80"/>
      <c r="BC8" s="278"/>
      <c r="BD8" s="279"/>
      <c r="BE8" s="279"/>
      <c r="BF8" s="279"/>
      <c r="BG8" s="279"/>
      <c r="BH8" s="279"/>
      <c r="BI8" s="279"/>
      <c r="BJ8" s="279"/>
      <c r="BK8" s="279"/>
      <c r="BL8" s="279"/>
      <c r="BM8" s="279"/>
      <c r="BN8" s="279"/>
      <c r="BO8" s="279"/>
      <c r="BP8" s="279"/>
      <c r="BQ8" s="279"/>
      <c r="BR8" s="279"/>
      <c r="BS8" s="279"/>
      <c r="BT8" s="280"/>
      <c r="BU8" s="493" t="s">
        <v>29</v>
      </c>
      <c r="BV8" s="493"/>
      <c r="BW8" s="493"/>
      <c r="BX8" s="494" t="s">
        <v>444</v>
      </c>
      <c r="BY8" s="495"/>
      <c r="BZ8" s="495"/>
      <c r="CA8" s="495"/>
      <c r="CB8" s="495"/>
      <c r="CC8" s="496"/>
      <c r="CD8" s="493" t="s">
        <v>330</v>
      </c>
      <c r="CE8" s="493"/>
      <c r="CF8" s="493"/>
      <c r="CG8" s="546" t="s">
        <v>407</v>
      </c>
      <c r="CH8" s="547"/>
      <c r="CI8" s="547"/>
      <c r="CJ8" s="547"/>
      <c r="CK8" s="547"/>
      <c r="CL8" s="548"/>
    </row>
    <row r="9" spans="1:90" ht="15" customHeight="1" x14ac:dyDescent="0.3">
      <c r="A9" s="418"/>
      <c r="B9" s="418"/>
      <c r="C9" s="374" t="s">
        <v>275</v>
      </c>
      <c r="D9" s="374"/>
      <c r="E9" s="374"/>
      <c r="F9" s="419"/>
      <c r="G9" s="420"/>
      <c r="H9" s="79" t="s">
        <v>309</v>
      </c>
      <c r="I9" s="314"/>
      <c r="J9" s="315"/>
      <c r="K9" s="315"/>
      <c r="L9" s="315"/>
      <c r="M9" s="315"/>
      <c r="N9" s="315"/>
      <c r="O9" s="315"/>
      <c r="P9" s="316"/>
      <c r="Q9" s="224" t="s">
        <v>476</v>
      </c>
      <c r="R9" s="54" t="s">
        <v>321</v>
      </c>
      <c r="S9" s="89">
        <f>IF(ROUTE!A11 &lt;&gt;"",ROUTE!A11,"")</f>
        <v>6</v>
      </c>
      <c r="T9" s="342" t="str">
        <f>IF(ROUTE!B11&lt;&gt;"",ROUTE!B11,"")</f>
        <v>JASYN</v>
      </c>
      <c r="U9" s="342"/>
      <c r="V9" s="386" t="str">
        <f>IF(ROUTE!C11&lt;&gt;"",ROUTE!C11,"")</f>
        <v>N36:34.493 W116:02.466</v>
      </c>
      <c r="W9" s="387"/>
      <c r="X9" s="387" t="e">
        <f>IF(ROUTE!#REF!&lt;&gt;"",ROUTE!#REF!,"")</f>
        <v>#REF!</v>
      </c>
      <c r="Y9" s="388"/>
      <c r="Z9" s="195" t="str">
        <f>IF(ROUTE!D11&lt;&gt;"",ROUTE!D11,"")</f>
        <v>149°</v>
      </c>
      <c r="AA9" s="86">
        <f>IF(ROUTE!E11&lt;&gt;"",ROUTE!E11,"")</f>
        <v>46</v>
      </c>
      <c r="AB9" s="195">
        <f>IF(ROUTE!G11&lt;&gt;"",ROUTE!G11,"")</f>
        <v>227</v>
      </c>
      <c r="AC9" s="297">
        <f>IF(ROUTE!J11&lt;&gt;"",ROUTE!J11,"")</f>
        <v>7.0949074074073692E-3</v>
      </c>
      <c r="AD9" s="298"/>
      <c r="AE9" s="343">
        <f>IF(ROUTE!H11&lt;&gt;"",ROUTE!H11,"")</f>
        <v>0.3649074074074074</v>
      </c>
      <c r="AF9" s="344"/>
      <c r="AG9" s="305" t="str">
        <f>IF(ROUTE!F11&lt;&gt;"",ROUTE!F11,"")</f>
        <v>11.6 M</v>
      </c>
      <c r="AH9" s="307"/>
      <c r="AI9" s="227">
        <f>IF(ROUTE!O11&lt;&gt;"",ROUTE!O11,"")</f>
        <v>2450</v>
      </c>
      <c r="AJ9" s="227">
        <f>IF(ROUTE!Q11&lt;&gt;"",ROUTE!Q11,"")</f>
        <v>2800</v>
      </c>
      <c r="AK9" s="278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80"/>
      <c r="BC9" s="278"/>
      <c r="BD9" s="279"/>
      <c r="BE9" s="279"/>
      <c r="BF9" s="279"/>
      <c r="BG9" s="279"/>
      <c r="BH9" s="279"/>
      <c r="BI9" s="279"/>
      <c r="BJ9" s="279"/>
      <c r="BK9" s="279"/>
      <c r="BL9" s="279"/>
      <c r="BM9" s="279"/>
      <c r="BN9" s="279"/>
      <c r="BO9" s="279"/>
      <c r="BP9" s="279"/>
      <c r="BQ9" s="279"/>
      <c r="BR9" s="279"/>
      <c r="BS9" s="279"/>
      <c r="BT9" s="280"/>
      <c r="BU9" s="493" t="s">
        <v>339</v>
      </c>
      <c r="BV9" s="493"/>
      <c r="BW9" s="493"/>
      <c r="BX9" s="539" t="s">
        <v>418</v>
      </c>
      <c r="BY9" s="540"/>
      <c r="BZ9" s="540"/>
      <c r="CA9" s="540"/>
      <c r="CB9" s="540"/>
      <c r="CC9" s="541"/>
      <c r="CD9" s="497" t="s">
        <v>338</v>
      </c>
      <c r="CE9" s="498"/>
      <c r="CF9" s="499"/>
      <c r="CG9" s="539" t="s">
        <v>419</v>
      </c>
      <c r="CH9" s="540"/>
      <c r="CI9" s="540"/>
      <c r="CJ9" s="540"/>
      <c r="CK9" s="540"/>
      <c r="CL9" s="541"/>
    </row>
    <row r="10" spans="1:90" ht="15" customHeight="1" x14ac:dyDescent="0.3">
      <c r="A10" s="356"/>
      <c r="B10" s="356"/>
      <c r="C10" s="356" t="s">
        <v>277</v>
      </c>
      <c r="D10" s="356"/>
      <c r="E10" s="356"/>
      <c r="F10" s="421"/>
      <c r="G10" s="422"/>
      <c r="H10" s="78" t="s">
        <v>310</v>
      </c>
      <c r="I10" s="317"/>
      <c r="J10" s="318"/>
      <c r="K10" s="318"/>
      <c r="L10" s="318"/>
      <c r="M10" s="318"/>
      <c r="N10" s="318"/>
      <c r="O10" s="318"/>
      <c r="P10" s="319"/>
      <c r="Q10" s="222" t="s">
        <v>477</v>
      </c>
      <c r="R10" s="52" t="s">
        <v>322</v>
      </c>
      <c r="S10" s="88">
        <f>IF(ROUTE!A12 &lt;&gt;"",ROUTE!A12,"")</f>
        <v>7</v>
      </c>
      <c r="T10" s="341" t="str">
        <f>IF(ROUTE!B12&lt;&gt;"",ROUTE!B12,"")</f>
        <v>STRYK</v>
      </c>
      <c r="U10" s="341"/>
      <c r="V10" s="389" t="str">
        <f>IF(ROUTE!C12&lt;&gt;"",ROUTE!C12,"")</f>
        <v>N36:25.663 W115:30.715</v>
      </c>
      <c r="W10" s="390"/>
      <c r="X10" s="390" t="e">
        <f>IF(ROUTE!#REF!&lt;&gt;"",ROUTE!#REF!,"")</f>
        <v>#REF!</v>
      </c>
      <c r="Y10" s="391"/>
      <c r="Z10" s="194" t="str">
        <f>IF(ROUTE!D12&lt;&gt;"",ROUTE!D12,"")</f>
        <v>097°</v>
      </c>
      <c r="AA10" s="85">
        <f>IF(ROUTE!E12&lt;&gt;"",ROUTE!E12,"")</f>
        <v>27</v>
      </c>
      <c r="AB10" s="194">
        <f>IF(ROUTE!G12&lt;&gt;"",ROUTE!G12,"")</f>
        <v>227</v>
      </c>
      <c r="AC10" s="324">
        <f>IF(ROUTE!J12&lt;&gt;"",ROUTE!J12,"")</f>
        <v>4.1782407407407463E-3</v>
      </c>
      <c r="AD10" s="325"/>
      <c r="AE10" s="333">
        <f>IF(ROUTE!H12&lt;&gt;"",ROUTE!H12,"")</f>
        <v>0.36908564814814815</v>
      </c>
      <c r="AF10" s="334"/>
      <c r="AG10" s="299" t="str">
        <f>IF(ROUTE!F12&lt;&gt;"",ROUTE!F12,"")</f>
        <v>11.6 M</v>
      </c>
      <c r="AH10" s="301"/>
      <c r="AI10" s="228">
        <f>IF(ROUTE!O12&lt;&gt;"",ROUTE!O12,"")</f>
        <v>1870</v>
      </c>
      <c r="AJ10" s="228">
        <f>IF(ROUTE!Q12&lt;&gt;"",ROUTE!Q12,"")</f>
        <v>2220</v>
      </c>
      <c r="AK10" s="278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80"/>
      <c r="BC10" s="278"/>
      <c r="BD10" s="279"/>
      <c r="BE10" s="279"/>
      <c r="BF10" s="279"/>
      <c r="BG10" s="279"/>
      <c r="BH10" s="279"/>
      <c r="BI10" s="279"/>
      <c r="BJ10" s="279"/>
      <c r="BK10" s="279"/>
      <c r="BL10" s="279"/>
      <c r="BM10" s="279"/>
      <c r="BN10" s="279"/>
      <c r="BO10" s="279"/>
      <c r="BP10" s="279"/>
      <c r="BQ10" s="279"/>
      <c r="BR10" s="279"/>
      <c r="BS10" s="279"/>
      <c r="BT10" s="280"/>
      <c r="BU10" s="527" t="s">
        <v>333</v>
      </c>
      <c r="BV10" s="528"/>
      <c r="BW10" s="528"/>
      <c r="BX10" s="528"/>
      <c r="BY10" s="528"/>
      <c r="BZ10" s="528"/>
      <c r="CA10" s="528"/>
      <c r="CB10" s="528"/>
      <c r="CC10" s="528"/>
      <c r="CD10" s="528"/>
      <c r="CE10" s="528"/>
      <c r="CF10" s="528"/>
      <c r="CG10" s="528"/>
      <c r="CH10" s="528"/>
      <c r="CI10" s="528"/>
      <c r="CJ10" s="528"/>
      <c r="CK10" s="528"/>
      <c r="CL10" s="529"/>
    </row>
    <row r="11" spans="1:90" ht="15" customHeight="1" x14ac:dyDescent="0.3">
      <c r="A11" s="332"/>
      <c r="B11" s="332"/>
      <c r="C11" s="332" t="s">
        <v>276</v>
      </c>
      <c r="D11" s="332"/>
      <c r="E11" s="332"/>
      <c r="F11" s="440"/>
      <c r="G11" s="441"/>
      <c r="H11" s="80" t="s">
        <v>311</v>
      </c>
      <c r="I11" s="320"/>
      <c r="J11" s="321"/>
      <c r="K11" s="321"/>
      <c r="L11" s="321"/>
      <c r="M11" s="321"/>
      <c r="N11" s="321"/>
      <c r="O11" s="321"/>
      <c r="P11" s="322"/>
      <c r="Q11" s="230">
        <v>5513</v>
      </c>
      <c r="R11" s="53" t="s">
        <v>321</v>
      </c>
      <c r="S11" s="89">
        <f>IF(ROUTE!A13 &lt;&gt;"",ROUTE!A13,"")</f>
        <v>8</v>
      </c>
      <c r="T11" s="342" t="str">
        <f>IF(ROUTE!B13&lt;&gt;"",ROUTE!B13,"")</f>
        <v>GASS PEAK</v>
      </c>
      <c r="U11" s="342"/>
      <c r="V11" s="386" t="str">
        <f>IF(ROUTE!C13&lt;&gt;"",ROUTE!C13,"")</f>
        <v>N36:24.054 W115:10.824</v>
      </c>
      <c r="W11" s="387"/>
      <c r="X11" s="387" t="e">
        <f>IF(ROUTE!#REF!&lt;&gt;"",ROUTE!#REF!,"")</f>
        <v>#REF!</v>
      </c>
      <c r="Y11" s="388"/>
      <c r="Z11" s="195" t="str">
        <f>IF(ROUTE!D13&lt;&gt;"",ROUTE!D13,"")</f>
        <v>084°</v>
      </c>
      <c r="AA11" s="86">
        <f>IF(ROUTE!E13&lt;&gt;"",ROUTE!E13,"")</f>
        <v>16</v>
      </c>
      <c r="AB11" s="195">
        <f>IF(ROUTE!G13&lt;&gt;"",ROUTE!G13,"")</f>
        <v>227</v>
      </c>
      <c r="AC11" s="297">
        <f>IF(ROUTE!J13&lt;&gt;"",ROUTE!J13,"")</f>
        <v>2.476851851851869E-3</v>
      </c>
      <c r="AD11" s="298"/>
      <c r="AE11" s="343">
        <f>IF(ROUTE!H13&lt;&gt;"",ROUTE!H13,"")</f>
        <v>0.37156250000000002</v>
      </c>
      <c r="AF11" s="344"/>
      <c r="AG11" s="305" t="str">
        <f>IF(ROUTE!F13&lt;&gt;"",ROUTE!F13,"")</f>
        <v>11.6 M</v>
      </c>
      <c r="AH11" s="307"/>
      <c r="AI11" s="227">
        <f>IF(ROUTE!O13&lt;&gt;"",ROUTE!O13,"")</f>
        <v>1530</v>
      </c>
      <c r="AJ11" s="227">
        <f>IF(ROUTE!Q13&lt;&gt;"",ROUTE!Q13,"")</f>
        <v>1880</v>
      </c>
      <c r="AK11" s="278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80"/>
      <c r="BC11" s="278"/>
      <c r="BD11" s="279"/>
      <c r="BE11" s="279"/>
      <c r="BF11" s="279"/>
      <c r="BG11" s="279"/>
      <c r="BH11" s="279"/>
      <c r="BI11" s="279"/>
      <c r="BJ11" s="279"/>
      <c r="BK11" s="279"/>
      <c r="BL11" s="279"/>
      <c r="BM11" s="279"/>
      <c r="BN11" s="279"/>
      <c r="BO11" s="279"/>
      <c r="BP11" s="279"/>
      <c r="BQ11" s="279"/>
      <c r="BR11" s="279"/>
      <c r="BS11" s="279"/>
      <c r="BT11" s="280"/>
      <c r="BU11" s="542" t="s">
        <v>329</v>
      </c>
      <c r="BV11" s="542"/>
      <c r="BW11" s="542"/>
      <c r="BX11" s="506" t="s">
        <v>440</v>
      </c>
      <c r="BY11" s="507"/>
      <c r="BZ11" s="507"/>
      <c r="CA11" s="507"/>
      <c r="CB11" s="507"/>
      <c r="CC11" s="508"/>
      <c r="CD11" s="203" t="s">
        <v>337</v>
      </c>
      <c r="CE11" s="204"/>
      <c r="CF11" s="204"/>
      <c r="CG11" s="204"/>
      <c r="CH11" s="204"/>
      <c r="CI11" s="204"/>
      <c r="CJ11" s="204"/>
      <c r="CK11" s="204"/>
      <c r="CL11" s="205"/>
    </row>
    <row r="12" spans="1:90" ht="15" customHeight="1" x14ac:dyDescent="0.3">
      <c r="A12" s="373"/>
      <c r="B12" s="373"/>
      <c r="C12" s="373" t="s">
        <v>278</v>
      </c>
      <c r="D12" s="373"/>
      <c r="E12" s="373"/>
      <c r="F12" s="442"/>
      <c r="G12" s="443"/>
      <c r="H12" s="81" t="s">
        <v>312</v>
      </c>
      <c r="I12" s="449"/>
      <c r="J12" s="450"/>
      <c r="K12" s="450"/>
      <c r="L12" s="450"/>
      <c r="M12" s="450"/>
      <c r="N12" s="450"/>
      <c r="O12" s="450"/>
      <c r="P12" s="451"/>
      <c r="Q12" s="231">
        <v>5514</v>
      </c>
      <c r="R12" s="55" t="s">
        <v>322</v>
      </c>
      <c r="S12" s="88">
        <f>IF(ROUTE!A14 &lt;&gt;"",ROUTE!A14,"")</f>
        <v>9</v>
      </c>
      <c r="T12" s="341" t="str">
        <f>IF(ROUTE!B14&lt;&gt;"",ROUTE!B14,"")</f>
        <v>APEX</v>
      </c>
      <c r="U12" s="341"/>
      <c r="V12" s="389" t="str">
        <f>IF(ROUTE!C14&lt;&gt;"",ROUTE!C14,"")</f>
        <v>N36:21.592 W114:54.355</v>
      </c>
      <c r="W12" s="390"/>
      <c r="X12" s="390" t="e">
        <f>IF(ROUTE!#REF!&lt;&gt;"",ROUTE!#REF!,"")</f>
        <v>#REF!</v>
      </c>
      <c r="Y12" s="391"/>
      <c r="Z12" s="194" t="str">
        <f>IF(ROUTE!D14&lt;&gt;"",ROUTE!D14,"")</f>
        <v>089°</v>
      </c>
      <c r="AA12" s="85">
        <f>IF(ROUTE!E14&lt;&gt;"",ROUTE!E14,"")</f>
        <v>13</v>
      </c>
      <c r="AB12" s="194">
        <f>IF(ROUTE!G14&lt;&gt;"",ROUTE!G14,"")</f>
        <v>227</v>
      </c>
      <c r="AC12" s="324">
        <f>IF(ROUTE!J14&lt;&gt;"",ROUTE!J14,"")</f>
        <v>2.3861967694566812E-3</v>
      </c>
      <c r="AD12" s="325"/>
      <c r="AE12" s="333">
        <f>IF(ROUTE!H14&lt;&gt;"",ROUTE!H14,"")</f>
        <v>0.37364583333333329</v>
      </c>
      <c r="AF12" s="334"/>
      <c r="AG12" s="299" t="str">
        <f>IF(ROUTE!F14&lt;&gt;"",ROUTE!F14,"")</f>
        <v>11.6 M</v>
      </c>
      <c r="AH12" s="301"/>
      <c r="AI12" s="228">
        <f>IF(ROUTE!O14&lt;&gt;"",ROUTE!O14,"")</f>
        <v>1200</v>
      </c>
      <c r="AJ12" s="228">
        <f>IF(ROUTE!Q14&lt;&gt;"",ROUTE!Q14,"")</f>
        <v>1550</v>
      </c>
      <c r="AK12" s="278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80"/>
      <c r="BC12" s="278"/>
      <c r="BD12" s="279"/>
      <c r="BE12" s="279"/>
      <c r="BF12" s="279"/>
      <c r="BG12" s="279"/>
      <c r="BH12" s="279"/>
      <c r="BI12" s="279"/>
      <c r="BJ12" s="279"/>
      <c r="BK12" s="279"/>
      <c r="BL12" s="279"/>
      <c r="BM12" s="279"/>
      <c r="BN12" s="279"/>
      <c r="BO12" s="279"/>
      <c r="BP12" s="279"/>
      <c r="BQ12" s="279"/>
      <c r="BR12" s="279"/>
      <c r="BS12" s="279"/>
      <c r="BT12" s="280"/>
      <c r="BU12" s="493" t="s">
        <v>331</v>
      </c>
      <c r="BV12" s="493"/>
      <c r="BW12" s="493"/>
      <c r="BX12" s="494" t="s">
        <v>443</v>
      </c>
      <c r="BY12" s="495"/>
      <c r="BZ12" s="495"/>
      <c r="CA12" s="495"/>
      <c r="CB12" s="495"/>
      <c r="CC12" s="496"/>
      <c r="CD12" s="199"/>
      <c r="CE12" s="200"/>
      <c r="CF12" s="200"/>
      <c r="CG12" s="200"/>
      <c r="CH12" s="200"/>
      <c r="CI12" s="200"/>
      <c r="CJ12" s="200"/>
      <c r="CK12" s="200"/>
      <c r="CL12" s="206"/>
    </row>
    <row r="13" spans="1:90" ht="15" customHeight="1" x14ac:dyDescent="0.3">
      <c r="A13" s="272" t="s">
        <v>1</v>
      </c>
      <c r="B13" s="273"/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4"/>
      <c r="S13" s="89">
        <f>IF(ROUTE!A15 &lt;&gt;"",ROUTE!A15,"")</f>
        <v>10</v>
      </c>
      <c r="T13" s="342" t="str">
        <f>IF(ROUTE!B15&lt;&gt;"",ROUTE!B15,"")</f>
        <v/>
      </c>
      <c r="U13" s="342"/>
      <c r="V13" s="305" t="str">
        <f>IF(ROUTE!C15&lt;&gt;"",ROUTE!C15,"")</f>
        <v/>
      </c>
      <c r="W13" s="306"/>
      <c r="X13" s="306" t="e">
        <f>IF(ROUTE!#REF!&lt;&gt;"",ROUTE!#REF!,"")</f>
        <v>#REF!</v>
      </c>
      <c r="Y13" s="307"/>
      <c r="Z13" s="195" t="str">
        <f>IF(ROUTE!D15&lt;&gt;"",ROUTE!D15,"")</f>
        <v/>
      </c>
      <c r="AA13" s="86" t="str">
        <f>IF(ROUTE!E15&lt;&gt;"",ROUTE!E15,"")</f>
        <v/>
      </c>
      <c r="AB13" s="195" t="str">
        <f>IF(ROUTE!G15&lt;&gt;"",ROUTE!G15,"")</f>
        <v/>
      </c>
      <c r="AC13" s="297" t="str">
        <f>IF(ROUTE!J15&lt;&gt;"",ROUTE!J15,"")</f>
        <v/>
      </c>
      <c r="AD13" s="298"/>
      <c r="AE13" s="343" t="str">
        <f>IF(ROUTE!H15&lt;&gt;"",ROUTE!H15,"")</f>
        <v/>
      </c>
      <c r="AF13" s="344"/>
      <c r="AG13" s="305" t="str">
        <f>IF(ROUTE!F15&lt;&gt;"",ROUTE!F15,"")</f>
        <v/>
      </c>
      <c r="AH13" s="307"/>
      <c r="AI13" s="227" t="str">
        <f>IF(ROUTE!O15&lt;&gt;"",ROUTE!O15,"")</f>
        <v/>
      </c>
      <c r="AJ13" s="227" t="str">
        <f>IF(ROUTE!Q15&lt;&gt;"",ROUTE!Q15,"")</f>
        <v/>
      </c>
      <c r="AK13" s="278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80"/>
      <c r="BC13" s="278"/>
      <c r="BD13" s="279"/>
      <c r="BE13" s="279"/>
      <c r="BF13" s="279"/>
      <c r="BG13" s="279"/>
      <c r="BH13" s="279"/>
      <c r="BI13" s="279"/>
      <c r="BJ13" s="279"/>
      <c r="BK13" s="279"/>
      <c r="BL13" s="279"/>
      <c r="BM13" s="279"/>
      <c r="BN13" s="279"/>
      <c r="BO13" s="279"/>
      <c r="BP13" s="279"/>
      <c r="BQ13" s="279"/>
      <c r="BR13" s="279"/>
      <c r="BS13" s="279"/>
      <c r="BT13" s="280"/>
      <c r="BU13" s="497" t="s">
        <v>10</v>
      </c>
      <c r="BV13" s="498"/>
      <c r="BW13" s="499"/>
      <c r="BX13" s="500" t="s">
        <v>421</v>
      </c>
      <c r="BY13" s="501"/>
      <c r="BZ13" s="501"/>
      <c r="CA13" s="501"/>
      <c r="CB13" s="501"/>
      <c r="CC13" s="502"/>
      <c r="CD13" s="199"/>
      <c r="CE13" s="200"/>
      <c r="CF13" s="200"/>
      <c r="CG13" s="200"/>
      <c r="CH13" s="200"/>
      <c r="CI13" s="200"/>
      <c r="CJ13" s="200"/>
      <c r="CK13" s="200"/>
      <c r="CL13" s="206"/>
    </row>
    <row r="14" spans="1:90" ht="15" customHeight="1" x14ac:dyDescent="0.3">
      <c r="A14" s="437" t="s">
        <v>30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M14" s="351" t="s">
        <v>28</v>
      </c>
      <c r="N14" s="351"/>
      <c r="O14" s="351"/>
      <c r="P14" s="351"/>
      <c r="Q14" s="351"/>
      <c r="R14" s="95" t="s">
        <v>29</v>
      </c>
      <c r="S14" s="88">
        <f>IF(ROUTE!A16 &lt;&gt;"",ROUTE!A16,"")</f>
        <v>11</v>
      </c>
      <c r="T14" s="341" t="str">
        <f>IF(ROUTE!B16&lt;&gt;"",ROUTE!B16,"")</f>
        <v/>
      </c>
      <c r="U14" s="341"/>
      <c r="V14" s="299" t="str">
        <f>IF(ROUTE!C16&lt;&gt;"",ROUTE!C16,"")</f>
        <v/>
      </c>
      <c r="W14" s="300"/>
      <c r="X14" s="300" t="e">
        <f>IF(ROUTE!#REF!&lt;&gt;"",ROUTE!#REF!,"")</f>
        <v>#REF!</v>
      </c>
      <c r="Y14" s="301"/>
      <c r="Z14" s="194" t="str">
        <f>IF(ROUTE!D16&lt;&gt;"",ROUTE!D16,"")</f>
        <v/>
      </c>
      <c r="AA14" s="85" t="str">
        <f>IF(ROUTE!E16&lt;&gt;"",ROUTE!E16,"")</f>
        <v/>
      </c>
      <c r="AB14" s="194" t="str">
        <f>IF(ROUTE!G16&lt;&gt;"",ROUTE!G16,"")</f>
        <v/>
      </c>
      <c r="AC14" s="324" t="str">
        <f>IF(ROUTE!J16&lt;&gt;"",ROUTE!J16,"")</f>
        <v/>
      </c>
      <c r="AD14" s="325"/>
      <c r="AE14" s="333" t="str">
        <f>IF(ROUTE!H16&lt;&gt;"",ROUTE!H16,"")</f>
        <v/>
      </c>
      <c r="AF14" s="334"/>
      <c r="AG14" s="299" t="str">
        <f>IF(ROUTE!F16&lt;&gt;"",ROUTE!F16,"")</f>
        <v/>
      </c>
      <c r="AH14" s="301"/>
      <c r="AI14" s="228" t="str">
        <f>IF(ROUTE!O16&lt;&gt;"",ROUTE!O16,"")</f>
        <v/>
      </c>
      <c r="AJ14" s="228" t="str">
        <f>IF(ROUTE!Q16&lt;&gt;"",ROUTE!Q16,"")</f>
        <v/>
      </c>
      <c r="AK14" s="278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80"/>
      <c r="BC14" s="278"/>
      <c r="BD14" s="279"/>
      <c r="BE14" s="279"/>
      <c r="BF14" s="279"/>
      <c r="BG14" s="279"/>
      <c r="BH14" s="279"/>
      <c r="BI14" s="279"/>
      <c r="BJ14" s="279"/>
      <c r="BK14" s="279"/>
      <c r="BL14" s="279"/>
      <c r="BM14" s="279"/>
      <c r="BN14" s="279"/>
      <c r="BO14" s="279"/>
      <c r="BP14" s="279"/>
      <c r="BQ14" s="279"/>
      <c r="BR14" s="279"/>
      <c r="BS14" s="279"/>
      <c r="BT14" s="280"/>
      <c r="BU14" s="536" t="s">
        <v>334</v>
      </c>
      <c r="BV14" s="537"/>
      <c r="BW14" s="538"/>
      <c r="BX14" s="494" t="s">
        <v>422</v>
      </c>
      <c r="BY14" s="495"/>
      <c r="BZ14" s="495"/>
      <c r="CA14" s="495"/>
      <c r="CB14" s="495"/>
      <c r="CC14" s="496"/>
      <c r="CD14" s="199"/>
      <c r="CE14" s="200"/>
      <c r="CF14" s="200"/>
      <c r="CG14" s="200"/>
      <c r="CH14" s="207" t="s">
        <v>445</v>
      </c>
      <c r="CI14" s="200"/>
      <c r="CJ14" s="200"/>
      <c r="CK14" s="200"/>
      <c r="CL14" s="206"/>
    </row>
    <row r="15" spans="1:90" ht="15" customHeight="1" x14ac:dyDescent="0.3">
      <c r="A15" s="428"/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30"/>
      <c r="M15" s="446" t="s">
        <v>314</v>
      </c>
      <c r="N15" s="447"/>
      <c r="O15" s="447"/>
      <c r="P15" s="447"/>
      <c r="Q15" s="448"/>
      <c r="R15" s="57"/>
      <c r="S15" s="89">
        <f>IF(ROUTE!A17 &lt;&gt;"",ROUTE!A17,"")</f>
        <v>12</v>
      </c>
      <c r="T15" s="342" t="str">
        <f>IF(ROUTE!B17&lt;&gt;"",ROUTE!B17,"")</f>
        <v/>
      </c>
      <c r="U15" s="342"/>
      <c r="V15" s="305" t="str">
        <f>IF(ROUTE!C17&lt;&gt;"",ROUTE!C17,"")</f>
        <v/>
      </c>
      <c r="W15" s="306"/>
      <c r="X15" s="306" t="e">
        <f>IF(ROUTE!#REF!&lt;&gt;"",ROUTE!#REF!,"")</f>
        <v>#REF!</v>
      </c>
      <c r="Y15" s="307"/>
      <c r="Z15" s="195" t="str">
        <f>IF(ROUTE!D17&lt;&gt;"",ROUTE!D17,"")</f>
        <v/>
      </c>
      <c r="AA15" s="86" t="str">
        <f>IF(ROUTE!E17&lt;&gt;"",ROUTE!E17,"")</f>
        <v/>
      </c>
      <c r="AB15" s="195" t="str">
        <f>IF(ROUTE!G17&lt;&gt;"",ROUTE!G17,"")</f>
        <v/>
      </c>
      <c r="AC15" s="297" t="str">
        <f>IF(ROUTE!J17&lt;&gt;"",ROUTE!J17,"")</f>
        <v/>
      </c>
      <c r="AD15" s="298"/>
      <c r="AE15" s="343" t="str">
        <f>IF(ROUTE!H17&lt;&gt;"",ROUTE!H17,"")</f>
        <v/>
      </c>
      <c r="AF15" s="344"/>
      <c r="AG15" s="305" t="str">
        <f>IF(ROUTE!F17&lt;&gt;"",ROUTE!F17,"")</f>
        <v/>
      </c>
      <c r="AH15" s="307"/>
      <c r="AI15" s="227" t="str">
        <f>IF(ROUTE!O17&lt;&gt;"",ROUTE!O17,"")</f>
        <v/>
      </c>
      <c r="AJ15" s="227" t="str">
        <f>IF(ROUTE!Q17&lt;&gt;"",ROUTE!Q17,"")</f>
        <v/>
      </c>
      <c r="AK15" s="278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80"/>
      <c r="BC15" s="278"/>
      <c r="BD15" s="279"/>
      <c r="BE15" s="279"/>
      <c r="BF15" s="279"/>
      <c r="BG15" s="279"/>
      <c r="BH15" s="279"/>
      <c r="BI15" s="279"/>
      <c r="BJ15" s="279"/>
      <c r="BK15" s="279"/>
      <c r="BL15" s="279"/>
      <c r="BM15" s="279"/>
      <c r="BN15" s="279"/>
      <c r="BO15" s="279"/>
      <c r="BP15" s="279"/>
      <c r="BQ15" s="279"/>
      <c r="BR15" s="279"/>
      <c r="BS15" s="279"/>
      <c r="BT15" s="280"/>
      <c r="BU15" s="536" t="s">
        <v>40</v>
      </c>
      <c r="BV15" s="537"/>
      <c r="BW15" s="538"/>
      <c r="BX15" s="539" t="s">
        <v>423</v>
      </c>
      <c r="BY15" s="540"/>
      <c r="BZ15" s="540"/>
      <c r="CA15" s="540"/>
      <c r="CB15" s="540"/>
      <c r="CC15" s="541"/>
      <c r="CD15" s="199"/>
      <c r="CE15" s="200"/>
      <c r="CF15" s="200"/>
      <c r="CG15" s="200"/>
      <c r="CH15" s="200"/>
      <c r="CI15" s="200"/>
      <c r="CJ15" s="200"/>
      <c r="CK15" s="200"/>
      <c r="CL15" s="206"/>
    </row>
    <row r="16" spans="1:90" ht="15" customHeight="1" x14ac:dyDescent="0.3">
      <c r="A16" s="431"/>
      <c r="B16" s="432"/>
      <c r="C16" s="432"/>
      <c r="D16" s="432"/>
      <c r="E16" s="432"/>
      <c r="F16" s="432"/>
      <c r="G16" s="432"/>
      <c r="H16" s="432"/>
      <c r="I16" s="432"/>
      <c r="J16" s="432"/>
      <c r="K16" s="432"/>
      <c r="L16" s="433"/>
      <c r="M16" s="317" t="s">
        <v>306</v>
      </c>
      <c r="N16" s="318"/>
      <c r="O16" s="318"/>
      <c r="P16" s="318"/>
      <c r="Q16" s="319"/>
      <c r="R16" s="52"/>
      <c r="S16" s="88">
        <f>IF(ROUTE!A18 &lt;&gt;"",ROUTE!A18,"")</f>
        <v>13</v>
      </c>
      <c r="T16" s="341" t="str">
        <f>IF(ROUTE!B18&lt;&gt;"",ROUTE!B18,"")</f>
        <v/>
      </c>
      <c r="U16" s="341"/>
      <c r="V16" s="299" t="str">
        <f>IF(ROUTE!C18&lt;&gt;"",ROUTE!C18,"")</f>
        <v/>
      </c>
      <c r="W16" s="300"/>
      <c r="X16" s="300" t="e">
        <f>IF(ROUTE!#REF!&lt;&gt;"",ROUTE!#REF!,"")</f>
        <v>#REF!</v>
      </c>
      <c r="Y16" s="301"/>
      <c r="Z16" s="194" t="str">
        <f>IF(ROUTE!D18&lt;&gt;"",ROUTE!D18,"")</f>
        <v/>
      </c>
      <c r="AA16" s="85" t="str">
        <f>IF(ROUTE!E18&lt;&gt;"",ROUTE!E18,"")</f>
        <v/>
      </c>
      <c r="AB16" s="194" t="str">
        <f>IF(ROUTE!G18&lt;&gt;"",ROUTE!G18,"")</f>
        <v/>
      </c>
      <c r="AC16" s="324" t="str">
        <f>IF(ROUTE!J18&lt;&gt;"",ROUTE!J18,"")</f>
        <v/>
      </c>
      <c r="AD16" s="325"/>
      <c r="AE16" s="333" t="str">
        <f>IF(ROUTE!H18&lt;&gt;"",ROUTE!H18,"")</f>
        <v/>
      </c>
      <c r="AF16" s="334"/>
      <c r="AG16" s="299" t="str">
        <f>IF(ROUTE!F18&lt;&gt;"",ROUTE!F18,"")</f>
        <v/>
      </c>
      <c r="AH16" s="301"/>
      <c r="AI16" s="228" t="str">
        <f>IF(ROUTE!O18&lt;&gt;"",ROUTE!O18,"")</f>
        <v/>
      </c>
      <c r="AJ16" s="228" t="str">
        <f>IF(ROUTE!Q18&lt;&gt;"",ROUTE!Q18,"")</f>
        <v/>
      </c>
      <c r="AK16" s="278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80"/>
      <c r="BC16" s="278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79"/>
      <c r="BQ16" s="279"/>
      <c r="BR16" s="279"/>
      <c r="BS16" s="279"/>
      <c r="BT16" s="280"/>
      <c r="BU16" s="536" t="s">
        <v>335</v>
      </c>
      <c r="BV16" s="537"/>
      <c r="BW16" s="538"/>
      <c r="BX16" s="494" t="s">
        <v>419</v>
      </c>
      <c r="BY16" s="495"/>
      <c r="BZ16" s="495"/>
      <c r="CA16" s="495"/>
      <c r="CB16" s="495"/>
      <c r="CC16" s="496"/>
      <c r="CD16" s="199"/>
      <c r="CE16" s="200"/>
      <c r="CF16" s="200"/>
      <c r="CG16" s="200"/>
      <c r="CH16" s="200"/>
      <c r="CI16" s="200"/>
      <c r="CJ16" s="200"/>
      <c r="CK16" s="200"/>
      <c r="CL16" s="206"/>
    </row>
    <row r="17" spans="1:90" ht="15" customHeight="1" x14ac:dyDescent="0.3">
      <c r="A17" s="431"/>
      <c r="B17" s="432"/>
      <c r="C17" s="432"/>
      <c r="D17" s="432"/>
      <c r="E17" s="432"/>
      <c r="F17" s="432"/>
      <c r="G17" s="432"/>
      <c r="H17" s="432"/>
      <c r="I17" s="432"/>
      <c r="J17" s="432"/>
      <c r="K17" s="432"/>
      <c r="L17" s="433"/>
      <c r="M17" s="326" t="s">
        <v>307</v>
      </c>
      <c r="N17" s="327"/>
      <c r="O17" s="327"/>
      <c r="P17" s="327"/>
      <c r="Q17" s="328"/>
      <c r="R17" s="56"/>
      <c r="S17" s="89">
        <f>IF(ROUTE!A19 &lt;&gt;"",ROUTE!A19,"")</f>
        <v>14</v>
      </c>
      <c r="T17" s="342" t="str">
        <f>IF(ROUTE!B19&lt;&gt;"",ROUTE!B19,"")</f>
        <v/>
      </c>
      <c r="U17" s="342"/>
      <c r="V17" s="305" t="str">
        <f>IF(ROUTE!C19&lt;&gt;"",ROUTE!C19,"")</f>
        <v/>
      </c>
      <c r="W17" s="306"/>
      <c r="X17" s="306" t="e">
        <f>IF(ROUTE!#REF!&lt;&gt;"",ROUTE!#REF!,"")</f>
        <v>#REF!</v>
      </c>
      <c r="Y17" s="307"/>
      <c r="Z17" s="195" t="str">
        <f>IF(ROUTE!D19&lt;&gt;"",ROUTE!D19,"")</f>
        <v/>
      </c>
      <c r="AA17" s="86" t="str">
        <f>IF(ROUTE!E19&lt;&gt;"",ROUTE!E19,"")</f>
        <v/>
      </c>
      <c r="AB17" s="195" t="str">
        <f>IF(ROUTE!G19&lt;&gt;"",ROUTE!G19,"")</f>
        <v/>
      </c>
      <c r="AC17" s="297" t="str">
        <f>IF(ROUTE!J19&lt;&gt;"",ROUTE!J19,"")</f>
        <v/>
      </c>
      <c r="AD17" s="298"/>
      <c r="AE17" s="343" t="str">
        <f>IF(ROUTE!H19&lt;&gt;"",ROUTE!H19,"")</f>
        <v/>
      </c>
      <c r="AF17" s="344"/>
      <c r="AG17" s="305" t="str">
        <f>IF(ROUTE!F19&lt;&gt;"",ROUTE!F19,"")</f>
        <v/>
      </c>
      <c r="AH17" s="307"/>
      <c r="AI17" s="227" t="str">
        <f>IF(ROUTE!O19&lt;&gt;"",ROUTE!O19,"")</f>
        <v/>
      </c>
      <c r="AJ17" s="227" t="str">
        <f>IF(ROUTE!Q19&lt;&gt;"",ROUTE!Q19,"")</f>
        <v/>
      </c>
      <c r="AK17" s="278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80"/>
      <c r="BC17" s="278"/>
      <c r="BD17" s="279"/>
      <c r="BE17" s="279"/>
      <c r="BF17" s="279"/>
      <c r="BG17" s="279"/>
      <c r="BH17" s="279"/>
      <c r="BI17" s="279"/>
      <c r="BJ17" s="279"/>
      <c r="BK17" s="279"/>
      <c r="BL17" s="279"/>
      <c r="BM17" s="279"/>
      <c r="BN17" s="279"/>
      <c r="BO17" s="279"/>
      <c r="BP17" s="279"/>
      <c r="BQ17" s="279"/>
      <c r="BR17" s="279"/>
      <c r="BS17" s="279"/>
      <c r="BT17" s="280"/>
      <c r="BU17" s="542" t="s">
        <v>332</v>
      </c>
      <c r="BV17" s="542"/>
      <c r="BW17" s="542"/>
      <c r="BX17" s="539" t="s">
        <v>405</v>
      </c>
      <c r="BY17" s="540"/>
      <c r="BZ17" s="540"/>
      <c r="CA17" s="540"/>
      <c r="CB17" s="540"/>
      <c r="CC17" s="541"/>
      <c r="CD17" s="199"/>
      <c r="CE17" s="200"/>
      <c r="CF17" s="200"/>
      <c r="CG17" s="200"/>
      <c r="CH17" s="200"/>
      <c r="CI17" s="200"/>
      <c r="CJ17" s="200"/>
      <c r="CK17" s="200"/>
      <c r="CL17" s="206"/>
    </row>
    <row r="18" spans="1:90" ht="15" customHeight="1" x14ac:dyDescent="0.3">
      <c r="A18" s="431"/>
      <c r="B18" s="432"/>
      <c r="C18" s="432"/>
      <c r="D18" s="432"/>
      <c r="E18" s="432"/>
      <c r="F18" s="432"/>
      <c r="G18" s="432"/>
      <c r="H18" s="432"/>
      <c r="I18" s="432"/>
      <c r="J18" s="432"/>
      <c r="K18" s="432"/>
      <c r="L18" s="433"/>
      <c r="M18" s="317" t="s">
        <v>315</v>
      </c>
      <c r="N18" s="318"/>
      <c r="O18" s="318"/>
      <c r="P18" s="318"/>
      <c r="Q18" s="319"/>
      <c r="R18" s="52"/>
      <c r="S18" s="88">
        <f>IF(ROUTE!A20 &lt;&gt;"",ROUTE!A20,"")</f>
        <v>15</v>
      </c>
      <c r="T18" s="341" t="str">
        <f>IF(ROUTE!B20&lt;&gt;"",ROUTE!B20,"")</f>
        <v/>
      </c>
      <c r="U18" s="341"/>
      <c r="V18" s="299" t="str">
        <f>IF(ROUTE!C20&lt;&gt;"",ROUTE!C20,"")</f>
        <v/>
      </c>
      <c r="W18" s="300"/>
      <c r="X18" s="300" t="e">
        <f>IF(ROUTE!#REF!&lt;&gt;"",ROUTE!#REF!,"")</f>
        <v>#REF!</v>
      </c>
      <c r="Y18" s="301"/>
      <c r="Z18" s="194" t="str">
        <f>IF(ROUTE!D20&lt;&gt;"",ROUTE!D20,"")</f>
        <v/>
      </c>
      <c r="AA18" s="85" t="str">
        <f>IF(ROUTE!E20&lt;&gt;"",ROUTE!E20,"")</f>
        <v/>
      </c>
      <c r="AB18" s="194" t="str">
        <f>IF(ROUTE!G20&lt;&gt;"",ROUTE!G20,"")</f>
        <v/>
      </c>
      <c r="AC18" s="324" t="str">
        <f>IF(ROUTE!J20&lt;&gt;"",ROUTE!J20,"")</f>
        <v/>
      </c>
      <c r="AD18" s="325"/>
      <c r="AE18" s="333" t="str">
        <f>IF(ROUTE!H20&lt;&gt;"",ROUTE!H20,"")</f>
        <v/>
      </c>
      <c r="AF18" s="334"/>
      <c r="AG18" s="299" t="str">
        <f>IF(ROUTE!F20&lt;&gt;"",ROUTE!F20,"")</f>
        <v/>
      </c>
      <c r="AH18" s="301"/>
      <c r="AI18" s="228" t="str">
        <f>IF(ROUTE!O20&lt;&gt;"",ROUTE!O20,"")</f>
        <v/>
      </c>
      <c r="AJ18" s="228" t="str">
        <f>IF(ROUTE!Q20&lt;&gt;"",ROUTE!Q20,"")</f>
        <v/>
      </c>
      <c r="AK18" s="278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  <c r="BA18" s="279"/>
      <c r="BB18" s="280"/>
      <c r="BC18" s="278"/>
      <c r="BD18" s="279"/>
      <c r="BE18" s="279"/>
      <c r="BF18" s="279"/>
      <c r="BG18" s="279"/>
      <c r="BH18" s="279"/>
      <c r="BI18" s="279"/>
      <c r="BJ18" s="279"/>
      <c r="BK18" s="279"/>
      <c r="BL18" s="279"/>
      <c r="BM18" s="279"/>
      <c r="BN18" s="279"/>
      <c r="BO18" s="279"/>
      <c r="BP18" s="279"/>
      <c r="BQ18" s="279"/>
      <c r="BR18" s="279"/>
      <c r="BS18" s="279"/>
      <c r="BT18" s="280"/>
      <c r="BU18" s="542" t="s">
        <v>336</v>
      </c>
      <c r="BV18" s="542"/>
      <c r="BW18" s="542"/>
      <c r="BX18" s="543" t="s">
        <v>420</v>
      </c>
      <c r="BY18" s="544"/>
      <c r="BZ18" s="544"/>
      <c r="CA18" s="544"/>
      <c r="CB18" s="544"/>
      <c r="CC18" s="545"/>
      <c r="CD18" s="201"/>
      <c r="CE18" s="202"/>
      <c r="CF18" s="202"/>
      <c r="CG18" s="202"/>
      <c r="CH18" s="202"/>
      <c r="CI18" s="202"/>
      <c r="CJ18" s="202"/>
      <c r="CK18" s="202"/>
      <c r="CL18" s="184"/>
    </row>
    <row r="19" spans="1:90" ht="15" customHeight="1" x14ac:dyDescent="0.3">
      <c r="A19" s="431"/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3"/>
      <c r="M19" s="434" t="s">
        <v>316</v>
      </c>
      <c r="N19" s="435"/>
      <c r="O19" s="435"/>
      <c r="P19" s="435"/>
      <c r="Q19" s="436"/>
      <c r="R19" s="188"/>
      <c r="S19" s="89">
        <f>IF(ROUTE!A21 &lt;&gt;"",ROUTE!A21,"")</f>
        <v>16</v>
      </c>
      <c r="T19" s="342" t="str">
        <f>IF(ROUTE!B21&lt;&gt;"",ROUTE!B21,"")</f>
        <v/>
      </c>
      <c r="U19" s="342"/>
      <c r="V19" s="305" t="str">
        <f>IF(ROUTE!C21&lt;&gt;"",ROUTE!C21,"")</f>
        <v/>
      </c>
      <c r="W19" s="306"/>
      <c r="X19" s="306" t="e">
        <f>IF(ROUTE!#REF!&lt;&gt;"",ROUTE!#REF!,"")</f>
        <v>#REF!</v>
      </c>
      <c r="Y19" s="307"/>
      <c r="Z19" s="195" t="str">
        <f>IF(ROUTE!D21&lt;&gt;"",ROUTE!D21,"")</f>
        <v/>
      </c>
      <c r="AA19" s="86" t="str">
        <f>IF(ROUTE!E21&lt;&gt;"",ROUTE!E21,"")</f>
        <v/>
      </c>
      <c r="AB19" s="195" t="str">
        <f>IF(ROUTE!G21&lt;&gt;"",ROUTE!G21,"")</f>
        <v/>
      </c>
      <c r="AC19" s="297" t="str">
        <f>IF(ROUTE!J21&lt;&gt;"",ROUTE!J21,"")</f>
        <v/>
      </c>
      <c r="AD19" s="298"/>
      <c r="AE19" s="343" t="str">
        <f>IF(ROUTE!H21&lt;&gt;"",ROUTE!H21,"")</f>
        <v/>
      </c>
      <c r="AF19" s="344"/>
      <c r="AG19" s="305" t="str">
        <f>IF(ROUTE!F21&lt;&gt;"",ROUTE!F21,"")</f>
        <v/>
      </c>
      <c r="AH19" s="307"/>
      <c r="AI19" s="227" t="str">
        <f>IF(ROUTE!O21&lt;&gt;"",ROUTE!O21,"")</f>
        <v/>
      </c>
      <c r="AJ19" s="227" t="str">
        <f>IF(ROUTE!Q21&lt;&gt;"",ROUTE!Q21,"")</f>
        <v/>
      </c>
      <c r="AK19" s="278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  <c r="BA19" s="279"/>
      <c r="BB19" s="280"/>
      <c r="BC19" s="278"/>
      <c r="BD19" s="279"/>
      <c r="BE19" s="279"/>
      <c r="BF19" s="279"/>
      <c r="BG19" s="279"/>
      <c r="BH19" s="279"/>
      <c r="BI19" s="279"/>
      <c r="BJ19" s="279"/>
      <c r="BK19" s="279"/>
      <c r="BL19" s="279"/>
      <c r="BM19" s="279"/>
      <c r="BN19" s="279"/>
      <c r="BO19" s="279"/>
      <c r="BP19" s="279"/>
      <c r="BQ19" s="279"/>
      <c r="BR19" s="279"/>
      <c r="BS19" s="279"/>
      <c r="BT19" s="280"/>
      <c r="BU19" s="503" t="s">
        <v>20</v>
      </c>
      <c r="BV19" s="504"/>
      <c r="BW19" s="504"/>
      <c r="BX19" s="504"/>
      <c r="BY19" s="504"/>
      <c r="BZ19" s="504"/>
      <c r="CA19" s="504"/>
      <c r="CB19" s="504"/>
      <c r="CC19" s="504"/>
      <c r="CD19" s="504"/>
      <c r="CE19" s="504"/>
      <c r="CF19" s="504"/>
      <c r="CG19" s="504"/>
      <c r="CH19" s="504"/>
      <c r="CI19" s="504"/>
      <c r="CJ19" s="504"/>
      <c r="CK19" s="504"/>
      <c r="CL19" s="505"/>
    </row>
    <row r="20" spans="1:90" ht="15" customHeight="1" x14ac:dyDescent="0.3">
      <c r="A20" s="444" t="s">
        <v>31</v>
      </c>
      <c r="B20" s="445"/>
      <c r="C20" s="445"/>
      <c r="D20" s="445"/>
      <c r="E20" s="445"/>
      <c r="F20" s="445"/>
      <c r="G20" s="445"/>
      <c r="H20" s="445"/>
      <c r="I20" s="445"/>
      <c r="J20" s="445"/>
      <c r="K20" s="445"/>
      <c r="L20" s="445"/>
      <c r="M20" s="317" t="s">
        <v>317</v>
      </c>
      <c r="N20" s="318"/>
      <c r="O20" s="318"/>
      <c r="P20" s="318"/>
      <c r="Q20" s="319"/>
      <c r="R20" s="186"/>
      <c r="S20" s="88">
        <f>IF(ROUTE!A22 &lt;&gt;"",ROUTE!A22,"")</f>
        <v>17</v>
      </c>
      <c r="T20" s="341" t="str">
        <f>IF(ROUTE!B22&lt;&gt;"",ROUTE!B22,"")</f>
        <v/>
      </c>
      <c r="U20" s="341"/>
      <c r="V20" s="299" t="str">
        <f>IF(ROUTE!C22&lt;&gt;"",ROUTE!C22,"")</f>
        <v/>
      </c>
      <c r="W20" s="300"/>
      <c r="X20" s="300" t="e">
        <f>IF(ROUTE!#REF!&lt;&gt;"",ROUTE!#REF!,"")</f>
        <v>#REF!</v>
      </c>
      <c r="Y20" s="301"/>
      <c r="Z20" s="194" t="str">
        <f>IF(ROUTE!D22&lt;&gt;"",ROUTE!D22,"")</f>
        <v/>
      </c>
      <c r="AA20" s="85" t="str">
        <f>IF(ROUTE!E22&lt;&gt;"",ROUTE!E22,"")</f>
        <v/>
      </c>
      <c r="AB20" s="194" t="str">
        <f>IF(ROUTE!G22&lt;&gt;"",ROUTE!G22,"")</f>
        <v/>
      </c>
      <c r="AC20" s="324" t="str">
        <f>IF(ROUTE!J22&lt;&gt;"",ROUTE!J22,"")</f>
        <v/>
      </c>
      <c r="AD20" s="325"/>
      <c r="AE20" s="333" t="str">
        <f>IF(ROUTE!H22&lt;&gt;"",ROUTE!H22,"")</f>
        <v/>
      </c>
      <c r="AF20" s="334"/>
      <c r="AG20" s="299" t="str">
        <f>IF(ROUTE!F22&lt;&gt;"",ROUTE!F22,"")</f>
        <v/>
      </c>
      <c r="AH20" s="301"/>
      <c r="AI20" s="228" t="str">
        <f>IF(ROUTE!O22&lt;&gt;"",ROUTE!O22,"")</f>
        <v/>
      </c>
      <c r="AJ20" s="228" t="str">
        <f>IF(ROUTE!Q22&lt;&gt;"",ROUTE!Q22,"")</f>
        <v/>
      </c>
      <c r="AK20" s="278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80"/>
      <c r="BC20" s="278"/>
      <c r="BD20" s="279"/>
      <c r="BE20" s="279"/>
      <c r="BF20" s="279"/>
      <c r="BG20" s="279"/>
      <c r="BH20" s="279"/>
      <c r="BI20" s="279"/>
      <c r="BJ20" s="279"/>
      <c r="BK20" s="279"/>
      <c r="BL20" s="279"/>
      <c r="BM20" s="279"/>
      <c r="BN20" s="279"/>
      <c r="BO20" s="279"/>
      <c r="BP20" s="279"/>
      <c r="BQ20" s="279"/>
      <c r="BR20" s="279"/>
      <c r="BS20" s="279"/>
      <c r="BT20" s="280"/>
      <c r="BU20" s="518" t="s">
        <v>428</v>
      </c>
      <c r="BV20" s="519"/>
      <c r="BW20" s="519"/>
      <c r="BX20" s="519"/>
      <c r="BY20" s="519"/>
      <c r="BZ20" s="519"/>
      <c r="CA20" s="519"/>
      <c r="CB20" s="519"/>
      <c r="CC20" s="519"/>
      <c r="CD20" s="519"/>
      <c r="CE20" s="519"/>
      <c r="CF20" s="519"/>
      <c r="CG20" s="519"/>
      <c r="CH20" s="519"/>
      <c r="CI20" s="519"/>
      <c r="CJ20" s="519"/>
      <c r="CK20" s="519"/>
      <c r="CL20" s="520"/>
    </row>
    <row r="21" spans="1:90" ht="15" customHeight="1" x14ac:dyDescent="0.3">
      <c r="A21" s="457" t="s">
        <v>403</v>
      </c>
      <c r="B21" s="458"/>
      <c r="C21" s="458"/>
      <c r="D21" s="458"/>
      <c r="E21" s="458"/>
      <c r="F21" s="458"/>
      <c r="G21" s="458"/>
      <c r="H21" s="458"/>
      <c r="I21" s="458"/>
      <c r="J21" s="458"/>
      <c r="K21" s="458"/>
      <c r="L21" s="459"/>
      <c r="M21" s="326"/>
      <c r="N21" s="327"/>
      <c r="O21" s="327"/>
      <c r="P21" s="327"/>
      <c r="Q21" s="328"/>
      <c r="R21" s="187"/>
      <c r="S21" s="89">
        <f>IF(ROUTE!A23 &lt;&gt;"",ROUTE!A23,"")</f>
        <v>18</v>
      </c>
      <c r="T21" s="342" t="str">
        <f>IF(ROUTE!B23&lt;&gt;"",ROUTE!B23,"")</f>
        <v/>
      </c>
      <c r="U21" s="342"/>
      <c r="V21" s="305" t="str">
        <f>IF(ROUTE!C23&lt;&gt;"",ROUTE!C23,"")</f>
        <v/>
      </c>
      <c r="W21" s="306"/>
      <c r="X21" s="306" t="e">
        <f>IF(ROUTE!#REF!&lt;&gt;"",ROUTE!#REF!,"")</f>
        <v>#REF!</v>
      </c>
      <c r="Y21" s="307"/>
      <c r="Z21" s="197" t="str">
        <f>IF(ROUTE!D23&lt;&gt;"",ROUTE!D23,"")</f>
        <v/>
      </c>
      <c r="AA21" s="91" t="str">
        <f>IF(ROUTE!E23&lt;&gt;"",ROUTE!E23,"")</f>
        <v/>
      </c>
      <c r="AB21" s="197" t="str">
        <f>IF(ROUTE!G23&lt;&gt;"",ROUTE!G23,"")</f>
        <v/>
      </c>
      <c r="AC21" s="345" t="str">
        <f>IF(ROUTE!J23&lt;&gt;"",ROUTE!J23,"")</f>
        <v/>
      </c>
      <c r="AD21" s="346"/>
      <c r="AE21" s="347" t="str">
        <f>IF(ROUTE!H23&lt;&gt;"",ROUTE!H23,"")</f>
        <v/>
      </c>
      <c r="AF21" s="348"/>
      <c r="AG21" s="349" t="str">
        <f>IF(ROUTE!F23&lt;&gt;"",ROUTE!F23,"")</f>
        <v/>
      </c>
      <c r="AH21" s="350"/>
      <c r="AI21" s="229" t="str">
        <f>IF(ROUTE!O23&lt;&gt;"",ROUTE!O23,"")</f>
        <v/>
      </c>
      <c r="AJ21" s="229" t="str">
        <f>IF(ROUTE!Q23&lt;&gt;"",ROUTE!Q23,"")</f>
        <v/>
      </c>
      <c r="AK21" s="278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80"/>
      <c r="BC21" s="278"/>
      <c r="BD21" s="279"/>
      <c r="BE21" s="279"/>
      <c r="BF21" s="279"/>
      <c r="BG21" s="279"/>
      <c r="BH21" s="279"/>
      <c r="BI21" s="279"/>
      <c r="BJ21" s="279"/>
      <c r="BK21" s="279"/>
      <c r="BL21" s="279"/>
      <c r="BM21" s="279"/>
      <c r="BN21" s="279"/>
      <c r="BO21" s="279"/>
      <c r="BP21" s="279"/>
      <c r="BQ21" s="279"/>
      <c r="BR21" s="279"/>
      <c r="BS21" s="279"/>
      <c r="BT21" s="280"/>
      <c r="BU21" s="521"/>
      <c r="BV21" s="522"/>
      <c r="BW21" s="522"/>
      <c r="BX21" s="522"/>
      <c r="BY21" s="522"/>
      <c r="BZ21" s="522"/>
      <c r="CA21" s="522"/>
      <c r="CB21" s="522"/>
      <c r="CC21" s="522"/>
      <c r="CD21" s="522"/>
      <c r="CE21" s="522"/>
      <c r="CF21" s="522"/>
      <c r="CG21" s="522"/>
      <c r="CH21" s="522"/>
      <c r="CI21" s="522"/>
      <c r="CJ21" s="522"/>
      <c r="CK21" s="522"/>
      <c r="CL21" s="523"/>
    </row>
    <row r="22" spans="1:90" ht="15" customHeight="1" x14ac:dyDescent="0.3">
      <c r="A22" s="460"/>
      <c r="B22" s="461"/>
      <c r="C22" s="461"/>
      <c r="D22" s="461"/>
      <c r="E22" s="461"/>
      <c r="F22" s="461"/>
      <c r="G22" s="461"/>
      <c r="H22" s="461"/>
      <c r="I22" s="461"/>
      <c r="J22" s="461"/>
      <c r="K22" s="461"/>
      <c r="L22" s="462"/>
      <c r="M22" s="317"/>
      <c r="N22" s="318"/>
      <c r="O22" s="318"/>
      <c r="P22" s="318"/>
      <c r="Q22" s="319"/>
      <c r="R22" s="186"/>
      <c r="S22" s="88">
        <f>IF(ROUTE!A24 &lt;&gt;"",ROUTE!A24,"")</f>
        <v>19</v>
      </c>
      <c r="T22" s="341" t="str">
        <f>IF(ROUTE!B24&lt;&gt;"",ROUTE!B24,"")</f>
        <v/>
      </c>
      <c r="U22" s="341"/>
      <c r="V22" s="299" t="str">
        <f>IF(ROUTE!C24&lt;&gt;"",ROUTE!C24,"")</f>
        <v/>
      </c>
      <c r="W22" s="300"/>
      <c r="X22" s="300" t="e">
        <f>IF(ROUTE!#REF!&lt;&gt;"",ROUTE!#REF!,"")</f>
        <v>#REF!</v>
      </c>
      <c r="Y22" s="301"/>
      <c r="Z22" s="194" t="str">
        <f>IF(ROUTE!D24&lt;&gt;"",ROUTE!D24,"")</f>
        <v/>
      </c>
      <c r="AA22" s="85" t="str">
        <f>IF(ROUTE!E24&lt;&gt;"",ROUTE!E24,"")</f>
        <v/>
      </c>
      <c r="AB22" s="194" t="str">
        <f>IF(ROUTE!G24&lt;&gt;"",ROUTE!G24,"")</f>
        <v/>
      </c>
      <c r="AC22" s="324" t="str">
        <f>IF(ROUTE!J24&lt;&gt;"",ROUTE!J24,"")</f>
        <v/>
      </c>
      <c r="AD22" s="325"/>
      <c r="AE22" s="333" t="str">
        <f>IF(ROUTE!H24&lt;&gt;"",ROUTE!H24,"")</f>
        <v/>
      </c>
      <c r="AF22" s="334"/>
      <c r="AG22" s="299" t="str">
        <f>IF(ROUTE!F24&lt;&gt;"",ROUTE!F24,"")</f>
        <v/>
      </c>
      <c r="AH22" s="301"/>
      <c r="AI22" s="228" t="str">
        <f>IF(ROUTE!O24&lt;&gt;"",ROUTE!O24,"")</f>
        <v/>
      </c>
      <c r="AJ22" s="228" t="str">
        <f>IF(ROUTE!Q24&lt;&gt;"",ROUTE!Q24,"")</f>
        <v/>
      </c>
      <c r="AK22" s="278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80"/>
      <c r="BC22" s="278"/>
      <c r="BD22" s="279"/>
      <c r="BE22" s="279"/>
      <c r="BF22" s="279"/>
      <c r="BG22" s="279"/>
      <c r="BH22" s="279"/>
      <c r="BI22" s="279"/>
      <c r="BJ22" s="279"/>
      <c r="BK22" s="279"/>
      <c r="BL22" s="279"/>
      <c r="BM22" s="279"/>
      <c r="BN22" s="279"/>
      <c r="BO22" s="279"/>
      <c r="BP22" s="279"/>
      <c r="BQ22" s="279"/>
      <c r="BR22" s="279"/>
      <c r="BS22" s="279"/>
      <c r="BT22" s="280"/>
      <c r="BU22" s="521"/>
      <c r="BV22" s="522"/>
      <c r="BW22" s="522"/>
      <c r="BX22" s="522"/>
      <c r="BY22" s="522"/>
      <c r="BZ22" s="522"/>
      <c r="CA22" s="522"/>
      <c r="CB22" s="522"/>
      <c r="CC22" s="522"/>
      <c r="CD22" s="522"/>
      <c r="CE22" s="522"/>
      <c r="CF22" s="522"/>
      <c r="CG22" s="522"/>
      <c r="CH22" s="522"/>
      <c r="CI22" s="522"/>
      <c r="CJ22" s="522"/>
      <c r="CK22" s="522"/>
      <c r="CL22" s="523"/>
    </row>
    <row r="23" spans="1:90" ht="15" customHeight="1" x14ac:dyDescent="0.3">
      <c r="A23" s="460"/>
      <c r="B23" s="461"/>
      <c r="C23" s="461"/>
      <c r="D23" s="461"/>
      <c r="E23" s="461"/>
      <c r="F23" s="461"/>
      <c r="G23" s="461"/>
      <c r="H23" s="461"/>
      <c r="I23" s="461"/>
      <c r="J23" s="461"/>
      <c r="K23" s="461"/>
      <c r="L23" s="462"/>
      <c r="M23" s="326"/>
      <c r="N23" s="327"/>
      <c r="O23" s="327"/>
      <c r="P23" s="327"/>
      <c r="Q23" s="328"/>
      <c r="R23" s="187"/>
      <c r="S23" s="89">
        <f>IF(ROUTE!A25 &lt;&gt;"",ROUTE!A25,"")</f>
        <v>20</v>
      </c>
      <c r="T23" s="342" t="str">
        <f>IF(ROUTE!B25&lt;&gt;"",ROUTE!B25,"")</f>
        <v/>
      </c>
      <c r="U23" s="342"/>
      <c r="V23" s="302" t="str">
        <f>IF(ROUTE!C25&lt;&gt;"",ROUTE!C25,"")</f>
        <v/>
      </c>
      <c r="W23" s="303"/>
      <c r="X23" s="303"/>
      <c r="Y23" s="304"/>
      <c r="Z23" s="195" t="str">
        <f>IF(ROUTE!D25&lt;&gt;"",ROUTE!D25,"")</f>
        <v/>
      </c>
      <c r="AA23" s="86" t="str">
        <f>IF(ROUTE!E25&lt;&gt;"",ROUTE!E25,"")</f>
        <v/>
      </c>
      <c r="AB23" s="195" t="str">
        <f>IF(ROUTE!G25&lt;&gt;"",ROUTE!G25,"")</f>
        <v/>
      </c>
      <c r="AC23" s="297" t="str">
        <f>IF(ROUTE!J25&lt;&gt;"",ROUTE!J25,"")</f>
        <v/>
      </c>
      <c r="AD23" s="298"/>
      <c r="AE23" s="343" t="str">
        <f>IF(ROUTE!H25&lt;&gt;"",ROUTE!H25,"")</f>
        <v/>
      </c>
      <c r="AF23" s="344"/>
      <c r="AG23" s="305" t="str">
        <f>IF(ROUTE!F25&lt;&gt;"",ROUTE!F25,"")</f>
        <v/>
      </c>
      <c r="AH23" s="307"/>
      <c r="AI23" s="227" t="str">
        <f>IF(ROUTE!O25&lt;&gt;"",ROUTE!O25,"")</f>
        <v/>
      </c>
      <c r="AJ23" s="227" t="str">
        <f>IF(ROUTE!Q25&lt;&gt;"",ROUTE!Q25,"")</f>
        <v/>
      </c>
      <c r="AK23" s="278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80"/>
      <c r="BC23" s="278"/>
      <c r="BD23" s="279"/>
      <c r="BE23" s="279"/>
      <c r="BF23" s="279"/>
      <c r="BG23" s="279"/>
      <c r="BH23" s="279"/>
      <c r="BI23" s="279"/>
      <c r="BJ23" s="279"/>
      <c r="BK23" s="279"/>
      <c r="BL23" s="279"/>
      <c r="BM23" s="279"/>
      <c r="BN23" s="279"/>
      <c r="BO23" s="279"/>
      <c r="BP23" s="279"/>
      <c r="BQ23" s="279"/>
      <c r="BR23" s="279"/>
      <c r="BS23" s="279"/>
      <c r="BT23" s="280"/>
      <c r="BU23" s="521"/>
      <c r="BV23" s="522"/>
      <c r="BW23" s="522"/>
      <c r="BX23" s="522"/>
      <c r="BY23" s="522"/>
      <c r="BZ23" s="522"/>
      <c r="CA23" s="522"/>
      <c r="CB23" s="522"/>
      <c r="CC23" s="522"/>
      <c r="CD23" s="522"/>
      <c r="CE23" s="522"/>
      <c r="CF23" s="522"/>
      <c r="CG23" s="522"/>
      <c r="CH23" s="522"/>
      <c r="CI23" s="522"/>
      <c r="CJ23" s="522"/>
      <c r="CK23" s="522"/>
      <c r="CL23" s="523"/>
    </row>
    <row r="24" spans="1:90" ht="15" customHeight="1" x14ac:dyDescent="0.3">
      <c r="A24" s="460"/>
      <c r="B24" s="461"/>
      <c r="C24" s="461"/>
      <c r="D24" s="461"/>
      <c r="E24" s="461"/>
      <c r="F24" s="461"/>
      <c r="G24" s="461"/>
      <c r="H24" s="461"/>
      <c r="I24" s="461"/>
      <c r="J24" s="461"/>
      <c r="K24" s="461"/>
      <c r="L24" s="462"/>
      <c r="M24" s="317"/>
      <c r="N24" s="318"/>
      <c r="O24" s="318"/>
      <c r="P24" s="318"/>
      <c r="Q24" s="319"/>
      <c r="R24" s="186"/>
      <c r="S24" s="272" t="s">
        <v>4</v>
      </c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 t="s">
        <v>224</v>
      </c>
      <c r="AH24" s="273"/>
      <c r="AI24" s="273"/>
      <c r="AJ24" s="274"/>
      <c r="AK24" s="278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80"/>
      <c r="BC24" s="278"/>
      <c r="BD24" s="279"/>
      <c r="BE24" s="279"/>
      <c r="BF24" s="279"/>
      <c r="BG24" s="279"/>
      <c r="BH24" s="279"/>
      <c r="BI24" s="279"/>
      <c r="BJ24" s="279"/>
      <c r="BK24" s="279"/>
      <c r="BL24" s="279"/>
      <c r="BM24" s="279"/>
      <c r="BN24" s="279"/>
      <c r="BO24" s="279"/>
      <c r="BP24" s="279"/>
      <c r="BQ24" s="279"/>
      <c r="BR24" s="279"/>
      <c r="BS24" s="279"/>
      <c r="BT24" s="280"/>
      <c r="BU24" s="521"/>
      <c r="BV24" s="522"/>
      <c r="BW24" s="522"/>
      <c r="BX24" s="522"/>
      <c r="BY24" s="522"/>
      <c r="BZ24" s="522"/>
      <c r="CA24" s="522"/>
      <c r="CB24" s="522"/>
      <c r="CC24" s="522"/>
      <c r="CD24" s="522"/>
      <c r="CE24" s="522"/>
      <c r="CF24" s="522"/>
      <c r="CG24" s="522"/>
      <c r="CH24" s="522"/>
      <c r="CI24" s="522"/>
      <c r="CJ24" s="522"/>
      <c r="CK24" s="522"/>
      <c r="CL24" s="523"/>
    </row>
    <row r="25" spans="1:90" ht="15" customHeight="1" x14ac:dyDescent="0.3">
      <c r="A25" s="460"/>
      <c r="B25" s="461"/>
      <c r="C25" s="461"/>
      <c r="D25" s="461"/>
      <c r="E25" s="461"/>
      <c r="F25" s="461"/>
      <c r="G25" s="461"/>
      <c r="H25" s="461"/>
      <c r="I25" s="461"/>
      <c r="J25" s="461"/>
      <c r="K25" s="461"/>
      <c r="L25" s="462"/>
      <c r="M25" s="326"/>
      <c r="N25" s="327"/>
      <c r="O25" s="327"/>
      <c r="P25" s="327"/>
      <c r="Q25" s="328"/>
      <c r="R25" s="187"/>
      <c r="S25" s="492" t="s">
        <v>428</v>
      </c>
      <c r="T25" s="492"/>
      <c r="U25" s="492"/>
      <c r="V25" s="492"/>
      <c r="W25" s="492"/>
      <c r="X25" s="492"/>
      <c r="Y25" s="492"/>
      <c r="Z25" s="492"/>
      <c r="AA25" s="492"/>
      <c r="AB25" s="492"/>
      <c r="AC25" s="492"/>
      <c r="AD25" s="492"/>
      <c r="AE25" s="492"/>
      <c r="AF25" s="492"/>
      <c r="AG25" s="480" t="s">
        <v>323</v>
      </c>
      <c r="AH25" s="481"/>
      <c r="AI25" s="453" t="s">
        <v>161</v>
      </c>
      <c r="AJ25" s="454"/>
      <c r="AK25" s="278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80"/>
      <c r="BC25" s="278"/>
      <c r="BD25" s="279"/>
      <c r="BE25" s="279"/>
      <c r="BF25" s="279"/>
      <c r="BG25" s="279"/>
      <c r="BH25" s="279"/>
      <c r="BI25" s="279"/>
      <c r="BJ25" s="279"/>
      <c r="BK25" s="279"/>
      <c r="BL25" s="279"/>
      <c r="BM25" s="279"/>
      <c r="BN25" s="279"/>
      <c r="BO25" s="279"/>
      <c r="BP25" s="279"/>
      <c r="BQ25" s="279"/>
      <c r="BR25" s="279"/>
      <c r="BS25" s="279"/>
      <c r="BT25" s="280"/>
      <c r="BU25" s="521"/>
      <c r="BV25" s="522"/>
      <c r="BW25" s="522"/>
      <c r="BX25" s="522"/>
      <c r="BY25" s="522"/>
      <c r="BZ25" s="522"/>
      <c r="CA25" s="522"/>
      <c r="CB25" s="522"/>
      <c r="CC25" s="522"/>
      <c r="CD25" s="522"/>
      <c r="CE25" s="522"/>
      <c r="CF25" s="522"/>
      <c r="CG25" s="522"/>
      <c r="CH25" s="522"/>
      <c r="CI25" s="522"/>
      <c r="CJ25" s="522"/>
      <c r="CK25" s="522"/>
      <c r="CL25" s="523"/>
    </row>
    <row r="26" spans="1:90" ht="15" customHeight="1" x14ac:dyDescent="0.3">
      <c r="A26" s="463"/>
      <c r="B26" s="464"/>
      <c r="C26" s="464"/>
      <c r="D26" s="464"/>
      <c r="E26" s="464"/>
      <c r="F26" s="464"/>
      <c r="G26" s="464"/>
      <c r="H26" s="464"/>
      <c r="I26" s="464"/>
      <c r="J26" s="464"/>
      <c r="K26" s="464"/>
      <c r="L26" s="465"/>
      <c r="M26" s="317"/>
      <c r="N26" s="318"/>
      <c r="O26" s="318"/>
      <c r="P26" s="318"/>
      <c r="Q26" s="319"/>
      <c r="R26" s="186"/>
      <c r="S26" s="492"/>
      <c r="T26" s="492"/>
      <c r="U26" s="492"/>
      <c r="V26" s="492"/>
      <c r="W26" s="492"/>
      <c r="X26" s="492"/>
      <c r="Y26" s="492"/>
      <c r="Z26" s="492"/>
      <c r="AA26" s="492"/>
      <c r="AB26" s="492"/>
      <c r="AC26" s="492"/>
      <c r="AD26" s="492"/>
      <c r="AE26" s="492"/>
      <c r="AF26" s="492"/>
      <c r="AG26" s="482">
        <v>1</v>
      </c>
      <c r="AH26" s="483"/>
      <c r="AI26" s="478">
        <f>(AG26/$AG$25)/24</f>
        <v>9.6899224806201549E-5</v>
      </c>
      <c r="AJ26" s="479"/>
      <c r="AK26" s="278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80"/>
      <c r="BC26" s="278"/>
      <c r="BD26" s="279"/>
      <c r="BE26" s="279"/>
      <c r="BF26" s="279"/>
      <c r="BG26" s="279"/>
      <c r="BH26" s="279"/>
      <c r="BI26" s="279"/>
      <c r="BJ26" s="279"/>
      <c r="BK26" s="279"/>
      <c r="BL26" s="279"/>
      <c r="BM26" s="279"/>
      <c r="BN26" s="279"/>
      <c r="BO26" s="279"/>
      <c r="BP26" s="279"/>
      <c r="BQ26" s="279"/>
      <c r="BR26" s="279"/>
      <c r="BS26" s="279"/>
      <c r="BT26" s="280"/>
      <c r="BU26" s="521"/>
      <c r="BV26" s="522"/>
      <c r="BW26" s="522"/>
      <c r="BX26" s="522"/>
      <c r="BY26" s="522"/>
      <c r="BZ26" s="522"/>
      <c r="CA26" s="522"/>
      <c r="CB26" s="522"/>
      <c r="CC26" s="522"/>
      <c r="CD26" s="522"/>
      <c r="CE26" s="522"/>
      <c r="CF26" s="522"/>
      <c r="CG26" s="522"/>
      <c r="CH26" s="522"/>
      <c r="CI26" s="522"/>
      <c r="CJ26" s="522"/>
      <c r="CK26" s="522"/>
      <c r="CL26" s="523"/>
    </row>
    <row r="27" spans="1:90" ht="15" customHeight="1" x14ac:dyDescent="0.3">
      <c r="A27" s="272" t="s">
        <v>23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4"/>
      <c r="S27" s="492"/>
      <c r="T27" s="492"/>
      <c r="U27" s="492"/>
      <c r="V27" s="492"/>
      <c r="W27" s="492"/>
      <c r="X27" s="492"/>
      <c r="Y27" s="492"/>
      <c r="Z27" s="492"/>
      <c r="AA27" s="492"/>
      <c r="AB27" s="492"/>
      <c r="AC27" s="492"/>
      <c r="AD27" s="492"/>
      <c r="AE27" s="492"/>
      <c r="AF27" s="492"/>
      <c r="AG27" s="455">
        <v>2</v>
      </c>
      <c r="AH27" s="456"/>
      <c r="AI27" s="468">
        <f t="shared" ref="AI27:AI44" si="0">(AG27/$AG$25)/24</f>
        <v>1.937984496124031E-4</v>
      </c>
      <c r="AJ27" s="469"/>
      <c r="AK27" s="278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80"/>
      <c r="BC27" s="278"/>
      <c r="BD27" s="279"/>
      <c r="BE27" s="279"/>
      <c r="BF27" s="279"/>
      <c r="BG27" s="279"/>
      <c r="BH27" s="279"/>
      <c r="BI27" s="279"/>
      <c r="BJ27" s="279"/>
      <c r="BK27" s="279"/>
      <c r="BL27" s="279"/>
      <c r="BM27" s="279"/>
      <c r="BN27" s="279"/>
      <c r="BO27" s="279"/>
      <c r="BP27" s="279"/>
      <c r="BQ27" s="279"/>
      <c r="BR27" s="279"/>
      <c r="BS27" s="279"/>
      <c r="BT27" s="280"/>
      <c r="BU27" s="521"/>
      <c r="BV27" s="522"/>
      <c r="BW27" s="522"/>
      <c r="BX27" s="522"/>
      <c r="BY27" s="522"/>
      <c r="BZ27" s="522"/>
      <c r="CA27" s="522"/>
      <c r="CB27" s="522"/>
      <c r="CC27" s="522"/>
      <c r="CD27" s="522"/>
      <c r="CE27" s="522"/>
      <c r="CF27" s="522"/>
      <c r="CG27" s="522"/>
      <c r="CH27" s="522"/>
      <c r="CI27" s="522"/>
      <c r="CJ27" s="522"/>
      <c r="CK27" s="522"/>
      <c r="CL27" s="523"/>
    </row>
    <row r="28" spans="1:90" ht="15" customHeight="1" x14ac:dyDescent="0.3">
      <c r="A28" s="294" t="s">
        <v>297</v>
      </c>
      <c r="B28" s="296"/>
      <c r="C28" s="351" t="s">
        <v>125</v>
      </c>
      <c r="D28" s="351"/>
      <c r="E28" s="351"/>
      <c r="F28" s="351" t="s">
        <v>33</v>
      </c>
      <c r="G28" s="351"/>
      <c r="H28" s="97" t="s">
        <v>119</v>
      </c>
      <c r="I28" s="294" t="s">
        <v>34</v>
      </c>
      <c r="J28" s="295"/>
      <c r="K28" s="295"/>
      <c r="L28" s="296"/>
      <c r="M28" s="294" t="s">
        <v>31</v>
      </c>
      <c r="N28" s="295"/>
      <c r="O28" s="295"/>
      <c r="P28" s="295"/>
      <c r="Q28" s="295"/>
      <c r="R28" s="296"/>
      <c r="S28" s="492"/>
      <c r="T28" s="492"/>
      <c r="U28" s="492"/>
      <c r="V28" s="492"/>
      <c r="W28" s="492"/>
      <c r="X28" s="492"/>
      <c r="Y28" s="492"/>
      <c r="Z28" s="492"/>
      <c r="AA28" s="492"/>
      <c r="AB28" s="492"/>
      <c r="AC28" s="492"/>
      <c r="AD28" s="492"/>
      <c r="AE28" s="492"/>
      <c r="AF28" s="492"/>
      <c r="AG28" s="365">
        <v>3</v>
      </c>
      <c r="AH28" s="366"/>
      <c r="AI28" s="466">
        <f t="shared" si="0"/>
        <v>2.9069767441860465E-4</v>
      </c>
      <c r="AJ28" s="467"/>
      <c r="AK28" s="278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80"/>
      <c r="BC28" s="278"/>
      <c r="BD28" s="279"/>
      <c r="BE28" s="279"/>
      <c r="BF28" s="279"/>
      <c r="BG28" s="279"/>
      <c r="BH28" s="279"/>
      <c r="BI28" s="279"/>
      <c r="BJ28" s="279"/>
      <c r="BK28" s="279"/>
      <c r="BL28" s="279"/>
      <c r="BM28" s="279"/>
      <c r="BN28" s="279"/>
      <c r="BO28" s="279"/>
      <c r="BP28" s="279"/>
      <c r="BQ28" s="279"/>
      <c r="BR28" s="279"/>
      <c r="BS28" s="279"/>
      <c r="BT28" s="280"/>
      <c r="BU28" s="521"/>
      <c r="BV28" s="522"/>
      <c r="BW28" s="522"/>
      <c r="BX28" s="522"/>
      <c r="BY28" s="522"/>
      <c r="BZ28" s="522"/>
      <c r="CA28" s="522"/>
      <c r="CB28" s="522"/>
      <c r="CC28" s="522"/>
      <c r="CD28" s="522"/>
      <c r="CE28" s="522"/>
      <c r="CF28" s="522"/>
      <c r="CG28" s="522"/>
      <c r="CH28" s="522"/>
      <c r="CI28" s="522"/>
      <c r="CJ28" s="522"/>
      <c r="CK28" s="522"/>
      <c r="CL28" s="523"/>
    </row>
    <row r="29" spans="1:90" ht="15" customHeight="1" x14ac:dyDescent="0.3">
      <c r="A29" s="374" t="s">
        <v>303</v>
      </c>
      <c r="B29" s="374"/>
      <c r="C29" s="374" t="s">
        <v>274</v>
      </c>
      <c r="D29" s="374"/>
      <c r="E29" s="374"/>
      <c r="F29" s="374" t="s">
        <v>346</v>
      </c>
      <c r="G29" s="374"/>
      <c r="H29" s="54" t="s">
        <v>305</v>
      </c>
      <c r="I29" s="374"/>
      <c r="J29" s="374"/>
      <c r="K29" s="374"/>
      <c r="L29" s="374"/>
      <c r="M29" s="374"/>
      <c r="N29" s="374"/>
      <c r="O29" s="374"/>
      <c r="P29" s="374"/>
      <c r="Q29" s="374"/>
      <c r="R29" s="374"/>
      <c r="S29" s="492"/>
      <c r="T29" s="492"/>
      <c r="U29" s="492"/>
      <c r="V29" s="492"/>
      <c r="W29" s="492"/>
      <c r="X29" s="492"/>
      <c r="Y29" s="492"/>
      <c r="Z29" s="492"/>
      <c r="AA29" s="492"/>
      <c r="AB29" s="492"/>
      <c r="AC29" s="492"/>
      <c r="AD29" s="492"/>
      <c r="AE29" s="492"/>
      <c r="AF29" s="492"/>
      <c r="AG29" s="455">
        <v>4</v>
      </c>
      <c r="AH29" s="456"/>
      <c r="AI29" s="468">
        <f t="shared" si="0"/>
        <v>3.875968992248062E-4</v>
      </c>
      <c r="AJ29" s="469"/>
      <c r="AK29" s="278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80"/>
      <c r="BC29" s="278"/>
      <c r="BD29" s="279"/>
      <c r="BE29" s="279"/>
      <c r="BF29" s="279"/>
      <c r="BG29" s="279"/>
      <c r="BH29" s="279"/>
      <c r="BI29" s="279"/>
      <c r="BJ29" s="279"/>
      <c r="BK29" s="279"/>
      <c r="BL29" s="279"/>
      <c r="BM29" s="279"/>
      <c r="BN29" s="279"/>
      <c r="BO29" s="279"/>
      <c r="BP29" s="279"/>
      <c r="BQ29" s="279"/>
      <c r="BR29" s="279"/>
      <c r="BS29" s="279"/>
      <c r="BT29" s="280"/>
      <c r="BU29" s="521"/>
      <c r="BV29" s="522"/>
      <c r="BW29" s="522"/>
      <c r="BX29" s="522"/>
      <c r="BY29" s="522"/>
      <c r="BZ29" s="522"/>
      <c r="CA29" s="522"/>
      <c r="CB29" s="522"/>
      <c r="CC29" s="522"/>
      <c r="CD29" s="522"/>
      <c r="CE29" s="522"/>
      <c r="CF29" s="522"/>
      <c r="CG29" s="522"/>
      <c r="CH29" s="522"/>
      <c r="CI29" s="522"/>
      <c r="CJ29" s="522"/>
      <c r="CK29" s="522"/>
      <c r="CL29" s="523"/>
    </row>
    <row r="30" spans="1:90" ht="15" customHeight="1" x14ac:dyDescent="0.3">
      <c r="A30" s="356"/>
      <c r="B30" s="356"/>
      <c r="C30" s="356"/>
      <c r="D30" s="356"/>
      <c r="E30" s="356"/>
      <c r="F30" s="356"/>
      <c r="G30" s="356"/>
      <c r="H30" s="52"/>
      <c r="I30" s="317"/>
      <c r="J30" s="318"/>
      <c r="K30" s="318"/>
      <c r="L30" s="319"/>
      <c r="M30" s="318"/>
      <c r="N30" s="318"/>
      <c r="O30" s="318"/>
      <c r="P30" s="318"/>
      <c r="Q30" s="318"/>
      <c r="R30" s="319"/>
      <c r="S30" s="492"/>
      <c r="T30" s="492"/>
      <c r="U30" s="492"/>
      <c r="V30" s="492"/>
      <c r="W30" s="492"/>
      <c r="X30" s="492"/>
      <c r="Y30" s="492"/>
      <c r="Z30" s="492"/>
      <c r="AA30" s="492"/>
      <c r="AB30" s="492"/>
      <c r="AC30" s="492"/>
      <c r="AD30" s="492"/>
      <c r="AE30" s="492"/>
      <c r="AF30" s="492"/>
      <c r="AG30" s="365">
        <v>5</v>
      </c>
      <c r="AH30" s="366"/>
      <c r="AI30" s="466">
        <f t="shared" si="0"/>
        <v>4.8449612403100775E-4</v>
      </c>
      <c r="AJ30" s="467"/>
      <c r="AK30" s="278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80"/>
      <c r="BC30" s="278"/>
      <c r="BD30" s="279"/>
      <c r="BE30" s="279"/>
      <c r="BF30" s="279"/>
      <c r="BG30" s="279"/>
      <c r="BH30" s="279"/>
      <c r="BI30" s="279"/>
      <c r="BJ30" s="279"/>
      <c r="BK30" s="279"/>
      <c r="BL30" s="279"/>
      <c r="BM30" s="279"/>
      <c r="BN30" s="279"/>
      <c r="BO30" s="279"/>
      <c r="BP30" s="279"/>
      <c r="BQ30" s="279"/>
      <c r="BR30" s="279"/>
      <c r="BS30" s="279"/>
      <c r="BT30" s="280"/>
      <c r="BU30" s="521"/>
      <c r="BV30" s="522"/>
      <c r="BW30" s="522"/>
      <c r="BX30" s="522"/>
      <c r="BY30" s="522"/>
      <c r="BZ30" s="522"/>
      <c r="CA30" s="522"/>
      <c r="CB30" s="522"/>
      <c r="CC30" s="522"/>
      <c r="CD30" s="522"/>
      <c r="CE30" s="522"/>
      <c r="CF30" s="522"/>
      <c r="CG30" s="522"/>
      <c r="CH30" s="522"/>
      <c r="CI30" s="522"/>
      <c r="CJ30" s="522"/>
      <c r="CK30" s="522"/>
      <c r="CL30" s="523"/>
    </row>
    <row r="31" spans="1:90" ht="15" customHeight="1" x14ac:dyDescent="0.3">
      <c r="A31" s="332"/>
      <c r="B31" s="332"/>
      <c r="C31" s="332"/>
      <c r="D31" s="332"/>
      <c r="E31" s="332"/>
      <c r="F31" s="332"/>
      <c r="G31" s="332"/>
      <c r="H31" s="56"/>
      <c r="I31" s="375"/>
      <c r="J31" s="375"/>
      <c r="K31" s="375"/>
      <c r="L31" s="375"/>
      <c r="M31" s="372"/>
      <c r="N31" s="372"/>
      <c r="O31" s="372"/>
      <c r="P31" s="372"/>
      <c r="Q31" s="372"/>
      <c r="R31" s="372"/>
      <c r="S31" s="492"/>
      <c r="T31" s="492"/>
      <c r="U31" s="492"/>
      <c r="V31" s="492"/>
      <c r="W31" s="492"/>
      <c r="X31" s="492"/>
      <c r="Y31" s="492"/>
      <c r="Z31" s="492"/>
      <c r="AA31" s="492"/>
      <c r="AB31" s="492"/>
      <c r="AC31" s="492"/>
      <c r="AD31" s="492"/>
      <c r="AE31" s="492"/>
      <c r="AF31" s="492"/>
      <c r="AG31" s="455">
        <v>6</v>
      </c>
      <c r="AH31" s="456"/>
      <c r="AI31" s="468">
        <f t="shared" si="0"/>
        <v>5.8139534883720929E-4</v>
      </c>
      <c r="AJ31" s="469"/>
      <c r="AK31" s="278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80"/>
      <c r="BC31" s="278"/>
      <c r="BD31" s="279"/>
      <c r="BE31" s="279"/>
      <c r="BF31" s="279"/>
      <c r="BG31" s="279"/>
      <c r="BH31" s="279"/>
      <c r="BI31" s="279"/>
      <c r="BJ31" s="279"/>
      <c r="BK31" s="279"/>
      <c r="BL31" s="279"/>
      <c r="BM31" s="279"/>
      <c r="BN31" s="279"/>
      <c r="BO31" s="279"/>
      <c r="BP31" s="279"/>
      <c r="BQ31" s="279"/>
      <c r="BR31" s="279"/>
      <c r="BS31" s="279"/>
      <c r="BT31" s="280"/>
      <c r="BU31" s="521"/>
      <c r="BV31" s="522"/>
      <c r="BW31" s="522"/>
      <c r="BX31" s="522"/>
      <c r="BY31" s="522"/>
      <c r="BZ31" s="522"/>
      <c r="CA31" s="522"/>
      <c r="CB31" s="522"/>
      <c r="CC31" s="522"/>
      <c r="CD31" s="522"/>
      <c r="CE31" s="522"/>
      <c r="CF31" s="522"/>
      <c r="CG31" s="522"/>
      <c r="CH31" s="522"/>
      <c r="CI31" s="522"/>
      <c r="CJ31" s="522"/>
      <c r="CK31" s="522"/>
      <c r="CL31" s="523"/>
    </row>
    <row r="32" spans="1:90" ht="15" customHeight="1" x14ac:dyDescent="0.3">
      <c r="A32" s="356"/>
      <c r="B32" s="356"/>
      <c r="C32" s="356"/>
      <c r="D32" s="356"/>
      <c r="E32" s="356"/>
      <c r="F32" s="356"/>
      <c r="G32" s="356"/>
      <c r="H32" s="52"/>
      <c r="I32" s="356"/>
      <c r="J32" s="356"/>
      <c r="K32" s="356"/>
      <c r="L32" s="356"/>
      <c r="M32" s="356"/>
      <c r="N32" s="356"/>
      <c r="O32" s="356"/>
      <c r="P32" s="356"/>
      <c r="Q32" s="356"/>
      <c r="R32" s="356"/>
      <c r="S32" s="492"/>
      <c r="T32" s="492"/>
      <c r="U32" s="492"/>
      <c r="V32" s="492"/>
      <c r="W32" s="492"/>
      <c r="X32" s="492"/>
      <c r="Y32" s="492"/>
      <c r="Z32" s="492"/>
      <c r="AA32" s="492"/>
      <c r="AB32" s="492"/>
      <c r="AC32" s="492"/>
      <c r="AD32" s="492"/>
      <c r="AE32" s="492"/>
      <c r="AF32" s="492"/>
      <c r="AG32" s="365">
        <v>7</v>
      </c>
      <c r="AH32" s="366"/>
      <c r="AI32" s="466">
        <f t="shared" si="0"/>
        <v>6.7829457364341084E-4</v>
      </c>
      <c r="AJ32" s="467"/>
      <c r="AK32" s="278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80"/>
      <c r="BC32" s="278"/>
      <c r="BD32" s="279"/>
      <c r="BE32" s="279"/>
      <c r="BF32" s="279"/>
      <c r="BG32" s="279"/>
      <c r="BH32" s="279"/>
      <c r="BI32" s="279"/>
      <c r="BJ32" s="279"/>
      <c r="BK32" s="279"/>
      <c r="BL32" s="279"/>
      <c r="BM32" s="279"/>
      <c r="BN32" s="279"/>
      <c r="BO32" s="279"/>
      <c r="BP32" s="279"/>
      <c r="BQ32" s="279"/>
      <c r="BR32" s="279"/>
      <c r="BS32" s="279"/>
      <c r="BT32" s="280"/>
      <c r="BU32" s="521"/>
      <c r="BV32" s="522"/>
      <c r="BW32" s="522"/>
      <c r="BX32" s="522"/>
      <c r="BY32" s="522"/>
      <c r="BZ32" s="522"/>
      <c r="CA32" s="522"/>
      <c r="CB32" s="522"/>
      <c r="CC32" s="522"/>
      <c r="CD32" s="522"/>
      <c r="CE32" s="522"/>
      <c r="CF32" s="522"/>
      <c r="CG32" s="522"/>
      <c r="CH32" s="522"/>
      <c r="CI32" s="522"/>
      <c r="CJ32" s="522"/>
      <c r="CK32" s="522"/>
      <c r="CL32" s="523"/>
    </row>
    <row r="33" spans="1:90" ht="15" customHeight="1" x14ac:dyDescent="0.3">
      <c r="A33" s="332"/>
      <c r="B33" s="332"/>
      <c r="C33" s="332"/>
      <c r="D33" s="332"/>
      <c r="E33" s="332"/>
      <c r="F33" s="332"/>
      <c r="G33" s="332"/>
      <c r="H33" s="56"/>
      <c r="I33" s="372"/>
      <c r="J33" s="372"/>
      <c r="K33" s="372"/>
      <c r="L33" s="372"/>
      <c r="M33" s="372"/>
      <c r="N33" s="372"/>
      <c r="O33" s="372"/>
      <c r="P33" s="372"/>
      <c r="Q33" s="372"/>
      <c r="R33" s="372"/>
      <c r="S33" s="492"/>
      <c r="T33" s="492"/>
      <c r="U33" s="492"/>
      <c r="V33" s="492"/>
      <c r="W33" s="492"/>
      <c r="X33" s="492"/>
      <c r="Y33" s="492"/>
      <c r="Z33" s="492"/>
      <c r="AA33" s="492"/>
      <c r="AB33" s="492"/>
      <c r="AC33" s="492"/>
      <c r="AD33" s="492"/>
      <c r="AE33" s="492"/>
      <c r="AF33" s="492"/>
      <c r="AG33" s="455">
        <v>8</v>
      </c>
      <c r="AH33" s="456"/>
      <c r="AI33" s="468">
        <f t="shared" si="0"/>
        <v>7.7519379844961239E-4</v>
      </c>
      <c r="AJ33" s="469"/>
      <c r="AK33" s="278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80"/>
      <c r="BC33" s="278"/>
      <c r="BD33" s="279"/>
      <c r="BE33" s="279"/>
      <c r="BF33" s="279"/>
      <c r="BG33" s="279"/>
      <c r="BH33" s="279"/>
      <c r="BI33" s="279"/>
      <c r="BJ33" s="279"/>
      <c r="BK33" s="279"/>
      <c r="BL33" s="279"/>
      <c r="BM33" s="279"/>
      <c r="BN33" s="279"/>
      <c r="BO33" s="279"/>
      <c r="BP33" s="279"/>
      <c r="BQ33" s="279"/>
      <c r="BR33" s="279"/>
      <c r="BS33" s="279"/>
      <c r="BT33" s="280"/>
      <c r="BU33" s="521"/>
      <c r="BV33" s="522"/>
      <c r="BW33" s="522"/>
      <c r="BX33" s="522"/>
      <c r="BY33" s="522"/>
      <c r="BZ33" s="522"/>
      <c r="CA33" s="522"/>
      <c r="CB33" s="522"/>
      <c r="CC33" s="522"/>
      <c r="CD33" s="522"/>
      <c r="CE33" s="522"/>
      <c r="CF33" s="522"/>
      <c r="CG33" s="522"/>
      <c r="CH33" s="522"/>
      <c r="CI33" s="522"/>
      <c r="CJ33" s="522"/>
      <c r="CK33" s="522"/>
      <c r="CL33" s="523"/>
    </row>
    <row r="34" spans="1:90" ht="15" customHeight="1" x14ac:dyDescent="0.3">
      <c r="A34" s="356"/>
      <c r="B34" s="356"/>
      <c r="C34" s="356"/>
      <c r="D34" s="356"/>
      <c r="E34" s="356"/>
      <c r="F34" s="356"/>
      <c r="G34" s="356"/>
      <c r="H34" s="52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492"/>
      <c r="T34" s="492"/>
      <c r="U34" s="492"/>
      <c r="V34" s="492"/>
      <c r="W34" s="492"/>
      <c r="X34" s="492"/>
      <c r="Y34" s="492"/>
      <c r="Z34" s="492"/>
      <c r="AA34" s="492"/>
      <c r="AB34" s="492"/>
      <c r="AC34" s="492"/>
      <c r="AD34" s="492"/>
      <c r="AE34" s="492"/>
      <c r="AF34" s="492"/>
      <c r="AG34" s="365">
        <v>9</v>
      </c>
      <c r="AH34" s="366"/>
      <c r="AI34" s="466">
        <f t="shared" si="0"/>
        <v>8.7209302325581394E-4</v>
      </c>
      <c r="AJ34" s="467"/>
      <c r="AK34" s="278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80"/>
      <c r="BC34" s="278"/>
      <c r="BD34" s="279"/>
      <c r="BE34" s="279"/>
      <c r="BF34" s="279"/>
      <c r="BG34" s="279"/>
      <c r="BH34" s="279"/>
      <c r="BI34" s="279"/>
      <c r="BJ34" s="279"/>
      <c r="BK34" s="279"/>
      <c r="BL34" s="279"/>
      <c r="BM34" s="279"/>
      <c r="BN34" s="279"/>
      <c r="BO34" s="279"/>
      <c r="BP34" s="279"/>
      <c r="BQ34" s="279"/>
      <c r="BR34" s="279"/>
      <c r="BS34" s="279"/>
      <c r="BT34" s="280"/>
      <c r="BU34" s="521"/>
      <c r="BV34" s="522"/>
      <c r="BW34" s="522"/>
      <c r="BX34" s="522"/>
      <c r="BY34" s="522"/>
      <c r="BZ34" s="522"/>
      <c r="CA34" s="522"/>
      <c r="CB34" s="522"/>
      <c r="CC34" s="522"/>
      <c r="CD34" s="522"/>
      <c r="CE34" s="522"/>
      <c r="CF34" s="522"/>
      <c r="CG34" s="522"/>
      <c r="CH34" s="522"/>
      <c r="CI34" s="522"/>
      <c r="CJ34" s="522"/>
      <c r="CK34" s="522"/>
      <c r="CL34" s="523"/>
    </row>
    <row r="35" spans="1:90" ht="15" customHeight="1" x14ac:dyDescent="0.3">
      <c r="A35" s="272" t="s">
        <v>123</v>
      </c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4"/>
      <c r="S35" s="492"/>
      <c r="T35" s="492"/>
      <c r="U35" s="492"/>
      <c r="V35" s="492"/>
      <c r="W35" s="492"/>
      <c r="X35" s="492"/>
      <c r="Y35" s="492"/>
      <c r="Z35" s="492"/>
      <c r="AA35" s="492"/>
      <c r="AB35" s="492"/>
      <c r="AC35" s="492"/>
      <c r="AD35" s="492"/>
      <c r="AE35" s="492"/>
      <c r="AF35" s="492"/>
      <c r="AG35" s="455">
        <v>10</v>
      </c>
      <c r="AH35" s="456"/>
      <c r="AI35" s="468">
        <f t="shared" si="0"/>
        <v>9.6899224806201549E-4</v>
      </c>
      <c r="AJ35" s="469"/>
      <c r="AK35" s="278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80"/>
      <c r="BC35" s="278"/>
      <c r="BD35" s="279"/>
      <c r="BE35" s="279"/>
      <c r="BF35" s="279"/>
      <c r="BG35" s="279"/>
      <c r="BH35" s="279"/>
      <c r="BI35" s="279"/>
      <c r="BJ35" s="279"/>
      <c r="BK35" s="279"/>
      <c r="BL35" s="279"/>
      <c r="BM35" s="279"/>
      <c r="BN35" s="279"/>
      <c r="BO35" s="279"/>
      <c r="BP35" s="279"/>
      <c r="BQ35" s="279"/>
      <c r="BR35" s="279"/>
      <c r="BS35" s="279"/>
      <c r="BT35" s="280"/>
      <c r="BU35" s="521"/>
      <c r="BV35" s="522"/>
      <c r="BW35" s="522"/>
      <c r="BX35" s="522"/>
      <c r="BY35" s="522"/>
      <c r="BZ35" s="522"/>
      <c r="CA35" s="522"/>
      <c r="CB35" s="522"/>
      <c r="CC35" s="522"/>
      <c r="CD35" s="522"/>
      <c r="CE35" s="522"/>
      <c r="CF35" s="522"/>
      <c r="CG35" s="522"/>
      <c r="CH35" s="522"/>
      <c r="CI35" s="522"/>
      <c r="CJ35" s="522"/>
      <c r="CK35" s="522"/>
      <c r="CL35" s="523"/>
    </row>
    <row r="36" spans="1:90" ht="15" customHeight="1" x14ac:dyDescent="0.3">
      <c r="A36" s="294" t="s">
        <v>32</v>
      </c>
      <c r="B36" s="296"/>
      <c r="C36" s="294" t="s">
        <v>125</v>
      </c>
      <c r="D36" s="295"/>
      <c r="E36" s="295"/>
      <c r="F36" s="295" t="s">
        <v>33</v>
      </c>
      <c r="G36" s="296"/>
      <c r="H36" s="147" t="s">
        <v>119</v>
      </c>
      <c r="I36" s="294" t="s">
        <v>31</v>
      </c>
      <c r="J36" s="295"/>
      <c r="K36" s="295"/>
      <c r="L36" s="296"/>
      <c r="M36" s="294" t="s">
        <v>35</v>
      </c>
      <c r="N36" s="295"/>
      <c r="O36" s="295"/>
      <c r="P36" s="295"/>
      <c r="Q36" s="295"/>
      <c r="R36" s="296"/>
      <c r="S36" s="492"/>
      <c r="T36" s="492"/>
      <c r="U36" s="492"/>
      <c r="V36" s="492"/>
      <c r="W36" s="492"/>
      <c r="X36" s="492"/>
      <c r="Y36" s="492"/>
      <c r="Z36" s="492"/>
      <c r="AA36" s="492"/>
      <c r="AB36" s="492"/>
      <c r="AC36" s="492"/>
      <c r="AD36" s="492"/>
      <c r="AE36" s="492"/>
      <c r="AF36" s="492"/>
      <c r="AG36" s="365">
        <v>11</v>
      </c>
      <c r="AH36" s="366"/>
      <c r="AI36" s="466">
        <f t="shared" si="0"/>
        <v>1.065891472868217E-3</v>
      </c>
      <c r="AJ36" s="467"/>
      <c r="AK36" s="278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80"/>
      <c r="BC36" s="278"/>
      <c r="BD36" s="279"/>
      <c r="BE36" s="279"/>
      <c r="BF36" s="279"/>
      <c r="BG36" s="279"/>
      <c r="BH36" s="279"/>
      <c r="BI36" s="279"/>
      <c r="BJ36" s="279"/>
      <c r="BK36" s="279"/>
      <c r="BL36" s="279"/>
      <c r="BM36" s="279"/>
      <c r="BN36" s="279"/>
      <c r="BO36" s="279"/>
      <c r="BP36" s="279"/>
      <c r="BQ36" s="279"/>
      <c r="BR36" s="279"/>
      <c r="BS36" s="279"/>
      <c r="BT36" s="280"/>
      <c r="BU36" s="521"/>
      <c r="BV36" s="522"/>
      <c r="BW36" s="522"/>
      <c r="BX36" s="522"/>
      <c r="BY36" s="522"/>
      <c r="BZ36" s="522"/>
      <c r="CA36" s="522"/>
      <c r="CB36" s="522"/>
      <c r="CC36" s="522"/>
      <c r="CD36" s="522"/>
      <c r="CE36" s="522"/>
      <c r="CF36" s="522"/>
      <c r="CG36" s="522"/>
      <c r="CH36" s="522"/>
      <c r="CI36" s="522"/>
      <c r="CJ36" s="522"/>
      <c r="CK36" s="522"/>
      <c r="CL36" s="523"/>
    </row>
    <row r="37" spans="1:90" ht="15" customHeight="1" x14ac:dyDescent="0.3">
      <c r="A37" s="314" t="s">
        <v>343</v>
      </c>
      <c r="B37" s="316"/>
      <c r="C37" s="314" t="s">
        <v>344</v>
      </c>
      <c r="D37" s="315"/>
      <c r="E37" s="316"/>
      <c r="F37" s="323">
        <v>355</v>
      </c>
      <c r="G37" s="316"/>
      <c r="H37" s="149" t="s">
        <v>345</v>
      </c>
      <c r="I37" s="314"/>
      <c r="J37" s="315"/>
      <c r="K37" s="315"/>
      <c r="L37" s="316"/>
      <c r="M37" s="329" t="s">
        <v>242</v>
      </c>
      <c r="N37" s="330"/>
      <c r="O37" s="331"/>
      <c r="P37" s="308"/>
      <c r="Q37" s="309"/>
      <c r="R37" s="310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55">
        <v>12</v>
      </c>
      <c r="AH37" s="456"/>
      <c r="AI37" s="468">
        <f t="shared" si="0"/>
        <v>1.1627906976744186E-3</v>
      </c>
      <c r="AJ37" s="469"/>
      <c r="AK37" s="278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79"/>
      <c r="AX37" s="279"/>
      <c r="AY37" s="279"/>
      <c r="AZ37" s="279"/>
      <c r="BA37" s="279"/>
      <c r="BB37" s="280"/>
      <c r="BC37" s="278"/>
      <c r="BD37" s="279"/>
      <c r="BE37" s="279"/>
      <c r="BF37" s="279"/>
      <c r="BG37" s="279"/>
      <c r="BH37" s="279"/>
      <c r="BI37" s="279"/>
      <c r="BJ37" s="279"/>
      <c r="BK37" s="279"/>
      <c r="BL37" s="279"/>
      <c r="BM37" s="279"/>
      <c r="BN37" s="279"/>
      <c r="BO37" s="279"/>
      <c r="BP37" s="279"/>
      <c r="BQ37" s="279"/>
      <c r="BR37" s="279"/>
      <c r="BS37" s="279"/>
      <c r="BT37" s="280"/>
      <c r="BU37" s="521"/>
      <c r="BV37" s="522"/>
      <c r="BW37" s="522"/>
      <c r="BX37" s="522"/>
      <c r="BY37" s="522"/>
      <c r="BZ37" s="522"/>
      <c r="CA37" s="522"/>
      <c r="CB37" s="522"/>
      <c r="CC37" s="522"/>
      <c r="CD37" s="522"/>
      <c r="CE37" s="522"/>
      <c r="CF37" s="522"/>
      <c r="CG37" s="522"/>
      <c r="CH37" s="522"/>
      <c r="CI37" s="522"/>
      <c r="CJ37" s="522"/>
      <c r="CK37" s="522"/>
      <c r="CL37" s="523"/>
    </row>
    <row r="38" spans="1:90" ht="15" customHeight="1" x14ac:dyDescent="0.3">
      <c r="A38" s="317" t="s">
        <v>292</v>
      </c>
      <c r="B38" s="319"/>
      <c r="C38" s="317" t="s">
        <v>298</v>
      </c>
      <c r="D38" s="318"/>
      <c r="E38" s="319"/>
      <c r="F38" s="317" t="s">
        <v>342</v>
      </c>
      <c r="G38" s="319"/>
      <c r="H38" s="150" t="s">
        <v>319</v>
      </c>
      <c r="I38" s="317"/>
      <c r="J38" s="318"/>
      <c r="K38" s="318"/>
      <c r="L38" s="319"/>
      <c r="M38" s="284" t="s">
        <v>241</v>
      </c>
      <c r="N38" s="285"/>
      <c r="O38" s="286"/>
      <c r="P38" s="311"/>
      <c r="Q38" s="312"/>
      <c r="R38" s="313"/>
      <c r="S38" s="492"/>
      <c r="T38" s="492"/>
      <c r="U38" s="492"/>
      <c r="V38" s="492"/>
      <c r="W38" s="492"/>
      <c r="X38" s="492"/>
      <c r="Y38" s="492"/>
      <c r="Z38" s="492"/>
      <c r="AA38" s="492"/>
      <c r="AB38" s="492"/>
      <c r="AC38" s="492"/>
      <c r="AD38" s="492"/>
      <c r="AE38" s="492"/>
      <c r="AF38" s="492"/>
      <c r="AG38" s="365">
        <v>13</v>
      </c>
      <c r="AH38" s="366"/>
      <c r="AI38" s="466">
        <f t="shared" si="0"/>
        <v>1.2596899224806201E-3</v>
      </c>
      <c r="AJ38" s="467"/>
      <c r="AK38" s="278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79"/>
      <c r="AX38" s="279"/>
      <c r="AY38" s="279"/>
      <c r="AZ38" s="279"/>
      <c r="BA38" s="279"/>
      <c r="BB38" s="280"/>
      <c r="BC38" s="278"/>
      <c r="BD38" s="279"/>
      <c r="BE38" s="279"/>
      <c r="BF38" s="279"/>
      <c r="BG38" s="279"/>
      <c r="BH38" s="279"/>
      <c r="BI38" s="279"/>
      <c r="BJ38" s="279"/>
      <c r="BK38" s="279"/>
      <c r="BL38" s="279"/>
      <c r="BM38" s="279"/>
      <c r="BN38" s="279"/>
      <c r="BO38" s="279"/>
      <c r="BP38" s="279"/>
      <c r="BQ38" s="279"/>
      <c r="BR38" s="279"/>
      <c r="BS38" s="279"/>
      <c r="BT38" s="280"/>
      <c r="BU38" s="521"/>
      <c r="BV38" s="522"/>
      <c r="BW38" s="522"/>
      <c r="BX38" s="522"/>
      <c r="BY38" s="522"/>
      <c r="BZ38" s="522"/>
      <c r="CA38" s="522"/>
      <c r="CB38" s="522"/>
      <c r="CC38" s="522"/>
      <c r="CD38" s="522"/>
      <c r="CE38" s="522"/>
      <c r="CF38" s="522"/>
      <c r="CG38" s="522"/>
      <c r="CH38" s="522"/>
      <c r="CI38" s="522"/>
      <c r="CJ38" s="522"/>
      <c r="CK38" s="522"/>
      <c r="CL38" s="523"/>
    </row>
    <row r="39" spans="1:90" ht="15" customHeight="1" x14ac:dyDescent="0.3">
      <c r="A39" s="326" t="s">
        <v>293</v>
      </c>
      <c r="B39" s="328"/>
      <c r="C39" s="320" t="s">
        <v>298</v>
      </c>
      <c r="D39" s="321"/>
      <c r="E39" s="322"/>
      <c r="F39" s="320">
        <v>250</v>
      </c>
      <c r="G39" s="322"/>
      <c r="H39" s="148" t="s">
        <v>320</v>
      </c>
      <c r="I39" s="326"/>
      <c r="J39" s="327"/>
      <c r="K39" s="327"/>
      <c r="L39" s="328"/>
      <c r="M39" s="369" t="s">
        <v>243</v>
      </c>
      <c r="N39" s="370"/>
      <c r="O39" s="371"/>
      <c r="P39" s="291"/>
      <c r="Q39" s="292"/>
      <c r="R39" s="293"/>
      <c r="S39" s="492"/>
      <c r="T39" s="492"/>
      <c r="U39" s="492"/>
      <c r="V39" s="492"/>
      <c r="W39" s="492"/>
      <c r="X39" s="492"/>
      <c r="Y39" s="492"/>
      <c r="Z39" s="492"/>
      <c r="AA39" s="492"/>
      <c r="AB39" s="492"/>
      <c r="AC39" s="492"/>
      <c r="AD39" s="492"/>
      <c r="AE39" s="492"/>
      <c r="AF39" s="492"/>
      <c r="AG39" s="455">
        <v>14</v>
      </c>
      <c r="AH39" s="456"/>
      <c r="AI39" s="468">
        <f t="shared" si="0"/>
        <v>1.3565891472868217E-3</v>
      </c>
      <c r="AJ39" s="469"/>
      <c r="AK39" s="278"/>
      <c r="AL39" s="279"/>
      <c r="AM39" s="279"/>
      <c r="AN39" s="279"/>
      <c r="AO39" s="279"/>
      <c r="AP39" s="279"/>
      <c r="AQ39" s="279"/>
      <c r="AR39" s="279"/>
      <c r="AS39" s="279"/>
      <c r="AT39" s="279"/>
      <c r="AU39" s="279"/>
      <c r="AV39" s="279"/>
      <c r="AW39" s="279"/>
      <c r="AX39" s="279"/>
      <c r="AY39" s="279"/>
      <c r="AZ39" s="279"/>
      <c r="BA39" s="279"/>
      <c r="BB39" s="280"/>
      <c r="BC39" s="278"/>
      <c r="BD39" s="279"/>
      <c r="BE39" s="279"/>
      <c r="BF39" s="279"/>
      <c r="BG39" s="279"/>
      <c r="BH39" s="279"/>
      <c r="BI39" s="279"/>
      <c r="BJ39" s="279"/>
      <c r="BK39" s="279"/>
      <c r="BL39" s="279"/>
      <c r="BM39" s="279"/>
      <c r="BN39" s="279"/>
      <c r="BO39" s="279"/>
      <c r="BP39" s="279"/>
      <c r="BQ39" s="279"/>
      <c r="BR39" s="279"/>
      <c r="BS39" s="279"/>
      <c r="BT39" s="280"/>
      <c r="BU39" s="521"/>
      <c r="BV39" s="522"/>
      <c r="BW39" s="522"/>
      <c r="BX39" s="522"/>
      <c r="BY39" s="522"/>
      <c r="BZ39" s="522"/>
      <c r="CA39" s="522"/>
      <c r="CB39" s="522"/>
      <c r="CC39" s="522"/>
      <c r="CD39" s="522"/>
      <c r="CE39" s="522"/>
      <c r="CF39" s="522"/>
      <c r="CG39" s="522"/>
      <c r="CH39" s="522"/>
      <c r="CI39" s="522"/>
      <c r="CJ39" s="522"/>
      <c r="CK39" s="522"/>
      <c r="CL39" s="523"/>
    </row>
    <row r="40" spans="1:90" ht="15" customHeight="1" x14ac:dyDescent="0.3">
      <c r="A40" s="317" t="s">
        <v>160</v>
      </c>
      <c r="B40" s="319"/>
      <c r="C40" s="317"/>
      <c r="D40" s="318"/>
      <c r="E40" s="319"/>
      <c r="F40" s="317"/>
      <c r="G40" s="319"/>
      <c r="H40" s="150"/>
      <c r="I40" s="317"/>
      <c r="J40" s="318"/>
      <c r="K40" s="318"/>
      <c r="L40" s="319"/>
      <c r="M40" s="284" t="s">
        <v>133</v>
      </c>
      <c r="N40" s="285"/>
      <c r="O40" s="286"/>
      <c r="P40" s="311"/>
      <c r="Q40" s="312"/>
      <c r="R40" s="313"/>
      <c r="S40" s="492"/>
      <c r="T40" s="492"/>
      <c r="U40" s="492"/>
      <c r="V40" s="492"/>
      <c r="W40" s="492"/>
      <c r="X40" s="492"/>
      <c r="Y40" s="492"/>
      <c r="Z40" s="492"/>
      <c r="AA40" s="492"/>
      <c r="AB40" s="492"/>
      <c r="AC40" s="492"/>
      <c r="AD40" s="492"/>
      <c r="AE40" s="492"/>
      <c r="AF40" s="492"/>
      <c r="AG40" s="365">
        <v>15</v>
      </c>
      <c r="AH40" s="366"/>
      <c r="AI40" s="466">
        <f t="shared" si="0"/>
        <v>1.4534883720930232E-3</v>
      </c>
      <c r="AJ40" s="467"/>
      <c r="AK40" s="278"/>
      <c r="AL40" s="279"/>
      <c r="AM40" s="279"/>
      <c r="AN40" s="279"/>
      <c r="AO40" s="279"/>
      <c r="AP40" s="279"/>
      <c r="AQ40" s="279"/>
      <c r="AR40" s="279"/>
      <c r="AS40" s="279"/>
      <c r="AT40" s="279"/>
      <c r="AU40" s="279"/>
      <c r="AV40" s="279"/>
      <c r="AW40" s="279"/>
      <c r="AX40" s="279"/>
      <c r="AY40" s="279"/>
      <c r="AZ40" s="279"/>
      <c r="BA40" s="279"/>
      <c r="BB40" s="280"/>
      <c r="BC40" s="278"/>
      <c r="BD40" s="279"/>
      <c r="BE40" s="279"/>
      <c r="BF40" s="279"/>
      <c r="BG40" s="279"/>
      <c r="BH40" s="279"/>
      <c r="BI40" s="279"/>
      <c r="BJ40" s="279"/>
      <c r="BK40" s="279"/>
      <c r="BL40" s="279"/>
      <c r="BM40" s="279"/>
      <c r="BN40" s="279"/>
      <c r="BO40" s="279"/>
      <c r="BP40" s="279"/>
      <c r="BQ40" s="279"/>
      <c r="BR40" s="279"/>
      <c r="BS40" s="279"/>
      <c r="BT40" s="280"/>
      <c r="BU40" s="521"/>
      <c r="BV40" s="522"/>
      <c r="BW40" s="522"/>
      <c r="BX40" s="522"/>
      <c r="BY40" s="522"/>
      <c r="BZ40" s="522"/>
      <c r="CA40" s="522"/>
      <c r="CB40" s="522"/>
      <c r="CC40" s="522"/>
      <c r="CD40" s="522"/>
      <c r="CE40" s="522"/>
      <c r="CF40" s="522"/>
      <c r="CG40" s="522"/>
      <c r="CH40" s="522"/>
      <c r="CI40" s="522"/>
      <c r="CJ40" s="522"/>
      <c r="CK40" s="522"/>
      <c r="CL40" s="523"/>
    </row>
    <row r="41" spans="1:90" ht="15" customHeight="1" x14ac:dyDescent="0.3">
      <c r="A41" s="326"/>
      <c r="B41" s="328"/>
      <c r="C41" s="320"/>
      <c r="D41" s="321"/>
      <c r="E41" s="322"/>
      <c r="F41" s="367"/>
      <c r="G41" s="368"/>
      <c r="H41" s="148"/>
      <c r="I41" s="326"/>
      <c r="J41" s="327"/>
      <c r="K41" s="327"/>
      <c r="L41" s="328"/>
      <c r="M41" s="287" t="s">
        <v>244</v>
      </c>
      <c r="N41" s="288"/>
      <c r="O41" s="289"/>
      <c r="P41" s="291"/>
      <c r="Q41" s="292"/>
      <c r="R41" s="293"/>
      <c r="S41" s="492"/>
      <c r="T41" s="492"/>
      <c r="U41" s="492"/>
      <c r="V41" s="492"/>
      <c r="W41" s="492"/>
      <c r="X41" s="492"/>
      <c r="Y41" s="492"/>
      <c r="Z41" s="492"/>
      <c r="AA41" s="492"/>
      <c r="AB41" s="492"/>
      <c r="AC41" s="492"/>
      <c r="AD41" s="492"/>
      <c r="AE41" s="492"/>
      <c r="AF41" s="492"/>
      <c r="AG41" s="455">
        <v>16</v>
      </c>
      <c r="AH41" s="456"/>
      <c r="AI41" s="468">
        <f t="shared" si="0"/>
        <v>1.5503875968992248E-3</v>
      </c>
      <c r="AJ41" s="469"/>
      <c r="AK41" s="278"/>
      <c r="AL41" s="279"/>
      <c r="AM41" s="279"/>
      <c r="AN41" s="279"/>
      <c r="AO41" s="279"/>
      <c r="AP41" s="279"/>
      <c r="AQ41" s="279"/>
      <c r="AR41" s="279"/>
      <c r="AS41" s="279"/>
      <c r="AT41" s="279"/>
      <c r="AU41" s="279"/>
      <c r="AV41" s="279"/>
      <c r="AW41" s="279"/>
      <c r="AX41" s="279"/>
      <c r="AY41" s="279"/>
      <c r="AZ41" s="279"/>
      <c r="BA41" s="279"/>
      <c r="BB41" s="280"/>
      <c r="BC41" s="278"/>
      <c r="BD41" s="279"/>
      <c r="BE41" s="279"/>
      <c r="BF41" s="279"/>
      <c r="BG41" s="279"/>
      <c r="BH41" s="279"/>
      <c r="BI41" s="279"/>
      <c r="BJ41" s="279"/>
      <c r="BK41" s="279"/>
      <c r="BL41" s="279"/>
      <c r="BM41" s="279"/>
      <c r="BN41" s="279"/>
      <c r="BO41" s="279"/>
      <c r="BP41" s="279"/>
      <c r="BQ41" s="279"/>
      <c r="BR41" s="279"/>
      <c r="BS41" s="279"/>
      <c r="BT41" s="280"/>
      <c r="BU41" s="521"/>
      <c r="BV41" s="522"/>
      <c r="BW41" s="522"/>
      <c r="BX41" s="522"/>
      <c r="BY41" s="522"/>
      <c r="BZ41" s="522"/>
      <c r="CA41" s="522"/>
      <c r="CB41" s="522"/>
      <c r="CC41" s="522"/>
      <c r="CD41" s="522"/>
      <c r="CE41" s="522"/>
      <c r="CF41" s="522"/>
      <c r="CG41" s="522"/>
      <c r="CH41" s="522"/>
      <c r="CI41" s="522"/>
      <c r="CJ41" s="522"/>
      <c r="CK41" s="522"/>
      <c r="CL41" s="523"/>
    </row>
    <row r="42" spans="1:90" ht="15" customHeight="1" x14ac:dyDescent="0.3">
      <c r="A42" s="356"/>
      <c r="B42" s="356"/>
      <c r="C42" s="317"/>
      <c r="D42" s="318"/>
      <c r="E42" s="319"/>
      <c r="F42" s="317"/>
      <c r="G42" s="319"/>
      <c r="H42" s="150"/>
      <c r="I42" s="317"/>
      <c r="J42" s="318"/>
      <c r="K42" s="318"/>
      <c r="L42" s="319"/>
      <c r="M42" s="284" t="s">
        <v>245</v>
      </c>
      <c r="N42" s="285"/>
      <c r="O42" s="286"/>
      <c r="P42" s="352"/>
      <c r="Q42" s="352"/>
      <c r="R42" s="352"/>
      <c r="S42" s="492"/>
      <c r="T42" s="492"/>
      <c r="U42" s="492"/>
      <c r="V42" s="492"/>
      <c r="W42" s="492"/>
      <c r="X42" s="492"/>
      <c r="Y42" s="492"/>
      <c r="Z42" s="492"/>
      <c r="AA42" s="492"/>
      <c r="AB42" s="492"/>
      <c r="AC42" s="492"/>
      <c r="AD42" s="492"/>
      <c r="AE42" s="492"/>
      <c r="AF42" s="492"/>
      <c r="AG42" s="365">
        <v>17</v>
      </c>
      <c r="AH42" s="366"/>
      <c r="AI42" s="466">
        <f t="shared" si="0"/>
        <v>1.6472868217054263E-3</v>
      </c>
      <c r="AJ42" s="467"/>
      <c r="AK42" s="278"/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79"/>
      <c r="AW42" s="279"/>
      <c r="AX42" s="279"/>
      <c r="AY42" s="279"/>
      <c r="AZ42" s="279"/>
      <c r="BA42" s="279"/>
      <c r="BB42" s="280"/>
      <c r="BC42" s="278"/>
      <c r="BD42" s="279"/>
      <c r="BE42" s="279"/>
      <c r="BF42" s="279"/>
      <c r="BG42" s="279"/>
      <c r="BH42" s="279"/>
      <c r="BI42" s="279"/>
      <c r="BJ42" s="279"/>
      <c r="BK42" s="279"/>
      <c r="BL42" s="279"/>
      <c r="BM42" s="279"/>
      <c r="BN42" s="279"/>
      <c r="BO42" s="279"/>
      <c r="BP42" s="279"/>
      <c r="BQ42" s="279"/>
      <c r="BR42" s="279"/>
      <c r="BS42" s="279"/>
      <c r="BT42" s="280"/>
      <c r="BU42" s="521"/>
      <c r="BV42" s="522"/>
      <c r="BW42" s="522"/>
      <c r="BX42" s="522"/>
      <c r="BY42" s="522"/>
      <c r="BZ42" s="522"/>
      <c r="CA42" s="522"/>
      <c r="CB42" s="522"/>
      <c r="CC42" s="522"/>
      <c r="CD42" s="522"/>
      <c r="CE42" s="522"/>
      <c r="CF42" s="522"/>
      <c r="CG42" s="522"/>
      <c r="CH42" s="522"/>
      <c r="CI42" s="522"/>
      <c r="CJ42" s="522"/>
      <c r="CK42" s="522"/>
      <c r="CL42" s="523"/>
    </row>
    <row r="43" spans="1:90" ht="15" customHeight="1" x14ac:dyDescent="0.3">
      <c r="A43" s="326"/>
      <c r="B43" s="328"/>
      <c r="C43" s="320"/>
      <c r="D43" s="321"/>
      <c r="E43" s="322"/>
      <c r="F43" s="320"/>
      <c r="G43" s="322"/>
      <c r="H43" s="148"/>
      <c r="I43" s="326"/>
      <c r="J43" s="327"/>
      <c r="K43" s="327"/>
      <c r="L43" s="328"/>
      <c r="M43" s="287" t="s">
        <v>246</v>
      </c>
      <c r="N43" s="288"/>
      <c r="O43" s="289"/>
      <c r="P43" s="290"/>
      <c r="Q43" s="290"/>
      <c r="R43" s="290"/>
      <c r="S43" s="492"/>
      <c r="T43" s="492"/>
      <c r="U43" s="492"/>
      <c r="V43" s="492"/>
      <c r="W43" s="492"/>
      <c r="X43" s="492"/>
      <c r="Y43" s="492"/>
      <c r="Z43" s="492"/>
      <c r="AA43" s="492"/>
      <c r="AB43" s="492"/>
      <c r="AC43" s="492"/>
      <c r="AD43" s="492"/>
      <c r="AE43" s="492"/>
      <c r="AF43" s="492"/>
      <c r="AG43" s="455">
        <v>18</v>
      </c>
      <c r="AH43" s="456"/>
      <c r="AI43" s="468">
        <f t="shared" si="0"/>
        <v>1.7441860465116279E-3</v>
      </c>
      <c r="AJ43" s="469"/>
      <c r="AK43" s="278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79"/>
      <c r="AX43" s="279"/>
      <c r="AY43" s="279"/>
      <c r="AZ43" s="279"/>
      <c r="BA43" s="279"/>
      <c r="BB43" s="280"/>
      <c r="BC43" s="278"/>
      <c r="BD43" s="279"/>
      <c r="BE43" s="279"/>
      <c r="BF43" s="279"/>
      <c r="BG43" s="279"/>
      <c r="BH43" s="279"/>
      <c r="BI43" s="279"/>
      <c r="BJ43" s="279"/>
      <c r="BK43" s="279"/>
      <c r="BL43" s="279"/>
      <c r="BM43" s="279"/>
      <c r="BN43" s="279"/>
      <c r="BO43" s="279"/>
      <c r="BP43" s="279"/>
      <c r="BQ43" s="279"/>
      <c r="BR43" s="279"/>
      <c r="BS43" s="279"/>
      <c r="BT43" s="280"/>
      <c r="BU43" s="521"/>
      <c r="BV43" s="522"/>
      <c r="BW43" s="522"/>
      <c r="BX43" s="522"/>
      <c r="BY43" s="522"/>
      <c r="BZ43" s="522"/>
      <c r="CA43" s="522"/>
      <c r="CB43" s="522"/>
      <c r="CC43" s="522"/>
      <c r="CD43" s="522"/>
      <c r="CE43" s="522"/>
      <c r="CF43" s="522"/>
      <c r="CG43" s="522"/>
      <c r="CH43" s="522"/>
      <c r="CI43" s="522"/>
      <c r="CJ43" s="522"/>
      <c r="CK43" s="522"/>
      <c r="CL43" s="523"/>
    </row>
    <row r="44" spans="1:90" ht="15" customHeight="1" x14ac:dyDescent="0.3">
      <c r="A44" s="356"/>
      <c r="B44" s="356"/>
      <c r="C44" s="317"/>
      <c r="D44" s="318"/>
      <c r="E44" s="319"/>
      <c r="F44" s="317"/>
      <c r="G44" s="319"/>
      <c r="H44" s="150"/>
      <c r="I44" s="317"/>
      <c r="J44" s="318"/>
      <c r="K44" s="318"/>
      <c r="L44" s="319"/>
      <c r="M44" s="284"/>
      <c r="N44" s="285"/>
      <c r="O44" s="286"/>
      <c r="P44" s="352"/>
      <c r="Q44" s="352"/>
      <c r="R44" s="352"/>
      <c r="S44" s="492"/>
      <c r="T44" s="492"/>
      <c r="U44" s="492"/>
      <c r="V44" s="492"/>
      <c r="W44" s="492"/>
      <c r="X44" s="492"/>
      <c r="Y44" s="492"/>
      <c r="Z44" s="492"/>
      <c r="AA44" s="492"/>
      <c r="AB44" s="492"/>
      <c r="AC44" s="492"/>
      <c r="AD44" s="492"/>
      <c r="AE44" s="492"/>
      <c r="AF44" s="492"/>
      <c r="AG44" s="365">
        <v>19</v>
      </c>
      <c r="AH44" s="366"/>
      <c r="AI44" s="466">
        <f t="shared" si="0"/>
        <v>1.8410852713178294E-3</v>
      </c>
      <c r="AJ44" s="467"/>
      <c r="AK44" s="278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V44" s="279"/>
      <c r="AW44" s="279"/>
      <c r="AX44" s="279"/>
      <c r="AY44" s="279"/>
      <c r="AZ44" s="279"/>
      <c r="BA44" s="279"/>
      <c r="BB44" s="280"/>
      <c r="BC44" s="278"/>
      <c r="BD44" s="279"/>
      <c r="BE44" s="279"/>
      <c r="BF44" s="279"/>
      <c r="BG44" s="279"/>
      <c r="BH44" s="279"/>
      <c r="BI44" s="279"/>
      <c r="BJ44" s="279"/>
      <c r="BK44" s="279"/>
      <c r="BL44" s="279"/>
      <c r="BM44" s="279"/>
      <c r="BN44" s="279"/>
      <c r="BO44" s="279"/>
      <c r="BP44" s="279"/>
      <c r="BQ44" s="279"/>
      <c r="BR44" s="279"/>
      <c r="BS44" s="279"/>
      <c r="BT44" s="280"/>
      <c r="BU44" s="521"/>
      <c r="BV44" s="522"/>
      <c r="BW44" s="522"/>
      <c r="BX44" s="522"/>
      <c r="BY44" s="522"/>
      <c r="BZ44" s="522"/>
      <c r="CA44" s="522"/>
      <c r="CB44" s="522"/>
      <c r="CC44" s="522"/>
      <c r="CD44" s="522"/>
      <c r="CE44" s="522"/>
      <c r="CF44" s="522"/>
      <c r="CG44" s="522"/>
      <c r="CH44" s="522"/>
      <c r="CI44" s="522"/>
      <c r="CJ44" s="522"/>
      <c r="CK44" s="522"/>
      <c r="CL44" s="523"/>
    </row>
    <row r="45" spans="1:90" ht="15" customHeight="1" x14ac:dyDescent="0.3">
      <c r="A45" s="326"/>
      <c r="B45" s="328"/>
      <c r="C45" s="320"/>
      <c r="D45" s="321"/>
      <c r="E45" s="322"/>
      <c r="F45" s="320"/>
      <c r="G45" s="322"/>
      <c r="H45" s="148"/>
      <c r="I45" s="326"/>
      <c r="J45" s="327"/>
      <c r="K45" s="327"/>
      <c r="L45" s="328"/>
      <c r="M45" s="287"/>
      <c r="N45" s="288"/>
      <c r="O45" s="289"/>
      <c r="P45" s="290"/>
      <c r="Q45" s="290"/>
      <c r="R45" s="290"/>
      <c r="S45" s="272" t="s">
        <v>15</v>
      </c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4"/>
      <c r="AK45" s="278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V45" s="279"/>
      <c r="AW45" s="279"/>
      <c r="AX45" s="279"/>
      <c r="AY45" s="279"/>
      <c r="AZ45" s="279"/>
      <c r="BA45" s="279"/>
      <c r="BB45" s="280"/>
      <c r="BC45" s="278"/>
      <c r="BD45" s="279"/>
      <c r="BE45" s="279"/>
      <c r="BF45" s="279"/>
      <c r="BG45" s="279"/>
      <c r="BH45" s="279"/>
      <c r="BI45" s="279"/>
      <c r="BJ45" s="279"/>
      <c r="BK45" s="279"/>
      <c r="BL45" s="279"/>
      <c r="BM45" s="279"/>
      <c r="BN45" s="279"/>
      <c r="BO45" s="279"/>
      <c r="BP45" s="279"/>
      <c r="BQ45" s="279"/>
      <c r="BR45" s="279"/>
      <c r="BS45" s="279"/>
      <c r="BT45" s="280"/>
      <c r="BU45" s="524"/>
      <c r="BV45" s="525"/>
      <c r="BW45" s="525"/>
      <c r="BX45" s="525"/>
      <c r="BY45" s="525"/>
      <c r="BZ45" s="525"/>
      <c r="CA45" s="525"/>
      <c r="CB45" s="525"/>
      <c r="CC45" s="525"/>
      <c r="CD45" s="525"/>
      <c r="CE45" s="525"/>
      <c r="CF45" s="525"/>
      <c r="CG45" s="525"/>
      <c r="CH45" s="525"/>
      <c r="CI45" s="525"/>
      <c r="CJ45" s="525"/>
      <c r="CK45" s="525"/>
      <c r="CL45" s="526"/>
    </row>
    <row r="46" spans="1:90" ht="15" customHeight="1" x14ac:dyDescent="0.3">
      <c r="A46" s="272" t="s">
        <v>43</v>
      </c>
      <c r="B46" s="273"/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4"/>
      <c r="S46" s="294" t="s">
        <v>36</v>
      </c>
      <c r="T46" s="296"/>
      <c r="U46" s="294" t="s">
        <v>37</v>
      </c>
      <c r="V46" s="295"/>
      <c r="W46" s="295"/>
      <c r="X46" s="296"/>
      <c r="Y46" s="294" t="s">
        <v>44</v>
      </c>
      <c r="Z46" s="295"/>
      <c r="AA46" s="98" t="s">
        <v>119</v>
      </c>
      <c r="AB46" s="490" t="s">
        <v>46</v>
      </c>
      <c r="AC46" s="491"/>
      <c r="AD46" s="95" t="s">
        <v>119</v>
      </c>
      <c r="AE46" s="490" t="s">
        <v>262</v>
      </c>
      <c r="AF46" s="491"/>
      <c r="AG46" s="351" t="s">
        <v>45</v>
      </c>
      <c r="AH46" s="351"/>
      <c r="AI46" s="295" t="s">
        <v>120</v>
      </c>
      <c r="AJ46" s="296"/>
      <c r="AK46" s="278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79"/>
      <c r="AX46" s="279"/>
      <c r="AY46" s="279"/>
      <c r="AZ46" s="279"/>
      <c r="BA46" s="279"/>
      <c r="BB46" s="280"/>
      <c r="BC46" s="278"/>
      <c r="BD46" s="279"/>
      <c r="BE46" s="279"/>
      <c r="BF46" s="279"/>
      <c r="BG46" s="279"/>
      <c r="BH46" s="279"/>
      <c r="BI46" s="279"/>
      <c r="BJ46" s="279"/>
      <c r="BK46" s="279"/>
      <c r="BL46" s="279"/>
      <c r="BM46" s="279"/>
      <c r="BN46" s="279"/>
      <c r="BO46" s="279"/>
      <c r="BP46" s="279"/>
      <c r="BQ46" s="279"/>
      <c r="BR46" s="279"/>
      <c r="BS46" s="279"/>
      <c r="BT46" s="280"/>
      <c r="BU46" s="527" t="s">
        <v>118</v>
      </c>
      <c r="BV46" s="528"/>
      <c r="BW46" s="528"/>
      <c r="BX46" s="528"/>
      <c r="BY46" s="528"/>
      <c r="BZ46" s="528"/>
      <c r="CA46" s="528"/>
      <c r="CB46" s="528"/>
      <c r="CC46" s="528"/>
      <c r="CD46" s="528"/>
      <c r="CE46" s="528"/>
      <c r="CF46" s="528"/>
      <c r="CG46" s="528"/>
      <c r="CH46" s="528"/>
      <c r="CI46" s="528"/>
      <c r="CJ46" s="528"/>
      <c r="CK46" s="528"/>
      <c r="CL46" s="529"/>
    </row>
    <row r="47" spans="1:90" ht="15" customHeight="1" x14ac:dyDescent="0.3">
      <c r="A47" s="294" t="s">
        <v>32</v>
      </c>
      <c r="B47" s="296"/>
      <c r="C47" s="351" t="s">
        <v>125</v>
      </c>
      <c r="D47" s="351"/>
      <c r="E47" s="351"/>
      <c r="F47" s="351" t="s">
        <v>33</v>
      </c>
      <c r="G47" s="351"/>
      <c r="H47" s="97" t="s">
        <v>119</v>
      </c>
      <c r="I47" s="294" t="s">
        <v>128</v>
      </c>
      <c r="J47" s="296"/>
      <c r="K47" s="294" t="s">
        <v>34</v>
      </c>
      <c r="L47" s="296"/>
      <c r="M47" s="294" t="s">
        <v>31</v>
      </c>
      <c r="N47" s="295"/>
      <c r="O47" s="295"/>
      <c r="P47" s="295"/>
      <c r="Q47" s="295"/>
      <c r="R47" s="296"/>
      <c r="S47" s="351" t="s">
        <v>47</v>
      </c>
      <c r="T47" s="351"/>
      <c r="U47" s="314" t="s">
        <v>136</v>
      </c>
      <c r="V47" s="315"/>
      <c r="W47" s="315"/>
      <c r="X47" s="316"/>
      <c r="Y47" s="484">
        <v>251</v>
      </c>
      <c r="Z47" s="485"/>
      <c r="AA47" s="54" t="s">
        <v>320</v>
      </c>
      <c r="AB47" s="484">
        <v>251</v>
      </c>
      <c r="AC47" s="485"/>
      <c r="AD47" s="54" t="s">
        <v>320</v>
      </c>
      <c r="AE47" s="314" t="s">
        <v>308</v>
      </c>
      <c r="AF47" s="316"/>
      <c r="AG47" s="374" t="s">
        <v>318</v>
      </c>
      <c r="AH47" s="374"/>
      <c r="AI47" s="452" t="s">
        <v>299</v>
      </c>
      <c r="AJ47" s="452"/>
      <c r="AK47" s="278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80"/>
      <c r="BC47" s="278"/>
      <c r="BD47" s="279"/>
      <c r="BE47" s="279"/>
      <c r="BF47" s="279"/>
      <c r="BG47" s="279"/>
      <c r="BH47" s="279"/>
      <c r="BI47" s="279"/>
      <c r="BJ47" s="279"/>
      <c r="BK47" s="279"/>
      <c r="BL47" s="279"/>
      <c r="BM47" s="279"/>
      <c r="BN47" s="279"/>
      <c r="BO47" s="279"/>
      <c r="BP47" s="279"/>
      <c r="BQ47" s="279"/>
      <c r="BR47" s="279"/>
      <c r="BS47" s="279"/>
      <c r="BT47" s="280"/>
      <c r="BU47" s="530"/>
      <c r="BV47" s="531"/>
      <c r="BW47" s="531"/>
      <c r="BX47" s="531"/>
      <c r="BY47" s="531"/>
      <c r="BZ47" s="531"/>
      <c r="CA47" s="531"/>
      <c r="CB47" s="531"/>
      <c r="CC47" s="531"/>
      <c r="CD47" s="531"/>
      <c r="CE47" s="531"/>
      <c r="CF47" s="531"/>
      <c r="CG47" s="531"/>
      <c r="CH47" s="531"/>
      <c r="CI47" s="531"/>
      <c r="CJ47" s="531"/>
      <c r="CK47" s="531"/>
      <c r="CL47" s="532"/>
    </row>
    <row r="48" spans="1:90" ht="15" customHeight="1" x14ac:dyDescent="0.3">
      <c r="A48" s="335" t="s">
        <v>148</v>
      </c>
      <c r="B48" s="335"/>
      <c r="C48" s="335"/>
      <c r="D48" s="335"/>
      <c r="E48" s="335"/>
      <c r="F48" s="335"/>
      <c r="G48" s="335"/>
      <c r="H48" s="191"/>
      <c r="I48" s="353"/>
      <c r="J48" s="355"/>
      <c r="K48" s="353"/>
      <c r="L48" s="355"/>
      <c r="M48" s="353"/>
      <c r="N48" s="354"/>
      <c r="O48" s="354"/>
      <c r="P48" s="354"/>
      <c r="Q48" s="354"/>
      <c r="R48" s="355"/>
      <c r="S48" s="351" t="s">
        <v>48</v>
      </c>
      <c r="T48" s="351"/>
      <c r="U48" s="317" t="s">
        <v>136</v>
      </c>
      <c r="V48" s="318"/>
      <c r="W48" s="318"/>
      <c r="X48" s="319"/>
      <c r="Y48" s="486">
        <v>251</v>
      </c>
      <c r="Z48" s="487"/>
      <c r="AA48" s="52" t="s">
        <v>320</v>
      </c>
      <c r="AB48" s="486">
        <v>251</v>
      </c>
      <c r="AC48" s="487"/>
      <c r="AD48" s="52" t="s">
        <v>320</v>
      </c>
      <c r="AE48" s="317" t="s">
        <v>308</v>
      </c>
      <c r="AF48" s="319"/>
      <c r="AG48" s="356" t="s">
        <v>318</v>
      </c>
      <c r="AH48" s="356"/>
      <c r="AI48" s="356" t="s">
        <v>299</v>
      </c>
      <c r="AJ48" s="356"/>
      <c r="AK48" s="278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80"/>
      <c r="BC48" s="278"/>
      <c r="BD48" s="279"/>
      <c r="BE48" s="279"/>
      <c r="BF48" s="279"/>
      <c r="BG48" s="279"/>
      <c r="BH48" s="279"/>
      <c r="BI48" s="279"/>
      <c r="BJ48" s="279"/>
      <c r="BK48" s="279"/>
      <c r="BL48" s="279"/>
      <c r="BM48" s="279"/>
      <c r="BN48" s="279"/>
      <c r="BO48" s="279"/>
      <c r="BP48" s="279"/>
      <c r="BQ48" s="279"/>
      <c r="BR48" s="279"/>
      <c r="BS48" s="279"/>
      <c r="BT48" s="280"/>
      <c r="BU48" s="530"/>
      <c r="BV48" s="531"/>
      <c r="BW48" s="531"/>
      <c r="BX48" s="531"/>
      <c r="BY48" s="531"/>
      <c r="BZ48" s="531"/>
      <c r="CA48" s="531"/>
      <c r="CB48" s="531"/>
      <c r="CC48" s="531"/>
      <c r="CD48" s="531"/>
      <c r="CE48" s="531"/>
      <c r="CF48" s="531"/>
      <c r="CG48" s="531"/>
      <c r="CH48" s="531"/>
      <c r="CI48" s="531"/>
      <c r="CJ48" s="531"/>
      <c r="CK48" s="531"/>
      <c r="CL48" s="532"/>
    </row>
    <row r="49" spans="1:90" ht="15" customHeight="1" x14ac:dyDescent="0.3">
      <c r="A49" s="356" t="s">
        <v>313</v>
      </c>
      <c r="B49" s="356"/>
      <c r="C49" s="356"/>
      <c r="D49" s="356"/>
      <c r="E49" s="356"/>
      <c r="F49" s="356"/>
      <c r="G49" s="356"/>
      <c r="H49" s="189"/>
      <c r="I49" s="317"/>
      <c r="J49" s="319"/>
      <c r="K49" s="317"/>
      <c r="L49" s="319"/>
      <c r="M49" s="317"/>
      <c r="N49" s="318"/>
      <c r="O49" s="318"/>
      <c r="P49" s="318"/>
      <c r="Q49" s="318"/>
      <c r="R49" s="319"/>
      <c r="S49" s="351" t="s">
        <v>49</v>
      </c>
      <c r="T49" s="351"/>
      <c r="U49" s="361" t="s">
        <v>467</v>
      </c>
      <c r="V49" s="362"/>
      <c r="W49" s="362"/>
      <c r="X49" s="363"/>
      <c r="Y49" s="488">
        <v>251</v>
      </c>
      <c r="Z49" s="489"/>
      <c r="AA49" s="51" t="s">
        <v>320</v>
      </c>
      <c r="AB49" s="488">
        <v>250</v>
      </c>
      <c r="AC49" s="489"/>
      <c r="AD49" s="51"/>
      <c r="AE49" s="361" t="s">
        <v>470</v>
      </c>
      <c r="AF49" s="363"/>
      <c r="AG49" s="357" t="s">
        <v>469</v>
      </c>
      <c r="AH49" s="357"/>
      <c r="AI49" s="477" t="s">
        <v>468</v>
      </c>
      <c r="AJ49" s="477"/>
      <c r="AK49" s="278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V49" s="279"/>
      <c r="AW49" s="279"/>
      <c r="AX49" s="279"/>
      <c r="AY49" s="279"/>
      <c r="AZ49" s="279"/>
      <c r="BA49" s="279"/>
      <c r="BB49" s="280"/>
      <c r="BC49" s="278"/>
      <c r="BD49" s="279"/>
      <c r="BE49" s="279"/>
      <c r="BF49" s="279"/>
      <c r="BG49" s="279"/>
      <c r="BH49" s="279"/>
      <c r="BI49" s="279"/>
      <c r="BJ49" s="279"/>
      <c r="BK49" s="279"/>
      <c r="BL49" s="279"/>
      <c r="BM49" s="279"/>
      <c r="BN49" s="279"/>
      <c r="BO49" s="279"/>
      <c r="BP49" s="279"/>
      <c r="BQ49" s="279"/>
      <c r="BR49" s="279"/>
      <c r="BS49" s="279"/>
      <c r="BT49" s="280"/>
      <c r="BU49" s="530"/>
      <c r="BV49" s="531"/>
      <c r="BW49" s="531"/>
      <c r="BX49" s="531"/>
      <c r="BY49" s="531"/>
      <c r="BZ49" s="531"/>
      <c r="CA49" s="531"/>
      <c r="CB49" s="531"/>
      <c r="CC49" s="531"/>
      <c r="CD49" s="531"/>
      <c r="CE49" s="531"/>
      <c r="CF49" s="531"/>
      <c r="CG49" s="531"/>
      <c r="CH49" s="531"/>
      <c r="CI49" s="531"/>
      <c r="CJ49" s="531"/>
      <c r="CK49" s="531"/>
      <c r="CL49" s="532"/>
    </row>
    <row r="50" spans="1:90" ht="15" customHeight="1" x14ac:dyDescent="0.3">
      <c r="A50" s="364" t="s">
        <v>114</v>
      </c>
      <c r="B50" s="364"/>
      <c r="C50" s="358"/>
      <c r="D50" s="359"/>
      <c r="E50" s="360"/>
      <c r="F50" s="364"/>
      <c r="G50" s="364"/>
      <c r="H50" s="192"/>
      <c r="I50" s="358"/>
      <c r="J50" s="360"/>
      <c r="K50" s="358"/>
      <c r="L50" s="360"/>
      <c r="M50" s="358"/>
      <c r="N50" s="359"/>
      <c r="O50" s="359"/>
      <c r="P50" s="359"/>
      <c r="Q50" s="359"/>
      <c r="R50" s="360"/>
      <c r="S50" s="272" t="s">
        <v>42</v>
      </c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4"/>
      <c r="AK50" s="278"/>
      <c r="AL50" s="279"/>
      <c r="AM50" s="279"/>
      <c r="AN50" s="279"/>
      <c r="AO50" s="279"/>
      <c r="AP50" s="279"/>
      <c r="AQ50" s="279"/>
      <c r="AR50" s="279"/>
      <c r="AS50" s="279"/>
      <c r="AT50" s="279"/>
      <c r="AU50" s="279"/>
      <c r="AV50" s="279"/>
      <c r="AW50" s="279"/>
      <c r="AX50" s="279"/>
      <c r="AY50" s="279"/>
      <c r="AZ50" s="279"/>
      <c r="BA50" s="279"/>
      <c r="BB50" s="280"/>
      <c r="BC50" s="278"/>
      <c r="BD50" s="279"/>
      <c r="BE50" s="279"/>
      <c r="BF50" s="279"/>
      <c r="BG50" s="279"/>
      <c r="BH50" s="279"/>
      <c r="BI50" s="279"/>
      <c r="BJ50" s="279"/>
      <c r="BK50" s="279"/>
      <c r="BL50" s="279"/>
      <c r="BM50" s="279"/>
      <c r="BN50" s="279"/>
      <c r="BO50" s="279"/>
      <c r="BP50" s="279"/>
      <c r="BQ50" s="279"/>
      <c r="BR50" s="279"/>
      <c r="BS50" s="279"/>
      <c r="BT50" s="280"/>
      <c r="BU50" s="530"/>
      <c r="BV50" s="531"/>
      <c r="BW50" s="531"/>
      <c r="BX50" s="531"/>
      <c r="BY50" s="531"/>
      <c r="BZ50" s="531"/>
      <c r="CA50" s="531"/>
      <c r="CB50" s="531"/>
      <c r="CC50" s="531"/>
      <c r="CD50" s="531"/>
      <c r="CE50" s="531"/>
      <c r="CF50" s="531"/>
      <c r="CG50" s="531"/>
      <c r="CH50" s="531"/>
      <c r="CI50" s="531"/>
      <c r="CJ50" s="531"/>
      <c r="CK50" s="531"/>
      <c r="CL50" s="532"/>
    </row>
    <row r="51" spans="1:90" ht="16" customHeight="1" x14ac:dyDescent="0.3">
      <c r="A51" s="317"/>
      <c r="B51" s="319"/>
      <c r="C51" s="317"/>
      <c r="D51" s="318"/>
      <c r="E51" s="319"/>
      <c r="F51" s="317"/>
      <c r="G51" s="319"/>
      <c r="H51" s="189"/>
      <c r="I51" s="317"/>
      <c r="J51" s="319"/>
      <c r="K51" s="317"/>
      <c r="L51" s="319"/>
      <c r="M51" s="317"/>
      <c r="N51" s="318"/>
      <c r="O51" s="318"/>
      <c r="P51" s="318"/>
      <c r="Q51" s="318"/>
      <c r="R51" s="319"/>
      <c r="S51" s="474"/>
      <c r="T51" s="475"/>
      <c r="U51" s="475"/>
      <c r="V51" s="475"/>
      <c r="W51" s="475"/>
      <c r="X51" s="475"/>
      <c r="Y51" s="475"/>
      <c r="Z51" s="475"/>
      <c r="AA51" s="475"/>
      <c r="AB51" s="475"/>
      <c r="AC51" s="475"/>
      <c r="AD51" s="475"/>
      <c r="AE51" s="475"/>
      <c r="AF51" s="475"/>
      <c r="AG51" s="475"/>
      <c r="AH51" s="475"/>
      <c r="AI51" s="475"/>
      <c r="AJ51" s="476"/>
      <c r="AK51" s="278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/>
      <c r="AW51" s="279"/>
      <c r="AX51" s="279"/>
      <c r="AY51" s="279"/>
      <c r="AZ51" s="279"/>
      <c r="BA51" s="279"/>
      <c r="BB51" s="280"/>
      <c r="BC51" s="278"/>
      <c r="BD51" s="279"/>
      <c r="BE51" s="279"/>
      <c r="BF51" s="279"/>
      <c r="BG51" s="279"/>
      <c r="BH51" s="279"/>
      <c r="BI51" s="279"/>
      <c r="BJ51" s="279"/>
      <c r="BK51" s="279"/>
      <c r="BL51" s="279"/>
      <c r="BM51" s="279"/>
      <c r="BN51" s="279"/>
      <c r="BO51" s="279"/>
      <c r="BP51" s="279"/>
      <c r="BQ51" s="279"/>
      <c r="BR51" s="279"/>
      <c r="BS51" s="279"/>
      <c r="BT51" s="280"/>
      <c r="BU51" s="530"/>
      <c r="BV51" s="531"/>
      <c r="BW51" s="531"/>
      <c r="BX51" s="531"/>
      <c r="BY51" s="531"/>
      <c r="BZ51" s="531"/>
      <c r="CA51" s="531"/>
      <c r="CB51" s="531"/>
      <c r="CC51" s="531"/>
      <c r="CD51" s="531"/>
      <c r="CE51" s="531"/>
      <c r="CF51" s="531"/>
      <c r="CG51" s="531"/>
      <c r="CH51" s="531"/>
      <c r="CI51" s="531"/>
      <c r="CJ51" s="531"/>
      <c r="CK51" s="531"/>
      <c r="CL51" s="532"/>
    </row>
    <row r="52" spans="1:90" ht="16" customHeight="1" x14ac:dyDescent="0.3">
      <c r="A52" s="357"/>
      <c r="B52" s="357"/>
      <c r="C52" s="361"/>
      <c r="D52" s="362"/>
      <c r="E52" s="363"/>
      <c r="F52" s="357"/>
      <c r="G52" s="357"/>
      <c r="H52" s="190"/>
      <c r="I52" s="361"/>
      <c r="J52" s="363"/>
      <c r="K52" s="361"/>
      <c r="L52" s="363"/>
      <c r="M52" s="361"/>
      <c r="N52" s="362"/>
      <c r="O52" s="362"/>
      <c r="P52" s="362"/>
      <c r="Q52" s="362"/>
      <c r="R52" s="363"/>
      <c r="S52" s="470" t="s">
        <v>141</v>
      </c>
      <c r="T52" s="470"/>
      <c r="U52" s="470"/>
      <c r="V52" s="471"/>
      <c r="W52" s="472"/>
      <c r="X52" s="473"/>
      <c r="Y52" s="470" t="s">
        <v>142</v>
      </c>
      <c r="Z52" s="470"/>
      <c r="AA52" s="470"/>
      <c r="AB52" s="471"/>
      <c r="AC52" s="472"/>
      <c r="AD52" s="473"/>
      <c r="AE52" s="470" t="s">
        <v>143</v>
      </c>
      <c r="AF52" s="470"/>
      <c r="AG52" s="470"/>
      <c r="AH52" s="471"/>
      <c r="AI52" s="472"/>
      <c r="AJ52" s="473"/>
      <c r="AK52" s="281"/>
      <c r="AL52" s="282"/>
      <c r="AM52" s="282"/>
      <c r="AN52" s="282"/>
      <c r="AO52" s="282"/>
      <c r="AP52" s="282"/>
      <c r="AQ52" s="282"/>
      <c r="AR52" s="282"/>
      <c r="AS52" s="282"/>
      <c r="AT52" s="282"/>
      <c r="AU52" s="282"/>
      <c r="AV52" s="282"/>
      <c r="AW52" s="282"/>
      <c r="AX52" s="282"/>
      <c r="AY52" s="282"/>
      <c r="AZ52" s="282"/>
      <c r="BA52" s="282"/>
      <c r="BB52" s="283"/>
      <c r="BC52" s="281"/>
      <c r="BD52" s="282"/>
      <c r="BE52" s="282"/>
      <c r="BF52" s="282"/>
      <c r="BG52" s="282"/>
      <c r="BH52" s="282"/>
      <c r="BI52" s="282"/>
      <c r="BJ52" s="282"/>
      <c r="BK52" s="282"/>
      <c r="BL52" s="282"/>
      <c r="BM52" s="282"/>
      <c r="BN52" s="282"/>
      <c r="BO52" s="282"/>
      <c r="BP52" s="282"/>
      <c r="BQ52" s="282"/>
      <c r="BR52" s="282"/>
      <c r="BS52" s="282"/>
      <c r="BT52" s="283"/>
      <c r="BU52" s="533"/>
      <c r="BV52" s="534"/>
      <c r="BW52" s="534"/>
      <c r="BX52" s="534"/>
      <c r="BY52" s="534"/>
      <c r="BZ52" s="534"/>
      <c r="CA52" s="534"/>
      <c r="CB52" s="534"/>
      <c r="CC52" s="534"/>
      <c r="CD52" s="534"/>
      <c r="CE52" s="534"/>
      <c r="CF52" s="534"/>
      <c r="CG52" s="534"/>
      <c r="CH52" s="534"/>
      <c r="CI52" s="534"/>
      <c r="CJ52" s="534"/>
      <c r="CK52" s="534"/>
      <c r="CL52" s="535"/>
    </row>
    <row r="53" spans="1:90" ht="16" customHeight="1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</row>
    <row r="58" spans="1:90" ht="15" customHeight="1" x14ac:dyDescent="0.3">
      <c r="CJ58" s="185"/>
    </row>
  </sheetData>
  <sheetProtection formatCells="0" formatColumns="0" formatRows="0" insertColumns="0" insertRows="0" insertHyperlinks="0" deleteColumns="0" deleteRows="0" sort="0"/>
  <mergeCells count="438">
    <mergeCell ref="AK3:BB52"/>
    <mergeCell ref="BU19:CL19"/>
    <mergeCell ref="BU20:CL45"/>
    <mergeCell ref="BU46:CL46"/>
    <mergeCell ref="BU47:CL52"/>
    <mergeCell ref="BU15:BW15"/>
    <mergeCell ref="BX15:CC15"/>
    <mergeCell ref="BU16:BW16"/>
    <mergeCell ref="BX16:CC16"/>
    <mergeCell ref="BU17:BW17"/>
    <mergeCell ref="BX17:CC17"/>
    <mergeCell ref="BU18:BW18"/>
    <mergeCell ref="BX18:CC18"/>
    <mergeCell ref="BU10:CL10"/>
    <mergeCell ref="BU11:BW11"/>
    <mergeCell ref="BX11:CC11"/>
    <mergeCell ref="BU14:BW14"/>
    <mergeCell ref="BX14:CC14"/>
    <mergeCell ref="CD8:CF8"/>
    <mergeCell ref="CG8:CL8"/>
    <mergeCell ref="BU9:BW9"/>
    <mergeCell ref="BX9:CC9"/>
    <mergeCell ref="CD9:CF9"/>
    <mergeCell ref="CG9:CL9"/>
    <mergeCell ref="S24:AF24"/>
    <mergeCell ref="S25:AF44"/>
    <mergeCell ref="BU12:BW12"/>
    <mergeCell ref="BX12:CC12"/>
    <mergeCell ref="BU13:BW13"/>
    <mergeCell ref="BX13:CC13"/>
    <mergeCell ref="BU1:BZ1"/>
    <mergeCell ref="CA1:CF1"/>
    <mergeCell ref="CG1:CL1"/>
    <mergeCell ref="BU2:CL2"/>
    <mergeCell ref="BU3:BW3"/>
    <mergeCell ref="BX3:CC3"/>
    <mergeCell ref="CD3:CL5"/>
    <mergeCell ref="BU4:BW4"/>
    <mergeCell ref="BX4:CC4"/>
    <mergeCell ref="BU5:BW5"/>
    <mergeCell ref="BX5:CC5"/>
    <mergeCell ref="BU6:CL6"/>
    <mergeCell ref="BU7:BW7"/>
    <mergeCell ref="BX7:CC7"/>
    <mergeCell ref="CD7:CF7"/>
    <mergeCell ref="CG7:CL7"/>
    <mergeCell ref="BU8:BW8"/>
    <mergeCell ref="BX8:CC8"/>
    <mergeCell ref="AI48:AJ48"/>
    <mergeCell ref="AI34:AJ34"/>
    <mergeCell ref="AI39:AJ39"/>
    <mergeCell ref="Y46:Z46"/>
    <mergeCell ref="Y47:Z47"/>
    <mergeCell ref="Y48:Z48"/>
    <mergeCell ref="Y49:Z49"/>
    <mergeCell ref="AB46:AC46"/>
    <mergeCell ref="AB47:AC47"/>
    <mergeCell ref="AB48:AC48"/>
    <mergeCell ref="AB49:AC49"/>
    <mergeCell ref="AE46:AF46"/>
    <mergeCell ref="AE47:AF47"/>
    <mergeCell ref="AE48:AF48"/>
    <mergeCell ref="AE49:AF49"/>
    <mergeCell ref="AI40:AJ40"/>
    <mergeCell ref="AG41:AH41"/>
    <mergeCell ref="AI41:AJ41"/>
    <mergeCell ref="AI44:AJ44"/>
    <mergeCell ref="AG47:AH47"/>
    <mergeCell ref="AI30:AJ30"/>
    <mergeCell ref="AI31:AJ31"/>
    <mergeCell ref="AI32:AJ32"/>
    <mergeCell ref="AI26:AJ26"/>
    <mergeCell ref="AI27:AJ27"/>
    <mergeCell ref="AI28:AJ28"/>
    <mergeCell ref="AI29:AJ29"/>
    <mergeCell ref="AG24:AJ24"/>
    <mergeCell ref="AG30:AH30"/>
    <mergeCell ref="AG31:AH31"/>
    <mergeCell ref="AG32:AH32"/>
    <mergeCell ref="AG25:AH25"/>
    <mergeCell ref="AG26:AH26"/>
    <mergeCell ref="AG27:AH27"/>
    <mergeCell ref="AG28:AH28"/>
    <mergeCell ref="AG29:AH29"/>
    <mergeCell ref="AI33:AJ33"/>
    <mergeCell ref="AI35:AJ35"/>
    <mergeCell ref="AI42:AJ42"/>
    <mergeCell ref="AG43:AH43"/>
    <mergeCell ref="AI43:AJ43"/>
    <mergeCell ref="S52:U52"/>
    <mergeCell ref="V52:X52"/>
    <mergeCell ref="Y52:AA52"/>
    <mergeCell ref="AB52:AD52"/>
    <mergeCell ref="AE52:AG52"/>
    <mergeCell ref="AH52:AJ52"/>
    <mergeCell ref="AG49:AH49"/>
    <mergeCell ref="S51:AJ51"/>
    <mergeCell ref="S50:AJ50"/>
    <mergeCell ref="AI49:AJ49"/>
    <mergeCell ref="S49:T49"/>
    <mergeCell ref="U49:X49"/>
    <mergeCell ref="S48:T48"/>
    <mergeCell ref="U48:X48"/>
    <mergeCell ref="AG33:AH33"/>
    <mergeCell ref="AG34:AH34"/>
    <mergeCell ref="AG39:AH39"/>
    <mergeCell ref="AG38:AH38"/>
    <mergeCell ref="AG35:AH35"/>
    <mergeCell ref="M31:R31"/>
    <mergeCell ref="I28:L28"/>
    <mergeCell ref="I29:L29"/>
    <mergeCell ref="I30:L30"/>
    <mergeCell ref="AI47:AJ47"/>
    <mergeCell ref="AI25:AJ25"/>
    <mergeCell ref="AG37:AH37"/>
    <mergeCell ref="AG36:AH36"/>
    <mergeCell ref="AI46:AJ46"/>
    <mergeCell ref="AG40:AH40"/>
    <mergeCell ref="A21:L26"/>
    <mergeCell ref="M24:Q24"/>
    <mergeCell ref="M23:Q23"/>
    <mergeCell ref="M22:Q22"/>
    <mergeCell ref="M26:Q26"/>
    <mergeCell ref="M25:Q25"/>
    <mergeCell ref="S46:T46"/>
    <mergeCell ref="U46:X46"/>
    <mergeCell ref="S45:AJ45"/>
    <mergeCell ref="AG46:AH46"/>
    <mergeCell ref="AI36:AJ36"/>
    <mergeCell ref="AI37:AJ37"/>
    <mergeCell ref="AI38:AJ38"/>
    <mergeCell ref="AG44:AH44"/>
    <mergeCell ref="A15:L19"/>
    <mergeCell ref="M19:Q19"/>
    <mergeCell ref="A14:L14"/>
    <mergeCell ref="F11:G11"/>
    <mergeCell ref="F12:G12"/>
    <mergeCell ref="M28:R28"/>
    <mergeCell ref="M29:R29"/>
    <mergeCell ref="F28:G28"/>
    <mergeCell ref="M20:Q20"/>
    <mergeCell ref="M21:Q21"/>
    <mergeCell ref="C11:E11"/>
    <mergeCell ref="A20:L20"/>
    <mergeCell ref="C12:E12"/>
    <mergeCell ref="M14:Q14"/>
    <mergeCell ref="M15:Q15"/>
    <mergeCell ref="M16:Q16"/>
    <mergeCell ref="M17:Q17"/>
    <mergeCell ref="M18:Q18"/>
    <mergeCell ref="I11:P11"/>
    <mergeCell ref="I12:P12"/>
    <mergeCell ref="A1:F1"/>
    <mergeCell ref="G1:L1"/>
    <mergeCell ref="M1:R1"/>
    <mergeCell ref="S1:X1"/>
    <mergeCell ref="T12:U12"/>
    <mergeCell ref="T13:U13"/>
    <mergeCell ref="T22:U22"/>
    <mergeCell ref="V22:Y22"/>
    <mergeCell ref="A8:B8"/>
    <mergeCell ref="A9:B9"/>
    <mergeCell ref="A10:B10"/>
    <mergeCell ref="F8:G8"/>
    <mergeCell ref="F9:G9"/>
    <mergeCell ref="F10:G10"/>
    <mergeCell ref="Y1:AD1"/>
    <mergeCell ref="Q7:R7"/>
    <mergeCell ref="AC4:AD4"/>
    <mergeCell ref="AC5:AD5"/>
    <mergeCell ref="AC6:AD6"/>
    <mergeCell ref="AC7:AD7"/>
    <mergeCell ref="C9:E9"/>
    <mergeCell ref="I8:P8"/>
    <mergeCell ref="A3:D3"/>
    <mergeCell ref="E3:H3"/>
    <mergeCell ref="A4:D7"/>
    <mergeCell ref="E4:H7"/>
    <mergeCell ref="S2:AJ2"/>
    <mergeCell ref="A2:R2"/>
    <mergeCell ref="Q4:R4"/>
    <mergeCell ref="Q5:R5"/>
    <mergeCell ref="Q6:R6"/>
    <mergeCell ref="O3:R3"/>
    <mergeCell ref="I3:J3"/>
    <mergeCell ref="M3:N3"/>
    <mergeCell ref="K3:L3"/>
    <mergeCell ref="I4:J7"/>
    <mergeCell ref="O7:P7"/>
    <mergeCell ref="T5:U5"/>
    <mergeCell ref="T6:U6"/>
    <mergeCell ref="T7:U7"/>
    <mergeCell ref="AC3:AD3"/>
    <mergeCell ref="AG3:AH3"/>
    <mergeCell ref="AG4:AH4"/>
    <mergeCell ref="AG5:AH5"/>
    <mergeCell ref="AG6:AH6"/>
    <mergeCell ref="AG7:AH7"/>
    <mergeCell ref="AE3:AF3"/>
    <mergeCell ref="AE4:AF4"/>
    <mergeCell ref="AE1:AJ1"/>
    <mergeCell ref="O4:P4"/>
    <mergeCell ref="O5:P5"/>
    <mergeCell ref="O6:P6"/>
    <mergeCell ref="AE11:AF11"/>
    <mergeCell ref="I9:P9"/>
    <mergeCell ref="I10:P10"/>
    <mergeCell ref="V3:Y3"/>
    <mergeCell ref="V4:Y4"/>
    <mergeCell ref="V5:Y5"/>
    <mergeCell ref="V6:Y6"/>
    <mergeCell ref="V7:Y7"/>
    <mergeCell ref="V8:Y8"/>
    <mergeCell ref="V9:Y9"/>
    <mergeCell ref="V10:Y10"/>
    <mergeCell ref="AC9:AD9"/>
    <mergeCell ref="AC10:AD10"/>
    <mergeCell ref="T3:U3"/>
    <mergeCell ref="T4:U4"/>
    <mergeCell ref="AE5:AF5"/>
    <mergeCell ref="AE6:AF6"/>
    <mergeCell ref="AE7:AF7"/>
    <mergeCell ref="AE8:AF8"/>
    <mergeCell ref="AE9:AF9"/>
    <mergeCell ref="C8:E8"/>
    <mergeCell ref="C10:E10"/>
    <mergeCell ref="A11:B11"/>
    <mergeCell ref="A12:B12"/>
    <mergeCell ref="A13:R13"/>
    <mergeCell ref="M30:R30"/>
    <mergeCell ref="A32:B32"/>
    <mergeCell ref="I32:L32"/>
    <mergeCell ref="A27:R27"/>
    <mergeCell ref="A28:B28"/>
    <mergeCell ref="A29:B29"/>
    <mergeCell ref="C30:E30"/>
    <mergeCell ref="F30:G30"/>
    <mergeCell ref="C31:E31"/>
    <mergeCell ref="A30:B30"/>
    <mergeCell ref="A31:B31"/>
    <mergeCell ref="M32:R32"/>
    <mergeCell ref="C32:E32"/>
    <mergeCell ref="F32:G32"/>
    <mergeCell ref="I31:L31"/>
    <mergeCell ref="F31:G31"/>
    <mergeCell ref="F29:G29"/>
    <mergeCell ref="C29:E29"/>
    <mergeCell ref="C28:E28"/>
    <mergeCell ref="F34:G34"/>
    <mergeCell ref="M33:R33"/>
    <mergeCell ref="M34:R34"/>
    <mergeCell ref="A34:B34"/>
    <mergeCell ref="I34:L34"/>
    <mergeCell ref="I37:L37"/>
    <mergeCell ref="I38:L38"/>
    <mergeCell ref="I39:L39"/>
    <mergeCell ref="I33:L33"/>
    <mergeCell ref="A33:B33"/>
    <mergeCell ref="M38:O38"/>
    <mergeCell ref="F33:G33"/>
    <mergeCell ref="C34:E34"/>
    <mergeCell ref="U47:X47"/>
    <mergeCell ref="AG48:AH48"/>
    <mergeCell ref="AG42:AH42"/>
    <mergeCell ref="C42:E42"/>
    <mergeCell ref="F42:G42"/>
    <mergeCell ref="C43:E43"/>
    <mergeCell ref="F43:G43"/>
    <mergeCell ref="F41:G41"/>
    <mergeCell ref="F36:G36"/>
    <mergeCell ref="I36:L36"/>
    <mergeCell ref="P39:R39"/>
    <mergeCell ref="P40:R40"/>
    <mergeCell ref="M39:O39"/>
    <mergeCell ref="C36:E36"/>
    <mergeCell ref="C40:E40"/>
    <mergeCell ref="F40:G40"/>
    <mergeCell ref="S47:T47"/>
    <mergeCell ref="C48:E48"/>
    <mergeCell ref="M47:R47"/>
    <mergeCell ref="A46:R46"/>
    <mergeCell ref="A47:B47"/>
    <mergeCell ref="F47:G47"/>
    <mergeCell ref="A43:B43"/>
    <mergeCell ref="A42:B42"/>
    <mergeCell ref="C49:E49"/>
    <mergeCell ref="A51:B51"/>
    <mergeCell ref="A52:B52"/>
    <mergeCell ref="M49:R49"/>
    <mergeCell ref="M50:R50"/>
    <mergeCell ref="M51:R51"/>
    <mergeCell ref="M52:R52"/>
    <mergeCell ref="A49:B49"/>
    <mergeCell ref="A50:B50"/>
    <mergeCell ref="F50:G50"/>
    <mergeCell ref="F52:G52"/>
    <mergeCell ref="C50:E50"/>
    <mergeCell ref="C51:E51"/>
    <mergeCell ref="C52:E52"/>
    <mergeCell ref="F49:G49"/>
    <mergeCell ref="F51:G51"/>
    <mergeCell ref="I52:J52"/>
    <mergeCell ref="K52:L52"/>
    <mergeCell ref="I50:J50"/>
    <mergeCell ref="I51:J51"/>
    <mergeCell ref="K49:L49"/>
    <mergeCell ref="K50:L50"/>
    <mergeCell ref="K51:L51"/>
    <mergeCell ref="I49:J49"/>
    <mergeCell ref="C47:E47"/>
    <mergeCell ref="P42:R42"/>
    <mergeCell ref="I42:L42"/>
    <mergeCell ref="I43:L43"/>
    <mergeCell ref="F48:G48"/>
    <mergeCell ref="M48:R48"/>
    <mergeCell ref="A48:B48"/>
    <mergeCell ref="C45:E45"/>
    <mergeCell ref="F44:G44"/>
    <mergeCell ref="P45:R45"/>
    <mergeCell ref="M44:O44"/>
    <mergeCell ref="M45:O45"/>
    <mergeCell ref="A45:B45"/>
    <mergeCell ref="C44:E44"/>
    <mergeCell ref="I47:J47"/>
    <mergeCell ref="I48:J48"/>
    <mergeCell ref="K47:L47"/>
    <mergeCell ref="K48:L48"/>
    <mergeCell ref="A44:B44"/>
    <mergeCell ref="F45:G45"/>
    <mergeCell ref="P44:R44"/>
    <mergeCell ref="AG13:AH13"/>
    <mergeCell ref="AC15:AD15"/>
    <mergeCell ref="AC16:AD16"/>
    <mergeCell ref="AC17:AD17"/>
    <mergeCell ref="AG14:AH14"/>
    <mergeCell ref="AG15:AH15"/>
    <mergeCell ref="AG16:AH16"/>
    <mergeCell ref="AG17:AH17"/>
    <mergeCell ref="AC12:AD12"/>
    <mergeCell ref="AC13:AD13"/>
    <mergeCell ref="AC14:AD14"/>
    <mergeCell ref="AG12:AH12"/>
    <mergeCell ref="AG18:AH18"/>
    <mergeCell ref="AG19:AH19"/>
    <mergeCell ref="AG20:AH20"/>
    <mergeCell ref="AE23:AF23"/>
    <mergeCell ref="AG23:AH23"/>
    <mergeCell ref="AC23:AD23"/>
    <mergeCell ref="AC21:AD21"/>
    <mergeCell ref="AC22:AD22"/>
    <mergeCell ref="AE22:AF22"/>
    <mergeCell ref="AG22:AH22"/>
    <mergeCell ref="AE21:AF21"/>
    <mergeCell ref="AG21:AH21"/>
    <mergeCell ref="AC18:AD18"/>
    <mergeCell ref="V13:Y13"/>
    <mergeCell ref="V14:Y14"/>
    <mergeCell ref="V15:Y15"/>
    <mergeCell ref="V16:Y16"/>
    <mergeCell ref="V17:Y17"/>
    <mergeCell ref="T16:U16"/>
    <mergeCell ref="AC19:AD19"/>
    <mergeCell ref="AC20:AD20"/>
    <mergeCell ref="AE18:AF18"/>
    <mergeCell ref="AE19:AF19"/>
    <mergeCell ref="AE20:AF20"/>
    <mergeCell ref="AE15:AF15"/>
    <mergeCell ref="AE16:AF16"/>
    <mergeCell ref="AE17:AF17"/>
    <mergeCell ref="AE13:AF13"/>
    <mergeCell ref="AE14:AF14"/>
    <mergeCell ref="AE10:AF10"/>
    <mergeCell ref="V11:Y11"/>
    <mergeCell ref="K4:L7"/>
    <mergeCell ref="M4:N7"/>
    <mergeCell ref="T8:U8"/>
    <mergeCell ref="T9:U9"/>
    <mergeCell ref="T10:U10"/>
    <mergeCell ref="T11:U11"/>
    <mergeCell ref="AE12:AF12"/>
    <mergeCell ref="AG8:AH8"/>
    <mergeCell ref="AG9:AH9"/>
    <mergeCell ref="AG10:AH10"/>
    <mergeCell ref="AC8:AD8"/>
    <mergeCell ref="AG11:AH11"/>
    <mergeCell ref="I44:L44"/>
    <mergeCell ref="I45:L45"/>
    <mergeCell ref="A35:R35"/>
    <mergeCell ref="M37:O37"/>
    <mergeCell ref="T17:U17"/>
    <mergeCell ref="T19:U19"/>
    <mergeCell ref="T20:U20"/>
    <mergeCell ref="T21:U21"/>
    <mergeCell ref="T18:U18"/>
    <mergeCell ref="T23:U23"/>
    <mergeCell ref="I41:L41"/>
    <mergeCell ref="A38:B38"/>
    <mergeCell ref="C39:E39"/>
    <mergeCell ref="F39:G39"/>
    <mergeCell ref="A41:B41"/>
    <mergeCell ref="A40:B40"/>
    <mergeCell ref="A39:B39"/>
    <mergeCell ref="A37:B37"/>
    <mergeCell ref="C33:E33"/>
    <mergeCell ref="M40:O40"/>
    <mergeCell ref="P37:R37"/>
    <mergeCell ref="P38:R38"/>
    <mergeCell ref="A36:B36"/>
    <mergeCell ref="C37:E37"/>
    <mergeCell ref="C38:E38"/>
    <mergeCell ref="C41:E41"/>
    <mergeCell ref="F37:G37"/>
    <mergeCell ref="F38:G38"/>
    <mergeCell ref="I40:L40"/>
    <mergeCell ref="BC1:BH1"/>
    <mergeCell ref="BI1:BN1"/>
    <mergeCell ref="BO1:BT1"/>
    <mergeCell ref="BC2:BT2"/>
    <mergeCell ref="BC3:BT52"/>
    <mergeCell ref="M42:O42"/>
    <mergeCell ref="M43:O43"/>
    <mergeCell ref="P43:R43"/>
    <mergeCell ref="P41:R41"/>
    <mergeCell ref="M41:O41"/>
    <mergeCell ref="M36:R36"/>
    <mergeCell ref="AK1:AP1"/>
    <mergeCell ref="AQ1:AV1"/>
    <mergeCell ref="AW1:BB1"/>
    <mergeCell ref="AK2:BB2"/>
    <mergeCell ref="AC11:AD11"/>
    <mergeCell ref="T14:U14"/>
    <mergeCell ref="T15:U15"/>
    <mergeCell ref="V18:Y18"/>
    <mergeCell ref="V23:Y23"/>
    <mergeCell ref="V12:Y12"/>
    <mergeCell ref="V19:Y19"/>
    <mergeCell ref="V20:Y20"/>
    <mergeCell ref="V21:Y21"/>
  </mergeCells>
  <printOptions horizont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zoomScaleNormal="100" workbookViewId="0">
      <selection activeCell="B10" sqref="B10"/>
    </sheetView>
  </sheetViews>
  <sheetFormatPr defaultColWidth="9.1796875" defaultRowHeight="18" x14ac:dyDescent="0.4"/>
  <cols>
    <col min="1" max="1" width="4.81640625" style="62" bestFit="1" customWidth="1"/>
    <col min="2" max="2" width="13.1796875" style="62" customWidth="1"/>
    <col min="3" max="3" width="28" style="62" customWidth="1"/>
    <col min="4" max="4" width="9.81640625" style="62" customWidth="1"/>
    <col min="5" max="5" width="9.81640625" style="62" bestFit="1" customWidth="1"/>
    <col min="6" max="6" width="10.7265625" style="62" customWidth="1"/>
    <col min="7" max="7" width="13" style="62" bestFit="1" customWidth="1"/>
    <col min="8" max="8" width="10.453125" style="62" bestFit="1" customWidth="1"/>
    <col min="9" max="9" width="11.54296875" style="62" bestFit="1" customWidth="1"/>
    <col min="10" max="10" width="12.7265625" style="62" bestFit="1" customWidth="1"/>
    <col min="11" max="11" width="10.453125" style="62" customWidth="1"/>
    <col min="12" max="12" width="9.26953125" style="62" customWidth="1"/>
    <col min="13" max="14" width="13.1796875" style="62" customWidth="1"/>
    <col min="15" max="15" width="14.453125" style="62" customWidth="1"/>
    <col min="16" max="17" width="13.1796875" style="62" customWidth="1"/>
    <col min="18" max="18" width="10.26953125" style="62" bestFit="1" customWidth="1"/>
    <col min="19" max="19" width="9.1796875" style="63"/>
    <col min="20" max="20" width="15.7265625" style="63" bestFit="1" customWidth="1"/>
    <col min="21" max="16384" width="9.1796875" style="63"/>
  </cols>
  <sheetData>
    <row r="1" spans="1:20" s="130" customFormat="1" ht="39" customHeight="1" x14ac:dyDescent="0.35">
      <c r="A1" s="133" t="s">
        <v>474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</row>
    <row r="2" spans="1:20" s="130" customFormat="1" ht="22.5" x14ac:dyDescent="0.35">
      <c r="A2" s="132" t="s">
        <v>267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</row>
    <row r="3" spans="1:20" s="131" customFormat="1" ht="25" x14ac:dyDescent="0.35">
      <c r="A3" s="125" t="s">
        <v>268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</row>
    <row r="4" spans="1:20" x14ac:dyDescent="0.4">
      <c r="A4" s="61" t="s">
        <v>3</v>
      </c>
      <c r="B4" s="61" t="s">
        <v>37</v>
      </c>
      <c r="C4" s="61" t="s">
        <v>231</v>
      </c>
      <c r="D4" s="61" t="s">
        <v>473</v>
      </c>
      <c r="E4" s="61" t="s">
        <v>134</v>
      </c>
      <c r="F4" s="61" t="s">
        <v>41</v>
      </c>
      <c r="G4" s="61" t="s">
        <v>347</v>
      </c>
      <c r="H4" s="61" t="s">
        <v>163</v>
      </c>
      <c r="I4" s="61" t="s">
        <v>260</v>
      </c>
      <c r="J4" s="61" t="s">
        <v>162</v>
      </c>
      <c r="K4" s="61" t="s">
        <v>261</v>
      </c>
      <c r="L4" s="61" t="s">
        <v>135</v>
      </c>
      <c r="M4" s="61" t="s">
        <v>217</v>
      </c>
      <c r="N4" s="61" t="s">
        <v>263</v>
      </c>
      <c r="O4" s="61" t="s">
        <v>129</v>
      </c>
      <c r="P4" s="61" t="s">
        <v>212</v>
      </c>
      <c r="Q4" s="61" t="s">
        <v>130</v>
      </c>
    </row>
    <row r="5" spans="1:20" s="117" customFormat="1" x14ac:dyDescent="0.4">
      <c r="A5" s="122">
        <v>0</v>
      </c>
      <c r="B5" s="134" t="s">
        <v>482</v>
      </c>
      <c r="C5" s="135" t="s">
        <v>483</v>
      </c>
      <c r="D5" s="135">
        <v>0</v>
      </c>
      <c r="E5" s="135">
        <v>0</v>
      </c>
      <c r="F5" s="135" t="s">
        <v>484</v>
      </c>
      <c r="G5" s="122">
        <v>0</v>
      </c>
      <c r="H5" s="123">
        <v>0.33333333333333331</v>
      </c>
      <c r="I5" s="136"/>
      <c r="J5" s="108">
        <v>0</v>
      </c>
      <c r="K5" s="106">
        <f>IF(H5&lt;&gt;"",H5+I5,"")</f>
        <v>0.33333333333333331</v>
      </c>
      <c r="L5" s="126">
        <v>0</v>
      </c>
      <c r="M5" s="112">
        <v>0</v>
      </c>
      <c r="N5" s="113" t="str">
        <f>IF(I5&lt;&gt;"",(I5*1440)*25,"")</f>
        <v/>
      </c>
      <c r="O5" s="114">
        <f>IF(E5&lt;&gt;"",((N28-P25)-(M5+(IF(N5&lt;&gt;"",N5,0)))+P5),"")</f>
        <v>8650</v>
      </c>
      <c r="P5" s="126"/>
      <c r="Q5" s="112">
        <f>IF(E5&lt;&gt;"",Fuel!C22-(M5+(IF(N5&lt;&gt;"",N5,0)))+P5,"")</f>
        <v>9000</v>
      </c>
      <c r="R5" s="103"/>
    </row>
    <row r="6" spans="1:20" x14ac:dyDescent="0.4">
      <c r="A6" s="137">
        <v>1</v>
      </c>
      <c r="B6" s="138" t="s">
        <v>488</v>
      </c>
      <c r="C6" s="139" t="s">
        <v>489</v>
      </c>
      <c r="D6" s="139" t="s">
        <v>509</v>
      </c>
      <c r="E6" s="139">
        <v>31</v>
      </c>
      <c r="F6" s="139" t="s">
        <v>487</v>
      </c>
      <c r="G6" s="137">
        <v>244</v>
      </c>
      <c r="H6" s="140">
        <v>0.33815972222222218</v>
      </c>
      <c r="I6" s="141"/>
      <c r="J6" s="109">
        <f t="shared" ref="J6:J13" si="0">IF(H6&lt;&gt;"",H6-K5,"")</f>
        <v>4.8263888888888662E-3</v>
      </c>
      <c r="K6" s="107">
        <f t="shared" ref="K6:K25" si="1">IF(H6&lt;&gt;"",H6+I6,"")</f>
        <v>0.33815972222222218</v>
      </c>
      <c r="L6" s="111">
        <v>5700</v>
      </c>
      <c r="M6" s="114">
        <f>IF(E6&lt;&gt;"",ROUNDUP(((J6*24)*L6)+Fuel!G9+Fuel!G10+Fuel!C11,-1),"")</f>
        <v>2510</v>
      </c>
      <c r="N6" s="115" t="str">
        <f t="shared" ref="N6:N24" si="2">IF(I6&lt;&gt;"",(I6*1440)*75,"")</f>
        <v/>
      </c>
      <c r="O6" s="114">
        <f t="shared" ref="O6:O25" si="3">IF(E6&lt;&gt;"",((O5-P26)-(M6+(IF(N6&lt;&gt;"",N6,0)))+P6),"")</f>
        <v>6140</v>
      </c>
      <c r="P6" s="111"/>
      <c r="Q6" s="114">
        <f t="shared" ref="Q6:Q25" si="4">IF(E6&lt;&gt;"",Q5-(M6+(IF(N6&lt;&gt;"",N6,0)))+P6,"")</f>
        <v>6490</v>
      </c>
      <c r="R6" s="68" t="s">
        <v>265</v>
      </c>
      <c r="T6" s="77"/>
    </row>
    <row r="7" spans="1:20" x14ac:dyDescent="0.4">
      <c r="A7" s="137">
        <v>2</v>
      </c>
      <c r="B7" s="138" t="s">
        <v>491</v>
      </c>
      <c r="C7" s="139" t="s">
        <v>492</v>
      </c>
      <c r="D7" s="139" t="s">
        <v>493</v>
      </c>
      <c r="E7" s="139">
        <v>27</v>
      </c>
      <c r="F7" s="139" t="s">
        <v>487</v>
      </c>
      <c r="G7" s="137">
        <v>244</v>
      </c>
      <c r="H7" s="140">
        <v>0.34233796296296298</v>
      </c>
      <c r="I7" s="141"/>
      <c r="J7" s="109">
        <f t="shared" si="0"/>
        <v>4.1782407407408018E-3</v>
      </c>
      <c r="K7" s="107">
        <f t="shared" si="1"/>
        <v>0.34233796296296298</v>
      </c>
      <c r="L7" s="111">
        <v>5700</v>
      </c>
      <c r="M7" s="114">
        <f t="shared" ref="M7:M25" si="5">IF(E7&lt;&gt;"",ROUNDUP(((J7*24))*L7,-1),"")</f>
        <v>580</v>
      </c>
      <c r="N7" s="115" t="str">
        <f t="shared" si="2"/>
        <v/>
      </c>
      <c r="O7" s="114">
        <f t="shared" si="3"/>
        <v>5560</v>
      </c>
      <c r="P7" s="111"/>
      <c r="Q7" s="114">
        <f t="shared" si="4"/>
        <v>5910</v>
      </c>
      <c r="T7" s="77"/>
    </row>
    <row r="8" spans="1:20" x14ac:dyDescent="0.4">
      <c r="A8" s="137">
        <v>3</v>
      </c>
      <c r="B8" s="138" t="s">
        <v>512</v>
      </c>
      <c r="C8" s="139" t="s">
        <v>494</v>
      </c>
      <c r="D8" s="139" t="s">
        <v>490</v>
      </c>
      <c r="E8" s="139">
        <v>26</v>
      </c>
      <c r="F8" s="139" t="s">
        <v>487</v>
      </c>
      <c r="G8" s="137">
        <v>244</v>
      </c>
      <c r="H8" s="140">
        <v>0.34642361111111114</v>
      </c>
      <c r="I8" s="141"/>
      <c r="J8" s="109">
        <f t="shared" si="0"/>
        <v>4.0856481481481577E-3</v>
      </c>
      <c r="K8" s="107">
        <f t="shared" si="1"/>
        <v>0.34642361111111114</v>
      </c>
      <c r="L8" s="111">
        <v>5700</v>
      </c>
      <c r="M8" s="114">
        <f t="shared" si="5"/>
        <v>560</v>
      </c>
      <c r="N8" s="115" t="str">
        <f t="shared" si="2"/>
        <v/>
      </c>
      <c r="O8" s="114">
        <f t="shared" si="3"/>
        <v>5000</v>
      </c>
      <c r="P8" s="111"/>
      <c r="Q8" s="114">
        <f t="shared" si="4"/>
        <v>5350</v>
      </c>
      <c r="T8" s="77"/>
    </row>
    <row r="9" spans="1:20" x14ac:dyDescent="0.4">
      <c r="A9" s="137">
        <v>4</v>
      </c>
      <c r="B9" s="138" t="s">
        <v>513</v>
      </c>
      <c r="C9" s="139" t="s">
        <v>499</v>
      </c>
      <c r="D9" s="139" t="s">
        <v>510</v>
      </c>
      <c r="E9" s="139">
        <v>53</v>
      </c>
      <c r="F9" s="139" t="s">
        <v>487</v>
      </c>
      <c r="G9" s="137">
        <v>244</v>
      </c>
      <c r="H9" s="140">
        <v>0.35459490740740746</v>
      </c>
      <c r="I9" s="141"/>
      <c r="J9" s="109">
        <f t="shared" si="0"/>
        <v>8.1712962962963154E-3</v>
      </c>
      <c r="K9" s="107">
        <f t="shared" si="1"/>
        <v>0.35459490740740746</v>
      </c>
      <c r="L9" s="111">
        <v>5700</v>
      </c>
      <c r="M9" s="114">
        <f t="shared" si="5"/>
        <v>1120</v>
      </c>
      <c r="N9" s="115" t="str">
        <f t="shared" si="2"/>
        <v/>
      </c>
      <c r="O9" s="114">
        <f t="shared" si="3"/>
        <v>3880</v>
      </c>
      <c r="P9" s="111"/>
      <c r="Q9" s="114">
        <f t="shared" si="4"/>
        <v>4230</v>
      </c>
      <c r="T9" s="77"/>
    </row>
    <row r="10" spans="1:20" x14ac:dyDescent="0.4">
      <c r="A10" s="137">
        <v>5</v>
      </c>
      <c r="B10" s="138" t="s">
        <v>497</v>
      </c>
      <c r="C10" s="139" t="s">
        <v>498</v>
      </c>
      <c r="D10" s="139" t="s">
        <v>500</v>
      </c>
      <c r="E10" s="139">
        <v>21</v>
      </c>
      <c r="F10" s="139" t="s">
        <v>495</v>
      </c>
      <c r="G10" s="137">
        <v>227</v>
      </c>
      <c r="H10" s="140">
        <v>0.35781250000000003</v>
      </c>
      <c r="I10" s="141"/>
      <c r="J10" s="109">
        <f t="shared" si="0"/>
        <v>3.2175925925925775E-3</v>
      </c>
      <c r="K10" s="107">
        <f t="shared" si="1"/>
        <v>0.35781250000000003</v>
      </c>
      <c r="L10" s="111">
        <v>5700</v>
      </c>
      <c r="M10" s="114">
        <f t="shared" si="5"/>
        <v>450</v>
      </c>
      <c r="N10" s="115" t="str">
        <f t="shared" si="2"/>
        <v/>
      </c>
      <c r="O10" s="114">
        <f t="shared" si="3"/>
        <v>3430</v>
      </c>
      <c r="P10" s="111"/>
      <c r="Q10" s="114">
        <f t="shared" si="4"/>
        <v>3780</v>
      </c>
      <c r="T10" s="77"/>
    </row>
    <row r="11" spans="1:20" x14ac:dyDescent="0.4">
      <c r="A11" s="137">
        <v>6</v>
      </c>
      <c r="B11" s="138" t="s">
        <v>496</v>
      </c>
      <c r="C11" s="139" t="s">
        <v>501</v>
      </c>
      <c r="D11" s="139" t="s">
        <v>511</v>
      </c>
      <c r="E11" s="139">
        <v>46</v>
      </c>
      <c r="F11" s="139" t="s">
        <v>495</v>
      </c>
      <c r="G11" s="137">
        <v>227</v>
      </c>
      <c r="H11" s="140">
        <v>0.3649074074074074</v>
      </c>
      <c r="I11" s="141"/>
      <c r="J11" s="109">
        <f t="shared" si="0"/>
        <v>7.0949074074073692E-3</v>
      </c>
      <c r="K11" s="107">
        <f t="shared" si="1"/>
        <v>0.3649074074074074</v>
      </c>
      <c r="L11" s="111">
        <v>5700</v>
      </c>
      <c r="M11" s="114">
        <f t="shared" si="5"/>
        <v>980</v>
      </c>
      <c r="N11" s="115" t="str">
        <f t="shared" si="2"/>
        <v/>
      </c>
      <c r="O11" s="114">
        <f t="shared" si="3"/>
        <v>2450</v>
      </c>
      <c r="P11" s="111"/>
      <c r="Q11" s="114">
        <f t="shared" si="4"/>
        <v>2800</v>
      </c>
      <c r="T11" s="77"/>
    </row>
    <row r="12" spans="1:20" x14ac:dyDescent="0.4">
      <c r="A12" s="137">
        <v>7</v>
      </c>
      <c r="B12" s="138" t="s">
        <v>502</v>
      </c>
      <c r="C12" s="139" t="s">
        <v>503</v>
      </c>
      <c r="D12" s="139" t="s">
        <v>504</v>
      </c>
      <c r="E12" s="139">
        <v>27</v>
      </c>
      <c r="F12" s="139" t="s">
        <v>495</v>
      </c>
      <c r="G12" s="137">
        <v>227</v>
      </c>
      <c r="H12" s="140">
        <v>0.36908564814814815</v>
      </c>
      <c r="I12" s="141"/>
      <c r="J12" s="109">
        <f t="shared" si="0"/>
        <v>4.1782407407407463E-3</v>
      </c>
      <c r="K12" s="107">
        <f t="shared" si="1"/>
        <v>0.36908564814814815</v>
      </c>
      <c r="L12" s="111">
        <v>5700</v>
      </c>
      <c r="M12" s="114">
        <f t="shared" si="5"/>
        <v>580</v>
      </c>
      <c r="N12" s="115" t="str">
        <f t="shared" si="2"/>
        <v/>
      </c>
      <c r="O12" s="114">
        <f t="shared" si="3"/>
        <v>1870</v>
      </c>
      <c r="P12" s="111"/>
      <c r="Q12" s="114">
        <f t="shared" si="4"/>
        <v>2220</v>
      </c>
      <c r="T12" s="77"/>
    </row>
    <row r="13" spans="1:20" x14ac:dyDescent="0.4">
      <c r="A13" s="137">
        <v>8</v>
      </c>
      <c r="B13" s="138" t="s">
        <v>505</v>
      </c>
      <c r="C13" s="139" t="s">
        <v>506</v>
      </c>
      <c r="D13" s="139" t="s">
        <v>507</v>
      </c>
      <c r="E13" s="139">
        <v>16</v>
      </c>
      <c r="F13" s="139" t="s">
        <v>495</v>
      </c>
      <c r="G13" s="137">
        <v>227</v>
      </c>
      <c r="H13" s="140">
        <v>0.37156250000000002</v>
      </c>
      <c r="I13" s="141"/>
      <c r="J13" s="109">
        <f t="shared" si="0"/>
        <v>2.476851851851869E-3</v>
      </c>
      <c r="K13" s="107">
        <f t="shared" si="1"/>
        <v>0.37156250000000002</v>
      </c>
      <c r="L13" s="111">
        <v>5700</v>
      </c>
      <c r="M13" s="114">
        <f t="shared" si="5"/>
        <v>340</v>
      </c>
      <c r="N13" s="115" t="str">
        <f t="shared" si="2"/>
        <v/>
      </c>
      <c r="O13" s="114">
        <f t="shared" si="3"/>
        <v>1530</v>
      </c>
      <c r="P13" s="127"/>
      <c r="Q13" s="114">
        <f t="shared" si="4"/>
        <v>1880</v>
      </c>
      <c r="T13" s="77"/>
    </row>
    <row r="14" spans="1:20" x14ac:dyDescent="0.4">
      <c r="A14" s="137">
        <v>9</v>
      </c>
      <c r="B14" s="138" t="s">
        <v>485</v>
      </c>
      <c r="C14" s="139" t="s">
        <v>486</v>
      </c>
      <c r="D14" s="139" t="s">
        <v>508</v>
      </c>
      <c r="E14" s="139">
        <v>13</v>
      </c>
      <c r="F14" s="139" t="s">
        <v>495</v>
      </c>
      <c r="G14" s="137">
        <v>227</v>
      </c>
      <c r="H14" s="140">
        <v>0.37364583333333329</v>
      </c>
      <c r="I14" s="141"/>
      <c r="J14" s="110">
        <f t="shared" ref="J14:J25" si="6">IF(E14&lt;&gt;"",(E14/G14)/24,"")</f>
        <v>2.3861967694566812E-3</v>
      </c>
      <c r="K14" s="107">
        <f t="shared" si="1"/>
        <v>0.37364583333333329</v>
      </c>
      <c r="L14" s="111">
        <v>5700</v>
      </c>
      <c r="M14" s="114">
        <f t="shared" si="5"/>
        <v>330</v>
      </c>
      <c r="N14" s="115" t="str">
        <f t="shared" si="2"/>
        <v/>
      </c>
      <c r="O14" s="114">
        <f t="shared" si="3"/>
        <v>1200</v>
      </c>
      <c r="P14" s="127"/>
      <c r="Q14" s="114">
        <f t="shared" si="4"/>
        <v>1550</v>
      </c>
      <c r="T14" s="77"/>
    </row>
    <row r="15" spans="1:20" x14ac:dyDescent="0.4">
      <c r="A15" s="137">
        <v>10</v>
      </c>
      <c r="B15" s="138"/>
      <c r="C15" s="139"/>
      <c r="D15" s="139"/>
      <c r="E15" s="139"/>
      <c r="F15" s="139"/>
      <c r="G15" s="137"/>
      <c r="H15" s="137"/>
      <c r="I15" s="141"/>
      <c r="J15" s="110" t="str">
        <f t="shared" si="6"/>
        <v/>
      </c>
      <c r="K15" s="107" t="str">
        <f t="shared" si="1"/>
        <v/>
      </c>
      <c r="L15" s="111">
        <v>0</v>
      </c>
      <c r="M15" s="114" t="str">
        <f t="shared" si="5"/>
        <v/>
      </c>
      <c r="N15" s="115" t="str">
        <f t="shared" si="2"/>
        <v/>
      </c>
      <c r="O15" s="114" t="str">
        <f t="shared" si="3"/>
        <v/>
      </c>
      <c r="P15" s="127"/>
      <c r="Q15" s="114" t="str">
        <f t="shared" si="4"/>
        <v/>
      </c>
      <c r="T15" s="77"/>
    </row>
    <row r="16" spans="1:20" x14ac:dyDescent="0.4">
      <c r="A16" s="137">
        <v>11</v>
      </c>
      <c r="B16" s="138"/>
      <c r="C16" s="139"/>
      <c r="D16" s="139"/>
      <c r="E16" s="139"/>
      <c r="F16" s="139"/>
      <c r="G16" s="137"/>
      <c r="H16" s="137"/>
      <c r="I16" s="141"/>
      <c r="J16" s="110" t="str">
        <f t="shared" si="6"/>
        <v/>
      </c>
      <c r="K16" s="107" t="str">
        <f t="shared" si="1"/>
        <v/>
      </c>
      <c r="L16" s="111">
        <v>0</v>
      </c>
      <c r="M16" s="114" t="str">
        <f t="shared" si="5"/>
        <v/>
      </c>
      <c r="N16" s="115" t="str">
        <f t="shared" si="2"/>
        <v/>
      </c>
      <c r="O16" s="114" t="str">
        <f t="shared" si="3"/>
        <v/>
      </c>
      <c r="P16" s="127"/>
      <c r="Q16" s="114" t="str">
        <f t="shared" si="4"/>
        <v/>
      </c>
      <c r="T16" s="77"/>
    </row>
    <row r="17" spans="1:20" x14ac:dyDescent="0.4">
      <c r="A17" s="137">
        <v>12</v>
      </c>
      <c r="B17" s="138"/>
      <c r="C17" s="139"/>
      <c r="D17" s="139"/>
      <c r="E17" s="139"/>
      <c r="F17" s="139"/>
      <c r="G17" s="137"/>
      <c r="H17" s="137"/>
      <c r="I17" s="141"/>
      <c r="J17" s="110" t="str">
        <f t="shared" si="6"/>
        <v/>
      </c>
      <c r="K17" s="107" t="str">
        <f t="shared" si="1"/>
        <v/>
      </c>
      <c r="L17" s="111">
        <v>0</v>
      </c>
      <c r="M17" s="114" t="str">
        <f t="shared" si="5"/>
        <v/>
      </c>
      <c r="N17" s="115" t="str">
        <f t="shared" si="2"/>
        <v/>
      </c>
      <c r="O17" s="114" t="str">
        <f t="shared" si="3"/>
        <v/>
      </c>
      <c r="P17" s="127"/>
      <c r="Q17" s="114" t="str">
        <f t="shared" si="4"/>
        <v/>
      </c>
      <c r="T17" s="77"/>
    </row>
    <row r="18" spans="1:20" x14ac:dyDescent="0.4">
      <c r="A18" s="137">
        <v>13</v>
      </c>
      <c r="B18" s="138"/>
      <c r="C18" s="139"/>
      <c r="D18" s="139"/>
      <c r="E18" s="139"/>
      <c r="F18" s="139"/>
      <c r="G18" s="137"/>
      <c r="H18" s="137"/>
      <c r="I18" s="141"/>
      <c r="J18" s="110" t="str">
        <f t="shared" si="6"/>
        <v/>
      </c>
      <c r="K18" s="107" t="str">
        <f t="shared" si="1"/>
        <v/>
      </c>
      <c r="L18" s="111">
        <v>0</v>
      </c>
      <c r="M18" s="114" t="str">
        <f t="shared" si="5"/>
        <v/>
      </c>
      <c r="N18" s="115" t="str">
        <f t="shared" si="2"/>
        <v/>
      </c>
      <c r="O18" s="114" t="str">
        <f t="shared" si="3"/>
        <v/>
      </c>
      <c r="P18" s="127"/>
      <c r="Q18" s="114" t="str">
        <f t="shared" si="4"/>
        <v/>
      </c>
      <c r="T18" s="77"/>
    </row>
    <row r="19" spans="1:20" x14ac:dyDescent="0.4">
      <c r="A19" s="137">
        <v>14</v>
      </c>
      <c r="B19" s="138"/>
      <c r="C19" s="139"/>
      <c r="D19" s="139"/>
      <c r="E19" s="139"/>
      <c r="F19" s="139"/>
      <c r="G19" s="137"/>
      <c r="H19" s="137"/>
      <c r="I19" s="141"/>
      <c r="J19" s="110" t="str">
        <f t="shared" si="6"/>
        <v/>
      </c>
      <c r="K19" s="107" t="str">
        <f t="shared" si="1"/>
        <v/>
      </c>
      <c r="L19" s="111">
        <v>0</v>
      </c>
      <c r="M19" s="114" t="str">
        <f t="shared" si="5"/>
        <v/>
      </c>
      <c r="N19" s="115" t="str">
        <f t="shared" si="2"/>
        <v/>
      </c>
      <c r="O19" s="114" t="str">
        <f t="shared" si="3"/>
        <v/>
      </c>
      <c r="P19" s="127"/>
      <c r="Q19" s="114" t="str">
        <f t="shared" si="4"/>
        <v/>
      </c>
      <c r="T19" s="77"/>
    </row>
    <row r="20" spans="1:20" x14ac:dyDescent="0.4">
      <c r="A20" s="137">
        <v>15</v>
      </c>
      <c r="B20" s="138"/>
      <c r="C20" s="139"/>
      <c r="D20" s="139"/>
      <c r="E20" s="139"/>
      <c r="F20" s="139"/>
      <c r="G20" s="137"/>
      <c r="H20" s="137"/>
      <c r="I20" s="141"/>
      <c r="J20" s="110" t="str">
        <f t="shared" si="6"/>
        <v/>
      </c>
      <c r="K20" s="107" t="str">
        <f t="shared" si="1"/>
        <v/>
      </c>
      <c r="L20" s="111">
        <v>0</v>
      </c>
      <c r="M20" s="114" t="str">
        <f t="shared" si="5"/>
        <v/>
      </c>
      <c r="N20" s="115" t="str">
        <f t="shared" si="2"/>
        <v/>
      </c>
      <c r="O20" s="114" t="str">
        <f t="shared" si="3"/>
        <v/>
      </c>
      <c r="P20" s="127"/>
      <c r="Q20" s="114" t="str">
        <f t="shared" si="4"/>
        <v/>
      </c>
      <c r="T20" s="77"/>
    </row>
    <row r="21" spans="1:20" x14ac:dyDescent="0.4">
      <c r="A21" s="137">
        <v>16</v>
      </c>
      <c r="B21" s="138"/>
      <c r="C21" s="139"/>
      <c r="D21" s="139"/>
      <c r="E21" s="139"/>
      <c r="F21" s="139"/>
      <c r="G21" s="137"/>
      <c r="H21" s="137"/>
      <c r="I21" s="141"/>
      <c r="J21" s="110" t="str">
        <f t="shared" si="6"/>
        <v/>
      </c>
      <c r="K21" s="107" t="str">
        <f t="shared" si="1"/>
        <v/>
      </c>
      <c r="L21" s="111">
        <v>0</v>
      </c>
      <c r="M21" s="114" t="str">
        <f t="shared" si="5"/>
        <v/>
      </c>
      <c r="N21" s="115" t="str">
        <f t="shared" si="2"/>
        <v/>
      </c>
      <c r="O21" s="114" t="str">
        <f t="shared" si="3"/>
        <v/>
      </c>
      <c r="P21" s="127"/>
      <c r="Q21" s="114" t="str">
        <f t="shared" si="4"/>
        <v/>
      </c>
      <c r="T21" s="77"/>
    </row>
    <row r="22" spans="1:20" x14ac:dyDescent="0.4">
      <c r="A22" s="137">
        <v>17</v>
      </c>
      <c r="B22" s="138"/>
      <c r="C22" s="139"/>
      <c r="D22" s="139"/>
      <c r="E22" s="139"/>
      <c r="F22" s="139"/>
      <c r="G22" s="137"/>
      <c r="H22" s="137"/>
      <c r="I22" s="141"/>
      <c r="J22" s="110" t="str">
        <f t="shared" si="6"/>
        <v/>
      </c>
      <c r="K22" s="107" t="str">
        <f t="shared" si="1"/>
        <v/>
      </c>
      <c r="L22" s="111">
        <v>0</v>
      </c>
      <c r="M22" s="114" t="str">
        <f t="shared" si="5"/>
        <v/>
      </c>
      <c r="N22" s="115" t="str">
        <f t="shared" si="2"/>
        <v/>
      </c>
      <c r="O22" s="114" t="str">
        <f t="shared" si="3"/>
        <v/>
      </c>
      <c r="P22" s="127"/>
      <c r="Q22" s="114" t="str">
        <f t="shared" si="4"/>
        <v/>
      </c>
      <c r="T22" s="77"/>
    </row>
    <row r="23" spans="1:20" x14ac:dyDescent="0.4">
      <c r="A23" s="137">
        <v>18</v>
      </c>
      <c r="B23" s="138"/>
      <c r="C23" s="139"/>
      <c r="D23" s="139"/>
      <c r="E23" s="139"/>
      <c r="F23" s="139"/>
      <c r="G23" s="137"/>
      <c r="H23" s="137"/>
      <c r="I23" s="141"/>
      <c r="J23" s="110" t="str">
        <f t="shared" si="6"/>
        <v/>
      </c>
      <c r="K23" s="107" t="str">
        <f t="shared" si="1"/>
        <v/>
      </c>
      <c r="L23" s="111">
        <v>0</v>
      </c>
      <c r="M23" s="114" t="str">
        <f t="shared" si="5"/>
        <v/>
      </c>
      <c r="N23" s="115" t="str">
        <f t="shared" si="2"/>
        <v/>
      </c>
      <c r="O23" s="114" t="str">
        <f t="shared" si="3"/>
        <v/>
      </c>
      <c r="P23" s="127"/>
      <c r="Q23" s="114" t="str">
        <f t="shared" si="4"/>
        <v/>
      </c>
      <c r="T23" s="77"/>
    </row>
    <row r="24" spans="1:20" x14ac:dyDescent="0.4">
      <c r="A24" s="137">
        <v>19</v>
      </c>
      <c r="B24" s="138"/>
      <c r="C24" s="139"/>
      <c r="D24" s="139"/>
      <c r="E24" s="139"/>
      <c r="F24" s="139"/>
      <c r="G24" s="137"/>
      <c r="H24" s="137"/>
      <c r="I24" s="141"/>
      <c r="J24" s="110" t="str">
        <f t="shared" si="6"/>
        <v/>
      </c>
      <c r="K24" s="107" t="str">
        <f t="shared" si="1"/>
        <v/>
      </c>
      <c r="L24" s="111">
        <v>0</v>
      </c>
      <c r="M24" s="114" t="str">
        <f t="shared" si="5"/>
        <v/>
      </c>
      <c r="N24" s="115" t="str">
        <f t="shared" si="2"/>
        <v/>
      </c>
      <c r="O24" s="114" t="str">
        <f t="shared" si="3"/>
        <v/>
      </c>
      <c r="P24" s="127"/>
      <c r="Q24" s="114" t="str">
        <f t="shared" si="4"/>
        <v/>
      </c>
      <c r="T24" s="77"/>
    </row>
    <row r="25" spans="1:20" x14ac:dyDescent="0.4">
      <c r="A25" s="142">
        <v>20</v>
      </c>
      <c r="B25" s="143"/>
      <c r="C25" s="144"/>
      <c r="D25" s="139"/>
      <c r="E25" s="144"/>
      <c r="F25" s="144"/>
      <c r="G25" s="142"/>
      <c r="H25" s="142"/>
      <c r="I25" s="145"/>
      <c r="J25" s="121" t="str">
        <f t="shared" si="6"/>
        <v/>
      </c>
      <c r="K25" s="119" t="str">
        <f t="shared" si="1"/>
        <v/>
      </c>
      <c r="L25" s="111">
        <v>0</v>
      </c>
      <c r="M25" s="114" t="str">
        <f t="shared" si="5"/>
        <v/>
      </c>
      <c r="N25" s="116" t="str">
        <f>IF(I25&lt;&gt;"",(I25*1440)*L25,"")</f>
        <v/>
      </c>
      <c r="O25" s="182" t="str">
        <f t="shared" si="3"/>
        <v/>
      </c>
      <c r="P25" s="128"/>
      <c r="Q25" s="114" t="str">
        <f t="shared" si="4"/>
        <v/>
      </c>
      <c r="T25" s="77"/>
    </row>
    <row r="26" spans="1:20" x14ac:dyDescent="0.4">
      <c r="C26" s="65" t="s">
        <v>69</v>
      </c>
      <c r="D26" s="65"/>
      <c r="E26" s="64">
        <f>SUM(E6:E24)</f>
        <v>260</v>
      </c>
      <c r="G26" s="65"/>
      <c r="H26" s="66" t="s">
        <v>324</v>
      </c>
      <c r="I26" s="118">
        <f>SUM(I6:I24)</f>
        <v>0</v>
      </c>
      <c r="J26" s="118">
        <f>SUM(J6:J24)</f>
        <v>4.0615363436123382E-2</v>
      </c>
      <c r="K26" s="66"/>
      <c r="L26" s="65" t="s">
        <v>69</v>
      </c>
      <c r="M26" s="64">
        <f>SUM(M6:M25)</f>
        <v>7450</v>
      </c>
      <c r="N26" s="104">
        <f>SUM(N5:N25)</f>
        <v>0</v>
      </c>
      <c r="O26" s="183" t="s">
        <v>69</v>
      </c>
      <c r="P26" s="64">
        <f>SUM(P6:P24)</f>
        <v>0</v>
      </c>
      <c r="Q26" s="76"/>
    </row>
    <row r="27" spans="1:20" x14ac:dyDescent="0.4">
      <c r="B27" s="68" t="s">
        <v>138</v>
      </c>
      <c r="N27" s="76" t="str">
        <f>IF(I27&lt;&gt;"",(I27*1440)*L27,"")</f>
        <v/>
      </c>
    </row>
    <row r="28" spans="1:20" x14ac:dyDescent="0.4">
      <c r="B28" s="68" t="s">
        <v>139</v>
      </c>
      <c r="I28" s="65" t="s">
        <v>266</v>
      </c>
      <c r="J28" s="118">
        <f>J26+I26</f>
        <v>4.0615363436123382E-2</v>
      </c>
      <c r="M28" s="120" t="s">
        <v>220</v>
      </c>
      <c r="N28" s="105">
        <f>M26+N26+Fuel!C6</f>
        <v>8650</v>
      </c>
      <c r="R28" s="67"/>
    </row>
    <row r="29" spans="1:20" x14ac:dyDescent="0.4">
      <c r="B29" s="68" t="s">
        <v>429</v>
      </c>
    </row>
    <row r="30" spans="1:20" x14ac:dyDescent="0.4">
      <c r="H30" s="146"/>
    </row>
    <row r="33" spans="13:14" x14ac:dyDescent="0.4">
      <c r="M33" s="69"/>
      <c r="N33" s="69"/>
    </row>
    <row r="36" spans="13:14" x14ac:dyDescent="0.4">
      <c r="M36" s="69"/>
      <c r="N36" s="69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4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8" sqref="E8"/>
    </sheetView>
  </sheetViews>
  <sheetFormatPr defaultRowHeight="14.5" x14ac:dyDescent="0.35"/>
  <cols>
    <col min="1" max="1" width="9.1796875" style="2"/>
    <col min="2" max="2" width="9.7265625" customWidth="1"/>
    <col min="3" max="3" width="11.26953125" bestFit="1" customWidth="1"/>
    <col min="4" max="4" width="9.7265625" customWidth="1"/>
    <col min="5" max="5" width="9.1796875" style="2"/>
    <col min="6" max="6" width="7.1796875" style="6" customWidth="1"/>
    <col min="7" max="7" width="9.1796875" style="4"/>
    <col min="8" max="8" width="11.54296875" bestFit="1" customWidth="1"/>
  </cols>
  <sheetData>
    <row r="1" spans="1:10" ht="15" thickBot="1" x14ac:dyDescent="0.4"/>
    <row r="2" spans="1:10" ht="15.5" thickTop="1" thickBot="1" x14ac:dyDescent="0.4">
      <c r="B2" s="549" t="s">
        <v>112</v>
      </c>
      <c r="C2" s="550"/>
      <c r="D2" s="551"/>
    </row>
    <row r="3" spans="1:10" ht="23.25" customHeight="1" thickTop="1" x14ac:dyDescent="0.35">
      <c r="B3" s="8"/>
    </row>
    <row r="4" spans="1:10" x14ac:dyDescent="0.35">
      <c r="A4"/>
      <c r="B4" s="2" t="s">
        <v>51</v>
      </c>
      <c r="C4" s="59">
        <v>100</v>
      </c>
      <c r="D4" s="5" t="s">
        <v>301</v>
      </c>
      <c r="E4"/>
      <c r="F4"/>
      <c r="G4"/>
    </row>
    <row r="5" spans="1:10" x14ac:dyDescent="0.35">
      <c r="A5"/>
      <c r="B5" s="2" t="s">
        <v>53</v>
      </c>
      <c r="C5" s="60">
        <v>150</v>
      </c>
      <c r="D5" s="5" t="s">
        <v>117</v>
      </c>
      <c r="E5" s="3"/>
      <c r="F5"/>
      <c r="G5"/>
    </row>
    <row r="6" spans="1:10" x14ac:dyDescent="0.35">
      <c r="A6"/>
      <c r="B6" s="2" t="s">
        <v>50</v>
      </c>
      <c r="C6" s="60">
        <v>1200</v>
      </c>
      <c r="D6" s="5" t="s">
        <v>273</v>
      </c>
      <c r="E6"/>
      <c r="F6"/>
      <c r="G6"/>
    </row>
    <row r="7" spans="1:10" x14ac:dyDescent="0.35">
      <c r="A7"/>
      <c r="B7" s="7" t="s">
        <v>54</v>
      </c>
      <c r="C7" s="60">
        <v>500</v>
      </c>
      <c r="D7" s="5" t="s">
        <v>52</v>
      </c>
      <c r="E7"/>
      <c r="F7"/>
      <c r="G7"/>
    </row>
    <row r="8" spans="1:10" x14ac:dyDescent="0.35">
      <c r="A8"/>
      <c r="B8" s="7" t="s">
        <v>127</v>
      </c>
      <c r="C8" s="60">
        <v>10</v>
      </c>
      <c r="D8" s="5" t="s">
        <v>113</v>
      </c>
      <c r="E8" s="60">
        <v>9600</v>
      </c>
      <c r="F8" t="s">
        <v>295</v>
      </c>
      <c r="G8" s="99">
        <f>E8*(C8/60)</f>
        <v>1600</v>
      </c>
      <c r="H8" t="s">
        <v>52</v>
      </c>
      <c r="I8" t="s">
        <v>304</v>
      </c>
    </row>
    <row r="9" spans="1:10" x14ac:dyDescent="0.35">
      <c r="A9"/>
      <c r="B9" s="7" t="s">
        <v>215</v>
      </c>
      <c r="C9" s="93">
        <v>5</v>
      </c>
      <c r="D9" s="5" t="s">
        <v>113</v>
      </c>
      <c r="E9" s="60">
        <v>9600</v>
      </c>
      <c r="F9" t="s">
        <v>295</v>
      </c>
      <c r="G9" s="99">
        <f>E9*(C9/60)</f>
        <v>800</v>
      </c>
      <c r="H9" t="s">
        <v>52</v>
      </c>
    </row>
    <row r="10" spans="1:10" x14ac:dyDescent="0.35">
      <c r="A10"/>
      <c r="B10" s="7" t="s">
        <v>216</v>
      </c>
      <c r="C10" s="60">
        <v>5</v>
      </c>
      <c r="D10" s="74" t="s">
        <v>113</v>
      </c>
      <c r="E10" s="60">
        <v>6500</v>
      </c>
      <c r="F10" t="s">
        <v>295</v>
      </c>
      <c r="G10" s="99">
        <f>E10*(C10/60)</f>
        <v>541.66666666666663</v>
      </c>
      <c r="H10" t="s">
        <v>52</v>
      </c>
    </row>
    <row r="11" spans="1:10" x14ac:dyDescent="0.35">
      <c r="A11"/>
      <c r="B11" s="7" t="s">
        <v>296</v>
      </c>
      <c r="C11" s="60">
        <v>500</v>
      </c>
      <c r="D11" s="5"/>
      <c r="E11" s="75"/>
      <c r="F11"/>
      <c r="G11"/>
    </row>
    <row r="12" spans="1:10" ht="15" thickBot="1" x14ac:dyDescent="0.4"/>
    <row r="13" spans="1:10" ht="15.5" thickTop="1" thickBot="1" x14ac:dyDescent="0.4">
      <c r="B13" s="549" t="s">
        <v>55</v>
      </c>
      <c r="C13" s="550"/>
      <c r="D13" s="551"/>
    </row>
    <row r="14" spans="1:10" ht="23.25" customHeight="1" thickTop="1" x14ac:dyDescent="0.35">
      <c r="J14" s="41"/>
    </row>
    <row r="15" spans="1:10" x14ac:dyDescent="0.35">
      <c r="B15" s="50" t="s">
        <v>129</v>
      </c>
      <c r="C15" s="99">
        <f>ROUTE!N28</f>
        <v>8650</v>
      </c>
      <c r="D15" s="41" t="s">
        <v>140</v>
      </c>
      <c r="H15" s="152"/>
      <c r="I15" s="153"/>
      <c r="J15" s="83"/>
    </row>
    <row r="16" spans="1:10" x14ac:dyDescent="0.35">
      <c r="B16" s="50" t="s">
        <v>5</v>
      </c>
      <c r="C16" s="100">
        <f>ROUNDUP(C17+G8,-2)</f>
        <v>4800</v>
      </c>
      <c r="D16" t="s">
        <v>52</v>
      </c>
      <c r="H16" s="152"/>
      <c r="I16" s="154"/>
      <c r="J16" s="83"/>
    </row>
    <row r="17" spans="2:10" x14ac:dyDescent="0.35">
      <c r="B17" s="50" t="s">
        <v>6</v>
      </c>
      <c r="C17" s="101">
        <f>ROUNDUP(C18+C7,-2)</f>
        <v>3200</v>
      </c>
      <c r="D17" t="s">
        <v>52</v>
      </c>
      <c r="H17" s="152"/>
      <c r="I17" s="155"/>
      <c r="J17" s="83"/>
    </row>
    <row r="18" spans="2:10" x14ac:dyDescent="0.35">
      <c r="B18" s="50" t="s">
        <v>7</v>
      </c>
      <c r="C18" s="101">
        <f>ROUNDUP(((C4*(C5/10))+C6),-2)</f>
        <v>2700</v>
      </c>
      <c r="D18" s="41" t="s">
        <v>52</v>
      </c>
      <c r="E18" s="49"/>
      <c r="H18" s="152"/>
      <c r="I18" s="155"/>
      <c r="J18" s="84"/>
    </row>
    <row r="20" spans="2:10" x14ac:dyDescent="0.35">
      <c r="B20" s="36" t="s">
        <v>213</v>
      </c>
      <c r="C20" s="102">
        <f>IF((C15-C22)&lt;0,0,C15-C22)</f>
        <v>0</v>
      </c>
      <c r="D20" t="s">
        <v>52</v>
      </c>
    </row>
    <row r="22" spans="2:10" x14ac:dyDescent="0.35">
      <c r="B22" s="50" t="s">
        <v>121</v>
      </c>
      <c r="C22" s="94">
        <v>9000</v>
      </c>
      <c r="D22" t="s">
        <v>126</v>
      </c>
      <c r="F22" s="48"/>
      <c r="G22" s="82"/>
    </row>
    <row r="23" spans="2:10" x14ac:dyDescent="0.35">
      <c r="B23" s="50" t="s">
        <v>214</v>
      </c>
      <c r="C23" s="94">
        <v>0</v>
      </c>
      <c r="F23" s="48"/>
      <c r="G23" s="5"/>
    </row>
    <row r="24" spans="2:10" x14ac:dyDescent="0.35">
      <c r="B24" s="7" t="s">
        <v>122</v>
      </c>
      <c r="C24" s="99">
        <f>(C22+C23)-C15</f>
        <v>350</v>
      </c>
      <c r="D24" t="s">
        <v>52</v>
      </c>
    </row>
    <row r="25" spans="2:10" x14ac:dyDescent="0.35">
      <c r="B25" s="36" t="s">
        <v>264</v>
      </c>
      <c r="C25" s="99">
        <f>(C24/E10)*60</f>
        <v>3.2307692307692308</v>
      </c>
      <c r="D25" s="41" t="s">
        <v>252</v>
      </c>
      <c r="E25" s="151"/>
      <c r="I25" s="42"/>
      <c r="J25" s="42"/>
    </row>
    <row r="27" spans="2:10" x14ac:dyDescent="0.35">
      <c r="B27" s="2" t="s">
        <v>115</v>
      </c>
      <c r="C27" s="37">
        <f>13977+C22</f>
        <v>22977</v>
      </c>
    </row>
    <row r="37" spans="7:7" x14ac:dyDescent="0.35">
      <c r="G37" s="46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I20" sqref="I20"/>
    </sheetView>
  </sheetViews>
  <sheetFormatPr defaultColWidth="11.453125" defaultRowHeight="14.5" x14ac:dyDescent="0.35"/>
  <cols>
    <col min="1" max="1" width="53.54296875" style="9" bestFit="1" customWidth="1"/>
    <col min="2" max="3" width="11.453125" style="9"/>
    <col min="4" max="4" width="11.81640625" style="9" bestFit="1" customWidth="1"/>
    <col min="5" max="7" width="11.453125" style="9"/>
    <col min="8" max="8" width="20.453125" style="9" bestFit="1" customWidth="1"/>
    <col min="9" max="9" width="24.54296875" style="9" bestFit="1" customWidth="1"/>
    <col min="10" max="10" width="18.81640625" style="9" bestFit="1" customWidth="1"/>
    <col min="11" max="11" width="28.453125" style="9" bestFit="1" customWidth="1"/>
    <col min="12" max="12" width="34.81640625" style="9" bestFit="1" customWidth="1"/>
    <col min="13" max="16384" width="11.453125" style="9"/>
  </cols>
  <sheetData>
    <row r="1" spans="1:18" ht="18.5" x14ac:dyDescent="0.35">
      <c r="A1" s="9" t="s">
        <v>56</v>
      </c>
      <c r="E1" s="10" t="s">
        <v>57</v>
      </c>
      <c r="F1" s="11"/>
      <c r="G1" s="11"/>
      <c r="H1" s="11"/>
      <c r="I1" s="11"/>
    </row>
    <row r="2" spans="1:18" ht="15.5" x14ac:dyDescent="0.35">
      <c r="A2" s="12" t="s">
        <v>58</v>
      </c>
      <c r="D2" s="552" t="s">
        <v>59</v>
      </c>
      <c r="E2" s="552"/>
      <c r="F2" s="552"/>
      <c r="G2" s="552"/>
      <c r="H2" s="552"/>
      <c r="I2" s="552"/>
      <c r="J2" s="552"/>
      <c r="K2" s="552"/>
      <c r="L2" s="13"/>
      <c r="M2" s="13"/>
      <c r="N2" s="13"/>
      <c r="O2" s="13"/>
      <c r="P2" s="13"/>
      <c r="Q2" s="13"/>
      <c r="R2" s="13"/>
    </row>
    <row r="4" spans="1:18" ht="15" thickBot="1" x14ac:dyDescent="0.4">
      <c r="B4" s="14" t="s">
        <v>60</v>
      </c>
      <c r="C4" s="14" t="s">
        <v>61</v>
      </c>
      <c r="D4" s="14" t="s">
        <v>62</v>
      </c>
      <c r="E4" s="14" t="s">
        <v>63</v>
      </c>
      <c r="F4" s="14" t="s">
        <v>64</v>
      </c>
      <c r="G4" s="14"/>
    </row>
    <row r="5" spans="1:18" ht="19" thickBot="1" x14ac:dyDescent="0.4">
      <c r="A5" s="15" t="s">
        <v>65</v>
      </c>
      <c r="B5" s="9">
        <v>13977</v>
      </c>
      <c r="C5" s="9">
        <v>1.4</v>
      </c>
      <c r="D5" s="16" t="s">
        <v>66</v>
      </c>
      <c r="H5" s="35" t="s">
        <v>67</v>
      </c>
      <c r="I5" s="35" t="s">
        <v>116</v>
      </c>
      <c r="J5" s="31"/>
      <c r="K5" s="31"/>
      <c r="L5" s="31"/>
    </row>
    <row r="6" spans="1:18" ht="19" thickBot="1" x14ac:dyDescent="0.5">
      <c r="H6" s="45">
        <f>SUM(B5,E9,E13,E20,E27,E38,E52,E62)</f>
        <v>21735</v>
      </c>
      <c r="I6" s="40">
        <v>31086</v>
      </c>
      <c r="J6" s="32"/>
      <c r="K6" s="32"/>
      <c r="L6" s="33"/>
    </row>
    <row r="7" spans="1:18" x14ac:dyDescent="0.35">
      <c r="A7" s="15" t="s">
        <v>68</v>
      </c>
      <c r="B7" s="9">
        <v>1</v>
      </c>
      <c r="D7" s="17">
        <v>7758</v>
      </c>
      <c r="E7" s="47">
        <f t="shared" ref="E7:E61" si="0">D7*B7</f>
        <v>7758</v>
      </c>
      <c r="I7" s="24"/>
      <c r="J7" s="24"/>
      <c r="K7" s="24"/>
      <c r="L7" s="24"/>
    </row>
    <row r="8" spans="1:18" x14ac:dyDescent="0.35">
      <c r="A8" s="15" t="s">
        <v>302</v>
      </c>
      <c r="B8" s="9">
        <v>1</v>
      </c>
      <c r="D8" s="44"/>
      <c r="E8" s="18">
        <f t="shared" si="0"/>
        <v>0</v>
      </c>
      <c r="I8" s="38"/>
      <c r="J8" s="24"/>
      <c r="K8" s="24"/>
      <c r="L8" s="24"/>
    </row>
    <row r="9" spans="1:18" x14ac:dyDescent="0.35">
      <c r="A9" s="19" t="s">
        <v>69</v>
      </c>
      <c r="B9" s="20"/>
      <c r="C9" s="20"/>
      <c r="D9" s="92"/>
      <c r="E9" s="19">
        <f>SUM(E7:E8)</f>
        <v>7758</v>
      </c>
      <c r="G9" s="21"/>
      <c r="I9" s="24">
        <f>I6-H6</f>
        <v>9351</v>
      </c>
      <c r="J9" s="24"/>
      <c r="K9" s="24"/>
      <c r="L9" s="24"/>
    </row>
    <row r="10" spans="1:18" x14ac:dyDescent="0.35">
      <c r="A10" s="22"/>
      <c r="B10" s="23"/>
      <c r="C10" s="23"/>
      <c r="D10" s="23"/>
      <c r="E10" s="22"/>
      <c r="F10" s="22"/>
      <c r="I10" s="24"/>
      <c r="J10" s="24"/>
      <c r="K10" s="24"/>
      <c r="L10" s="24"/>
    </row>
    <row r="11" spans="1:18" x14ac:dyDescent="0.35">
      <c r="A11" s="15" t="s">
        <v>70</v>
      </c>
      <c r="I11" s="24"/>
      <c r="J11" s="24"/>
      <c r="K11" s="24"/>
      <c r="L11" s="24"/>
    </row>
    <row r="12" spans="1:18" x14ac:dyDescent="0.35">
      <c r="A12" s="9" t="s">
        <v>71</v>
      </c>
      <c r="B12" s="9">
        <v>207</v>
      </c>
      <c r="C12" s="9">
        <v>7.75</v>
      </c>
      <c r="D12" s="17"/>
      <c r="E12" s="18">
        <f t="shared" si="0"/>
        <v>0</v>
      </c>
      <c r="F12" s="9">
        <f>C12*D12</f>
        <v>0</v>
      </c>
      <c r="I12" s="24">
        <f>7758+4006</f>
        <v>11764</v>
      </c>
      <c r="J12" s="24"/>
      <c r="K12" s="24"/>
      <c r="L12" s="24"/>
    </row>
    <row r="13" spans="1:18" x14ac:dyDescent="0.35">
      <c r="A13" s="19" t="s">
        <v>69</v>
      </c>
      <c r="B13" s="20"/>
      <c r="C13" s="20"/>
      <c r="D13" s="20"/>
      <c r="E13" s="19">
        <f>E12</f>
        <v>0</v>
      </c>
      <c r="F13" s="19">
        <f>F12</f>
        <v>0</v>
      </c>
      <c r="I13" s="24"/>
      <c r="J13" s="24"/>
      <c r="K13" s="24"/>
      <c r="L13" s="24"/>
    </row>
    <row r="14" spans="1:18" s="23" customFormat="1" x14ac:dyDescent="0.35">
      <c r="A14" s="22"/>
      <c r="E14" s="22"/>
      <c r="F14" s="22"/>
      <c r="I14" s="24"/>
      <c r="J14" s="24"/>
      <c r="K14" s="25"/>
      <c r="L14" s="24"/>
    </row>
    <row r="15" spans="1:18" x14ac:dyDescent="0.35">
      <c r="A15" s="15" t="s">
        <v>72</v>
      </c>
      <c r="I15" s="553"/>
      <c r="J15" s="25"/>
      <c r="K15" s="25"/>
      <c r="L15" s="25"/>
      <c r="M15" s="25"/>
      <c r="N15" s="25"/>
      <c r="O15" s="26"/>
    </row>
    <row r="16" spans="1:18" ht="15.75" customHeight="1" x14ac:dyDescent="0.35">
      <c r="A16" s="9" t="s">
        <v>73</v>
      </c>
      <c r="B16" s="9">
        <v>133</v>
      </c>
      <c r="D16" s="17"/>
      <c r="E16" s="9">
        <f t="shared" si="0"/>
        <v>0</v>
      </c>
      <c r="F16" s="9">
        <f>C16*D16</f>
        <v>0</v>
      </c>
      <c r="I16" s="553"/>
      <c r="J16" s="24"/>
      <c r="K16" s="554"/>
      <c r="L16" s="34"/>
      <c r="M16" s="27"/>
      <c r="N16" s="27"/>
    </row>
    <row r="17" spans="1:12" x14ac:dyDescent="0.35">
      <c r="A17" s="9" t="s">
        <v>74</v>
      </c>
      <c r="B17" s="9">
        <v>144</v>
      </c>
      <c r="D17" s="44"/>
      <c r="E17" s="9">
        <f t="shared" si="0"/>
        <v>0</v>
      </c>
      <c r="F17" s="9">
        <f>C17*D17</f>
        <v>0</v>
      </c>
      <c r="I17" s="24"/>
      <c r="J17" s="34"/>
      <c r="K17" s="554"/>
      <c r="L17" s="24"/>
    </row>
    <row r="18" spans="1:12" x14ac:dyDescent="0.35">
      <c r="A18" s="9" t="s">
        <v>75</v>
      </c>
      <c r="B18" s="9">
        <v>33</v>
      </c>
      <c r="D18" s="17"/>
      <c r="E18" s="9">
        <f t="shared" si="0"/>
        <v>0</v>
      </c>
      <c r="F18" s="9">
        <f>C18*D18</f>
        <v>0</v>
      </c>
      <c r="I18" s="24"/>
      <c r="J18" s="34"/>
      <c r="K18" s="554"/>
      <c r="L18" s="24"/>
    </row>
    <row r="19" spans="1:12" x14ac:dyDescent="0.35">
      <c r="A19" s="9" t="s">
        <v>76</v>
      </c>
      <c r="B19" s="9">
        <v>135</v>
      </c>
      <c r="D19" s="17"/>
      <c r="E19" s="18">
        <f t="shared" si="0"/>
        <v>0</v>
      </c>
      <c r="F19" s="9">
        <f>C19*D19</f>
        <v>0</v>
      </c>
      <c r="I19" s="24"/>
      <c r="J19" s="24"/>
      <c r="K19" s="554"/>
      <c r="L19" s="24"/>
    </row>
    <row r="20" spans="1:12" x14ac:dyDescent="0.35">
      <c r="A20" s="19" t="s">
        <v>69</v>
      </c>
      <c r="B20" s="20"/>
      <c r="C20" s="20"/>
      <c r="D20" s="20"/>
      <c r="E20" s="19">
        <f>SUM(E16:E19)</f>
        <v>0</v>
      </c>
      <c r="F20" s="19">
        <f>SUM(F16:F19)</f>
        <v>0</v>
      </c>
    </row>
    <row r="21" spans="1:12" s="23" customFormat="1" x14ac:dyDescent="0.35">
      <c r="A21" s="22"/>
      <c r="E21" s="22"/>
      <c r="F21" s="22"/>
      <c r="I21" s="29"/>
      <c r="J21" s="29"/>
    </row>
    <row r="22" spans="1:12" x14ac:dyDescent="0.35">
      <c r="A22" s="15" t="s">
        <v>77</v>
      </c>
      <c r="I22" s="29"/>
      <c r="J22" s="29"/>
    </row>
    <row r="23" spans="1:12" x14ac:dyDescent="0.35">
      <c r="A23" s="9" t="s">
        <v>78</v>
      </c>
      <c r="B23" s="9">
        <v>661</v>
      </c>
      <c r="D23" s="17"/>
      <c r="E23" s="9">
        <f t="shared" si="0"/>
        <v>0</v>
      </c>
      <c r="F23" s="9">
        <f>C23*D23</f>
        <v>0</v>
      </c>
      <c r="I23" s="29"/>
      <c r="J23" s="29"/>
    </row>
    <row r="24" spans="1:12" ht="15" customHeight="1" x14ac:dyDescent="0.35">
      <c r="A24" s="9" t="s">
        <v>79</v>
      </c>
      <c r="B24" s="9">
        <v>317</v>
      </c>
      <c r="D24" s="17"/>
      <c r="E24" s="9">
        <f t="shared" si="0"/>
        <v>0</v>
      </c>
      <c r="F24" s="9">
        <f>C24*D24</f>
        <v>0</v>
      </c>
    </row>
    <row r="25" spans="1:12" x14ac:dyDescent="0.35">
      <c r="A25" s="9" t="s">
        <v>80</v>
      </c>
      <c r="B25" s="9">
        <v>1314</v>
      </c>
      <c r="D25" s="44"/>
      <c r="E25" s="9">
        <f t="shared" si="0"/>
        <v>0</v>
      </c>
      <c r="F25" s="9">
        <f>C25*D25</f>
        <v>0</v>
      </c>
      <c r="H25" s="26"/>
      <c r="I25" s="555"/>
      <c r="J25" s="555"/>
      <c r="K25" s="26"/>
    </row>
    <row r="26" spans="1:12" x14ac:dyDescent="0.35">
      <c r="A26" s="9" t="s">
        <v>81</v>
      </c>
      <c r="B26" s="9">
        <v>139</v>
      </c>
      <c r="D26" s="17"/>
      <c r="E26" s="18">
        <f t="shared" si="0"/>
        <v>0</v>
      </c>
      <c r="F26" s="9">
        <f>C26*D26</f>
        <v>0</v>
      </c>
      <c r="H26" s="30"/>
      <c r="I26" s="30"/>
      <c r="J26" s="30"/>
      <c r="K26" s="30"/>
    </row>
    <row r="27" spans="1:12" x14ac:dyDescent="0.35">
      <c r="A27" s="19" t="s">
        <v>69</v>
      </c>
      <c r="B27" s="20"/>
      <c r="C27" s="20"/>
      <c r="D27" s="20"/>
      <c r="E27" s="19">
        <f>SUM(E23:E26)</f>
        <v>0</v>
      </c>
      <c r="F27" s="19">
        <f>SUM(F23:F26)</f>
        <v>0</v>
      </c>
    </row>
    <row r="28" spans="1:12" s="23" customFormat="1" x14ac:dyDescent="0.35">
      <c r="A28" s="22"/>
      <c r="E28" s="22"/>
      <c r="F28" s="22"/>
    </row>
    <row r="29" spans="1:12" x14ac:dyDescent="0.35">
      <c r="A29" s="15" t="s">
        <v>82</v>
      </c>
    </row>
    <row r="30" spans="1:12" x14ac:dyDescent="0.35">
      <c r="A30" s="9" t="s">
        <v>83</v>
      </c>
      <c r="B30" s="9">
        <v>24</v>
      </c>
      <c r="D30" s="17"/>
      <c r="E30" s="9">
        <f t="shared" si="0"/>
        <v>0</v>
      </c>
      <c r="F30" s="9">
        <f t="shared" ref="F30:F37" si="1">C30*D30</f>
        <v>0</v>
      </c>
    </row>
    <row r="31" spans="1:12" x14ac:dyDescent="0.35">
      <c r="A31" s="9" t="s">
        <v>84</v>
      </c>
      <c r="B31" s="9">
        <v>260</v>
      </c>
      <c r="D31" s="17"/>
      <c r="E31" s="9">
        <f t="shared" si="0"/>
        <v>0</v>
      </c>
      <c r="F31" s="9">
        <f t="shared" si="1"/>
        <v>0</v>
      </c>
    </row>
    <row r="32" spans="1:12" x14ac:dyDescent="0.35">
      <c r="A32" s="9" t="s">
        <v>85</v>
      </c>
      <c r="B32" s="9">
        <v>489</v>
      </c>
      <c r="D32" s="17"/>
      <c r="E32" s="9">
        <f t="shared" si="0"/>
        <v>0</v>
      </c>
      <c r="F32" s="9">
        <f t="shared" si="1"/>
        <v>0</v>
      </c>
    </row>
    <row r="33" spans="1:6" x14ac:dyDescent="0.35">
      <c r="A33" s="9" t="s">
        <v>86</v>
      </c>
      <c r="B33" s="9">
        <v>531</v>
      </c>
      <c r="D33" s="17"/>
      <c r="E33" s="9">
        <f t="shared" si="0"/>
        <v>0</v>
      </c>
      <c r="F33" s="9">
        <f t="shared" si="1"/>
        <v>0</v>
      </c>
    </row>
    <row r="34" spans="1:6" x14ac:dyDescent="0.35">
      <c r="A34" s="9" t="s">
        <v>87</v>
      </c>
      <c r="B34" s="9">
        <v>511</v>
      </c>
      <c r="D34" s="17"/>
      <c r="E34" s="9">
        <f t="shared" si="0"/>
        <v>0</v>
      </c>
      <c r="F34" s="9">
        <f t="shared" si="1"/>
        <v>0</v>
      </c>
    </row>
    <row r="35" spans="1:6" x14ac:dyDescent="0.35">
      <c r="A35" s="9" t="s">
        <v>88</v>
      </c>
      <c r="B35" s="9">
        <v>798</v>
      </c>
      <c r="D35" s="44"/>
      <c r="E35" s="9">
        <f t="shared" si="0"/>
        <v>0</v>
      </c>
      <c r="F35" s="9">
        <f t="shared" si="1"/>
        <v>0</v>
      </c>
    </row>
    <row r="36" spans="1:6" x14ac:dyDescent="0.35">
      <c r="A36" s="9" t="s">
        <v>89</v>
      </c>
      <c r="B36" s="9">
        <v>985</v>
      </c>
      <c r="D36" s="17"/>
      <c r="E36" s="9">
        <f t="shared" si="0"/>
        <v>0</v>
      </c>
      <c r="F36" s="9">
        <f t="shared" si="1"/>
        <v>0</v>
      </c>
    </row>
    <row r="37" spans="1:6" x14ac:dyDescent="0.35">
      <c r="A37" s="9" t="s">
        <v>90</v>
      </c>
      <c r="B37" s="9">
        <v>1243</v>
      </c>
      <c r="D37" s="17"/>
      <c r="E37" s="18">
        <f t="shared" si="0"/>
        <v>0</v>
      </c>
      <c r="F37" s="9">
        <f t="shared" si="1"/>
        <v>0</v>
      </c>
    </row>
    <row r="38" spans="1:6" x14ac:dyDescent="0.35">
      <c r="A38" s="19" t="s">
        <v>69</v>
      </c>
      <c r="B38" s="20"/>
      <c r="C38" s="20"/>
      <c r="D38" s="20"/>
      <c r="E38" s="19">
        <f>SUM(E30:E37)</f>
        <v>0</v>
      </c>
      <c r="F38" s="19">
        <f>SUM(F30:F37)</f>
        <v>0</v>
      </c>
    </row>
    <row r="39" spans="1:6" s="23" customFormat="1" x14ac:dyDescent="0.35">
      <c r="A39" s="22"/>
      <c r="E39" s="22"/>
      <c r="F39" s="22"/>
    </row>
    <row r="40" spans="1:6" x14ac:dyDescent="0.35">
      <c r="A40" s="15" t="s">
        <v>91</v>
      </c>
    </row>
    <row r="41" spans="1:6" x14ac:dyDescent="0.35">
      <c r="A41" s="9" t="s">
        <v>92</v>
      </c>
      <c r="B41" s="9">
        <v>287</v>
      </c>
      <c r="D41" s="17"/>
      <c r="E41" s="9">
        <f t="shared" si="0"/>
        <v>0</v>
      </c>
      <c r="F41" s="9">
        <f t="shared" ref="F41:F51" si="2">C41*D41</f>
        <v>0</v>
      </c>
    </row>
    <row r="42" spans="1:6" x14ac:dyDescent="0.35">
      <c r="A42" s="9" t="s">
        <v>93</v>
      </c>
      <c r="B42" s="9">
        <v>970</v>
      </c>
      <c r="D42" s="17"/>
      <c r="E42" s="9">
        <f t="shared" si="0"/>
        <v>0</v>
      </c>
      <c r="F42" s="9">
        <f t="shared" si="2"/>
        <v>0</v>
      </c>
    </row>
    <row r="43" spans="1:6" x14ac:dyDescent="0.35">
      <c r="A43" s="9" t="s">
        <v>94</v>
      </c>
      <c r="B43" s="9">
        <v>690</v>
      </c>
      <c r="D43" s="17"/>
      <c r="E43" s="9">
        <f t="shared" si="0"/>
        <v>0</v>
      </c>
      <c r="F43" s="9">
        <f t="shared" si="2"/>
        <v>0</v>
      </c>
    </row>
    <row r="44" spans="1:6" x14ac:dyDescent="0.35">
      <c r="A44" s="9" t="s">
        <v>95</v>
      </c>
      <c r="B44" s="9">
        <v>628</v>
      </c>
      <c r="D44" s="17"/>
      <c r="E44" s="9">
        <f t="shared" si="0"/>
        <v>0</v>
      </c>
      <c r="F44" s="9">
        <f t="shared" si="2"/>
        <v>0</v>
      </c>
    </row>
    <row r="45" spans="1:6" x14ac:dyDescent="0.35">
      <c r="A45" s="9" t="s">
        <v>96</v>
      </c>
      <c r="B45" s="9">
        <v>631</v>
      </c>
      <c r="D45" s="17"/>
      <c r="E45" s="9">
        <f t="shared" si="0"/>
        <v>0</v>
      </c>
      <c r="F45" s="9">
        <f t="shared" si="2"/>
        <v>0</v>
      </c>
    </row>
    <row r="46" spans="1:6" x14ac:dyDescent="0.35">
      <c r="A46" s="9" t="s">
        <v>97</v>
      </c>
      <c r="B46" s="9">
        <v>220</v>
      </c>
      <c r="D46" s="17"/>
      <c r="E46" s="9">
        <f t="shared" si="0"/>
        <v>0</v>
      </c>
      <c r="F46" s="9">
        <f t="shared" si="2"/>
        <v>0</v>
      </c>
    </row>
    <row r="47" spans="1:6" x14ac:dyDescent="0.35">
      <c r="A47" s="9" t="s">
        <v>98</v>
      </c>
      <c r="B47" s="9">
        <v>220</v>
      </c>
      <c r="D47" s="17"/>
      <c r="E47" s="9">
        <f t="shared" si="0"/>
        <v>0</v>
      </c>
      <c r="F47" s="9">
        <f t="shared" si="2"/>
        <v>0</v>
      </c>
    </row>
    <row r="48" spans="1:6" x14ac:dyDescent="0.35">
      <c r="A48" s="9" t="s">
        <v>99</v>
      </c>
      <c r="B48" s="9">
        <v>220</v>
      </c>
      <c r="D48" s="17"/>
      <c r="E48" s="9">
        <f t="shared" si="0"/>
        <v>0</v>
      </c>
      <c r="F48" s="9">
        <f t="shared" si="2"/>
        <v>0</v>
      </c>
    </row>
    <row r="49" spans="1:6" x14ac:dyDescent="0.35">
      <c r="A49" s="9" t="s">
        <v>100</v>
      </c>
      <c r="B49" s="9">
        <v>282</v>
      </c>
      <c r="D49" s="17"/>
      <c r="E49" s="9">
        <f t="shared" si="0"/>
        <v>0</v>
      </c>
      <c r="F49" s="9">
        <f t="shared" si="2"/>
        <v>0</v>
      </c>
    </row>
    <row r="50" spans="1:6" x14ac:dyDescent="0.35">
      <c r="A50" s="9" t="s">
        <v>101</v>
      </c>
      <c r="B50" s="9">
        <v>260</v>
      </c>
      <c r="D50" s="17"/>
      <c r="E50" s="9">
        <f t="shared" si="0"/>
        <v>0</v>
      </c>
      <c r="F50" s="9">
        <f t="shared" si="2"/>
        <v>0</v>
      </c>
    </row>
    <row r="51" spans="1:6" x14ac:dyDescent="0.35">
      <c r="A51" s="9" t="s">
        <v>102</v>
      </c>
      <c r="B51" s="9">
        <v>262</v>
      </c>
      <c r="D51" s="17"/>
      <c r="E51" s="18">
        <f t="shared" si="0"/>
        <v>0</v>
      </c>
      <c r="F51" s="9">
        <f t="shared" si="2"/>
        <v>0</v>
      </c>
    </row>
    <row r="52" spans="1:6" x14ac:dyDescent="0.35">
      <c r="A52" s="19" t="s">
        <v>69</v>
      </c>
      <c r="B52" s="20"/>
      <c r="C52" s="20"/>
      <c r="D52" s="20"/>
      <c r="E52" s="19">
        <f>SUM(E41:E51)</f>
        <v>0</v>
      </c>
      <c r="F52" s="19">
        <f>SUM(F41:F51)</f>
        <v>0</v>
      </c>
    </row>
    <row r="53" spans="1:6" s="23" customFormat="1" x14ac:dyDescent="0.35">
      <c r="A53" s="22"/>
      <c r="E53" s="22"/>
      <c r="F53" s="22"/>
    </row>
    <row r="54" spans="1:6" x14ac:dyDescent="0.35">
      <c r="A54" s="28" t="s">
        <v>103</v>
      </c>
    </row>
    <row r="55" spans="1:6" x14ac:dyDescent="0.35">
      <c r="A55" s="9" t="s">
        <v>104</v>
      </c>
      <c r="B55" s="9">
        <v>192</v>
      </c>
      <c r="D55" s="17"/>
      <c r="E55" s="9">
        <f t="shared" si="0"/>
        <v>0</v>
      </c>
      <c r="F55" s="9">
        <f>C55*D55</f>
        <v>0</v>
      </c>
    </row>
    <row r="56" spans="1:6" x14ac:dyDescent="0.35">
      <c r="A56" s="9" t="s">
        <v>105</v>
      </c>
      <c r="B56" s="9">
        <v>203</v>
      </c>
      <c r="D56" s="44"/>
      <c r="E56" s="9">
        <f t="shared" si="0"/>
        <v>0</v>
      </c>
      <c r="F56" s="9">
        <f t="shared" ref="F56:F61" si="3">C56*D56</f>
        <v>0</v>
      </c>
    </row>
    <row r="57" spans="1:6" x14ac:dyDescent="0.35">
      <c r="A57" s="9" t="s">
        <v>106</v>
      </c>
      <c r="B57" s="9">
        <v>485</v>
      </c>
      <c r="D57" s="17"/>
      <c r="E57" s="9">
        <f t="shared" si="0"/>
        <v>0</v>
      </c>
      <c r="F57" s="9">
        <f t="shared" si="3"/>
        <v>0</v>
      </c>
    </row>
    <row r="58" spans="1:6" x14ac:dyDescent="0.35">
      <c r="A58" s="9" t="s">
        <v>107</v>
      </c>
      <c r="B58" s="9">
        <v>465</v>
      </c>
      <c r="D58" s="17"/>
      <c r="E58" s="9">
        <f t="shared" si="0"/>
        <v>0</v>
      </c>
      <c r="F58" s="9">
        <f t="shared" si="3"/>
        <v>0</v>
      </c>
    </row>
    <row r="59" spans="1:6" x14ac:dyDescent="0.35">
      <c r="A59" s="9" t="s">
        <v>108</v>
      </c>
      <c r="B59" s="9">
        <v>645</v>
      </c>
      <c r="D59" s="17"/>
      <c r="E59" s="9">
        <f t="shared" si="0"/>
        <v>0</v>
      </c>
      <c r="F59" s="9">
        <f t="shared" si="3"/>
        <v>0</v>
      </c>
    </row>
    <row r="60" spans="1:6" x14ac:dyDescent="0.35">
      <c r="A60" s="9" t="s">
        <v>109</v>
      </c>
      <c r="B60" s="9">
        <v>675</v>
      </c>
      <c r="D60" s="17"/>
      <c r="E60" s="9">
        <f t="shared" si="0"/>
        <v>0</v>
      </c>
      <c r="F60" s="9">
        <f t="shared" si="3"/>
        <v>0</v>
      </c>
    </row>
    <row r="61" spans="1:6" x14ac:dyDescent="0.35">
      <c r="A61" s="9" t="s">
        <v>110</v>
      </c>
      <c r="B61" s="9">
        <v>675</v>
      </c>
      <c r="D61" s="17"/>
      <c r="E61" s="18">
        <f t="shared" si="0"/>
        <v>0</v>
      </c>
      <c r="F61" s="9">
        <f t="shared" si="3"/>
        <v>0</v>
      </c>
    </row>
    <row r="62" spans="1:6" x14ac:dyDescent="0.35">
      <c r="A62" s="19" t="s">
        <v>69</v>
      </c>
      <c r="B62" s="20"/>
      <c r="C62" s="20"/>
      <c r="D62" s="20"/>
      <c r="E62" s="19">
        <f>SUM(E55:E61)</f>
        <v>0</v>
      </c>
      <c r="F62" s="19">
        <f>SUM(F55:F61)</f>
        <v>0</v>
      </c>
    </row>
    <row r="65" spans="2:7" ht="15" thickBot="1" x14ac:dyDescent="0.4"/>
    <row r="66" spans="2:7" ht="15.75" customHeight="1" x14ac:dyDescent="0.35">
      <c r="B66" s="556" t="s">
        <v>111</v>
      </c>
      <c r="C66" s="557"/>
      <c r="D66" s="557"/>
      <c r="E66" s="558"/>
      <c r="F66" s="29"/>
      <c r="G66" s="29"/>
    </row>
    <row r="67" spans="2:7" ht="15" thickBot="1" x14ac:dyDescent="0.4">
      <c r="B67" s="559"/>
      <c r="C67" s="560"/>
      <c r="D67" s="560"/>
      <c r="E67" s="561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K15" sqref="K15"/>
    </sheetView>
  </sheetViews>
  <sheetFormatPr defaultColWidth="9.1796875" defaultRowHeight="14.5" x14ac:dyDescent="0.35"/>
  <cols>
    <col min="1" max="1" width="5.26953125" style="158" customWidth="1"/>
    <col min="2" max="2" width="8.81640625" style="158" customWidth="1"/>
    <col min="3" max="3" width="14" style="158" bestFit="1" customWidth="1"/>
    <col min="4" max="4" width="12" style="158" customWidth="1"/>
    <col min="5" max="5" width="5.26953125" style="158" customWidth="1"/>
    <col min="6" max="6" width="8.81640625" style="158" customWidth="1"/>
    <col min="7" max="7" width="14" style="159" bestFit="1" customWidth="1"/>
    <col min="8" max="8" width="11.81640625" style="158" customWidth="1"/>
    <col min="9" max="9" width="9.1796875" style="156" customWidth="1"/>
    <col min="10" max="16384" width="9.1796875" style="156"/>
  </cols>
  <sheetData>
    <row r="1" spans="1:8" ht="31.5" customHeight="1" x14ac:dyDescent="0.35">
      <c r="A1" s="562" t="s">
        <v>300</v>
      </c>
      <c r="B1" s="562"/>
      <c r="C1" s="562"/>
      <c r="D1" s="562"/>
      <c r="E1" s="562"/>
      <c r="F1" s="562"/>
      <c r="G1" s="562"/>
      <c r="H1" s="562"/>
    </row>
    <row r="2" spans="1:8" s="157" customFormat="1" ht="21" customHeight="1" x14ac:dyDescent="0.35">
      <c r="A2" s="160" t="s">
        <v>247</v>
      </c>
      <c r="B2" s="161" t="s">
        <v>248</v>
      </c>
      <c r="C2" s="161" t="s">
        <v>249</v>
      </c>
      <c r="D2" s="161" t="s">
        <v>250</v>
      </c>
      <c r="E2" s="161" t="s">
        <v>247</v>
      </c>
      <c r="F2" s="161" t="s">
        <v>248</v>
      </c>
      <c r="G2" s="161" t="s">
        <v>249</v>
      </c>
      <c r="H2" s="162" t="s">
        <v>250</v>
      </c>
    </row>
    <row r="3" spans="1:8" s="157" customFormat="1" ht="21" customHeight="1" x14ac:dyDescent="0.35">
      <c r="A3" s="163">
        <v>1</v>
      </c>
      <c r="B3" s="164">
        <v>355</v>
      </c>
      <c r="C3" s="165" t="s">
        <v>343</v>
      </c>
      <c r="D3" s="165" t="s">
        <v>352</v>
      </c>
      <c r="E3" s="166">
        <v>1</v>
      </c>
      <c r="F3" s="164">
        <v>137.94999999999999</v>
      </c>
      <c r="G3" s="165" t="s">
        <v>303</v>
      </c>
      <c r="H3" s="165" t="s">
        <v>353</v>
      </c>
    </row>
    <row r="4" spans="1:8" s="157" customFormat="1" ht="21" customHeight="1" x14ac:dyDescent="0.35">
      <c r="A4" s="163">
        <v>2</v>
      </c>
      <c r="B4" s="167">
        <v>251.5</v>
      </c>
      <c r="C4" s="168" t="s">
        <v>354</v>
      </c>
      <c r="D4" s="168" t="s">
        <v>352</v>
      </c>
      <c r="E4" s="166">
        <v>2</v>
      </c>
      <c r="F4" s="167">
        <v>137.97499999999999</v>
      </c>
      <c r="G4" s="168" t="s">
        <v>303</v>
      </c>
      <c r="H4" s="168" t="s">
        <v>355</v>
      </c>
    </row>
    <row r="5" spans="1:8" s="157" customFormat="1" ht="21" customHeight="1" x14ac:dyDescent="0.35">
      <c r="A5" s="163">
        <v>3</v>
      </c>
      <c r="B5" s="169">
        <v>251</v>
      </c>
      <c r="C5" s="170" t="s">
        <v>356</v>
      </c>
      <c r="D5" s="170" t="s">
        <v>352</v>
      </c>
      <c r="E5" s="166">
        <v>3</v>
      </c>
      <c r="F5" s="169">
        <v>125.45</v>
      </c>
      <c r="G5" s="170" t="s">
        <v>303</v>
      </c>
      <c r="H5" s="170" t="s">
        <v>357</v>
      </c>
    </row>
    <row r="6" spans="1:8" s="157" customFormat="1" ht="21" customHeight="1" x14ac:dyDescent="0.35">
      <c r="A6" s="163">
        <v>4</v>
      </c>
      <c r="B6" s="167">
        <v>319.55</v>
      </c>
      <c r="C6" s="168" t="s">
        <v>358</v>
      </c>
      <c r="D6" s="168" t="s">
        <v>352</v>
      </c>
      <c r="E6" s="166">
        <v>4</v>
      </c>
      <c r="F6" s="167">
        <v>132.30000000000001</v>
      </c>
      <c r="G6" s="168" t="s">
        <v>303</v>
      </c>
      <c r="H6" s="168" t="s">
        <v>359</v>
      </c>
    </row>
    <row r="7" spans="1:8" s="157" customFormat="1" ht="21" customHeight="1" x14ac:dyDescent="0.35">
      <c r="A7" s="163">
        <v>5</v>
      </c>
      <c r="B7" s="169">
        <v>250</v>
      </c>
      <c r="C7" s="170" t="s">
        <v>360</v>
      </c>
      <c r="D7" s="170" t="s">
        <v>352</v>
      </c>
      <c r="E7" s="166">
        <v>5</v>
      </c>
      <c r="F7" s="169">
        <v>127.8</v>
      </c>
      <c r="G7" s="170" t="s">
        <v>303</v>
      </c>
      <c r="H7" s="170" t="s">
        <v>361</v>
      </c>
    </row>
    <row r="8" spans="1:8" s="157" customFormat="1" ht="21" customHeight="1" x14ac:dyDescent="0.35">
      <c r="A8" s="163">
        <v>6</v>
      </c>
      <c r="B8" s="167">
        <v>317.64999999999998</v>
      </c>
      <c r="C8" s="168" t="s">
        <v>362</v>
      </c>
      <c r="D8" s="168" t="s">
        <v>352</v>
      </c>
      <c r="E8" s="166">
        <v>6</v>
      </c>
      <c r="F8" s="167">
        <v>139.1</v>
      </c>
      <c r="G8" s="171" t="s">
        <v>363</v>
      </c>
      <c r="H8" s="168" t="s">
        <v>364</v>
      </c>
    </row>
    <row r="9" spans="1:8" s="157" customFormat="1" ht="21" customHeight="1" x14ac:dyDescent="0.35">
      <c r="A9" s="163">
        <v>7</v>
      </c>
      <c r="B9" s="169">
        <v>317.75</v>
      </c>
      <c r="C9" s="170" t="s">
        <v>365</v>
      </c>
      <c r="D9" s="170" t="s">
        <v>352</v>
      </c>
      <c r="E9" s="166">
        <v>7</v>
      </c>
      <c r="F9" s="169">
        <v>140.15</v>
      </c>
      <c r="G9" s="172" t="s">
        <v>363</v>
      </c>
      <c r="H9" s="170" t="s">
        <v>366</v>
      </c>
    </row>
    <row r="10" spans="1:8" s="157" customFormat="1" ht="21" customHeight="1" x14ac:dyDescent="0.35">
      <c r="A10" s="163">
        <v>8</v>
      </c>
      <c r="B10" s="167">
        <v>282.02499999999998</v>
      </c>
      <c r="C10" s="168" t="s">
        <v>151</v>
      </c>
      <c r="D10" s="168" t="s">
        <v>367</v>
      </c>
      <c r="E10" s="166">
        <v>8</v>
      </c>
      <c r="F10" s="167">
        <v>139.94999999999999</v>
      </c>
      <c r="G10" s="168" t="s">
        <v>368</v>
      </c>
      <c r="H10" s="168" t="s">
        <v>369</v>
      </c>
    </row>
    <row r="11" spans="1:8" s="157" customFormat="1" ht="21" customHeight="1" x14ac:dyDescent="0.35">
      <c r="A11" s="163">
        <v>9</v>
      </c>
      <c r="B11" s="169" t="s">
        <v>340</v>
      </c>
      <c r="C11" s="170" t="s">
        <v>370</v>
      </c>
      <c r="D11" s="170" t="s">
        <v>371</v>
      </c>
      <c r="E11" s="166">
        <v>9</v>
      </c>
      <c r="F11" s="169">
        <v>139.97499999999999</v>
      </c>
      <c r="G11" s="173" t="s">
        <v>368</v>
      </c>
      <c r="H11" s="170" t="s">
        <v>372</v>
      </c>
    </row>
    <row r="12" spans="1:8" s="157" customFormat="1" ht="21" customHeight="1" x14ac:dyDescent="0.35">
      <c r="A12" s="163">
        <v>10</v>
      </c>
      <c r="B12" s="167" t="s">
        <v>348</v>
      </c>
      <c r="C12" s="174" t="s">
        <v>373</v>
      </c>
      <c r="D12" s="174" t="s">
        <v>374</v>
      </c>
      <c r="E12" s="166">
        <v>10</v>
      </c>
      <c r="F12" s="167">
        <v>143.1</v>
      </c>
      <c r="G12" s="171" t="s">
        <v>375</v>
      </c>
      <c r="H12" s="174" t="s">
        <v>376</v>
      </c>
    </row>
    <row r="13" spans="1:8" s="157" customFormat="1" ht="21" customHeight="1" x14ac:dyDescent="0.35">
      <c r="A13" s="163">
        <v>11</v>
      </c>
      <c r="B13" s="169">
        <v>357.77499999999998</v>
      </c>
      <c r="C13" s="173" t="s">
        <v>341</v>
      </c>
      <c r="D13" s="173" t="s">
        <v>377</v>
      </c>
      <c r="E13" s="166">
        <v>11</v>
      </c>
      <c r="F13" s="169">
        <v>143.25</v>
      </c>
      <c r="G13" s="172" t="s">
        <v>375</v>
      </c>
      <c r="H13" s="173" t="s">
        <v>378</v>
      </c>
    </row>
    <row r="14" spans="1:8" s="157" customFormat="1" ht="21" customHeight="1" x14ac:dyDescent="0.35">
      <c r="A14" s="163">
        <v>12</v>
      </c>
      <c r="B14" s="175">
        <v>280.125</v>
      </c>
      <c r="C14" s="174" t="s">
        <v>379</v>
      </c>
      <c r="D14" s="174" t="s">
        <v>380</v>
      </c>
      <c r="E14" s="166">
        <v>12</v>
      </c>
      <c r="F14" s="175">
        <v>138.94999999999999</v>
      </c>
      <c r="G14" s="176" t="s">
        <v>199</v>
      </c>
      <c r="H14" s="174" t="s">
        <v>381</v>
      </c>
    </row>
    <row r="15" spans="1:8" s="157" customFormat="1" ht="21" customHeight="1" x14ac:dyDescent="0.35">
      <c r="A15" s="163">
        <v>13</v>
      </c>
      <c r="B15" s="169">
        <v>302.32499999999999</v>
      </c>
      <c r="C15" s="170" t="s">
        <v>382</v>
      </c>
      <c r="D15" s="170" t="s">
        <v>383</v>
      </c>
      <c r="E15" s="166">
        <v>13</v>
      </c>
      <c r="F15" s="169">
        <v>138.55000000000001</v>
      </c>
      <c r="G15" s="172" t="s">
        <v>199</v>
      </c>
      <c r="H15" s="170" t="s">
        <v>384</v>
      </c>
    </row>
    <row r="16" spans="1:8" s="157" customFormat="1" ht="21" customHeight="1" x14ac:dyDescent="0.35">
      <c r="A16" s="163">
        <v>14</v>
      </c>
      <c r="B16" s="167">
        <v>341.85</v>
      </c>
      <c r="C16" s="168" t="s">
        <v>385</v>
      </c>
      <c r="D16" s="168" t="s">
        <v>386</v>
      </c>
      <c r="E16" s="166">
        <v>14</v>
      </c>
      <c r="F16" s="167">
        <v>145.1</v>
      </c>
      <c r="G16" s="176" t="s">
        <v>387</v>
      </c>
      <c r="H16" s="168" t="s">
        <v>388</v>
      </c>
    </row>
    <row r="17" spans="1:8" s="157" customFormat="1" ht="21" customHeight="1" x14ac:dyDescent="0.35">
      <c r="A17" s="163">
        <v>15</v>
      </c>
      <c r="B17" s="169">
        <v>238.17500000000001</v>
      </c>
      <c r="C17" s="170" t="s">
        <v>389</v>
      </c>
      <c r="D17" s="170" t="s">
        <v>390</v>
      </c>
      <c r="E17" s="166">
        <v>15</v>
      </c>
      <c r="F17" s="169">
        <v>145.25</v>
      </c>
      <c r="G17" s="172" t="s">
        <v>387</v>
      </c>
      <c r="H17" s="170" t="s">
        <v>391</v>
      </c>
    </row>
    <row r="18" spans="1:8" s="157" customFormat="1" ht="21" customHeight="1" x14ac:dyDescent="0.35">
      <c r="A18" s="163">
        <v>16</v>
      </c>
      <c r="B18" s="167" t="s">
        <v>392</v>
      </c>
      <c r="C18" s="168" t="s">
        <v>393</v>
      </c>
      <c r="D18" s="168" t="s">
        <v>394</v>
      </c>
      <c r="E18" s="166">
        <v>16</v>
      </c>
      <c r="F18" s="167">
        <v>147.44999999999999</v>
      </c>
      <c r="G18" s="171" t="s">
        <v>395</v>
      </c>
      <c r="H18" s="168" t="s">
        <v>396</v>
      </c>
    </row>
    <row r="19" spans="1:8" s="157" customFormat="1" ht="21" customHeight="1" x14ac:dyDescent="0.35">
      <c r="A19" s="163">
        <v>17</v>
      </c>
      <c r="B19" s="169">
        <v>261.875</v>
      </c>
      <c r="C19" s="170" t="s">
        <v>149</v>
      </c>
      <c r="D19" s="170" t="s">
        <v>397</v>
      </c>
      <c r="E19" s="166">
        <v>17</v>
      </c>
      <c r="F19" s="169">
        <v>148.15</v>
      </c>
      <c r="G19" s="177" t="s">
        <v>395</v>
      </c>
      <c r="H19" s="170" t="s">
        <v>398</v>
      </c>
    </row>
    <row r="20" spans="1:8" s="157" customFormat="1" ht="21" customHeight="1" x14ac:dyDescent="0.35">
      <c r="A20" s="163">
        <v>18</v>
      </c>
      <c r="B20" s="167">
        <v>251</v>
      </c>
      <c r="C20" s="168" t="s">
        <v>399</v>
      </c>
      <c r="D20" s="168" t="s">
        <v>352</v>
      </c>
      <c r="E20" s="166">
        <v>18</v>
      </c>
      <c r="F20" s="167">
        <v>137.94999999999999</v>
      </c>
      <c r="G20" s="168" t="s">
        <v>303</v>
      </c>
      <c r="H20" s="168" t="s">
        <v>353</v>
      </c>
    </row>
    <row r="21" spans="1:8" s="157" customFormat="1" ht="21" customHeight="1" x14ac:dyDescent="0.35">
      <c r="A21" s="163">
        <v>19</v>
      </c>
      <c r="B21" s="169">
        <v>251</v>
      </c>
      <c r="C21" s="170" t="s">
        <v>399</v>
      </c>
      <c r="D21" s="170" t="s">
        <v>352</v>
      </c>
      <c r="E21" s="166">
        <v>19</v>
      </c>
      <c r="F21" s="169">
        <v>137.97499999999999</v>
      </c>
      <c r="G21" s="170" t="s">
        <v>303</v>
      </c>
      <c r="H21" s="170" t="s">
        <v>355</v>
      </c>
    </row>
    <row r="22" spans="1:8" s="157" customFormat="1" ht="21" customHeight="1" x14ac:dyDescent="0.35">
      <c r="A22" s="178">
        <v>20</v>
      </c>
      <c r="B22" s="179">
        <v>285.67500000000001</v>
      </c>
      <c r="C22" s="180" t="s">
        <v>400</v>
      </c>
      <c r="D22" s="180" t="s">
        <v>352</v>
      </c>
      <c r="E22" s="181">
        <v>20</v>
      </c>
      <c r="F22" s="179">
        <v>135.94999999999999</v>
      </c>
      <c r="G22" s="180" t="s">
        <v>401</v>
      </c>
      <c r="H22" s="180" t="s">
        <v>402</v>
      </c>
    </row>
  </sheetData>
  <mergeCells count="1">
    <mergeCell ref="A1:H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120" orientation="portrait" horizontalDpi="4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7"/>
  <sheetViews>
    <sheetView zoomScale="90" zoomScaleNormal="90" workbookViewId="0">
      <selection activeCell="N22" sqref="N22"/>
    </sheetView>
  </sheetViews>
  <sheetFormatPr defaultRowHeight="14.5" x14ac:dyDescent="0.35"/>
  <cols>
    <col min="14" max="22" width="5.453125" customWidth="1"/>
  </cols>
  <sheetData>
    <row r="3" spans="2:22" x14ac:dyDescent="0.35">
      <c r="B3" s="569" t="s">
        <v>11</v>
      </c>
      <c r="C3" s="570"/>
      <c r="D3" s="571"/>
      <c r="E3" s="1"/>
      <c r="F3" s="572" t="s">
        <v>13</v>
      </c>
      <c r="G3" s="570"/>
      <c r="H3" s="571"/>
      <c r="I3" s="1"/>
      <c r="J3" s="572" t="s">
        <v>16</v>
      </c>
      <c r="K3" s="570"/>
      <c r="L3" s="571"/>
      <c r="N3" s="573" t="s">
        <v>14</v>
      </c>
      <c r="O3" s="574"/>
      <c r="P3" s="574"/>
      <c r="Q3" s="574"/>
      <c r="R3" s="574"/>
      <c r="S3" s="574"/>
      <c r="T3" s="574"/>
      <c r="U3" s="574"/>
      <c r="V3" s="575"/>
    </row>
    <row r="4" spans="2:22" x14ac:dyDescent="0.35">
      <c r="B4" s="563"/>
      <c r="C4" s="564"/>
      <c r="D4" s="565"/>
      <c r="E4" s="1"/>
      <c r="F4" s="563"/>
      <c r="G4" s="564"/>
      <c r="H4" s="565"/>
      <c r="I4" s="1"/>
      <c r="J4" s="563"/>
      <c r="K4" s="564"/>
      <c r="L4" s="565"/>
      <c r="N4" s="219"/>
      <c r="O4" s="214"/>
      <c r="P4" s="214"/>
      <c r="Q4" s="214"/>
      <c r="R4" s="214"/>
      <c r="S4" s="214"/>
      <c r="T4" s="214"/>
      <c r="U4" s="214"/>
      <c r="V4" s="215"/>
    </row>
    <row r="5" spans="2:22" x14ac:dyDescent="0.35">
      <c r="B5" s="563"/>
      <c r="C5" s="564"/>
      <c r="D5" s="565"/>
      <c r="E5" s="1"/>
      <c r="F5" s="563"/>
      <c r="G5" s="564"/>
      <c r="H5" s="565"/>
      <c r="I5" s="1"/>
      <c r="J5" s="563"/>
      <c r="K5" s="564"/>
      <c r="L5" s="565"/>
      <c r="N5" s="220"/>
      <c r="O5" s="213"/>
      <c r="P5" s="213"/>
      <c r="Q5" s="213"/>
      <c r="R5" s="213"/>
      <c r="S5" s="213"/>
      <c r="T5" s="213"/>
      <c r="U5" s="213"/>
      <c r="V5" s="216"/>
    </row>
    <row r="6" spans="2:22" x14ac:dyDescent="0.35">
      <c r="B6" s="563"/>
      <c r="C6" s="564"/>
      <c r="D6" s="565"/>
      <c r="E6" s="1"/>
      <c r="F6" s="563"/>
      <c r="G6" s="564"/>
      <c r="H6" s="565"/>
      <c r="I6" s="1"/>
      <c r="J6" s="563"/>
      <c r="K6" s="564"/>
      <c r="L6" s="565"/>
      <c r="N6" s="220"/>
      <c r="O6" s="213"/>
      <c r="P6" s="213"/>
      <c r="Q6" s="213"/>
      <c r="R6" s="213"/>
      <c r="S6" s="213"/>
      <c r="T6" s="213"/>
      <c r="U6" s="213"/>
      <c r="V6" s="216"/>
    </row>
    <row r="7" spans="2:22" x14ac:dyDescent="0.35">
      <c r="B7" s="563"/>
      <c r="C7" s="564"/>
      <c r="D7" s="565"/>
      <c r="E7" s="1"/>
      <c r="F7" s="563"/>
      <c r="G7" s="564"/>
      <c r="H7" s="565"/>
      <c r="I7" s="1"/>
      <c r="J7" s="563"/>
      <c r="K7" s="564"/>
      <c r="L7" s="565"/>
      <c r="N7" s="220"/>
      <c r="O7" s="213"/>
      <c r="P7" s="213"/>
      <c r="Q7" s="213"/>
      <c r="R7" s="213"/>
      <c r="S7" s="213"/>
      <c r="T7" s="213"/>
      <c r="U7" s="213"/>
      <c r="V7" s="216"/>
    </row>
    <row r="8" spans="2:22" x14ac:dyDescent="0.35">
      <c r="B8" s="563"/>
      <c r="C8" s="564"/>
      <c r="D8" s="565"/>
      <c r="E8" s="1"/>
      <c r="F8" s="563"/>
      <c r="G8" s="564"/>
      <c r="H8" s="565"/>
      <c r="I8" s="1"/>
      <c r="J8" s="563"/>
      <c r="K8" s="564"/>
      <c r="L8" s="565"/>
      <c r="N8" s="220"/>
      <c r="O8" s="213"/>
      <c r="P8" s="213"/>
      <c r="Q8" s="213"/>
      <c r="R8" s="213"/>
      <c r="S8" s="213"/>
      <c r="T8" s="213"/>
      <c r="U8" s="213"/>
      <c r="V8" s="216"/>
    </row>
    <row r="9" spans="2:22" x14ac:dyDescent="0.35">
      <c r="B9" s="563"/>
      <c r="C9" s="564"/>
      <c r="D9" s="565"/>
      <c r="E9" s="1"/>
      <c r="F9" s="563"/>
      <c r="G9" s="564"/>
      <c r="H9" s="565"/>
      <c r="I9" s="1"/>
      <c r="J9" s="563"/>
      <c r="K9" s="564"/>
      <c r="L9" s="565"/>
      <c r="N9" s="220"/>
      <c r="O9" s="213"/>
      <c r="P9" s="213"/>
      <c r="Q9" s="213"/>
      <c r="R9" s="213"/>
      <c r="S9" s="213"/>
      <c r="T9" s="213"/>
      <c r="U9" s="213"/>
      <c r="V9" s="216"/>
    </row>
    <row r="10" spans="2:22" x14ac:dyDescent="0.35">
      <c r="B10" s="566"/>
      <c r="C10" s="567"/>
      <c r="D10" s="568"/>
      <c r="E10" s="1"/>
      <c r="F10" s="566"/>
      <c r="G10" s="567"/>
      <c r="H10" s="568"/>
      <c r="I10" s="1"/>
      <c r="J10" s="566"/>
      <c r="K10" s="567"/>
      <c r="L10" s="568"/>
      <c r="N10" s="221"/>
      <c r="O10" s="217"/>
      <c r="P10" s="217"/>
      <c r="Q10" s="217"/>
      <c r="R10" s="217"/>
      <c r="S10" s="217"/>
      <c r="T10" s="217"/>
      <c r="U10" s="217"/>
      <c r="V10" s="218"/>
    </row>
    <row r="12" spans="2:22" x14ac:dyDescent="0.35">
      <c r="B12" s="569" t="s">
        <v>12</v>
      </c>
      <c r="C12" s="570"/>
      <c r="D12" s="571"/>
      <c r="E12" s="1"/>
      <c r="F12" s="572" t="s">
        <v>10</v>
      </c>
      <c r="G12" s="570"/>
      <c r="H12" s="571"/>
      <c r="I12" s="1"/>
      <c r="J12" s="572" t="s">
        <v>17</v>
      </c>
      <c r="K12" s="570"/>
      <c r="L12" s="571"/>
      <c r="N12" s="573" t="s">
        <v>218</v>
      </c>
      <c r="O12" s="574"/>
      <c r="P12" s="574"/>
      <c r="Q12" s="574"/>
      <c r="R12" s="574"/>
      <c r="S12" s="574"/>
      <c r="T12" s="574"/>
      <c r="U12" s="574"/>
      <c r="V12" s="575"/>
    </row>
    <row r="13" spans="2:22" x14ac:dyDescent="0.35">
      <c r="B13" s="563"/>
      <c r="C13" s="564"/>
      <c r="D13" s="565"/>
      <c r="E13" s="1"/>
      <c r="F13" s="563"/>
      <c r="G13" s="564"/>
      <c r="H13" s="565"/>
      <c r="I13" s="1"/>
      <c r="J13" s="563"/>
      <c r="K13" s="564"/>
      <c r="L13" s="565"/>
      <c r="N13" s="208"/>
      <c r="O13" s="209"/>
      <c r="P13" s="209"/>
      <c r="Q13" s="209"/>
      <c r="R13" s="209"/>
      <c r="S13" s="214"/>
      <c r="T13" s="214"/>
      <c r="U13" s="214"/>
      <c r="V13" s="215"/>
    </row>
    <row r="14" spans="2:22" x14ac:dyDescent="0.35">
      <c r="B14" s="563"/>
      <c r="C14" s="564"/>
      <c r="D14" s="565"/>
      <c r="E14" s="1"/>
      <c r="F14" s="563"/>
      <c r="G14" s="564"/>
      <c r="H14" s="565"/>
      <c r="I14" s="1"/>
      <c r="J14" s="563"/>
      <c r="K14" s="564"/>
      <c r="L14" s="565"/>
      <c r="N14" s="210"/>
      <c r="O14" s="83"/>
      <c r="P14" s="83"/>
      <c r="Q14" s="83"/>
      <c r="R14" s="83"/>
      <c r="S14" s="213"/>
      <c r="T14" s="213"/>
      <c r="U14" s="213"/>
      <c r="V14" s="216"/>
    </row>
    <row r="15" spans="2:22" x14ac:dyDescent="0.35">
      <c r="B15" s="563"/>
      <c r="C15" s="564"/>
      <c r="D15" s="565"/>
      <c r="E15" s="1"/>
      <c r="F15" s="563"/>
      <c r="G15" s="564"/>
      <c r="H15" s="565"/>
      <c r="I15" s="1"/>
      <c r="J15" s="563"/>
      <c r="K15" s="564"/>
      <c r="L15" s="565"/>
      <c r="N15" s="210"/>
      <c r="O15" s="83"/>
      <c r="P15" s="83"/>
      <c r="Q15" s="83"/>
      <c r="R15" s="83"/>
      <c r="S15" s="213"/>
      <c r="T15" s="213"/>
      <c r="U15" s="213"/>
      <c r="V15" s="216"/>
    </row>
    <row r="16" spans="2:22" x14ac:dyDescent="0.35">
      <c r="B16" s="563"/>
      <c r="C16" s="564"/>
      <c r="D16" s="565"/>
      <c r="E16" s="1"/>
      <c r="F16" s="563"/>
      <c r="G16" s="564"/>
      <c r="H16" s="565"/>
      <c r="I16" s="1"/>
      <c r="J16" s="563"/>
      <c r="K16" s="564"/>
      <c r="L16" s="565"/>
      <c r="N16" s="210"/>
      <c r="O16" s="83"/>
      <c r="P16" s="83"/>
      <c r="Q16" s="83"/>
      <c r="R16" s="83"/>
      <c r="S16" s="213"/>
      <c r="T16" s="213"/>
      <c r="U16" s="213"/>
      <c r="V16" s="216"/>
    </row>
    <row r="17" spans="2:22" x14ac:dyDescent="0.35">
      <c r="B17" s="563"/>
      <c r="C17" s="564"/>
      <c r="D17" s="565"/>
      <c r="E17" s="1"/>
      <c r="F17" s="563"/>
      <c r="G17" s="564"/>
      <c r="H17" s="565"/>
      <c r="I17" s="1"/>
      <c r="J17" s="563"/>
      <c r="K17" s="564"/>
      <c r="L17" s="565"/>
      <c r="N17" s="210"/>
      <c r="O17" s="83"/>
      <c r="P17" s="83"/>
      <c r="Q17" s="83"/>
      <c r="R17" s="83"/>
      <c r="S17" s="213"/>
      <c r="T17" s="213"/>
      <c r="U17" s="213"/>
      <c r="V17" s="216"/>
    </row>
    <row r="18" spans="2:22" x14ac:dyDescent="0.35">
      <c r="B18" s="563"/>
      <c r="C18" s="564"/>
      <c r="D18" s="565"/>
      <c r="E18" s="1"/>
      <c r="F18" s="563"/>
      <c r="G18" s="564"/>
      <c r="H18" s="565"/>
      <c r="I18" s="1"/>
      <c r="J18" s="563"/>
      <c r="K18" s="564"/>
      <c r="L18" s="565"/>
      <c r="N18" s="210"/>
      <c r="O18" s="83"/>
      <c r="P18" s="83"/>
      <c r="Q18" s="83"/>
      <c r="R18" s="83"/>
      <c r="S18" s="213"/>
      <c r="T18" s="213"/>
      <c r="U18" s="213"/>
      <c r="V18" s="216"/>
    </row>
    <row r="19" spans="2:22" x14ac:dyDescent="0.35">
      <c r="B19" s="566"/>
      <c r="C19" s="567"/>
      <c r="D19" s="568"/>
      <c r="E19" s="1"/>
      <c r="F19" s="566"/>
      <c r="G19" s="567"/>
      <c r="H19" s="568"/>
      <c r="I19" s="1"/>
      <c r="J19" s="566"/>
      <c r="K19" s="567"/>
      <c r="L19" s="568"/>
      <c r="N19" s="210"/>
      <c r="O19" s="83"/>
      <c r="P19" s="83"/>
      <c r="Q19" s="83"/>
      <c r="R19" s="83"/>
      <c r="S19" s="213"/>
      <c r="T19" s="213"/>
      <c r="U19" s="213"/>
      <c r="V19" s="216"/>
    </row>
    <row r="20" spans="2:22" x14ac:dyDescent="0.35">
      <c r="N20" s="211"/>
      <c r="O20" s="212"/>
      <c r="P20" s="212"/>
      <c r="Q20" s="212"/>
      <c r="R20" s="212"/>
      <c r="S20" s="217"/>
      <c r="T20" s="217"/>
      <c r="U20" s="217"/>
      <c r="V20" s="218"/>
    </row>
    <row r="21" spans="2:22" x14ac:dyDescent="0.35">
      <c r="B21" s="572" t="s">
        <v>22</v>
      </c>
      <c r="C21" s="570"/>
      <c r="D21" s="571"/>
      <c r="E21" s="1"/>
      <c r="F21" s="572" t="s">
        <v>9</v>
      </c>
      <c r="G21" s="570"/>
      <c r="H21" s="571"/>
      <c r="I21" s="1"/>
      <c r="J21" s="572" t="s">
        <v>18</v>
      </c>
      <c r="K21" s="570"/>
      <c r="L21" s="571"/>
      <c r="N21" s="83"/>
      <c r="O21" s="83"/>
      <c r="P21" s="83"/>
      <c r="Q21" s="83"/>
      <c r="R21" s="83"/>
      <c r="S21" s="213"/>
      <c r="T21" s="213"/>
      <c r="U21" s="213"/>
      <c r="V21" s="213"/>
    </row>
    <row r="22" spans="2:22" x14ac:dyDescent="0.35">
      <c r="B22" s="563"/>
      <c r="C22" s="564"/>
      <c r="D22" s="565"/>
      <c r="E22" s="1"/>
      <c r="F22" s="563"/>
      <c r="G22" s="564"/>
      <c r="H22" s="565"/>
      <c r="I22" s="1"/>
      <c r="J22" s="563"/>
      <c r="K22" s="564"/>
      <c r="L22" s="565"/>
      <c r="N22" s="83"/>
      <c r="O22" s="83"/>
      <c r="P22" s="83"/>
      <c r="Q22" s="83"/>
      <c r="R22" s="83"/>
    </row>
    <row r="23" spans="2:22" x14ac:dyDescent="0.35">
      <c r="B23" s="563"/>
      <c r="C23" s="564"/>
      <c r="D23" s="565"/>
      <c r="E23" s="1"/>
      <c r="F23" s="563"/>
      <c r="G23" s="564"/>
      <c r="H23" s="565"/>
      <c r="I23" s="1"/>
      <c r="J23" s="563"/>
      <c r="K23" s="564"/>
      <c r="L23" s="565"/>
      <c r="N23" s="83"/>
      <c r="O23" s="83"/>
      <c r="P23" s="83"/>
      <c r="Q23" s="83"/>
      <c r="R23" s="83"/>
    </row>
    <row r="24" spans="2:22" x14ac:dyDescent="0.35">
      <c r="B24" s="563"/>
      <c r="C24" s="564"/>
      <c r="D24" s="565"/>
      <c r="E24" s="1"/>
      <c r="F24" s="563"/>
      <c r="G24" s="564"/>
      <c r="H24" s="565"/>
      <c r="I24" s="1"/>
      <c r="J24" s="563"/>
      <c r="K24" s="564"/>
      <c r="L24" s="565"/>
    </row>
    <row r="25" spans="2:22" x14ac:dyDescent="0.35">
      <c r="B25" s="563"/>
      <c r="C25" s="564"/>
      <c r="D25" s="565"/>
      <c r="E25" s="1"/>
      <c r="F25" s="563"/>
      <c r="G25" s="564"/>
      <c r="H25" s="565"/>
      <c r="I25" s="1"/>
      <c r="J25" s="563"/>
      <c r="K25" s="564"/>
      <c r="L25" s="565"/>
    </row>
    <row r="26" spans="2:22" x14ac:dyDescent="0.35">
      <c r="B26" s="563"/>
      <c r="C26" s="564"/>
      <c r="D26" s="565"/>
      <c r="E26" s="1"/>
      <c r="F26" s="563"/>
      <c r="G26" s="564"/>
      <c r="H26" s="565"/>
      <c r="I26" s="1"/>
      <c r="J26" s="563"/>
      <c r="K26" s="564"/>
      <c r="L26" s="565"/>
    </row>
    <row r="27" spans="2:22" x14ac:dyDescent="0.35">
      <c r="B27" s="563"/>
      <c r="C27" s="564"/>
      <c r="D27" s="565"/>
      <c r="E27" s="1"/>
      <c r="F27" s="563"/>
      <c r="G27" s="564"/>
      <c r="H27" s="565"/>
      <c r="I27" s="1"/>
      <c r="J27" s="563"/>
      <c r="K27" s="564"/>
      <c r="L27" s="565"/>
      <c r="P27" s="41"/>
      <c r="S27" s="41"/>
    </row>
    <row r="28" spans="2:22" x14ac:dyDescent="0.35">
      <c r="B28" s="566"/>
      <c r="C28" s="567"/>
      <c r="D28" s="568"/>
      <c r="E28" s="1"/>
      <c r="F28" s="566"/>
      <c r="G28" s="567"/>
      <c r="H28" s="568"/>
      <c r="I28" s="1"/>
      <c r="J28" s="566"/>
      <c r="K28" s="567"/>
      <c r="L28" s="568"/>
      <c r="T28" s="41"/>
    </row>
    <row r="29" spans="2:22" x14ac:dyDescent="0.35">
      <c r="T29" s="41"/>
    </row>
    <row r="30" spans="2:22" x14ac:dyDescent="0.35">
      <c r="B30" s="572"/>
      <c r="C30" s="570"/>
      <c r="D30" s="571"/>
      <c r="E30" s="1"/>
      <c r="F30" s="572" t="s">
        <v>21</v>
      </c>
      <c r="G30" s="570"/>
      <c r="H30" s="571"/>
      <c r="I30" s="1"/>
      <c r="J30" s="572" t="s">
        <v>19</v>
      </c>
      <c r="K30" s="570"/>
      <c r="L30" s="571"/>
      <c r="S30" s="70"/>
      <c r="T30" s="41"/>
    </row>
    <row r="31" spans="2:22" x14ac:dyDescent="0.35">
      <c r="B31" s="563"/>
      <c r="C31" s="564"/>
      <c r="D31" s="565"/>
      <c r="E31" s="1"/>
      <c r="F31" s="563"/>
      <c r="G31" s="564"/>
      <c r="H31" s="565"/>
      <c r="I31" s="1"/>
      <c r="J31" s="563"/>
      <c r="K31" s="564"/>
      <c r="L31" s="565"/>
    </row>
    <row r="32" spans="2:22" x14ac:dyDescent="0.35">
      <c r="B32" s="563"/>
      <c r="C32" s="564"/>
      <c r="D32" s="565"/>
      <c r="E32" s="1"/>
      <c r="F32" s="563"/>
      <c r="G32" s="564"/>
      <c r="H32" s="565"/>
      <c r="I32" s="1"/>
      <c r="J32" s="563"/>
      <c r="K32" s="564"/>
      <c r="L32" s="565"/>
    </row>
    <row r="33" spans="2:12" x14ac:dyDescent="0.35">
      <c r="B33" s="563"/>
      <c r="C33" s="564"/>
      <c r="D33" s="565"/>
      <c r="E33" s="1"/>
      <c r="F33" s="563"/>
      <c r="G33" s="564"/>
      <c r="H33" s="565"/>
      <c r="I33" s="1"/>
      <c r="J33" s="563"/>
      <c r="K33" s="564"/>
      <c r="L33" s="565"/>
    </row>
    <row r="34" spans="2:12" x14ac:dyDescent="0.35">
      <c r="B34" s="563"/>
      <c r="C34" s="564"/>
      <c r="D34" s="565"/>
      <c r="E34" s="1"/>
      <c r="F34" s="563"/>
      <c r="G34" s="564"/>
      <c r="H34" s="565"/>
      <c r="I34" s="1"/>
      <c r="J34" s="563"/>
      <c r="K34" s="564"/>
      <c r="L34" s="565"/>
    </row>
    <row r="35" spans="2:12" x14ac:dyDescent="0.35">
      <c r="B35" s="563"/>
      <c r="C35" s="564"/>
      <c r="D35" s="565"/>
      <c r="E35" s="1"/>
      <c r="F35" s="563"/>
      <c r="G35" s="564"/>
      <c r="H35" s="565"/>
      <c r="I35" s="1"/>
      <c r="J35" s="563"/>
      <c r="K35" s="564"/>
      <c r="L35" s="565"/>
    </row>
    <row r="36" spans="2:12" x14ac:dyDescent="0.35">
      <c r="B36" s="563"/>
      <c r="C36" s="564"/>
      <c r="D36" s="565"/>
      <c r="E36" s="1"/>
      <c r="F36" s="563"/>
      <c r="G36" s="564"/>
      <c r="H36" s="565"/>
      <c r="I36" s="1"/>
      <c r="J36" s="563"/>
      <c r="K36" s="564"/>
      <c r="L36" s="565"/>
    </row>
    <row r="37" spans="2:12" x14ac:dyDescent="0.35">
      <c r="B37" s="566"/>
      <c r="C37" s="567"/>
      <c r="D37" s="568"/>
      <c r="E37" s="1"/>
      <c r="F37" s="566"/>
      <c r="G37" s="567"/>
      <c r="H37" s="568"/>
      <c r="I37" s="1"/>
      <c r="J37" s="566"/>
      <c r="K37" s="567"/>
      <c r="L37" s="568"/>
    </row>
  </sheetData>
  <sheetProtection selectLockedCells="1"/>
  <mergeCells count="26">
    <mergeCell ref="N12:V12"/>
    <mergeCell ref="N3:V3"/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B30:D30"/>
    <mergeCell ref="F13:H19"/>
    <mergeCell ref="B13:D19"/>
    <mergeCell ref="B4:D10"/>
    <mergeCell ref="B3:D3"/>
    <mergeCell ref="B12:D12"/>
    <mergeCell ref="J3:L3"/>
    <mergeCell ref="J4:L10"/>
    <mergeCell ref="J12:L12"/>
    <mergeCell ref="F3:H3"/>
    <mergeCell ref="F4:H10"/>
    <mergeCell ref="F12:H1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65"/>
  <sheetViews>
    <sheetView topLeftCell="H1" workbookViewId="0">
      <selection activeCell="N10" sqref="N10"/>
    </sheetView>
  </sheetViews>
  <sheetFormatPr defaultRowHeight="14.5" x14ac:dyDescent="0.35"/>
  <cols>
    <col min="1" max="2" width="8.7265625" style="232"/>
    <col min="3" max="3" width="10.1796875" style="232" customWidth="1"/>
    <col min="4" max="5" width="8.7265625" style="232"/>
    <col min="6" max="6" width="10.54296875" style="232" customWidth="1"/>
    <col min="7" max="7" width="9.81640625" style="232" customWidth="1"/>
    <col min="8" max="8" width="8.7265625" style="232"/>
    <col min="9" max="9" width="10.453125" style="232" customWidth="1"/>
    <col min="10" max="12" width="8.7265625" style="232"/>
    <col min="13" max="13" width="10.08984375" style="232" bestFit="1" customWidth="1"/>
    <col min="14" max="14" width="10.453125" style="232" customWidth="1"/>
    <col min="15" max="15" width="4.1796875" style="232" customWidth="1"/>
    <col min="16" max="16" width="8.7265625" style="232"/>
    <col min="17" max="17" width="4.08984375" style="232" customWidth="1"/>
    <col min="18" max="16384" width="8.7265625" style="232"/>
  </cols>
  <sheetData>
    <row r="3" spans="3:14" x14ac:dyDescent="0.35">
      <c r="C3" s="576" t="s">
        <v>222</v>
      </c>
      <c r="D3" s="576"/>
      <c r="F3" s="577" t="s">
        <v>251</v>
      </c>
      <c r="G3" s="577"/>
      <c r="H3" s="577"/>
      <c r="M3" s="577" t="s">
        <v>223</v>
      </c>
      <c r="N3" s="577"/>
    </row>
    <row r="5" spans="3:14" x14ac:dyDescent="0.35">
      <c r="C5" s="233">
        <v>450</v>
      </c>
      <c r="D5" s="234" t="s">
        <v>161</v>
      </c>
      <c r="G5" s="235" t="s">
        <v>228</v>
      </c>
      <c r="I5" s="235" t="s">
        <v>229</v>
      </c>
      <c r="M5" s="258" t="s">
        <v>453</v>
      </c>
      <c r="N5" s="252">
        <v>40</v>
      </c>
    </row>
    <row r="6" spans="3:14" x14ac:dyDescent="0.35">
      <c r="C6" s="236" t="s">
        <v>131</v>
      </c>
      <c r="D6" s="236" t="s">
        <v>221</v>
      </c>
      <c r="F6" s="237" t="s">
        <v>479</v>
      </c>
      <c r="G6" s="238">
        <v>0.433</v>
      </c>
      <c r="H6" s="239">
        <f>G6*60</f>
        <v>25.98</v>
      </c>
      <c r="I6" s="238">
        <v>0.05</v>
      </c>
      <c r="J6" s="240">
        <f>I6*60</f>
        <v>3</v>
      </c>
      <c r="M6" s="258" t="s">
        <v>446</v>
      </c>
      <c r="N6" s="252">
        <v>15</v>
      </c>
    </row>
    <row r="7" spans="3:14" x14ac:dyDescent="0.35">
      <c r="C7" s="242">
        <f>(D7/$C$5)/24</f>
        <v>4.6296296296296294E-5</v>
      </c>
      <c r="D7" s="243">
        <v>0.5</v>
      </c>
      <c r="F7" s="237" t="s">
        <v>480</v>
      </c>
      <c r="G7" s="244">
        <v>9</v>
      </c>
      <c r="H7" s="245">
        <f>G7/60</f>
        <v>0.15</v>
      </c>
      <c r="I7" s="244">
        <v>49</v>
      </c>
      <c r="J7" s="246">
        <f>I7/60</f>
        <v>0.81666666666666665</v>
      </c>
      <c r="M7" s="259" t="s">
        <v>448</v>
      </c>
      <c r="N7" s="252">
        <v>500</v>
      </c>
    </row>
    <row r="8" spans="3:14" x14ac:dyDescent="0.35">
      <c r="C8" s="242">
        <f t="shared" ref="C8:C21" si="0">(D8/$C$5)/24</f>
        <v>9.2592592592592588E-5</v>
      </c>
      <c r="D8" s="243">
        <v>1</v>
      </c>
      <c r="F8" s="247"/>
      <c r="G8" s="241"/>
      <c r="M8" s="260" t="s">
        <v>451</v>
      </c>
      <c r="N8" s="252">
        <v>5</v>
      </c>
    </row>
    <row r="9" spans="3:14" x14ac:dyDescent="0.35">
      <c r="C9" s="242">
        <f t="shared" si="0"/>
        <v>4.6296296296296298E-4</v>
      </c>
      <c r="D9" s="243">
        <v>5</v>
      </c>
      <c r="M9" s="259" t="s">
        <v>462</v>
      </c>
      <c r="N9" s="252">
        <v>2600</v>
      </c>
    </row>
    <row r="10" spans="3:14" x14ac:dyDescent="0.35">
      <c r="C10" s="242">
        <f t="shared" si="0"/>
        <v>5.0925925925925932E-4</v>
      </c>
      <c r="D10" s="243">
        <v>5.5</v>
      </c>
      <c r="F10" s="576" t="s">
        <v>253</v>
      </c>
      <c r="G10" s="576"/>
      <c r="I10" s="248"/>
      <c r="M10" s="258" t="s">
        <v>455</v>
      </c>
      <c r="N10" s="252">
        <v>3399</v>
      </c>
    </row>
    <row r="11" spans="3:14" x14ac:dyDescent="0.35">
      <c r="C11" s="242">
        <f t="shared" si="0"/>
        <v>5.5555555555555556E-4</v>
      </c>
      <c r="D11" s="243">
        <v>6</v>
      </c>
      <c r="M11" s="257"/>
    </row>
    <row r="12" spans="3:14" x14ac:dyDescent="0.35">
      <c r="C12" s="242">
        <f t="shared" si="0"/>
        <v>6.0185185185185179E-4</v>
      </c>
      <c r="D12" s="243">
        <v>6.5</v>
      </c>
      <c r="F12" s="236" t="s">
        <v>254</v>
      </c>
      <c r="G12" s="236" t="s">
        <v>255</v>
      </c>
    </row>
    <row r="13" spans="3:14" x14ac:dyDescent="0.35">
      <c r="C13" s="242">
        <f t="shared" si="0"/>
        <v>6.4814814814814813E-4</v>
      </c>
      <c r="D13" s="243">
        <v>7</v>
      </c>
      <c r="F13" s="249">
        <v>55</v>
      </c>
      <c r="G13" s="250">
        <f>IF(F13&gt;63,F13-63,F13+63)</f>
        <v>118</v>
      </c>
      <c r="M13" s="261" t="s">
        <v>461</v>
      </c>
      <c r="N13" s="253">
        <f>(N29*60)/N27</f>
        <v>13200</v>
      </c>
    </row>
    <row r="14" spans="3:14" x14ac:dyDescent="0.35">
      <c r="C14" s="242">
        <f t="shared" si="0"/>
        <v>6.9444444444444447E-4</v>
      </c>
      <c r="D14" s="243">
        <v>7.5</v>
      </c>
    </row>
    <row r="15" spans="3:14" x14ac:dyDescent="0.35">
      <c r="C15" s="242">
        <f t="shared" si="0"/>
        <v>7.407407407407407E-4</v>
      </c>
      <c r="D15" s="243">
        <v>8</v>
      </c>
      <c r="M15" s="257" t="s">
        <v>457</v>
      </c>
      <c r="N15" s="253">
        <f>N27*2</f>
        <v>40</v>
      </c>
    </row>
    <row r="16" spans="3:14" x14ac:dyDescent="0.35">
      <c r="C16" s="242">
        <f t="shared" si="0"/>
        <v>7.8703703703703705E-4</v>
      </c>
      <c r="D16" s="243">
        <v>8.5</v>
      </c>
      <c r="H16" s="251"/>
    </row>
    <row r="17" spans="3:17" x14ac:dyDescent="0.35">
      <c r="C17" s="242">
        <f t="shared" si="0"/>
        <v>8.3333333333333339E-4</v>
      </c>
      <c r="D17" s="243">
        <v>9</v>
      </c>
      <c r="M17" s="261" t="s">
        <v>463</v>
      </c>
      <c r="N17" s="253">
        <f>((N7*1.69)^2)/(32.2*3.5)</f>
        <v>6335.6255545696531</v>
      </c>
    </row>
    <row r="18" spans="3:17" x14ac:dyDescent="0.35">
      <c r="C18" s="242">
        <f t="shared" si="0"/>
        <v>8.7962962962962962E-4</v>
      </c>
      <c r="D18" s="243">
        <v>9.5</v>
      </c>
      <c r="M18" s="257" t="s">
        <v>458</v>
      </c>
      <c r="N18" s="253">
        <f>N9+N19</f>
        <v>3693.5104655581499</v>
      </c>
    </row>
    <row r="19" spans="3:17" x14ac:dyDescent="0.35">
      <c r="C19" s="242"/>
      <c r="D19" s="243"/>
      <c r="M19" s="257" t="s">
        <v>456</v>
      </c>
      <c r="N19" s="253">
        <f>N7*SIN(RADIANS(N6))*1.69*N8</f>
        <v>1093.5104655581501</v>
      </c>
    </row>
    <row r="20" spans="3:17" x14ac:dyDescent="0.35">
      <c r="C20" s="242"/>
      <c r="D20" s="243"/>
      <c r="M20" s="261" t="s">
        <v>449</v>
      </c>
      <c r="N20" s="253">
        <f>N7*COS(RADIANS(N6))</f>
        <v>482.96291314453418</v>
      </c>
    </row>
    <row r="21" spans="3:17" x14ac:dyDescent="0.35">
      <c r="C21" s="242">
        <f t="shared" si="0"/>
        <v>9.2592592592592596E-4</v>
      </c>
      <c r="D21" s="243">
        <v>10</v>
      </c>
      <c r="M21" s="261" t="s">
        <v>452</v>
      </c>
      <c r="N21" s="253">
        <f>N20*1.69*N8</f>
        <v>4081.0366160713138</v>
      </c>
    </row>
    <row r="26" spans="3:17" x14ac:dyDescent="0.35">
      <c r="M26" s="257" t="s">
        <v>447</v>
      </c>
      <c r="N26" s="253">
        <f>ROUND(N21+N10,-1)</f>
        <v>7480</v>
      </c>
      <c r="O26" s="232" t="s">
        <v>481</v>
      </c>
      <c r="P26" s="262">
        <f>N26/6076</f>
        <v>1.2310730743910467</v>
      </c>
      <c r="Q26" s="232" t="s">
        <v>221</v>
      </c>
    </row>
    <row r="27" spans="3:17" x14ac:dyDescent="0.35">
      <c r="M27" s="257" t="s">
        <v>450</v>
      </c>
      <c r="N27" s="253">
        <f>IF(N6&lt;=15,N6+5,N6+10)</f>
        <v>20</v>
      </c>
    </row>
    <row r="28" spans="3:17" x14ac:dyDescent="0.35">
      <c r="M28" s="261" t="s">
        <v>460</v>
      </c>
      <c r="N28" s="253">
        <f>N29-(N27*50)</f>
        <v>3400</v>
      </c>
      <c r="O28" s="232" t="s">
        <v>481</v>
      </c>
    </row>
    <row r="29" spans="3:17" x14ac:dyDescent="0.35">
      <c r="M29" s="257" t="s">
        <v>459</v>
      </c>
      <c r="N29" s="253">
        <f>ROUND(N18+(N6*50),-2)</f>
        <v>4400</v>
      </c>
      <c r="O29" s="232" t="s">
        <v>481</v>
      </c>
    </row>
    <row r="30" spans="3:17" x14ac:dyDescent="0.35">
      <c r="M30" s="257" t="s">
        <v>454</v>
      </c>
      <c r="N30" s="253">
        <f>N9/TAN(RADIANS(N6))-N10</f>
        <v>6304.3320996790808</v>
      </c>
      <c r="O30" s="232" t="s">
        <v>481</v>
      </c>
      <c r="P30" s="262">
        <f>N30/6076</f>
        <v>1.0375793449109745</v>
      </c>
      <c r="Q30" s="232" t="s">
        <v>221</v>
      </c>
    </row>
    <row r="37" spans="6:7" x14ac:dyDescent="0.35">
      <c r="F37" s="256"/>
    </row>
    <row r="39" spans="6:7" x14ac:dyDescent="0.35">
      <c r="G39" s="256"/>
    </row>
    <row r="52" spans="6:9" x14ac:dyDescent="0.35">
      <c r="F52" s="241"/>
    </row>
    <row r="53" spans="6:9" x14ac:dyDescent="0.35">
      <c r="F53" s="241"/>
    </row>
    <row r="54" spans="6:9" x14ac:dyDescent="0.35">
      <c r="F54" s="241"/>
    </row>
    <row r="61" spans="6:9" x14ac:dyDescent="0.35">
      <c r="I61" s="254"/>
    </row>
    <row r="62" spans="6:9" x14ac:dyDescent="0.35">
      <c r="I62" s="254"/>
    </row>
    <row r="63" spans="6:9" x14ac:dyDescent="0.35">
      <c r="I63" s="255"/>
    </row>
    <row r="64" spans="6:9" x14ac:dyDescent="0.35">
      <c r="I64" s="255"/>
    </row>
    <row r="65" spans="7:9" x14ac:dyDescent="0.35">
      <c r="G65" s="254"/>
      <c r="I65" s="255"/>
    </row>
  </sheetData>
  <mergeCells count="4">
    <mergeCell ref="C3:D3"/>
    <mergeCell ref="F3:H3"/>
    <mergeCell ref="F10:G10"/>
    <mergeCell ref="M3:N3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E13" sqref="E13"/>
    </sheetView>
  </sheetViews>
  <sheetFormatPr defaultRowHeight="14.5" x14ac:dyDescent="0.35"/>
  <sheetData>
    <row r="2" spans="2:6" x14ac:dyDescent="0.35">
      <c r="B2" s="198" t="s">
        <v>409</v>
      </c>
      <c r="E2" s="198" t="s">
        <v>413</v>
      </c>
    </row>
    <row r="3" spans="2:6" x14ac:dyDescent="0.35">
      <c r="B3" t="s">
        <v>410</v>
      </c>
      <c r="E3" s="8" t="s">
        <v>414</v>
      </c>
      <c r="F3" t="s">
        <v>415</v>
      </c>
    </row>
    <row r="4" spans="2:6" x14ac:dyDescent="0.35">
      <c r="B4" t="s">
        <v>411</v>
      </c>
      <c r="E4" s="8" t="s">
        <v>416</v>
      </c>
      <c r="F4" t="s">
        <v>417</v>
      </c>
    </row>
    <row r="5" spans="2:6" x14ac:dyDescent="0.35">
      <c r="B5" t="s">
        <v>351</v>
      </c>
    </row>
    <row r="6" spans="2:6" x14ac:dyDescent="0.35">
      <c r="B6" t="s">
        <v>412</v>
      </c>
      <c r="E6" s="198" t="s">
        <v>406</v>
      </c>
    </row>
    <row r="7" spans="2:6" x14ac:dyDescent="0.35">
      <c r="E7" s="8" t="s">
        <v>430</v>
      </c>
      <c r="F7" s="41" t="s">
        <v>434</v>
      </c>
    </row>
    <row r="8" spans="2:6" x14ac:dyDescent="0.35">
      <c r="E8" s="8" t="s">
        <v>431</v>
      </c>
      <c r="F8" s="41" t="s">
        <v>435</v>
      </c>
    </row>
    <row r="9" spans="2:6" x14ac:dyDescent="0.35">
      <c r="E9" s="8" t="s">
        <v>432</v>
      </c>
      <c r="F9" s="41" t="s">
        <v>436</v>
      </c>
    </row>
    <row r="10" spans="2:6" x14ac:dyDescent="0.35">
      <c r="E10" s="8" t="s">
        <v>433</v>
      </c>
      <c r="F10" s="41" t="s">
        <v>437</v>
      </c>
    </row>
    <row r="11" spans="2:6" x14ac:dyDescent="0.35">
      <c r="E11" s="8" t="s">
        <v>438</v>
      </c>
      <c r="F11" s="41" t="s">
        <v>439</v>
      </c>
    </row>
    <row r="12" spans="2:6" x14ac:dyDescent="0.35">
      <c r="E12" s="8" t="s">
        <v>441</v>
      </c>
      <c r="F12" s="41" t="s">
        <v>442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16" sqref="G16"/>
    </sheetView>
  </sheetViews>
  <sheetFormatPr defaultRowHeight="14.5" x14ac:dyDescent="0.35"/>
  <cols>
    <col min="1" max="1" width="12" bestFit="1" customWidth="1"/>
    <col min="3" max="3" width="11.1796875" bestFit="1" customWidth="1"/>
    <col min="5" max="5" width="18.81640625" bestFit="1" customWidth="1"/>
    <col min="6" max="6" width="15" bestFit="1" customWidth="1"/>
    <col min="7" max="7" width="10" bestFit="1" customWidth="1"/>
    <col min="8" max="8" width="14.81640625" bestFit="1" customWidth="1"/>
  </cols>
  <sheetData>
    <row r="1" spans="1:8" x14ac:dyDescent="0.35">
      <c r="A1" s="71" t="s">
        <v>164</v>
      </c>
      <c r="B1" s="71" t="s">
        <v>165</v>
      </c>
      <c r="C1" s="8" t="s">
        <v>174</v>
      </c>
      <c r="D1" s="71" t="s">
        <v>179</v>
      </c>
      <c r="E1" s="71" t="s">
        <v>211</v>
      </c>
      <c r="F1" s="71" t="s">
        <v>194</v>
      </c>
      <c r="G1" s="71" t="s">
        <v>198</v>
      </c>
      <c r="H1" s="71" t="s">
        <v>202</v>
      </c>
    </row>
    <row r="2" spans="1:8" x14ac:dyDescent="0.35">
      <c r="A2" s="41" t="s">
        <v>167</v>
      </c>
      <c r="B2" s="72">
        <v>355</v>
      </c>
      <c r="C2" s="41" t="s">
        <v>275</v>
      </c>
      <c r="D2" s="73" t="s">
        <v>182</v>
      </c>
      <c r="E2" s="41" t="s">
        <v>192</v>
      </c>
      <c r="F2" s="39" t="s">
        <v>136</v>
      </c>
      <c r="G2" s="41" t="s">
        <v>114</v>
      </c>
      <c r="H2" s="41" t="s">
        <v>114</v>
      </c>
    </row>
    <row r="3" spans="1:8" x14ac:dyDescent="0.35">
      <c r="A3" s="41" t="s">
        <v>144</v>
      </c>
      <c r="B3" s="73">
        <v>550</v>
      </c>
      <c r="C3" s="41" t="s">
        <v>277</v>
      </c>
      <c r="D3" s="73" t="s">
        <v>180</v>
      </c>
      <c r="E3" s="41" t="s">
        <v>193</v>
      </c>
      <c r="F3" s="39" t="s">
        <v>195</v>
      </c>
      <c r="G3" s="41" t="s">
        <v>148</v>
      </c>
      <c r="H3" s="41" t="s">
        <v>226</v>
      </c>
    </row>
    <row r="4" spans="1:8" x14ac:dyDescent="0.35">
      <c r="A4" s="41" t="s">
        <v>168</v>
      </c>
      <c r="B4" s="72">
        <v>52</v>
      </c>
      <c r="C4" s="41" t="s">
        <v>276</v>
      </c>
      <c r="D4" s="73" t="s">
        <v>137</v>
      </c>
      <c r="E4" s="41" t="s">
        <v>146</v>
      </c>
      <c r="F4" s="39" t="s">
        <v>197</v>
      </c>
      <c r="G4" s="41" t="s">
        <v>219</v>
      </c>
      <c r="H4" s="41" t="s">
        <v>270</v>
      </c>
    </row>
    <row r="5" spans="1:8" x14ac:dyDescent="0.35">
      <c r="A5" s="41" t="s">
        <v>172</v>
      </c>
      <c r="B5" s="6">
        <v>53</v>
      </c>
      <c r="C5" s="41" t="s">
        <v>278</v>
      </c>
      <c r="D5" s="73" t="s">
        <v>181</v>
      </c>
      <c r="E5" s="41" t="s">
        <v>257</v>
      </c>
      <c r="F5" s="39" t="s">
        <v>196</v>
      </c>
      <c r="G5" s="41" t="s">
        <v>153</v>
      </c>
      <c r="H5" s="41" t="s">
        <v>204</v>
      </c>
    </row>
    <row r="6" spans="1:8" x14ac:dyDescent="0.35">
      <c r="A6" s="41" t="s">
        <v>169</v>
      </c>
      <c r="B6" s="72">
        <v>54</v>
      </c>
      <c r="C6" s="41" t="s">
        <v>281</v>
      </c>
      <c r="D6" s="6"/>
      <c r="E6" s="41" t="s">
        <v>210</v>
      </c>
      <c r="G6" s="41" t="s">
        <v>200</v>
      </c>
      <c r="H6" s="41" t="s">
        <v>207</v>
      </c>
    </row>
    <row r="7" spans="1:8" x14ac:dyDescent="0.35">
      <c r="A7" s="41" t="s">
        <v>173</v>
      </c>
      <c r="B7" s="6">
        <v>55</v>
      </c>
      <c r="C7" s="41" t="s">
        <v>280</v>
      </c>
      <c r="D7" s="6"/>
      <c r="E7" s="41" t="s">
        <v>209</v>
      </c>
      <c r="G7" s="41" t="s">
        <v>201</v>
      </c>
      <c r="H7" s="41" t="s">
        <v>203</v>
      </c>
    </row>
    <row r="8" spans="1:8" x14ac:dyDescent="0.35">
      <c r="A8" s="41" t="s">
        <v>145</v>
      </c>
      <c r="B8" s="72">
        <v>56</v>
      </c>
      <c r="C8" s="41" t="s">
        <v>282</v>
      </c>
      <c r="D8" s="6"/>
      <c r="E8" s="41" t="s">
        <v>233</v>
      </c>
      <c r="G8" s="41" t="s">
        <v>155</v>
      </c>
      <c r="H8" s="41" t="s">
        <v>180</v>
      </c>
    </row>
    <row r="9" spans="1:8" x14ac:dyDescent="0.35">
      <c r="A9" s="41" t="s">
        <v>171</v>
      </c>
      <c r="B9" s="6">
        <v>57</v>
      </c>
      <c r="C9" s="41" t="s">
        <v>283</v>
      </c>
      <c r="D9" s="6"/>
      <c r="E9" s="41" t="s">
        <v>234</v>
      </c>
      <c r="G9" s="41" t="s">
        <v>160</v>
      </c>
      <c r="H9" s="41" t="s">
        <v>205</v>
      </c>
    </row>
    <row r="10" spans="1:8" x14ac:dyDescent="0.35">
      <c r="A10" s="41" t="s">
        <v>170</v>
      </c>
      <c r="B10" s="6">
        <v>58</v>
      </c>
      <c r="C10" s="41" t="s">
        <v>279</v>
      </c>
      <c r="D10" s="6"/>
      <c r="E10" s="41" t="s">
        <v>239</v>
      </c>
      <c r="G10" s="41" t="s">
        <v>256</v>
      </c>
      <c r="H10" s="41" t="s">
        <v>158</v>
      </c>
    </row>
    <row r="11" spans="1:8" x14ac:dyDescent="0.35">
      <c r="A11" s="41" t="s">
        <v>175</v>
      </c>
      <c r="B11" s="6">
        <v>59</v>
      </c>
      <c r="C11" s="41" t="s">
        <v>284</v>
      </c>
      <c r="D11" s="6"/>
      <c r="E11" s="41" t="s">
        <v>269</v>
      </c>
      <c r="G11" s="41" t="s">
        <v>151</v>
      </c>
      <c r="H11" s="41" t="s">
        <v>240</v>
      </c>
    </row>
    <row r="12" spans="1:8" x14ac:dyDescent="0.35">
      <c r="A12" s="41" t="s">
        <v>166</v>
      </c>
      <c r="B12" s="72">
        <v>60</v>
      </c>
      <c r="C12" s="41" t="s">
        <v>285</v>
      </c>
      <c r="D12" s="6"/>
      <c r="E12" s="41" t="s">
        <v>154</v>
      </c>
      <c r="G12" s="41" t="s">
        <v>271</v>
      </c>
      <c r="H12" s="41" t="s">
        <v>159</v>
      </c>
    </row>
    <row r="13" spans="1:8" x14ac:dyDescent="0.35">
      <c r="A13" s="41" t="s">
        <v>176</v>
      </c>
      <c r="B13" s="6">
        <v>61</v>
      </c>
      <c r="C13" s="41" t="s">
        <v>286</v>
      </c>
      <c r="D13" s="6"/>
      <c r="E13" s="41" t="s">
        <v>259</v>
      </c>
      <c r="G13" s="41" t="s">
        <v>292</v>
      </c>
      <c r="H13" s="41" t="s">
        <v>206</v>
      </c>
    </row>
    <row r="14" spans="1:8" x14ac:dyDescent="0.35">
      <c r="A14" s="41" t="s">
        <v>177</v>
      </c>
      <c r="B14" s="6">
        <v>62</v>
      </c>
      <c r="C14" s="41" t="s">
        <v>287</v>
      </c>
      <c r="D14" s="6"/>
      <c r="E14" s="41" t="s">
        <v>274</v>
      </c>
      <c r="G14" s="41" t="s">
        <v>293</v>
      </c>
      <c r="H14" s="41" t="s">
        <v>208</v>
      </c>
    </row>
    <row r="15" spans="1:8" x14ac:dyDescent="0.35">
      <c r="A15" s="41" t="s">
        <v>178</v>
      </c>
      <c r="B15" s="6">
        <v>63</v>
      </c>
      <c r="C15" s="41" t="s">
        <v>288</v>
      </c>
      <c r="D15" s="6"/>
      <c r="E15" s="41" t="s">
        <v>291</v>
      </c>
      <c r="G15" s="41" t="s">
        <v>294</v>
      </c>
      <c r="H15" s="41" t="s">
        <v>137</v>
      </c>
    </row>
    <row r="16" spans="1:8" x14ac:dyDescent="0.35">
      <c r="B16" s="6"/>
      <c r="C16" s="41" t="s">
        <v>289</v>
      </c>
      <c r="D16" s="6"/>
      <c r="E16" s="41" t="s">
        <v>187</v>
      </c>
      <c r="G16" s="41" t="s">
        <v>199</v>
      </c>
      <c r="H16" s="41" t="s">
        <v>155</v>
      </c>
    </row>
    <row r="17" spans="2:8" x14ac:dyDescent="0.35">
      <c r="B17" s="6"/>
      <c r="C17" s="41" t="s">
        <v>290</v>
      </c>
      <c r="D17" s="6"/>
      <c r="E17" s="41" t="s">
        <v>235</v>
      </c>
      <c r="H17" s="41" t="s">
        <v>149</v>
      </c>
    </row>
    <row r="18" spans="2:8" x14ac:dyDescent="0.35">
      <c r="E18" s="41" t="s">
        <v>236</v>
      </c>
      <c r="H18" s="41" t="s">
        <v>181</v>
      </c>
    </row>
    <row r="19" spans="2:8" x14ac:dyDescent="0.35">
      <c r="E19" s="41" t="s">
        <v>227</v>
      </c>
    </row>
    <row r="20" spans="2:8" x14ac:dyDescent="0.35">
      <c r="E20" s="41" t="s">
        <v>225</v>
      </c>
    </row>
    <row r="21" spans="2:8" x14ac:dyDescent="0.35">
      <c r="E21" s="41" t="s">
        <v>183</v>
      </c>
    </row>
    <row r="22" spans="2:8" x14ac:dyDescent="0.35">
      <c r="E22" s="41" t="s">
        <v>184</v>
      </c>
    </row>
    <row r="23" spans="2:8" x14ac:dyDescent="0.35">
      <c r="E23" s="41" t="s">
        <v>188</v>
      </c>
    </row>
    <row r="24" spans="2:8" x14ac:dyDescent="0.35">
      <c r="E24" s="41" t="s">
        <v>191</v>
      </c>
    </row>
    <row r="25" spans="2:8" x14ac:dyDescent="0.35">
      <c r="E25" s="41" t="s">
        <v>258</v>
      </c>
    </row>
    <row r="26" spans="2:8" x14ac:dyDescent="0.35">
      <c r="E26" s="41" t="s">
        <v>152</v>
      </c>
    </row>
    <row r="27" spans="2:8" x14ac:dyDescent="0.35">
      <c r="E27" s="41" t="s">
        <v>157</v>
      </c>
    </row>
    <row r="28" spans="2:8" x14ac:dyDescent="0.35">
      <c r="E28" s="41" t="s">
        <v>156</v>
      </c>
    </row>
    <row r="29" spans="2:8" x14ac:dyDescent="0.35">
      <c r="E29" s="41" t="s">
        <v>185</v>
      </c>
    </row>
    <row r="30" spans="2:8" x14ac:dyDescent="0.35">
      <c r="E30" s="41" t="s">
        <v>186</v>
      </c>
    </row>
    <row r="31" spans="2:8" x14ac:dyDescent="0.35">
      <c r="E31" s="41" t="s">
        <v>237</v>
      </c>
    </row>
    <row r="32" spans="2:8" x14ac:dyDescent="0.35">
      <c r="E32" s="41" t="s">
        <v>238</v>
      </c>
    </row>
    <row r="33" spans="5:5" x14ac:dyDescent="0.35">
      <c r="E33" s="41" t="s">
        <v>189</v>
      </c>
    </row>
    <row r="34" spans="5:5" x14ac:dyDescent="0.35">
      <c r="E34" s="41" t="s">
        <v>190</v>
      </c>
    </row>
    <row r="35" spans="5:5" x14ac:dyDescent="0.35">
      <c r="E35" s="41" t="s">
        <v>147</v>
      </c>
    </row>
    <row r="36" spans="5:5" x14ac:dyDescent="0.35">
      <c r="E36" s="41" t="s">
        <v>150</v>
      </c>
    </row>
    <row r="37" spans="5:5" x14ac:dyDescent="0.35">
      <c r="E37" s="41" t="s">
        <v>132</v>
      </c>
    </row>
  </sheetData>
  <sortState ref="E2:E37">
    <sortCondition ref="E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MDC</vt:lpstr>
      <vt:lpstr>ROUTE</vt:lpstr>
      <vt:lpstr>Fuel</vt:lpstr>
      <vt:lpstr>Weight</vt:lpstr>
      <vt:lpstr>COMMS</vt:lpstr>
      <vt:lpstr>OBJECTS</vt:lpstr>
      <vt:lpstr>CALCULATORS</vt:lpstr>
      <vt:lpstr>REF</vt:lpstr>
      <vt:lpstr>DATA Validation</vt:lpstr>
      <vt:lpstr>COMMS!Print_Area</vt:lpstr>
      <vt:lpstr>MDC!Print_Area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2020-03-24T23:47:25Z</cp:lastPrinted>
  <dcterms:created xsi:type="dcterms:W3CDTF">2018-07-16T16:39:08Z</dcterms:created>
  <dcterms:modified xsi:type="dcterms:W3CDTF">2020-07-06T22:49:45Z</dcterms:modified>
</cp:coreProperties>
</file>