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Robert\Documents\DCS\CSG-1\Missions\FUN MAP\"/>
    </mc:Choice>
  </mc:AlternateContent>
  <bookViews>
    <workbookView xWindow="0" yWindow="0" windowWidth="22260" windowHeight="11430"/>
  </bookViews>
  <sheets>
    <sheet name="MISSION CARDS VMA" sheetId="6" r:id="rId1"/>
    <sheet name="ROUTE" sheetId="9" r:id="rId2"/>
    <sheet name="Fuel Planning" sheetId="7" r:id="rId3"/>
    <sheet name="Weight Planning" sheetId="8" r:id="rId4"/>
    <sheet name="OBJECTS" sheetId="5" r:id="rId5"/>
    <sheet name="CALCULATORS" sheetId="12" r:id="rId6"/>
    <sheet name="DATA Validation" sheetId="11" r:id="rId7"/>
  </sheets>
  <definedNames>
    <definedName name="_xlnm.Print_Area" localSheetId="0">'MISSION CARDS VMA'!$A$1:$R$51</definedName>
    <definedName name="_xlnm.Print_Area" localSheetId="1">ROUTE!$A$1:$O$25</definedName>
  </definedNames>
  <calcPr calcId="152511"/>
</workbook>
</file>

<file path=xl/calcChain.xml><?xml version="1.0" encoding="utf-8"?>
<calcChain xmlns="http://schemas.openxmlformats.org/spreadsheetml/2006/main">
  <c r="W10" i="6" l="1"/>
  <c r="F14" i="12" l="1"/>
  <c r="F10" i="12"/>
  <c r="F8" i="12"/>
  <c r="C20" i="12"/>
  <c r="C21" i="12"/>
  <c r="C22" i="12"/>
  <c r="C23" i="12"/>
  <c r="C24" i="12"/>
  <c r="C25" i="12"/>
  <c r="C26" i="12"/>
  <c r="C17" i="12"/>
  <c r="C18" i="12"/>
  <c r="C19" i="12"/>
  <c r="C8" i="12"/>
  <c r="C9" i="12"/>
  <c r="C10" i="12"/>
  <c r="C11" i="12"/>
  <c r="C12" i="12"/>
  <c r="C13" i="12"/>
  <c r="C14" i="12"/>
  <c r="C15" i="12"/>
  <c r="C16" i="12"/>
  <c r="C7" i="12"/>
  <c r="I10" i="9" l="1"/>
  <c r="I11" i="9"/>
  <c r="I12" i="9"/>
  <c r="I13" i="9"/>
  <c r="I14" i="9"/>
  <c r="I16" i="9"/>
  <c r="I21" i="9"/>
  <c r="N22" i="9"/>
  <c r="H21" i="9"/>
  <c r="L21" i="9" s="1"/>
  <c r="O21" i="9" l="1"/>
  <c r="M21" i="9"/>
  <c r="H3" i="9"/>
  <c r="H2" i="9"/>
  <c r="I2" i="9" s="1"/>
  <c r="I3" i="9" l="1"/>
  <c r="L3" i="9"/>
  <c r="L2" i="9"/>
  <c r="O2" i="9" s="1"/>
  <c r="G10" i="7" l="1"/>
  <c r="G9" i="7"/>
  <c r="C23" i="7" l="1"/>
  <c r="O4" i="6"/>
  <c r="H20" i="9" l="1"/>
  <c r="H19" i="9"/>
  <c r="H18" i="9"/>
  <c r="H17" i="9"/>
  <c r="H15" i="9"/>
  <c r="H9" i="9"/>
  <c r="H8" i="9"/>
  <c r="H7" i="9"/>
  <c r="H6" i="9"/>
  <c r="H5" i="9"/>
  <c r="H4" i="9"/>
  <c r="I4" i="9" l="1"/>
  <c r="I5" i="9" s="1"/>
  <c r="I6" i="9" s="1"/>
  <c r="I7" i="9" s="1"/>
  <c r="I8" i="9" s="1"/>
  <c r="I9" i="9" s="1"/>
  <c r="I15" i="9" s="1"/>
  <c r="I17" i="9" s="1"/>
  <c r="I18" i="9" s="1"/>
  <c r="I19" i="9" s="1"/>
  <c r="H25" i="9"/>
  <c r="I20" i="9"/>
  <c r="L4" i="9"/>
  <c r="L7" i="9"/>
  <c r="L8" i="9"/>
  <c r="L9" i="9"/>
  <c r="L6" i="9"/>
  <c r="L20" i="9"/>
  <c r="L5" i="9"/>
  <c r="L19" i="9"/>
  <c r="L18" i="9"/>
  <c r="L17" i="9"/>
  <c r="L15" i="9"/>
  <c r="E22" i="9"/>
  <c r="L22" i="9" l="1"/>
  <c r="H22" i="9"/>
  <c r="I12" i="8"/>
  <c r="E7" i="8"/>
  <c r="C18" i="7" l="1"/>
  <c r="L24" i="9"/>
  <c r="M2" i="9" s="1"/>
  <c r="M3" i="9" s="1"/>
  <c r="M4" i="9" s="1"/>
  <c r="M5" i="9" s="1"/>
  <c r="M6" i="9" s="1"/>
  <c r="M7" i="9" s="1"/>
  <c r="M8" i="9" s="1"/>
  <c r="M9" i="9" s="1"/>
  <c r="C27" i="7"/>
  <c r="C15" i="7"/>
  <c r="O7" i="6" s="1"/>
  <c r="C24" i="7" l="1"/>
  <c r="C20" i="7"/>
  <c r="C16" i="7"/>
  <c r="O6" i="6" s="1"/>
  <c r="O3" i="9" l="1"/>
  <c r="C17" i="7"/>
  <c r="O5" i="6" s="1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6" i="8"/>
  <c r="E26" i="8"/>
  <c r="F25" i="8"/>
  <c r="E25" i="8"/>
  <c r="F24" i="8"/>
  <c r="E24" i="8"/>
  <c r="F23" i="8"/>
  <c r="E23" i="8"/>
  <c r="F19" i="8"/>
  <c r="E19" i="8"/>
  <c r="F18" i="8"/>
  <c r="E18" i="8"/>
  <c r="F17" i="8"/>
  <c r="E17" i="8"/>
  <c r="F16" i="8"/>
  <c r="E16" i="8"/>
  <c r="F12" i="8"/>
  <c r="F13" i="8" s="1"/>
  <c r="E12" i="8"/>
  <c r="E13" i="8" s="1"/>
  <c r="E8" i="8"/>
  <c r="E9" i="8" s="1"/>
  <c r="O4" i="9" l="1"/>
  <c r="F52" i="8"/>
  <c r="E20" i="8"/>
  <c r="F20" i="8"/>
  <c r="E27" i="8"/>
  <c r="F27" i="8"/>
  <c r="F38" i="8"/>
  <c r="E62" i="8"/>
  <c r="F62" i="8"/>
  <c r="E52" i="8"/>
  <c r="E38" i="8"/>
  <c r="O5" i="9" l="1"/>
  <c r="H6" i="8"/>
  <c r="I9" i="8" s="1"/>
  <c r="O6" i="9" l="1"/>
  <c r="C25" i="7"/>
  <c r="O7" i="9" l="1"/>
  <c r="M15" i="9"/>
  <c r="O8" i="9"/>
  <c r="M17" i="9" l="1"/>
  <c r="O9" i="9"/>
  <c r="M18" i="9" l="1"/>
  <c r="O15" i="9"/>
  <c r="M19" i="9" l="1"/>
  <c r="O17" i="9"/>
  <c r="M20" i="9" l="1"/>
  <c r="O18" i="9"/>
  <c r="O19" i="9" l="1"/>
  <c r="O20" i="9" l="1"/>
</calcChain>
</file>

<file path=xl/sharedStrings.xml><?xml version="1.0" encoding="utf-8"?>
<sst xmlns="http://schemas.openxmlformats.org/spreadsheetml/2006/main" count="320" uniqueCount="275">
  <si>
    <t>MISSION DATA CARD</t>
  </si>
  <si>
    <t>WP</t>
  </si>
  <si>
    <t>TIGER</t>
  </si>
  <si>
    <t>JOKER</t>
  </si>
  <si>
    <t>BINGO</t>
  </si>
  <si>
    <t>TOTAL</t>
  </si>
  <si>
    <t>TARGET</t>
  </si>
  <si>
    <t>IP</t>
  </si>
  <si>
    <t>HOLD RIGHT TURNS</t>
  </si>
  <si>
    <t>HOLD LEFT TURNS</t>
  </si>
  <si>
    <t>WAYPOINT</t>
  </si>
  <si>
    <t>Z - DIVE</t>
  </si>
  <si>
    <t>SECTION 1</t>
  </si>
  <si>
    <t>SECTION 2</t>
  </si>
  <si>
    <t>SECTION 3</t>
  </si>
  <si>
    <t>SECTION 4</t>
  </si>
  <si>
    <t>TEXT BOX</t>
  </si>
  <si>
    <t>ROUTE LINE</t>
  </si>
  <si>
    <t>PACKAGE COMMS</t>
  </si>
  <si>
    <t>OVERVIEW</t>
  </si>
  <si>
    <t>Date</t>
  </si>
  <si>
    <t>Time</t>
  </si>
  <si>
    <t>Mission Type</t>
  </si>
  <si>
    <t>Fuel</t>
  </si>
  <si>
    <t>Notes</t>
  </si>
  <si>
    <t>Agency</t>
  </si>
  <si>
    <t>Freq</t>
  </si>
  <si>
    <t>Task</t>
  </si>
  <si>
    <t>Name</t>
  </si>
  <si>
    <t>Pilot</t>
  </si>
  <si>
    <t>Loadout</t>
  </si>
  <si>
    <t>Alt</t>
  </si>
  <si>
    <t>SOP Reserve</t>
  </si>
  <si>
    <t>Max Distance</t>
  </si>
  <si>
    <t>lbs</t>
  </si>
  <si>
    <t>BINGO profile</t>
  </si>
  <si>
    <t>Egress rejoin</t>
  </si>
  <si>
    <t>lbs @ Initial (Blue Water = 900lbs, Green Water = 1,200lbs)</t>
  </si>
  <si>
    <t>Fuel calculations in yellow boxes</t>
  </si>
  <si>
    <t>By JM "Aquila" LAFON</t>
  </si>
  <si>
    <t>Weight calculator for RAZBAM DCS AV-8B N/A Harrier. For flight simulation purpose only.</t>
  </si>
  <si>
    <t>checksix-fr.com</t>
  </si>
  <si>
    <t>Beware: when carrying external loads which imply the use of special ejector racks, don't forget to mention those racks.</t>
  </si>
  <si>
    <t>lb</t>
  </si>
  <si>
    <t>Drag</t>
  </si>
  <si>
    <t>Nbr</t>
  </si>
  <si>
    <t>Tot</t>
  </si>
  <si>
    <t>Tot Drag</t>
  </si>
  <si>
    <t>Equipped empty weight (including 500 lb of water)</t>
  </si>
  <si>
    <t>Fill in below</t>
  </si>
  <si>
    <t>Total Weight (lb)</t>
  </si>
  <si>
    <t>Fuel (internal) (max = 7758 lb)</t>
  </si>
  <si>
    <t>Fuel (external) (max = 4006 lb)</t>
  </si>
  <si>
    <t>Total</t>
  </si>
  <si>
    <t>Drop Tanks</t>
  </si>
  <si>
    <t xml:space="preserve">AERO 1D 300 Gallons (fuel: 2003 lb) (empty weight) </t>
  </si>
  <si>
    <t>Special Ejector Racks (empty weight)</t>
  </si>
  <si>
    <t>MER (Multiple Ejector Rack for multiple Mk-x bombs)</t>
  </si>
  <si>
    <t>TER (Triple Ejector Rack, only for multiple BDU-33)</t>
  </si>
  <si>
    <t>LAU-7 (for AIM-9 and AGM-122 on hardpoints 2 &amp; 6) </t>
  </si>
  <si>
    <t>LAU-117 (AGM-65 Maverick launcher)</t>
  </si>
  <si>
    <t>Pods</t>
  </si>
  <si>
    <t>AN/AAQ-28 Litening </t>
  </si>
  <si>
    <t>AN/ALQ-164 DECM </t>
  </si>
  <si>
    <t>GAU-12 Gunpod </t>
  </si>
  <si>
    <t>AN/ASQ T50 TCTS </t>
  </si>
  <si>
    <t>Bombs</t>
  </si>
  <si>
    <t>BDU-33</t>
  </si>
  <si>
    <t>Mk-81</t>
  </si>
  <si>
    <t>Mk-20</t>
  </si>
  <si>
    <t>Mk-82</t>
  </si>
  <si>
    <t>Mk-82 AIR &amp; Mk-82 SnakeEye</t>
  </si>
  <si>
    <t>GBU-12</t>
  </si>
  <si>
    <t>Mk-83</t>
  </si>
  <si>
    <t>GBU-16</t>
  </si>
  <si>
    <t>Rockets</t>
  </si>
  <si>
    <t>SUU-25 (8x LUU-2) </t>
  </si>
  <si>
    <t>LAU-10 (4x ZUNI 5’’ Mk-71)</t>
  </si>
  <si>
    <t>LAU-3 (19x M156 WP) </t>
  </si>
  <si>
    <t>LAU-3 (19x Mk1 HE) </t>
  </si>
  <si>
    <t>LAU-3 (19x Mk5 HEAT) </t>
  </si>
  <si>
    <t>LAU-68 (7x M257 Parachute Illumination) </t>
  </si>
  <si>
    <t>LAU-68 (7x M274 Practice Smoke) </t>
  </si>
  <si>
    <t>LAU-68 (7x WTU1 B Practice) </t>
  </si>
  <si>
    <t>LAU-68 (7x M156 WP) </t>
  </si>
  <si>
    <t>LAU-68 (7x Mk1 HE)</t>
  </si>
  <si>
    <t>LAU-68 (7x Mk5 HEAT) </t>
  </si>
  <si>
    <t>Missiles</t>
  </si>
  <si>
    <t>AIM-9M </t>
  </si>
  <si>
    <t>AGM-122</t>
  </si>
  <si>
    <t>AGM/TGM-65D</t>
  </si>
  <si>
    <t>AGM/TGM-65H</t>
  </si>
  <si>
    <t>AGM-65E</t>
  </si>
  <si>
    <t>AGM/TGM-65G</t>
  </si>
  <si>
    <t>AGM/CATM-65K</t>
  </si>
  <si>
    <t>Please indicate the number of items carried for each external load type</t>
  </si>
  <si>
    <t>Enter values in grey boxes</t>
  </si>
  <si>
    <t>mins @</t>
  </si>
  <si>
    <t>lbs ffpm (CAS = 140 TAC = 160)</t>
  </si>
  <si>
    <t>AAR</t>
  </si>
  <si>
    <t>Eqpt Weight inc fuel</t>
  </si>
  <si>
    <t>Max Weight</t>
  </si>
  <si>
    <t>lbs/10nm 6.5 AOA 16.5k-17.5k ft MSL</t>
  </si>
  <si>
    <t>Btn</t>
  </si>
  <si>
    <t>Fuel Taken</t>
  </si>
  <si>
    <t>Excess</t>
  </si>
  <si>
    <t>Total Playtime</t>
  </si>
  <si>
    <t>Aircraft</t>
  </si>
  <si>
    <t>Callsign</t>
  </si>
  <si>
    <t>lbs loaded</t>
  </si>
  <si>
    <t>Commit Time</t>
  </si>
  <si>
    <t>minutes, including Commit Time</t>
  </si>
  <si>
    <t>TCN</t>
  </si>
  <si>
    <t>MFR</t>
  </si>
  <si>
    <t>EFR</t>
  </si>
  <si>
    <t>Primary</t>
  </si>
  <si>
    <t>DMPI</t>
  </si>
  <si>
    <t>Coord</t>
  </si>
  <si>
    <t>Interval</t>
  </si>
  <si>
    <t>WEASEL 2</t>
  </si>
  <si>
    <t>LAT</t>
  </si>
  <si>
    <t>LONG</t>
  </si>
  <si>
    <t>Distance</t>
  </si>
  <si>
    <t>EFF</t>
  </si>
  <si>
    <t>AL DHAFRA</t>
  </si>
  <si>
    <t>OCA</t>
  </si>
  <si>
    <t>MFR = Mission Fuel Required</t>
  </si>
  <si>
    <t>EFR = Estimated Fuel Remaining</t>
  </si>
  <si>
    <t>lbs from Route Planning + SOP Reserve</t>
  </si>
  <si>
    <t>YOMO</t>
  </si>
  <si>
    <t>WEASEL 2-2</t>
  </si>
  <si>
    <t>WEASEL 2-1</t>
  </si>
  <si>
    <t>GUNNY</t>
  </si>
  <si>
    <t>BANGER</t>
  </si>
  <si>
    <t>VENOM 1</t>
  </si>
  <si>
    <t>AWACS</t>
  </si>
  <si>
    <t>SAR</t>
  </si>
  <si>
    <t>WEASEL 1</t>
  </si>
  <si>
    <t>TAOC</t>
  </si>
  <si>
    <t>SIX SHOOTER</t>
  </si>
  <si>
    <t>DASC</t>
  </si>
  <si>
    <t>PKG CDR</t>
  </si>
  <si>
    <t>SNAPPER 1</t>
  </si>
  <si>
    <t>MULLET 2</t>
  </si>
  <si>
    <t>SKATE 1</t>
  </si>
  <si>
    <t>CLOSE ESCORT</t>
  </si>
  <si>
    <t>FIGHTER SWEEP</t>
  </si>
  <si>
    <t>degrees dive</t>
  </si>
  <si>
    <t>degrees climb</t>
  </si>
  <si>
    <t>NM POP UP</t>
  </si>
  <si>
    <t>SMC</t>
  </si>
  <si>
    <t>KGS</t>
  </si>
  <si>
    <t>ETE</t>
  </si>
  <si>
    <t>ETA</t>
  </si>
  <si>
    <t>PILOTS</t>
  </si>
  <si>
    <t>SIDE #</t>
  </si>
  <si>
    <t>BADGER</t>
  </si>
  <si>
    <t>SMOKED</t>
  </si>
  <si>
    <t>MOESPEEDS</t>
  </si>
  <si>
    <t>THUD</t>
  </si>
  <si>
    <t>KINGSNAKE</t>
  </si>
  <si>
    <t>FLABS</t>
  </si>
  <si>
    <t>RAZOR</t>
  </si>
  <si>
    <t>SLAMDANCE</t>
  </si>
  <si>
    <t>CALLSIGNS</t>
  </si>
  <si>
    <t>WEASEL 1-1</t>
  </si>
  <si>
    <t>WEASEL 1-2</t>
  </si>
  <si>
    <t>WEASEL 1-3</t>
  </si>
  <si>
    <t>WEASEL 1-4</t>
  </si>
  <si>
    <t>SHANK 1-1</t>
  </si>
  <si>
    <t>SHANK 1-2</t>
  </si>
  <si>
    <t>WEASEL 2-3</t>
  </si>
  <si>
    <t>WEASEL 2-4</t>
  </si>
  <si>
    <t>SHANK 1-3</t>
  </si>
  <si>
    <t>SHANK 1-4</t>
  </si>
  <si>
    <t>SHANK 2-1</t>
  </si>
  <si>
    <t>SHANK 2-2</t>
  </si>
  <si>
    <t>SHANK 2-3</t>
  </si>
  <si>
    <t>SHANK 2-4</t>
  </si>
  <si>
    <t>EMPTY</t>
  </si>
  <si>
    <t>JUSTME</t>
  </si>
  <si>
    <t>FRITZ</t>
  </si>
  <si>
    <t>FORTEZ</t>
  </si>
  <si>
    <t>MISSION</t>
  </si>
  <si>
    <t>CAS</t>
  </si>
  <si>
    <t>SEAD</t>
  </si>
  <si>
    <t>ASW</t>
  </si>
  <si>
    <t>SHARK 1</t>
  </si>
  <si>
    <t>SHARK 2</t>
  </si>
  <si>
    <t>SNAPPER 2</t>
  </si>
  <si>
    <t>SNAPPER 3</t>
  </si>
  <si>
    <t>MULLET 1</t>
  </si>
  <si>
    <t>MULLET 3</t>
  </si>
  <si>
    <t>SHELL 1</t>
  </si>
  <si>
    <t>TEXACO 1</t>
  </si>
  <si>
    <t>TEXACO 2</t>
  </si>
  <si>
    <t>SHELL 2</t>
  </si>
  <si>
    <t>ARCO 1</t>
  </si>
  <si>
    <t>ARCO 2</t>
  </si>
  <si>
    <t>T/O &amp; LDG</t>
  </si>
  <si>
    <t>BELLEAU WOOD</t>
  </si>
  <si>
    <t>TARAWA</t>
  </si>
  <si>
    <t>STENNIS</t>
  </si>
  <si>
    <t>AGENCY</t>
  </si>
  <si>
    <t>VMA-223</t>
  </si>
  <si>
    <t>VMA-231</t>
  </si>
  <si>
    <t>VFA-25</t>
  </si>
  <si>
    <t>VF-2</t>
  </si>
  <si>
    <t>VMFA-122</t>
  </si>
  <si>
    <t>HMLA-167</t>
  </si>
  <si>
    <t>MACS-2</t>
  </si>
  <si>
    <t>TASKS</t>
  </si>
  <si>
    <t>CAP</t>
  </si>
  <si>
    <t>BAR CAP</t>
  </si>
  <si>
    <t>CAS/CASEVAC</t>
  </si>
  <si>
    <t>GCI</t>
  </si>
  <si>
    <t>C2</t>
  </si>
  <si>
    <t>JTAC</t>
  </si>
  <si>
    <t>BROADSWORD 81</t>
  </si>
  <si>
    <t>BROADSWORD 41</t>
  </si>
  <si>
    <t>BROADSWORD 21</t>
  </si>
  <si>
    <t>FLIGHTS/CALLSIGNS</t>
  </si>
  <si>
    <t>REFUEL</t>
  </si>
  <si>
    <t>Refuelling Required</t>
  </si>
  <si>
    <t>Refuelling Taken</t>
  </si>
  <si>
    <t>Climb</t>
  </si>
  <si>
    <t>ffpm</t>
  </si>
  <si>
    <t>Rejoin</t>
  </si>
  <si>
    <t>Launch</t>
  </si>
  <si>
    <t>Fuel used includes Launch, Rejoin and Climb values</t>
  </si>
  <si>
    <t>LEG FUEL</t>
  </si>
  <si>
    <t>Z - POP</t>
  </si>
  <si>
    <t>TTT</t>
  </si>
  <si>
    <t>BASE</t>
  </si>
  <si>
    <t>KTAS</t>
  </si>
  <si>
    <t>ft desired rel alt</t>
  </si>
  <si>
    <t>ft Desired apogee</t>
  </si>
  <si>
    <t>ft Roll-in</t>
  </si>
  <si>
    <t>ft ingress AGL</t>
  </si>
  <si>
    <t>ft calculated apogee</t>
  </si>
  <si>
    <t>secs desired sighting</t>
  </si>
  <si>
    <t>Total + SOP Reserve</t>
  </si>
  <si>
    <t>HACK</t>
  </si>
  <si>
    <t>nm from Recovery/Final AAR</t>
  </si>
  <si>
    <t>NM</t>
  </si>
  <si>
    <t>INTERVAL</t>
  </si>
  <si>
    <t>POP-UP ATTACK</t>
  </si>
  <si>
    <t>TARGETS</t>
  </si>
  <si>
    <t>ALPHA</t>
  </si>
  <si>
    <t>BRAVO</t>
  </si>
  <si>
    <t>CHARLIE</t>
  </si>
  <si>
    <t>DELTA</t>
  </si>
  <si>
    <t>FUN MAP</t>
  </si>
  <si>
    <t>SHANK 51</t>
  </si>
  <si>
    <t>01 JUN 2018</t>
  </si>
  <si>
    <t>SHANK 5-1</t>
  </si>
  <si>
    <t>51Y</t>
  </si>
  <si>
    <t>114Y</t>
  </si>
  <si>
    <t>TBD</t>
  </si>
  <si>
    <t>ANY</t>
  </si>
  <si>
    <t>SA10</t>
  </si>
  <si>
    <t>29°20'39"N  52°26'43"E</t>
  </si>
  <si>
    <t>SA10 emplacement</t>
  </si>
  <si>
    <t>TANKS</t>
  </si>
  <si>
    <t>28°51'29"N  52°05'45"E</t>
  </si>
  <si>
    <t>North of FARP London</t>
  </si>
  <si>
    <t>Tanks and light armour</t>
  </si>
  <si>
    <t>29°15'56"N  51°11'37"E</t>
  </si>
  <si>
    <t>T55 platoon</t>
  </si>
  <si>
    <t>East of FARP London.</t>
  </si>
  <si>
    <t>Tanks and manpads. North East of FARP London. GR WN13, nr  town of Borazjan</t>
  </si>
  <si>
    <t>INSURGENT CAMP</t>
  </si>
  <si>
    <t>28°37'15"N  51°31'08"E</t>
  </si>
  <si>
    <t>Light armour, helicopters, various soft</t>
  </si>
  <si>
    <t>South East of FARP London. Large fenced camp with helipads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</si>
</sst>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[$-F400]h:mm:ss"/>
    <numFmt numFmtId="166" formatCode="0.0"/>
    <numFmt numFmtId="167" formatCode="[mm]\+ss"/>
  </numFmts>
  <fonts count="2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name val="Calibri"/>
      <family val="2"/>
      <scheme val="minor"/>
    </font>
    <font>
      <b/>
      <sz val="16"/>
      <color rgb="FF000000"/>
      <name val="Arial Narrow"/>
      <family val="2"/>
    </font>
    <font>
      <sz val="14"/>
      <color rgb="FF000000"/>
      <name val="Arial Narrow"/>
      <family val="2"/>
    </font>
    <font>
      <sz val="11"/>
      <color rgb="FF000000"/>
      <name val="Arial Narrow"/>
      <family val="2"/>
    </font>
    <font>
      <b/>
      <sz val="14"/>
      <color theme="0"/>
      <name val="Arial Narrow"/>
      <family val="2"/>
    </font>
    <font>
      <b/>
      <sz val="14"/>
      <color rgb="FF000000"/>
      <name val="Arial Narrow"/>
      <family val="2"/>
    </font>
    <font>
      <sz val="10"/>
      <color rgb="FF000000"/>
      <name val="Arial Narrow"/>
      <family val="2"/>
    </font>
    <font>
      <b/>
      <sz val="14"/>
      <name val="Arial Narrow"/>
      <family val="2"/>
    </font>
    <font>
      <b/>
      <sz val="14"/>
      <color rgb="FF00B050"/>
      <name val="Arial Narrow"/>
      <family val="2"/>
    </font>
    <font>
      <b/>
      <sz val="14"/>
      <color rgb="FFFF0000"/>
      <name val="Arial Narrow"/>
      <family val="2"/>
    </font>
    <font>
      <b/>
      <sz val="11"/>
      <color theme="0"/>
      <name val="Calibri"/>
      <family val="2"/>
    </font>
    <font>
      <b/>
      <sz val="14"/>
      <color theme="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/>
      <right/>
      <top style="medium">
        <color rgb="FF92D050"/>
      </top>
      <bottom/>
      <diagonal/>
    </border>
    <border>
      <left/>
      <right/>
      <top/>
      <bottom style="medium">
        <color rgb="FF92D050"/>
      </bottom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1" fillId="0" borderId="1"/>
    <xf numFmtId="0" fontId="7" fillId="0" borderId="1" applyNumberFormat="0" applyFill="0" applyBorder="0" applyAlignment="0" applyProtection="0"/>
    <xf numFmtId="9" fontId="1" fillId="0" borderId="1" applyFont="0" applyFill="0" applyBorder="0" applyAlignment="0" applyProtection="0"/>
    <xf numFmtId="9" fontId="3" fillId="0" borderId="0" applyFont="0" applyFill="0" applyBorder="0" applyAlignment="0" applyProtection="0"/>
  </cellStyleXfs>
  <cellXfs count="229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164" fontId="0" fillId="0" borderId="0" xfId="1" applyNumberFormat="1" applyFont="1" applyAlignment="1"/>
    <xf numFmtId="49" fontId="0" fillId="0" borderId="0" xfId="0" applyNumberFormat="1" applyFont="1" applyAlignment="1"/>
    <xf numFmtId="49" fontId="2" fillId="0" borderId="0" xfId="0" applyNumberFormat="1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6" borderId="2" xfId="0" applyNumberFormat="1" applyFont="1" applyFill="1" applyBorder="1" applyAlignment="1"/>
    <xf numFmtId="164" fontId="0" fillId="6" borderId="2" xfId="0" applyNumberFormat="1" applyFont="1" applyFill="1" applyBorder="1" applyAlignment="1"/>
    <xf numFmtId="164" fontId="0" fillId="6" borderId="2" xfId="1" applyNumberFormat="1" applyFont="1" applyFill="1" applyBorder="1" applyAlignment="1"/>
    <xf numFmtId="0" fontId="5" fillId="0" borderId="0" xfId="0" applyFont="1" applyAlignment="1"/>
    <xf numFmtId="0" fontId="1" fillId="0" borderId="1" xfId="2"/>
    <xf numFmtId="0" fontId="6" fillId="0" borderId="1" xfId="2" applyFont="1" applyAlignment="1">
      <alignment vertical="center"/>
    </xf>
    <xf numFmtId="0" fontId="1" fillId="0" borderId="1" xfId="2" applyAlignment="1">
      <alignment vertical="center"/>
    </xf>
    <xf numFmtId="0" fontId="7" fillId="0" borderId="1" xfId="3"/>
    <xf numFmtId="0" fontId="9" fillId="0" borderId="1" xfId="2" applyFont="1" applyAlignment="1">
      <alignment vertical="center"/>
    </xf>
    <xf numFmtId="0" fontId="1" fillId="0" borderId="1" xfId="2" applyAlignment="1">
      <alignment horizontal="center" vertical="center"/>
    </xf>
    <xf numFmtId="0" fontId="4" fillId="0" borderId="1" xfId="2" applyFont="1"/>
    <xf numFmtId="0" fontId="10" fillId="0" borderId="23" xfId="2" applyFont="1" applyBorder="1" applyAlignment="1">
      <alignment horizontal="center" vertical="center"/>
    </xf>
    <xf numFmtId="0" fontId="1" fillId="3" borderId="25" xfId="2" applyFill="1" applyBorder="1" applyProtection="1">
      <protection locked="0"/>
    </xf>
    <xf numFmtId="0" fontId="1" fillId="0" borderId="20" xfId="2" applyBorder="1"/>
    <xf numFmtId="0" fontId="10" fillId="7" borderId="1" xfId="2" applyFont="1" applyFill="1"/>
    <xf numFmtId="0" fontId="1" fillId="7" borderId="1" xfId="2" applyFill="1"/>
    <xf numFmtId="9" fontId="0" fillId="0" borderId="1" xfId="4" applyFont="1"/>
    <xf numFmtId="0" fontId="10" fillId="0" borderId="1" xfId="2" applyFont="1" applyFill="1"/>
    <xf numFmtId="0" fontId="1" fillId="0" borderId="1" xfId="2" applyFill="1"/>
    <xf numFmtId="0" fontId="1" fillId="0" borderId="1" xfId="2" applyFill="1" applyBorder="1"/>
    <xf numFmtId="0" fontId="1" fillId="0" borderId="1" xfId="2" applyFill="1" applyBorder="1" applyAlignment="1">
      <alignment vertical="center"/>
    </xf>
    <xf numFmtId="0" fontId="1" fillId="0" borderId="1" xfId="2" applyBorder="1"/>
    <xf numFmtId="0" fontId="1" fillId="0" borderId="1" xfId="2" applyBorder="1" applyAlignment="1">
      <alignment vertical="center" wrapText="1"/>
    </xf>
    <xf numFmtId="0" fontId="4" fillId="0" borderId="1" xfId="2" applyFont="1" applyAlignment="1">
      <alignment vertical="center"/>
    </xf>
    <xf numFmtId="0" fontId="10" fillId="0" borderId="1" xfId="2" applyFont="1" applyBorder="1" applyAlignment="1">
      <alignment wrapText="1"/>
    </xf>
    <xf numFmtId="0" fontId="7" fillId="0" borderId="1" xfId="3" applyBorder="1" applyAlignment="1" applyProtection="1">
      <alignment horizontal="center" vertical="center"/>
      <protection locked="0"/>
    </xf>
    <xf numFmtId="0" fontId="6" fillId="0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/>
    </xf>
    <xf numFmtId="9" fontId="11" fillId="0" borderId="1" xfId="2" applyNumberFormat="1" applyFont="1" applyFill="1" applyBorder="1" applyAlignment="1">
      <alignment horizontal="center"/>
    </xf>
    <xf numFmtId="0" fontId="1" fillId="0" borderId="1" xfId="2" applyFill="1" applyBorder="1" applyAlignment="1">
      <alignment vertical="center" wrapText="1"/>
    </xf>
    <xf numFmtId="0" fontId="6" fillId="3" borderId="35" xfId="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/>
    </xf>
    <xf numFmtId="164" fontId="0" fillId="0" borderId="0" xfId="0" applyNumberFormat="1" applyFont="1" applyAlignment="1"/>
    <xf numFmtId="164" fontId="13" fillId="6" borderId="2" xfId="0" applyNumberFormat="1" applyFont="1" applyFill="1" applyBorder="1" applyAlignment="1"/>
    <xf numFmtId="9" fontId="1" fillId="0" borderId="1" xfId="5" applyFont="1" applyFill="1" applyBorder="1"/>
    <xf numFmtId="0" fontId="2" fillId="0" borderId="0" xfId="0" applyFont="1" applyAlignment="1">
      <alignment horizontal="left"/>
    </xf>
    <xf numFmtId="0" fontId="14" fillId="0" borderId="24" xfId="2" applyFont="1" applyFill="1" applyBorder="1" applyAlignment="1">
      <alignment horizontal="center"/>
    </xf>
    <xf numFmtId="0" fontId="2" fillId="0" borderId="0" xfId="0" applyFont="1" applyAlignment="1"/>
    <xf numFmtId="43" fontId="0" fillId="0" borderId="0" xfId="0" applyNumberFormat="1" applyFont="1" applyAlignment="1"/>
    <xf numFmtId="0" fontId="20" fillId="0" borderId="1" xfId="0" applyFont="1" applyFill="1" applyBorder="1" applyAlignment="1" applyProtection="1">
      <alignment vertical="center"/>
      <protection locked="0"/>
    </xf>
    <xf numFmtId="0" fontId="1" fillId="3" borderId="25" xfId="2" applyNumberFormat="1" applyFill="1" applyBorder="1" applyProtection="1">
      <protection locked="0"/>
    </xf>
    <xf numFmtId="0" fontId="14" fillId="6" borderId="24" xfId="2" applyNumberFormat="1" applyFont="1" applyFill="1" applyBorder="1" applyAlignment="1">
      <alignment horizontal="center"/>
    </xf>
    <xf numFmtId="0" fontId="0" fillId="0" borderId="0" xfId="0" applyNumberFormat="1" applyFont="1" applyAlignment="1"/>
    <xf numFmtId="0" fontId="1" fillId="0" borderId="37" xfId="2" applyBorder="1"/>
    <xf numFmtId="9" fontId="0" fillId="0" borderId="0" xfId="5" applyFont="1" applyAlignment="1">
      <alignment horizontal="center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49" fontId="16" fillId="2" borderId="11" xfId="0" applyNumberFormat="1" applyFont="1" applyFill="1" applyBorder="1" applyAlignment="1" applyProtection="1">
      <alignment horizontal="center" vertical="center"/>
      <protection locked="0"/>
    </xf>
    <xf numFmtId="49" fontId="16" fillId="0" borderId="11" xfId="0" applyNumberFormat="1" applyFont="1" applyBorder="1" applyAlignment="1" applyProtection="1">
      <alignment horizontal="center" vertical="center"/>
      <protection locked="0"/>
    </xf>
    <xf numFmtId="49" fontId="16" fillId="0" borderId="1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protection locked="0"/>
    </xf>
    <xf numFmtId="49" fontId="16" fillId="5" borderId="2" xfId="0" applyNumberFormat="1" applyFont="1" applyFill="1" applyBorder="1" applyAlignment="1" applyProtection="1">
      <alignment horizontal="center" vertical="center"/>
      <protection locked="0"/>
    </xf>
    <xf numFmtId="0" fontId="2" fillId="2" borderId="2" xfId="0" applyNumberFormat="1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Alignment="1" applyProtection="1">
      <alignment horizontal="center"/>
      <protection locked="0"/>
    </xf>
    <xf numFmtId="164" fontId="5" fillId="2" borderId="2" xfId="0" applyNumberFormat="1" applyFont="1" applyFill="1" applyBorder="1" applyAlignment="1" applyProtection="1">
      <protection locked="0"/>
    </xf>
    <xf numFmtId="0" fontId="16" fillId="5" borderId="2" xfId="0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/>
      <protection locked="0"/>
    </xf>
    <xf numFmtId="0" fontId="16" fillId="0" borderId="0" xfId="0" applyFont="1" applyAlignment="1" applyProtection="1">
      <protection locked="0"/>
    </xf>
    <xf numFmtId="0" fontId="16" fillId="0" borderId="2" xfId="0" applyFont="1" applyBorder="1" applyAlignment="1" applyProtection="1">
      <alignment horizontal="center"/>
      <protection locked="0"/>
    </xf>
    <xf numFmtId="165" fontId="16" fillId="7" borderId="2" xfId="0" applyNumberFormat="1" applyFont="1" applyFill="1" applyBorder="1" applyAlignment="1" applyProtection="1">
      <alignment horizontal="center"/>
    </xf>
    <xf numFmtId="0" fontId="16" fillId="7" borderId="2" xfId="0" applyFont="1" applyFill="1" applyBorder="1" applyAlignment="1" applyProtection="1">
      <alignment horizontal="center"/>
    </xf>
    <xf numFmtId="0" fontId="16" fillId="2" borderId="2" xfId="0" applyFont="1" applyFill="1" applyBorder="1" applyAlignment="1" applyProtection="1">
      <alignment horizontal="center"/>
      <protection locked="0"/>
    </xf>
    <xf numFmtId="0" fontId="19" fillId="2" borderId="2" xfId="0" applyFont="1" applyFill="1" applyBorder="1" applyAlignment="1" applyProtection="1">
      <alignment horizontal="center"/>
      <protection locked="0"/>
    </xf>
    <xf numFmtId="0" fontId="19" fillId="7" borderId="2" xfId="0" applyFont="1" applyFill="1" applyBorder="1" applyAlignment="1" applyProtection="1">
      <alignment horizontal="center"/>
    </xf>
    <xf numFmtId="0" fontId="19" fillId="0" borderId="2" xfId="0" applyFont="1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right"/>
      <protection locked="0"/>
    </xf>
    <xf numFmtId="165" fontId="16" fillId="0" borderId="1" xfId="0" applyNumberFormat="1" applyFont="1" applyFill="1" applyBorder="1" applyAlignment="1" applyProtection="1">
      <alignment horizontal="center"/>
    </xf>
    <xf numFmtId="0" fontId="16" fillId="0" borderId="0" xfId="0" quotePrefix="1" applyFont="1" applyAlignment="1" applyProtection="1">
      <alignment horizontal="right"/>
      <protection locked="0"/>
    </xf>
    <xf numFmtId="165" fontId="16" fillId="0" borderId="0" xfId="0" applyNumberFormat="1" applyFont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0" xfId="0" applyNumberFormat="1" applyFont="1" applyAlignment="1" applyProtection="1">
      <alignment horizontal="center"/>
      <protection locked="0"/>
    </xf>
    <xf numFmtId="166" fontId="0" fillId="0" borderId="0" xfId="0" applyNumberFormat="1" applyFont="1" applyAlignment="1"/>
    <xf numFmtId="167" fontId="16" fillId="7" borderId="2" xfId="0" applyNumberFormat="1" applyFont="1" applyFill="1" applyBorder="1" applyAlignment="1" applyProtection="1">
      <alignment horizontal="center"/>
    </xf>
    <xf numFmtId="167" fontId="19" fillId="7" borderId="2" xfId="0" applyNumberFormat="1" applyFont="1" applyFill="1" applyBorder="1" applyAlignment="1" applyProtection="1">
      <alignment horizontal="center"/>
    </xf>
    <xf numFmtId="167" fontId="22" fillId="7" borderId="2" xfId="0" applyNumberFormat="1" applyFont="1" applyFill="1" applyBorder="1" applyAlignment="1" applyProtection="1">
      <alignment horizontal="center"/>
    </xf>
    <xf numFmtId="167" fontId="23" fillId="7" borderId="2" xfId="0" applyNumberFormat="1" applyFont="1" applyFill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 applyProtection="1">
      <alignment horizontal="center"/>
      <protection locked="0"/>
    </xf>
    <xf numFmtId="0" fontId="16" fillId="0" borderId="9" xfId="0" applyFont="1" applyFill="1" applyBorder="1" applyAlignment="1" applyProtection="1">
      <alignment horizontal="center"/>
    </xf>
    <xf numFmtId="0" fontId="0" fillId="2" borderId="2" xfId="0" applyFont="1" applyFill="1" applyBorder="1" applyAlignment="1"/>
    <xf numFmtId="1" fontId="0" fillId="6" borderId="2" xfId="0" applyNumberFormat="1" applyFont="1" applyFill="1" applyBorder="1" applyAlignment="1"/>
    <xf numFmtId="0" fontId="5" fillId="2" borderId="2" xfId="0" applyFont="1" applyFill="1" applyBorder="1" applyAlignment="1"/>
    <xf numFmtId="0" fontId="5" fillId="6" borderId="2" xfId="0" applyFont="1" applyFill="1" applyBorder="1" applyAlignment="1"/>
    <xf numFmtId="166" fontId="5" fillId="6" borderId="2" xfId="0" applyNumberFormat="1" applyFont="1" applyFill="1" applyBorder="1" applyAlignment="1"/>
    <xf numFmtId="0" fontId="16" fillId="0" borderId="2" xfId="0" applyFont="1" applyFill="1" applyBorder="1" applyAlignment="1" applyProtection="1">
      <alignment horizontal="center"/>
      <protection locked="0"/>
    </xf>
    <xf numFmtId="0" fontId="19" fillId="0" borderId="2" xfId="0" applyFont="1" applyFill="1" applyBorder="1" applyAlignment="1" applyProtection="1">
      <alignment horizontal="center"/>
      <protection locked="0"/>
    </xf>
    <xf numFmtId="167" fontId="16" fillId="7" borderId="2" xfId="0" applyNumberFormat="1" applyFont="1" applyFill="1" applyBorder="1" applyAlignment="1" applyProtection="1">
      <alignment horizontal="center"/>
      <protection locked="0"/>
    </xf>
    <xf numFmtId="2" fontId="16" fillId="0" borderId="0" xfId="0" applyNumberFormat="1" applyFont="1" applyAlignment="1" applyProtection="1">
      <protection locked="0"/>
    </xf>
    <xf numFmtId="0" fontId="16" fillId="0" borderId="2" xfId="0" applyNumberFormat="1" applyFont="1" applyFill="1" applyBorder="1" applyAlignment="1" applyProtection="1">
      <alignment horizontal="center"/>
    </xf>
    <xf numFmtId="0" fontId="23" fillId="0" borderId="2" xfId="0" applyNumberFormat="1" applyFont="1" applyFill="1" applyBorder="1" applyAlignment="1" applyProtection="1">
      <alignment horizontal="center"/>
    </xf>
    <xf numFmtId="0" fontId="16" fillId="2" borderId="2" xfId="0" applyNumberFormat="1" applyFont="1" applyFill="1" applyBorder="1" applyAlignment="1" applyProtection="1">
      <alignment horizontal="center"/>
    </xf>
    <xf numFmtId="0" fontId="22" fillId="2" borderId="2" xfId="0" applyNumberFormat="1" applyFont="1" applyFill="1" applyBorder="1" applyAlignment="1" applyProtection="1">
      <alignment horizontal="center"/>
    </xf>
    <xf numFmtId="0" fontId="23" fillId="2" borderId="2" xfId="0" applyNumberFormat="1" applyFont="1" applyFill="1" applyBorder="1" applyAlignment="1" applyProtection="1">
      <alignment horizontal="center"/>
    </xf>
    <xf numFmtId="167" fontId="0" fillId="0" borderId="0" xfId="0" applyNumberFormat="1" applyFont="1" applyAlignment="1"/>
    <xf numFmtId="0" fontId="2" fillId="5" borderId="2" xfId="0" applyFont="1" applyFill="1" applyBorder="1" applyAlignment="1">
      <alignment horizontal="center" vertical="center"/>
    </xf>
    <xf numFmtId="167" fontId="0" fillId="6" borderId="2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0" fillId="6" borderId="2" xfId="0" applyFont="1" applyFill="1" applyBorder="1" applyAlignment="1">
      <alignment horizontal="center" vertical="center"/>
    </xf>
    <xf numFmtId="49" fontId="16" fillId="5" borderId="10" xfId="0" applyNumberFormat="1" applyFont="1" applyFill="1" applyBorder="1" applyAlignment="1" applyProtection="1">
      <alignment horizontal="center" vertical="center"/>
      <protection locked="0"/>
    </xf>
    <xf numFmtId="49" fontId="16" fillId="2" borderId="11" xfId="0" applyNumberFormat="1" applyFont="1" applyFill="1" applyBorder="1" applyAlignment="1" applyProtection="1">
      <alignment horizontal="center" vertical="center"/>
      <protection locked="0"/>
    </xf>
    <xf numFmtId="49" fontId="16" fillId="0" borderId="13" xfId="0" applyNumberFormat="1" applyFont="1" applyBorder="1" applyAlignment="1" applyProtection="1">
      <alignment horizontal="center" vertical="center"/>
      <protection locked="0"/>
    </xf>
    <xf numFmtId="49" fontId="16" fillId="0" borderId="11" xfId="0" applyNumberFormat="1" applyFont="1" applyFill="1" applyBorder="1" applyAlignment="1" applyProtection="1">
      <alignment horizontal="center" vertical="center"/>
      <protection locked="0"/>
    </xf>
    <xf numFmtId="49" fontId="16" fillId="2" borderId="14" xfId="0" applyNumberFormat="1" applyFont="1" applyFill="1" applyBorder="1" applyAlignment="1" applyProtection="1">
      <alignment horizontal="center" vertical="center"/>
      <protection locked="0"/>
    </xf>
    <xf numFmtId="49" fontId="16" fillId="5" borderId="3" xfId="0" applyNumberFormat="1" applyFont="1" applyFill="1" applyBorder="1" applyAlignment="1" applyProtection="1">
      <alignment horizontal="center" vertical="center"/>
      <protection locked="0"/>
    </xf>
    <xf numFmtId="49" fontId="16" fillId="5" borderId="10" xfId="0" applyNumberFormat="1" applyFont="1" applyFill="1" applyBorder="1" applyAlignment="1" applyProtection="1">
      <alignment horizontal="center" vertical="center"/>
      <protection locked="0"/>
    </xf>
    <xf numFmtId="49" fontId="18" fillId="4" borderId="3" xfId="0" applyNumberFormat="1" applyFont="1" applyFill="1" applyBorder="1" applyAlignment="1" applyProtection="1">
      <alignment horizontal="center" vertical="center" wrapText="1"/>
      <protection locked="0"/>
    </xf>
    <xf numFmtId="49" fontId="18" fillId="4" borderId="4" xfId="0" applyNumberFormat="1" applyFont="1" applyFill="1" applyBorder="1" applyAlignment="1" applyProtection="1">
      <alignment horizontal="center" vertical="center" wrapText="1"/>
      <protection locked="0"/>
    </xf>
    <xf numFmtId="49" fontId="18" fillId="4" borderId="10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15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22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16" xfId="0" applyNumberFormat="1" applyFont="1" applyFill="1" applyBorder="1" applyAlignment="1" applyProtection="1">
      <alignment horizontal="center" vertical="center" wrapText="1"/>
      <protection locked="0"/>
    </xf>
    <xf numFmtId="49" fontId="16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6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16" fillId="2" borderId="7" xfId="0" applyNumberFormat="1" applyFont="1" applyFill="1" applyBorder="1" applyAlignment="1" applyProtection="1">
      <alignment horizontal="center" vertical="center" wrapText="1"/>
      <protection locked="0"/>
    </xf>
    <xf numFmtId="49" fontId="18" fillId="4" borderId="3" xfId="0" applyNumberFormat="1" applyFont="1" applyFill="1" applyBorder="1" applyAlignment="1" applyProtection="1">
      <alignment horizontal="center" vertical="center"/>
      <protection locked="0"/>
    </xf>
    <xf numFmtId="49" fontId="18" fillId="4" borderId="4" xfId="0" applyNumberFormat="1" applyFont="1" applyFill="1" applyBorder="1" applyAlignment="1" applyProtection="1">
      <alignment horizontal="center" vertical="center"/>
      <protection locked="0"/>
    </xf>
    <xf numFmtId="49" fontId="18" fillId="4" borderId="10" xfId="0" applyNumberFormat="1" applyFont="1" applyFill="1" applyBorder="1" applyAlignment="1" applyProtection="1">
      <alignment horizontal="center" vertical="center"/>
      <protection locked="0"/>
    </xf>
    <xf numFmtId="49" fontId="16" fillId="2" borderId="11" xfId="0" applyNumberFormat="1" applyFont="1" applyFill="1" applyBorder="1" applyAlignment="1" applyProtection="1">
      <alignment horizontal="center" vertical="center"/>
      <protection locked="0"/>
    </xf>
    <xf numFmtId="49" fontId="16" fillId="5" borderId="2" xfId="0" applyNumberFormat="1" applyFont="1" applyFill="1" applyBorder="1" applyAlignment="1" applyProtection="1">
      <alignment horizontal="center" vertical="center" wrapText="1"/>
      <protection locked="0"/>
    </xf>
    <xf numFmtId="49" fontId="16" fillId="5" borderId="4" xfId="0" applyNumberFormat="1" applyFont="1" applyFill="1" applyBorder="1" applyAlignment="1" applyProtection="1">
      <alignment horizontal="center" vertical="center"/>
      <protection locked="0"/>
    </xf>
    <xf numFmtId="49" fontId="16" fillId="5" borderId="2" xfId="0" applyNumberFormat="1" applyFont="1" applyFill="1" applyBorder="1" applyAlignment="1" applyProtection="1">
      <alignment horizontal="center" vertical="center"/>
      <protection locked="0"/>
    </xf>
    <xf numFmtId="49" fontId="16" fillId="0" borderId="11" xfId="0" applyNumberFormat="1" applyFont="1" applyBorder="1" applyAlignment="1" applyProtection="1">
      <alignment horizontal="center" vertical="center"/>
      <protection locked="0"/>
    </xf>
    <xf numFmtId="49" fontId="16" fillId="0" borderId="13" xfId="0" applyNumberFormat="1" applyFont="1" applyBorder="1" applyAlignment="1" applyProtection="1">
      <alignment horizontal="center" vertical="center"/>
      <protection locked="0"/>
    </xf>
    <xf numFmtId="49" fontId="16" fillId="2" borderId="17" xfId="0" applyNumberFormat="1" applyFont="1" applyFill="1" applyBorder="1" applyAlignment="1" applyProtection="1">
      <alignment horizontal="center" vertical="center"/>
      <protection locked="0"/>
    </xf>
    <xf numFmtId="49" fontId="16" fillId="2" borderId="8" xfId="0" applyNumberFormat="1" applyFont="1" applyFill="1" applyBorder="1" applyAlignment="1" applyProtection="1">
      <alignment horizontal="center" vertical="center"/>
      <protection locked="0"/>
    </xf>
    <xf numFmtId="49" fontId="16" fillId="2" borderId="7" xfId="0" applyNumberFormat="1" applyFont="1" applyFill="1" applyBorder="1" applyAlignment="1" applyProtection="1">
      <alignment horizontal="center" vertical="center"/>
      <protection locked="0"/>
    </xf>
    <xf numFmtId="49" fontId="16" fillId="0" borderId="15" xfId="0" applyNumberFormat="1" applyFont="1" applyBorder="1" applyAlignment="1" applyProtection="1">
      <alignment horizontal="center" vertical="center"/>
      <protection locked="0"/>
    </xf>
    <xf numFmtId="49" fontId="16" fillId="0" borderId="22" xfId="0" applyNumberFormat="1" applyFont="1" applyBorder="1" applyAlignment="1" applyProtection="1">
      <alignment horizontal="center" vertical="center"/>
      <protection locked="0"/>
    </xf>
    <xf numFmtId="49" fontId="16" fillId="0" borderId="16" xfId="0" applyNumberFormat="1" applyFont="1" applyBorder="1" applyAlignment="1" applyProtection="1">
      <alignment horizontal="center" vertical="center"/>
      <protection locked="0"/>
    </xf>
    <xf numFmtId="49" fontId="16" fillId="0" borderId="11" xfId="0" applyNumberFormat="1" applyFont="1" applyFill="1" applyBorder="1" applyAlignment="1" applyProtection="1">
      <alignment horizontal="center" vertical="center"/>
      <protection locked="0"/>
    </xf>
    <xf numFmtId="49" fontId="16" fillId="2" borderId="14" xfId="0" applyNumberFormat="1" applyFont="1" applyFill="1" applyBorder="1" applyAlignment="1" applyProtection="1">
      <alignment horizontal="center" vertical="center"/>
      <protection locked="0"/>
    </xf>
    <xf numFmtId="49" fontId="15" fillId="0" borderId="2" xfId="0" applyNumberFormat="1" applyFont="1" applyBorder="1" applyAlignment="1" applyProtection="1">
      <alignment horizontal="center" vertical="center" wrapText="1"/>
      <protection locked="0"/>
    </xf>
    <xf numFmtId="49" fontId="16" fillId="0" borderId="2" xfId="0" applyNumberFormat="1" applyFont="1" applyBorder="1" applyAlignment="1" applyProtection="1">
      <alignment horizontal="center" vertical="center" wrapText="1"/>
      <protection locked="0"/>
    </xf>
    <xf numFmtId="49" fontId="15" fillId="0" borderId="2" xfId="0" applyNumberFormat="1" applyFont="1" applyBorder="1" applyAlignment="1" applyProtection="1">
      <alignment horizontal="center" vertical="center"/>
      <protection locked="0"/>
    </xf>
    <xf numFmtId="167" fontId="16" fillId="0" borderId="18" xfId="0" applyNumberFormat="1" applyFont="1" applyBorder="1" applyAlignment="1" applyProtection="1">
      <alignment horizontal="center" vertical="center"/>
      <protection locked="0"/>
    </xf>
    <xf numFmtId="0" fontId="16" fillId="0" borderId="12" xfId="0" applyNumberFormat="1" applyFont="1" applyBorder="1" applyAlignment="1" applyProtection="1">
      <alignment horizontal="center" vertical="center"/>
      <protection locked="0"/>
    </xf>
    <xf numFmtId="0" fontId="16" fillId="0" borderId="5" xfId="0" applyNumberFormat="1" applyFont="1" applyBorder="1" applyAlignment="1" applyProtection="1">
      <alignment horizontal="center" vertical="center"/>
      <protection locked="0"/>
    </xf>
    <xf numFmtId="0" fontId="16" fillId="0" borderId="6" xfId="0" applyNumberFormat="1" applyFont="1" applyBorder="1" applyAlignment="1" applyProtection="1">
      <alignment horizontal="center" vertical="center"/>
      <protection locked="0"/>
    </xf>
    <xf numFmtId="0" fontId="16" fillId="0" borderId="19" xfId="0" applyNumberFormat="1" applyFont="1" applyBorder="1" applyAlignment="1" applyProtection="1">
      <alignment horizontal="center" vertical="center"/>
      <protection locked="0"/>
    </xf>
    <xf numFmtId="0" fontId="16" fillId="0" borderId="21" xfId="0" applyNumberFormat="1" applyFont="1" applyBorder="1" applyAlignment="1" applyProtection="1">
      <alignment horizontal="center" vertical="center"/>
      <protection locked="0"/>
    </xf>
    <xf numFmtId="49" fontId="16" fillId="0" borderId="5" xfId="0" applyNumberFormat="1" applyFont="1" applyBorder="1" applyAlignment="1" applyProtection="1">
      <alignment horizontal="right" vertical="center" wrapText="1"/>
      <protection locked="0"/>
    </xf>
    <xf numFmtId="49" fontId="16" fillId="0" borderId="1" xfId="0" applyNumberFormat="1" applyFont="1" applyBorder="1" applyAlignment="1" applyProtection="1">
      <alignment horizontal="right" vertical="center" wrapText="1"/>
      <protection locked="0"/>
    </xf>
    <xf numFmtId="49" fontId="16" fillId="0" borderId="19" xfId="0" applyNumberFormat="1" applyFont="1" applyBorder="1" applyAlignment="1" applyProtection="1">
      <alignment horizontal="right" vertical="center" wrapText="1"/>
      <protection locked="0"/>
    </xf>
    <xf numFmtId="49" fontId="16" fillId="0" borderId="20" xfId="0" applyNumberFormat="1" applyFont="1" applyBorder="1" applyAlignment="1" applyProtection="1">
      <alignment horizontal="right" vertical="center" wrapText="1"/>
      <protection locked="0"/>
    </xf>
    <xf numFmtId="0" fontId="19" fillId="0" borderId="9" xfId="0" applyNumberFormat="1" applyFont="1" applyBorder="1" applyAlignment="1" applyProtection="1">
      <alignment horizontal="center" vertical="center"/>
      <protection locked="0"/>
    </xf>
    <xf numFmtId="0" fontId="19" fillId="0" borderId="12" xfId="0" applyNumberFormat="1" applyFont="1" applyBorder="1" applyAlignment="1" applyProtection="1">
      <alignment horizontal="center" vertical="center"/>
      <protection locked="0"/>
    </xf>
    <xf numFmtId="0" fontId="16" fillId="0" borderId="1" xfId="0" applyNumberFormat="1" applyFont="1" applyBorder="1" applyAlignment="1" applyProtection="1">
      <alignment horizontal="center" vertical="center"/>
      <protection locked="0"/>
    </xf>
    <xf numFmtId="0" fontId="16" fillId="0" borderId="20" xfId="0" applyNumberFormat="1" applyFont="1" applyBorder="1" applyAlignment="1" applyProtection="1">
      <alignment horizontal="center" vertical="center"/>
      <protection locked="0"/>
    </xf>
    <xf numFmtId="49" fontId="16" fillId="0" borderId="18" xfId="0" applyNumberFormat="1" applyFont="1" applyBorder="1" applyAlignment="1" applyProtection="1">
      <alignment horizontal="center" vertical="center"/>
      <protection locked="0"/>
    </xf>
    <xf numFmtId="49" fontId="16" fillId="0" borderId="9" xfId="0" applyNumberFormat="1" applyFont="1" applyBorder="1" applyAlignment="1" applyProtection="1">
      <alignment horizontal="center" vertical="center"/>
      <protection locked="0"/>
    </xf>
    <xf numFmtId="49" fontId="16" fillId="0" borderId="12" xfId="0" applyNumberFormat="1" applyFont="1" applyBorder="1" applyAlignment="1" applyProtection="1">
      <alignment horizontal="center" vertical="center"/>
      <protection locked="0"/>
    </xf>
    <xf numFmtId="49" fontId="16" fillId="0" borderId="5" xfId="0" applyNumberFormat="1" applyFont="1" applyBorder="1" applyAlignment="1" applyProtection="1">
      <alignment horizontal="center" vertical="center"/>
      <protection locked="0"/>
    </xf>
    <xf numFmtId="49" fontId="16" fillId="0" borderId="1" xfId="0" applyNumberFormat="1" applyFont="1" applyBorder="1" applyAlignment="1" applyProtection="1">
      <alignment horizontal="center" vertical="center"/>
      <protection locked="0"/>
    </xf>
    <xf numFmtId="49" fontId="16" fillId="0" borderId="6" xfId="0" applyNumberFormat="1" applyFont="1" applyBorder="1" applyAlignment="1" applyProtection="1">
      <alignment horizontal="center" vertical="center"/>
      <protection locked="0"/>
    </xf>
    <xf numFmtId="49" fontId="16" fillId="0" borderId="19" xfId="0" applyNumberFormat="1" applyFont="1" applyBorder="1" applyAlignment="1" applyProtection="1">
      <alignment horizontal="center" vertical="center"/>
      <protection locked="0"/>
    </xf>
    <xf numFmtId="49" fontId="16" fillId="0" borderId="20" xfId="0" applyNumberFormat="1" applyFont="1" applyBorder="1" applyAlignment="1" applyProtection="1">
      <alignment horizontal="center" vertical="center"/>
      <protection locked="0"/>
    </xf>
    <xf numFmtId="49" fontId="16" fillId="0" borderId="21" xfId="0" applyNumberFormat="1" applyFont="1" applyBorder="1" applyAlignment="1" applyProtection="1">
      <alignment horizontal="center" vertical="center"/>
      <protection locked="0"/>
    </xf>
    <xf numFmtId="49" fontId="19" fillId="0" borderId="18" xfId="0" applyNumberFormat="1" applyFont="1" applyBorder="1" applyAlignment="1" applyProtection="1">
      <alignment horizontal="right" vertical="center" wrapText="1"/>
      <protection locked="0"/>
    </xf>
    <xf numFmtId="49" fontId="19" fillId="0" borderId="9" xfId="0" applyNumberFormat="1" applyFont="1" applyBorder="1" applyAlignment="1" applyProtection="1">
      <alignment horizontal="right" vertical="center" wrapText="1"/>
      <protection locked="0"/>
    </xf>
    <xf numFmtId="49" fontId="16" fillId="0" borderId="36" xfId="0" applyNumberFormat="1" applyFont="1" applyBorder="1" applyAlignment="1" applyProtection="1">
      <alignment horizontal="center" vertical="center"/>
      <protection locked="0"/>
    </xf>
    <xf numFmtId="0" fontId="16" fillId="0" borderId="13" xfId="0" applyNumberFormat="1" applyFont="1" applyBorder="1" applyAlignment="1" applyProtection="1">
      <alignment horizontal="center" vertical="center"/>
      <protection locked="0"/>
    </xf>
    <xf numFmtId="0" fontId="16" fillId="0" borderId="17" xfId="0" applyNumberFormat="1" applyFont="1" applyBorder="1" applyAlignment="1" applyProtection="1">
      <alignment horizontal="center" vertical="center"/>
      <protection locked="0"/>
    </xf>
    <xf numFmtId="0" fontId="16" fillId="0" borderId="8" xfId="0" applyNumberFormat="1" applyFont="1" applyBorder="1" applyAlignment="1" applyProtection="1">
      <alignment horizontal="center" vertical="center"/>
      <protection locked="0"/>
    </xf>
    <xf numFmtId="0" fontId="16" fillId="0" borderId="7" xfId="0" applyNumberFormat="1" applyFont="1" applyBorder="1" applyAlignment="1" applyProtection="1">
      <alignment horizontal="center" vertical="center"/>
      <protection locked="0"/>
    </xf>
    <xf numFmtId="49" fontId="16" fillId="0" borderId="9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12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6" xfId="0" applyNumberFormat="1" applyFont="1" applyFill="1" applyBorder="1" applyAlignment="1" applyProtection="1">
      <alignment horizontal="left" vertical="center" wrapText="1"/>
      <protection locked="0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8" fillId="0" borderId="1" xfId="2" applyFont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0" fontId="1" fillId="0" borderId="1" xfId="2" applyFill="1" applyBorder="1" applyAlignment="1">
      <alignment horizontal="center" vertical="center" wrapText="1"/>
    </xf>
    <xf numFmtId="0" fontId="12" fillId="0" borderId="1" xfId="2" applyFont="1" applyBorder="1" applyAlignment="1" applyProtection="1">
      <alignment horizontal="center"/>
      <protection locked="0"/>
    </xf>
    <xf numFmtId="0" fontId="10" fillId="0" borderId="26" xfId="2" applyFont="1" applyBorder="1" applyAlignment="1">
      <alignment horizontal="center" vertical="center" wrapText="1"/>
    </xf>
    <xf numFmtId="0" fontId="10" fillId="0" borderId="30" xfId="2" applyFont="1" applyBorder="1" applyAlignment="1">
      <alignment horizontal="center" vertical="center" wrapText="1"/>
    </xf>
    <xf numFmtId="0" fontId="10" fillId="0" borderId="27" xfId="2" applyFont="1" applyBorder="1" applyAlignment="1">
      <alignment horizontal="center" vertical="center" wrapText="1"/>
    </xf>
    <xf numFmtId="0" fontId="10" fillId="0" borderId="28" xfId="2" applyFont="1" applyBorder="1" applyAlignment="1">
      <alignment horizontal="center" vertical="center" wrapText="1"/>
    </xf>
    <xf numFmtId="0" fontId="10" fillId="0" borderId="31" xfId="2" applyFont="1" applyBorder="1" applyAlignment="1">
      <alignment horizontal="center" vertical="center" wrapText="1"/>
    </xf>
    <xf numFmtId="0" fontId="10" fillId="0" borderId="29" xfId="2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24" fillId="4" borderId="0" xfId="0" applyFont="1" applyFill="1" applyAlignment="1">
      <alignment horizontal="center"/>
    </xf>
    <xf numFmtId="0" fontId="24" fillId="4" borderId="0" xfId="0" applyFont="1" applyFill="1" applyAlignment="1">
      <alignment horizontal="center" vertical="center"/>
    </xf>
    <xf numFmtId="49" fontId="16" fillId="2" borderId="41" xfId="0" applyNumberFormat="1" applyFont="1" applyFill="1" applyBorder="1" applyAlignment="1" applyProtection="1">
      <alignment horizontal="center" vertical="center"/>
      <protection locked="0"/>
    </xf>
    <xf numFmtId="49" fontId="16" fillId="2" borderId="38" xfId="0" applyNumberFormat="1" applyFont="1" applyFill="1" applyBorder="1" applyAlignment="1" applyProtection="1">
      <alignment horizontal="center" vertical="center"/>
      <protection locked="0"/>
    </xf>
    <xf numFmtId="49" fontId="16" fillId="2" borderId="42" xfId="0" applyNumberFormat="1" applyFont="1" applyFill="1" applyBorder="1" applyAlignment="1" applyProtection="1">
      <alignment horizontal="center" vertical="center"/>
      <protection locked="0"/>
    </xf>
    <xf numFmtId="49" fontId="16" fillId="2" borderId="39" xfId="0" applyNumberFormat="1" applyFont="1" applyFill="1" applyBorder="1" applyAlignment="1" applyProtection="1">
      <alignment horizontal="center" vertical="center"/>
      <protection locked="0"/>
    </xf>
    <xf numFmtId="49" fontId="16" fillId="2" borderId="41" xfId="0" applyNumberFormat="1" applyFont="1" applyFill="1" applyBorder="1" applyAlignment="1" applyProtection="1">
      <alignment horizontal="center" vertical="center"/>
      <protection locked="0"/>
    </xf>
    <xf numFmtId="49" fontId="16" fillId="5" borderId="40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38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42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39" xfId="0" applyNumberFormat="1" applyFont="1" applyFill="1" applyBorder="1" applyAlignment="1" applyProtection="1">
      <alignment horizontal="center" vertical="center" wrapText="1"/>
      <protection locked="0"/>
    </xf>
    <xf numFmtId="49" fontId="21" fillId="0" borderId="1" xfId="0" applyNumberFormat="1" applyFont="1" applyFill="1" applyBorder="1" applyAlignment="1" applyProtection="1">
      <alignment vertical="center" wrapText="1"/>
      <protection locked="0"/>
    </xf>
    <xf numFmtId="49" fontId="25" fillId="8" borderId="3" xfId="0" applyNumberFormat="1" applyFont="1" applyFill="1" applyBorder="1" applyAlignment="1" applyProtection="1">
      <alignment horizontal="center" vertical="center" wrapText="1"/>
      <protection locked="0"/>
    </xf>
    <xf numFmtId="49" fontId="25" fillId="8" borderId="4" xfId="0" applyNumberFormat="1" applyFont="1" applyFill="1" applyBorder="1" applyAlignment="1" applyProtection="1">
      <alignment horizontal="center" vertical="center" wrapText="1"/>
      <protection locked="0"/>
    </xf>
    <xf numFmtId="49" fontId="25" fillId="8" borderId="10" xfId="0" applyNumberFormat="1" applyFont="1" applyFill="1" applyBorder="1" applyAlignment="1" applyProtection="1">
      <alignment horizontal="center" vertical="center" wrapText="1"/>
      <protection locked="0"/>
    </xf>
    <xf numFmtId="49" fontId="25" fillId="0" borderId="9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12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6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20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21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18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5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19" xfId="0" applyNumberFormat="1" applyFont="1" applyFill="1" applyBorder="1" applyAlignment="1" applyProtection="1">
      <alignment horizontal="left" vertical="center" wrapText="1"/>
      <protection locked="0"/>
    </xf>
  </cellXfs>
  <cellStyles count="6">
    <cellStyle name="Comma" xfId="1" builtinId="3"/>
    <cellStyle name="Hyperlink" xfId="3" builtinId="8"/>
    <cellStyle name="Normal" xfId="0" builtinId="0"/>
    <cellStyle name="Normal 2" xfId="2"/>
    <cellStyle name="Percent" xfId="5" builtinId="5"/>
    <cellStyle name="Percent 2" xfId="4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28574</xdr:rowOff>
    </xdr:from>
    <xdr:to>
      <xdr:col>2</xdr:col>
      <xdr:colOff>400050</xdr:colOff>
      <xdr:row>2</xdr:row>
      <xdr:rowOff>285749</xdr:rowOff>
    </xdr:to>
    <xdr:sp macro="" textlink="">
      <xdr:nvSpPr>
        <xdr:cNvPr id="2" name="Flèche : haut 5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 rot="10800000">
          <a:off x="1571625" y="409574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219075</xdr:colOff>
      <xdr:row>13</xdr:row>
      <xdr:rowOff>28574</xdr:rowOff>
    </xdr:from>
    <xdr:to>
      <xdr:col>2</xdr:col>
      <xdr:colOff>428625</xdr:colOff>
      <xdr:row>13</xdr:row>
      <xdr:rowOff>285749</xdr:rowOff>
    </xdr:to>
    <xdr:sp macro="" textlink="">
      <xdr:nvSpPr>
        <xdr:cNvPr id="3" name="Flèche : haut 5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 rot="10800000">
          <a:off x="1476375" y="2857499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61</xdr:row>
      <xdr:rowOff>47625</xdr:rowOff>
    </xdr:from>
    <xdr:to>
      <xdr:col>3</xdr:col>
      <xdr:colOff>598932</xdr:colOff>
      <xdr:row>64</xdr:row>
      <xdr:rowOff>171450</xdr:rowOff>
    </xdr:to>
    <xdr:sp macro="" textlink="">
      <xdr:nvSpPr>
        <xdr:cNvPr id="3" name="Flèche : hau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4876800" y="11925300"/>
          <a:ext cx="484632" cy="69532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257175</xdr:colOff>
      <xdr:row>4</xdr:row>
      <xdr:rowOff>247649</xdr:rowOff>
    </xdr:from>
    <xdr:to>
      <xdr:col>3</xdr:col>
      <xdr:colOff>466725</xdr:colOff>
      <xdr:row>5</xdr:row>
      <xdr:rowOff>219073</xdr:rowOff>
    </xdr:to>
    <xdr:sp macro="" textlink="">
      <xdr:nvSpPr>
        <xdr:cNvPr id="5" name="Flèche : haut 5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/>
      </xdr:nvSpPr>
      <xdr:spPr>
        <a:xfrm rot="10800000">
          <a:off x="5019675" y="1076324"/>
          <a:ext cx="209550" cy="219074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13</xdr:row>
      <xdr:rowOff>95250</xdr:rowOff>
    </xdr:from>
    <xdr:to>
      <xdr:col>3</xdr:col>
      <xdr:colOff>390525</xdr:colOff>
      <xdr:row>17</xdr:row>
      <xdr:rowOff>104775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pSpPr>
          <a:grpSpLocks noChangeAspect="1"/>
        </xdr:cNvGrpSpPr>
      </xdr:nvGrpSpPr>
      <xdr:grpSpPr>
        <a:xfrm>
          <a:off x="823383" y="2571750"/>
          <a:ext cx="1408642" cy="771525"/>
          <a:chOff x="857250" y="2600325"/>
          <a:chExt cx="1400175" cy="771525"/>
        </a:xfrm>
      </xdr:grpSpPr>
      <xdr:sp macro="" textlink="">
        <xdr:nvSpPr>
          <xdr:cNvPr id="6" name="Flowchart: Terminator 5">
            <a:extLst>
              <a:ext uri="{FF2B5EF4-FFF2-40B4-BE49-F238E27FC236}">
                <a16:creationId xmlns:a16="http://schemas.microsoft.com/office/drawing/2014/main" xmlns="" id="{00000000-0008-0000-0500-000006000000}"/>
              </a:ext>
            </a:extLst>
          </xdr:cNvPr>
          <xdr:cNvSpPr/>
        </xdr:nvSpPr>
        <xdr:spPr>
          <a:xfrm>
            <a:off x="857250" y="2657475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" name="Right Arrow 8">
            <a:extLst>
              <a:ext uri="{FF2B5EF4-FFF2-40B4-BE49-F238E27FC236}">
                <a16:creationId xmlns:a16="http://schemas.microsoft.com/office/drawing/2014/main" xmlns="" id="{00000000-0008-0000-0500-000009000000}"/>
              </a:ext>
            </a:extLst>
          </xdr:cNvPr>
          <xdr:cNvSpPr/>
        </xdr:nvSpPr>
        <xdr:spPr>
          <a:xfrm rot="10800000">
            <a:off x="1304925" y="26003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" name="Right Arrow 9">
            <a:extLst>
              <a:ext uri="{FF2B5EF4-FFF2-40B4-BE49-F238E27FC236}">
                <a16:creationId xmlns:a16="http://schemas.microsoft.com/office/drawing/2014/main" xmlns="" id="{00000000-0008-0000-0500-00000A000000}"/>
              </a:ext>
            </a:extLst>
          </xdr:cNvPr>
          <xdr:cNvSpPr/>
        </xdr:nvSpPr>
        <xdr:spPr>
          <a:xfrm>
            <a:off x="1304925" y="32480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</xdr:col>
      <xdr:colOff>228600</xdr:colOff>
      <xdr:row>4</xdr:row>
      <xdr:rowOff>76200</xdr:rowOff>
    </xdr:from>
    <xdr:to>
      <xdr:col>3</xdr:col>
      <xdr:colOff>409575</xdr:colOff>
      <xdr:row>8</xdr:row>
      <xdr:rowOff>85725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pSpPr>
          <a:grpSpLocks noChangeAspect="1"/>
        </xdr:cNvGrpSpPr>
      </xdr:nvGrpSpPr>
      <xdr:grpSpPr>
        <a:xfrm>
          <a:off x="842433" y="838200"/>
          <a:ext cx="1408642" cy="771525"/>
          <a:chOff x="990600" y="2647950"/>
          <a:chExt cx="1400175" cy="771525"/>
        </a:xfrm>
      </xdr:grpSpPr>
      <xdr:sp macro="" textlink="">
        <xdr:nvSpPr>
          <xdr:cNvPr id="13" name="Flowchart: Terminator 12">
            <a:extLst>
              <a:ext uri="{FF2B5EF4-FFF2-40B4-BE49-F238E27FC236}">
                <a16:creationId xmlns:a16="http://schemas.microsoft.com/office/drawing/2014/main" xmlns="" id="{00000000-0008-0000-0500-00000D000000}"/>
              </a:ext>
            </a:extLst>
          </xdr:cNvPr>
          <xdr:cNvSpPr/>
        </xdr:nvSpPr>
        <xdr:spPr>
          <a:xfrm>
            <a:off x="990600" y="2705100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" name="Right Arrow 13">
            <a:extLst>
              <a:ext uri="{FF2B5EF4-FFF2-40B4-BE49-F238E27FC236}">
                <a16:creationId xmlns:a16="http://schemas.microsoft.com/office/drawing/2014/main" xmlns="" id="{00000000-0008-0000-0500-00000E000000}"/>
              </a:ext>
            </a:extLst>
          </xdr:cNvPr>
          <xdr:cNvSpPr/>
        </xdr:nvSpPr>
        <xdr:spPr>
          <a:xfrm>
            <a:off x="1438275" y="26479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" name="Right Arrow 14">
            <a:extLst>
              <a:ext uri="{FF2B5EF4-FFF2-40B4-BE49-F238E27FC236}">
                <a16:creationId xmlns:a16="http://schemas.microsoft.com/office/drawing/2014/main" xmlns="" id="{00000000-0008-0000-0500-00000F000000}"/>
              </a:ext>
            </a:extLst>
          </xdr:cNvPr>
          <xdr:cNvSpPr/>
        </xdr:nvSpPr>
        <xdr:spPr>
          <a:xfrm rot="10800000">
            <a:off x="1438275" y="32956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585105</xdr:colOff>
      <xdr:row>5</xdr:row>
      <xdr:rowOff>95250</xdr:rowOff>
    </xdr:from>
    <xdr:to>
      <xdr:col>10</xdr:col>
      <xdr:colOff>566056</xdr:colOff>
      <xdr:row>7</xdr:row>
      <xdr:rowOff>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GrpSpPr>
          <a:grpSpLocks noChangeAspect="1"/>
        </xdr:cNvGrpSpPr>
      </xdr:nvGrpSpPr>
      <xdr:grpSpPr>
        <a:xfrm>
          <a:off x="6109605" y="1047750"/>
          <a:ext cx="594784" cy="285750"/>
          <a:chOff x="3371850" y="885825"/>
          <a:chExt cx="590550" cy="285750"/>
        </a:xfrm>
      </xdr:grpSpPr>
      <xdr:sp macro="" textlink="">
        <xdr:nvSpPr>
          <xdr:cNvPr id="21" name="Isosceles Triangle 20">
            <a:extLst>
              <a:ext uri="{FF2B5EF4-FFF2-40B4-BE49-F238E27FC236}">
                <a16:creationId xmlns:a16="http://schemas.microsoft.com/office/drawing/2014/main" xmlns="" id="{00000000-0008-0000-0500-000015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" name="Isosceles Triangle 21">
            <a:extLst>
              <a:ext uri="{FF2B5EF4-FFF2-40B4-BE49-F238E27FC236}">
                <a16:creationId xmlns:a16="http://schemas.microsoft.com/office/drawing/2014/main" xmlns="" id="{00000000-0008-0000-0500-000016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171450</xdr:colOff>
      <xdr:row>23</xdr:row>
      <xdr:rowOff>66675</xdr:rowOff>
    </xdr:from>
    <xdr:to>
      <xdr:col>6</xdr:col>
      <xdr:colOff>387450</xdr:colOff>
      <xdr:row>24</xdr:row>
      <xdr:rowOff>92175</xdr:rowOff>
    </xdr:to>
    <xdr:sp macro="" textlink="">
      <xdr:nvSpPr>
        <xdr:cNvPr id="25" name="Flowchart: Extract 24">
          <a:extLst>
            <a:ext uri="{FF2B5EF4-FFF2-40B4-BE49-F238E27FC236}">
              <a16:creationId xmlns:a16="http://schemas.microsoft.com/office/drawing/2014/main" xmlns="" id="{00000000-0008-0000-0500-000019000000}"/>
            </a:ext>
          </a:extLst>
        </xdr:cNvPr>
        <xdr:cNvSpPr>
          <a:spLocks noChangeAspect="1"/>
        </xdr:cNvSpPr>
      </xdr:nvSpPr>
      <xdr:spPr>
        <a:xfrm>
          <a:off x="3829050" y="4448175"/>
          <a:ext cx="216000" cy="216000"/>
        </a:xfrm>
        <a:prstGeom prst="flowChartExtra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6</xdr:col>
      <xdr:colOff>190500</xdr:colOff>
      <xdr:row>5</xdr:row>
      <xdr:rowOff>57150</xdr:rowOff>
    </xdr:from>
    <xdr:to>
      <xdr:col>6</xdr:col>
      <xdr:colOff>406500</xdr:colOff>
      <xdr:row>6</xdr:row>
      <xdr:rowOff>82650</xdr:rowOff>
    </xdr:to>
    <xdr:sp macro="" textlink="">
      <xdr:nvSpPr>
        <xdr:cNvPr id="20" name="Flowchart: Connector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SpPr>
          <a:spLocks noChangeAspect="1"/>
        </xdr:cNvSpPr>
      </xdr:nvSpPr>
      <xdr:spPr>
        <a:xfrm>
          <a:off x="3848100" y="1009650"/>
          <a:ext cx="216000" cy="216000"/>
        </a:xfrm>
        <a:prstGeom prst="flowChartConnector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9</xdr:col>
      <xdr:colOff>594630</xdr:colOff>
      <xdr:row>14</xdr:row>
      <xdr:rowOff>114300</xdr:rowOff>
    </xdr:from>
    <xdr:to>
      <xdr:col>10</xdr:col>
      <xdr:colOff>575581</xdr:colOff>
      <xdr:row>16</xdr:row>
      <xdr:rowOff>19050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xmlns="" id="{00000000-0008-0000-0500-00001F000000}"/>
            </a:ext>
          </a:extLst>
        </xdr:cNvPr>
        <xdr:cNvGrpSpPr>
          <a:grpSpLocks noChangeAspect="1"/>
        </xdr:cNvGrpSpPr>
      </xdr:nvGrpSpPr>
      <xdr:grpSpPr>
        <a:xfrm>
          <a:off x="6119130" y="2781300"/>
          <a:ext cx="594784" cy="285750"/>
          <a:chOff x="3371850" y="885825"/>
          <a:chExt cx="590550" cy="285750"/>
        </a:xfrm>
      </xdr:grpSpPr>
      <xdr:sp macro="" textlink="">
        <xdr:nvSpPr>
          <xdr:cNvPr id="32" name="Isosceles Triangle 31">
            <a:extLst>
              <a:ext uri="{FF2B5EF4-FFF2-40B4-BE49-F238E27FC236}">
                <a16:creationId xmlns:a16="http://schemas.microsoft.com/office/drawing/2014/main" xmlns="" id="{00000000-0008-0000-0500-000020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3" name="Isosceles Triangle 32">
            <a:extLst>
              <a:ext uri="{FF2B5EF4-FFF2-40B4-BE49-F238E27FC236}">
                <a16:creationId xmlns:a16="http://schemas.microsoft.com/office/drawing/2014/main" xmlns="" id="{00000000-0008-0000-0500-000021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575580</xdr:colOff>
      <xdr:row>23</xdr:row>
      <xdr:rowOff>85725</xdr:rowOff>
    </xdr:from>
    <xdr:to>
      <xdr:col>10</xdr:col>
      <xdr:colOff>556531</xdr:colOff>
      <xdr:row>24</xdr:row>
      <xdr:rowOff>180975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xmlns="" id="{00000000-0008-0000-0500-000022000000}"/>
            </a:ext>
          </a:extLst>
        </xdr:cNvPr>
        <xdr:cNvGrpSpPr>
          <a:grpSpLocks noChangeAspect="1"/>
        </xdr:cNvGrpSpPr>
      </xdr:nvGrpSpPr>
      <xdr:grpSpPr>
        <a:xfrm>
          <a:off x="6100080" y="4467225"/>
          <a:ext cx="594784" cy="285750"/>
          <a:chOff x="3371850" y="885825"/>
          <a:chExt cx="590550" cy="285750"/>
        </a:xfrm>
      </xdr:grpSpPr>
      <xdr:sp macro="" textlink="">
        <xdr:nvSpPr>
          <xdr:cNvPr id="35" name="Isosceles Triangle 34">
            <a:extLst>
              <a:ext uri="{FF2B5EF4-FFF2-40B4-BE49-F238E27FC236}">
                <a16:creationId xmlns:a16="http://schemas.microsoft.com/office/drawing/2014/main" xmlns="" id="{00000000-0008-0000-0500-000023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6" name="Isosceles Triangle 35">
            <a:extLst>
              <a:ext uri="{FF2B5EF4-FFF2-40B4-BE49-F238E27FC236}">
                <a16:creationId xmlns:a16="http://schemas.microsoft.com/office/drawing/2014/main" xmlns="" id="{00000000-0008-0000-0500-000024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10</xdr:col>
      <xdr:colOff>13605</xdr:colOff>
      <xdr:row>32</xdr:row>
      <xdr:rowOff>104774</xdr:rowOff>
    </xdr:from>
    <xdr:to>
      <xdr:col>11</xdr:col>
      <xdr:colOff>28390</xdr:colOff>
      <xdr:row>34</xdr:row>
      <xdr:rowOff>27213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xmlns="" id="{00000000-0008-0000-0500-000025000000}"/>
            </a:ext>
          </a:extLst>
        </xdr:cNvPr>
        <xdr:cNvGrpSpPr>
          <a:grpSpLocks noChangeAspect="1"/>
        </xdr:cNvGrpSpPr>
      </xdr:nvGrpSpPr>
      <xdr:grpSpPr>
        <a:xfrm>
          <a:off x="6151938" y="6200774"/>
          <a:ext cx="628619" cy="303439"/>
          <a:chOff x="3371850" y="885825"/>
          <a:chExt cx="590550" cy="285750"/>
        </a:xfrm>
      </xdr:grpSpPr>
      <xdr:sp macro="" textlink="">
        <xdr:nvSpPr>
          <xdr:cNvPr id="38" name="Isosceles Triangle 37">
            <a:extLst>
              <a:ext uri="{FF2B5EF4-FFF2-40B4-BE49-F238E27FC236}">
                <a16:creationId xmlns:a16="http://schemas.microsoft.com/office/drawing/2014/main" xmlns="" id="{00000000-0008-0000-0500-000026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9" name="Isosceles Triangle 38">
            <a:extLst>
              <a:ext uri="{FF2B5EF4-FFF2-40B4-BE49-F238E27FC236}">
                <a16:creationId xmlns:a16="http://schemas.microsoft.com/office/drawing/2014/main" xmlns="" id="{00000000-0008-0000-0500-000027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152400</xdr:colOff>
      <xdr:row>14</xdr:row>
      <xdr:rowOff>161925</xdr:rowOff>
    </xdr:from>
    <xdr:to>
      <xdr:col>6</xdr:col>
      <xdr:colOff>368400</xdr:colOff>
      <xdr:row>15</xdr:row>
      <xdr:rowOff>187425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>
        <a:xfrm>
          <a:off x="3810000" y="2828925"/>
          <a:ext cx="216000" cy="216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1</xdr:col>
      <xdr:colOff>258536</xdr:colOff>
      <xdr:row>24</xdr:row>
      <xdr:rowOff>68036</xdr:rowOff>
    </xdr:from>
    <xdr:to>
      <xdr:col>3</xdr:col>
      <xdr:colOff>381000</xdr:colOff>
      <xdr:row>24</xdr:row>
      <xdr:rowOff>81643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CxnSpPr/>
      </xdr:nvCxnSpPr>
      <xdr:spPr>
        <a:xfrm>
          <a:off x="870857" y="4640036"/>
          <a:ext cx="1347107" cy="1360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6</xdr:col>
      <xdr:colOff>40822</xdr:colOff>
      <xdr:row>32</xdr:row>
      <xdr:rowOff>122464</xdr:rowOff>
    </xdr:from>
    <xdr:ext cx="489749" cy="280205"/>
    <xdr:sp macro="" textlink="" fLocksText="0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 txBox="1"/>
      </xdr:nvSpPr>
      <xdr:spPr>
        <a:xfrm>
          <a:off x="3714751" y="6218464"/>
          <a:ext cx="48974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TEXT</a:t>
          </a:r>
        </a:p>
      </xdr:txBody>
    </xdr:sp>
    <xdr:clientData fLocksWithSheet="0"/>
  </xdr:oneCellAnchor>
  <xdr:twoCellAnchor>
    <xdr:from>
      <xdr:col>13</xdr:col>
      <xdr:colOff>254824</xdr:colOff>
      <xdr:row>15</xdr:row>
      <xdr:rowOff>71746</xdr:rowOff>
    </xdr:from>
    <xdr:to>
      <xdr:col>17</xdr:col>
      <xdr:colOff>326585</xdr:colOff>
      <xdr:row>19</xdr:row>
      <xdr:rowOff>76759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xmlns="" id="{00000000-0008-0000-0500-00003E000000}"/>
            </a:ext>
          </a:extLst>
        </xdr:cNvPr>
        <xdr:cNvGrpSpPr/>
      </xdr:nvGrpSpPr>
      <xdr:grpSpPr>
        <a:xfrm>
          <a:off x="8234657" y="2929246"/>
          <a:ext cx="2643511" cy="767013"/>
          <a:chOff x="16598631" y="2731851"/>
          <a:chExt cx="2521046" cy="767013"/>
        </a:xfrm>
      </xdr:grpSpPr>
      <xdr:sp macro="" textlink="">
        <xdr:nvSpPr>
          <xdr:cNvPr id="63" name="Line 439">
            <a:extLst>
              <a:ext uri="{FF2B5EF4-FFF2-40B4-BE49-F238E27FC236}">
                <a16:creationId xmlns:a16="http://schemas.microsoft.com/office/drawing/2014/main" xmlns="" id="{00000000-0008-0000-0500-00003F000000}"/>
              </a:ext>
            </a:extLst>
          </xdr:cNvPr>
          <xdr:cNvSpPr>
            <a:spLocks noChangeShapeType="1"/>
          </xdr:cNvSpPr>
        </xdr:nvSpPr>
        <xdr:spPr bwMode="auto">
          <a:xfrm>
            <a:off x="17104459" y="3108069"/>
            <a:ext cx="48208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4" name="Line 440">
            <a:extLst>
              <a:ext uri="{FF2B5EF4-FFF2-40B4-BE49-F238E27FC236}">
                <a16:creationId xmlns:a16="http://schemas.microsoft.com/office/drawing/2014/main" xmlns="" id="{00000000-0008-0000-0500-00004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598631" y="3493411"/>
            <a:ext cx="716639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Line 441">
            <a:extLst>
              <a:ext uri="{FF2B5EF4-FFF2-40B4-BE49-F238E27FC236}">
                <a16:creationId xmlns:a16="http://schemas.microsoft.com/office/drawing/2014/main" xmlns="" id="{00000000-0008-0000-0500-000041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7320247" y="2731851"/>
            <a:ext cx="542168" cy="7620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442">
            <a:extLst>
              <a:ext uri="{FF2B5EF4-FFF2-40B4-BE49-F238E27FC236}">
                <a16:creationId xmlns:a16="http://schemas.microsoft.com/office/drawing/2014/main" xmlns="" id="{00000000-0008-0000-05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17862415" y="2731851"/>
            <a:ext cx="540034" cy="76701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7" name="Oval 446">
            <a:extLst>
              <a:ext uri="{FF2B5EF4-FFF2-40B4-BE49-F238E27FC236}">
                <a16:creationId xmlns:a16="http://schemas.microsoft.com/office/drawing/2014/main" xmlns="" id="{00000000-0008-0000-0500-000043000000}"/>
              </a:ext>
            </a:extLst>
          </xdr:cNvPr>
          <xdr:cNvSpPr>
            <a:spLocks noChangeArrowheads="1"/>
          </xdr:cNvSpPr>
        </xdr:nvSpPr>
        <xdr:spPr bwMode="auto">
          <a:xfrm>
            <a:off x="17722460" y="2877499"/>
            <a:ext cx="276555" cy="296943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8" name="Rectangle 447">
            <a:extLst>
              <a:ext uri="{FF2B5EF4-FFF2-40B4-BE49-F238E27FC236}">
                <a16:creationId xmlns:a16="http://schemas.microsoft.com/office/drawing/2014/main" xmlns="" id="{00000000-0008-0000-0500-000044000000}"/>
              </a:ext>
            </a:extLst>
          </xdr:cNvPr>
          <xdr:cNvSpPr>
            <a:spLocks noChangeArrowheads="1"/>
          </xdr:cNvSpPr>
        </xdr:nvSpPr>
        <xdr:spPr bwMode="auto">
          <a:xfrm>
            <a:off x="17535501" y="3181734"/>
            <a:ext cx="650029" cy="25107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9" name="Line 439">
            <a:extLst>
              <a:ext uri="{FF2B5EF4-FFF2-40B4-BE49-F238E27FC236}">
                <a16:creationId xmlns:a16="http://schemas.microsoft.com/office/drawing/2014/main" xmlns="" id="{00000000-0008-0000-0500-000045000000}"/>
              </a:ext>
            </a:extLst>
          </xdr:cNvPr>
          <xdr:cNvSpPr>
            <a:spLocks noChangeShapeType="1"/>
          </xdr:cNvSpPr>
        </xdr:nvSpPr>
        <xdr:spPr bwMode="auto">
          <a:xfrm>
            <a:off x="18266489" y="3301882"/>
            <a:ext cx="48535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0" name="Line 439">
            <a:extLst>
              <a:ext uri="{FF2B5EF4-FFF2-40B4-BE49-F238E27FC236}">
                <a16:creationId xmlns:a16="http://schemas.microsoft.com/office/drawing/2014/main" xmlns="" id="{00000000-0008-0000-0500-000046000000}"/>
              </a:ext>
            </a:extLst>
          </xdr:cNvPr>
          <xdr:cNvSpPr>
            <a:spLocks noChangeShapeType="1"/>
          </xdr:cNvSpPr>
        </xdr:nvSpPr>
        <xdr:spPr bwMode="auto">
          <a:xfrm>
            <a:off x="17999698" y="2924190"/>
            <a:ext cx="48187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Line 440">
            <a:extLst>
              <a:ext uri="{FF2B5EF4-FFF2-40B4-BE49-F238E27FC236}">
                <a16:creationId xmlns:a16="http://schemas.microsoft.com/office/drawing/2014/main" xmlns="" id="{00000000-0008-0000-0500-000047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401358" y="3492478"/>
            <a:ext cx="718319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14</xdr:col>
      <xdr:colOff>192855</xdr:colOff>
      <xdr:row>4</xdr:row>
      <xdr:rowOff>107620</xdr:rowOff>
    </xdr:from>
    <xdr:to>
      <xdr:col>16</xdr:col>
      <xdr:colOff>318712</xdr:colOff>
      <xdr:row>8</xdr:row>
      <xdr:rowOff>114651</xdr:rowOff>
    </xdr:to>
    <xdr:grpSp>
      <xdr:nvGrpSpPr>
        <xdr:cNvPr id="3" name="Group 2"/>
        <xdr:cNvGrpSpPr/>
      </xdr:nvGrpSpPr>
      <xdr:grpSpPr>
        <a:xfrm>
          <a:off x="8786522" y="869620"/>
          <a:ext cx="1469940" cy="769031"/>
          <a:chOff x="8488264" y="843643"/>
          <a:chExt cx="1381425" cy="769031"/>
        </a:xfrm>
      </xdr:grpSpPr>
      <xdr:sp macro="" textlink="">
        <xdr:nvSpPr>
          <xdr:cNvPr id="80" name="Line 440">
            <a:extLst>
              <a:ext uri="{FF2B5EF4-FFF2-40B4-BE49-F238E27FC236}">
                <a16:creationId xmlns:a16="http://schemas.microsoft.com/office/drawing/2014/main" xmlns="" id="{00000000-0008-0000-0500-00005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85405" y="845170"/>
            <a:ext cx="1119832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8" name="Line 439">
            <a:extLst>
              <a:ext uri="{FF2B5EF4-FFF2-40B4-BE49-F238E27FC236}">
                <a16:creationId xmlns:a16="http://schemas.microsoft.com/office/drawing/2014/main" xmlns="" id="{00000000-0008-0000-0500-000058000000}"/>
              </a:ext>
            </a:extLst>
          </xdr:cNvPr>
          <xdr:cNvSpPr>
            <a:spLocks noChangeShapeType="1"/>
          </xdr:cNvSpPr>
        </xdr:nvSpPr>
        <xdr:spPr bwMode="auto">
          <a:xfrm>
            <a:off x="8488264" y="1406106"/>
            <a:ext cx="94153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9" name="Line 439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SpPr>
            <a:spLocks noChangeShapeType="1"/>
          </xdr:cNvSpPr>
        </xdr:nvSpPr>
        <xdr:spPr bwMode="auto">
          <a:xfrm>
            <a:off x="8931616" y="1028414"/>
            <a:ext cx="93807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0" name="Line 440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99037" y="1612234"/>
            <a:ext cx="1119832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4" name="Line 441">
            <a:extLst>
              <a:ext uri="{FF2B5EF4-FFF2-40B4-BE49-F238E27FC236}">
                <a16:creationId xmlns:a16="http://schemas.microsoft.com/office/drawing/2014/main" xmlns="" id="{00000000-0008-0000-0500-00005E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8604331" y="843643"/>
            <a:ext cx="1102509" cy="76608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hecksix-fr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abSelected="1" showRuler="0" zoomScale="70" zoomScaleNormal="70" zoomScalePageLayoutView="60" workbookViewId="0">
      <selection activeCell="A42" activeCellId="3" sqref="A18:R21 A26:R29 A34:R37 A42:R45"/>
    </sheetView>
  </sheetViews>
  <sheetFormatPr defaultColWidth="5.42578125" defaultRowHeight="15" customHeight="1" x14ac:dyDescent="0.3"/>
  <cols>
    <col min="1" max="1" width="5.42578125" style="58" customWidth="1"/>
    <col min="2" max="16384" width="5.42578125" style="58"/>
  </cols>
  <sheetData>
    <row r="1" spans="1:23" ht="35.25" customHeight="1" x14ac:dyDescent="0.3">
      <c r="A1" s="143" t="s">
        <v>252</v>
      </c>
      <c r="B1" s="143"/>
      <c r="C1" s="143"/>
      <c r="D1" s="143"/>
      <c r="E1" s="143"/>
      <c r="F1" s="143"/>
      <c r="G1" s="144" t="s">
        <v>0</v>
      </c>
      <c r="H1" s="144"/>
      <c r="I1" s="144"/>
      <c r="J1" s="144"/>
      <c r="K1" s="144"/>
      <c r="L1" s="144"/>
      <c r="M1" s="145" t="s">
        <v>253</v>
      </c>
      <c r="N1" s="145"/>
      <c r="O1" s="145"/>
      <c r="P1" s="145"/>
      <c r="Q1" s="145"/>
      <c r="R1" s="145"/>
    </row>
    <row r="2" spans="1:23" ht="15" customHeight="1" x14ac:dyDescent="0.3">
      <c r="A2" s="126" t="s">
        <v>19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8"/>
    </row>
    <row r="3" spans="1:23" ht="15" customHeight="1" x14ac:dyDescent="0.3">
      <c r="A3" s="115" t="s">
        <v>20</v>
      </c>
      <c r="B3" s="131"/>
      <c r="C3" s="131"/>
      <c r="D3" s="116"/>
      <c r="E3" s="115" t="s">
        <v>21</v>
      </c>
      <c r="F3" s="131"/>
      <c r="G3" s="131"/>
      <c r="H3" s="116"/>
      <c r="I3" s="115" t="s">
        <v>22</v>
      </c>
      <c r="J3" s="131"/>
      <c r="K3" s="131"/>
      <c r="L3" s="116"/>
      <c r="M3" s="115" t="s">
        <v>23</v>
      </c>
      <c r="N3" s="131"/>
      <c r="O3" s="131"/>
      <c r="P3" s="116"/>
      <c r="Q3" s="115" t="s">
        <v>232</v>
      </c>
      <c r="R3" s="116"/>
    </row>
    <row r="4" spans="1:23" ht="15" customHeight="1" x14ac:dyDescent="0.3">
      <c r="A4" s="160" t="s">
        <v>254</v>
      </c>
      <c r="B4" s="161"/>
      <c r="C4" s="161"/>
      <c r="D4" s="162"/>
      <c r="E4" s="160" t="s">
        <v>259</v>
      </c>
      <c r="F4" s="161"/>
      <c r="G4" s="161"/>
      <c r="H4" s="162"/>
      <c r="I4" s="160" t="s">
        <v>184</v>
      </c>
      <c r="J4" s="161"/>
      <c r="K4" s="161"/>
      <c r="L4" s="162"/>
      <c r="M4" s="169" t="s">
        <v>5</v>
      </c>
      <c r="N4" s="170"/>
      <c r="O4" s="156">
        <f>'Fuel Planning'!C22</f>
        <v>7700</v>
      </c>
      <c r="P4" s="157"/>
      <c r="Q4" s="146"/>
      <c r="R4" s="147"/>
    </row>
    <row r="5" spans="1:23" ht="15" customHeight="1" x14ac:dyDescent="0.3">
      <c r="A5" s="163"/>
      <c r="B5" s="164"/>
      <c r="C5" s="164"/>
      <c r="D5" s="165"/>
      <c r="E5" s="163"/>
      <c r="F5" s="164"/>
      <c r="G5" s="164"/>
      <c r="H5" s="165"/>
      <c r="I5" s="163"/>
      <c r="J5" s="164"/>
      <c r="K5" s="164"/>
      <c r="L5" s="165"/>
      <c r="M5" s="152" t="s">
        <v>2</v>
      </c>
      <c r="N5" s="153"/>
      <c r="O5" s="158">
        <f>'Fuel Planning'!C17</f>
        <v>3500</v>
      </c>
      <c r="P5" s="149"/>
      <c r="Q5" s="148"/>
      <c r="R5" s="149"/>
    </row>
    <row r="6" spans="1:23" ht="15" customHeight="1" x14ac:dyDescent="0.3">
      <c r="A6" s="163"/>
      <c r="B6" s="164"/>
      <c r="C6" s="164"/>
      <c r="D6" s="165"/>
      <c r="E6" s="163"/>
      <c r="F6" s="164"/>
      <c r="G6" s="164"/>
      <c r="H6" s="165"/>
      <c r="I6" s="163"/>
      <c r="J6" s="164"/>
      <c r="K6" s="164"/>
      <c r="L6" s="165"/>
      <c r="M6" s="152" t="s">
        <v>3</v>
      </c>
      <c r="N6" s="153"/>
      <c r="O6" s="158">
        <f>'Fuel Planning'!C16</f>
        <v>2000</v>
      </c>
      <c r="P6" s="149"/>
      <c r="Q6" s="148"/>
      <c r="R6" s="149"/>
    </row>
    <row r="7" spans="1:23" ht="15" customHeight="1" x14ac:dyDescent="0.3">
      <c r="A7" s="166"/>
      <c r="B7" s="167"/>
      <c r="C7" s="167"/>
      <c r="D7" s="168"/>
      <c r="E7" s="166"/>
      <c r="F7" s="167"/>
      <c r="G7" s="167"/>
      <c r="H7" s="168"/>
      <c r="I7" s="166"/>
      <c r="J7" s="167"/>
      <c r="K7" s="167"/>
      <c r="L7" s="168"/>
      <c r="M7" s="154" t="s">
        <v>4</v>
      </c>
      <c r="N7" s="155"/>
      <c r="O7" s="159">
        <f>'Fuel Planning'!C15</f>
        <v>1500</v>
      </c>
      <c r="P7" s="151"/>
      <c r="Q7" s="150"/>
      <c r="R7" s="151"/>
    </row>
    <row r="8" spans="1:23" ht="15" customHeight="1" x14ac:dyDescent="0.3">
      <c r="A8" s="132" t="s">
        <v>107</v>
      </c>
      <c r="B8" s="132"/>
      <c r="C8" s="132" t="s">
        <v>108</v>
      </c>
      <c r="D8" s="132"/>
      <c r="E8" s="132"/>
      <c r="F8" s="132" t="s">
        <v>29</v>
      </c>
      <c r="G8" s="132"/>
      <c r="H8" s="132"/>
      <c r="I8" s="115" t="s">
        <v>30</v>
      </c>
      <c r="J8" s="131"/>
      <c r="K8" s="131"/>
      <c r="L8" s="131"/>
      <c r="M8" s="131"/>
      <c r="N8" s="131"/>
      <c r="O8" s="131"/>
      <c r="P8" s="131"/>
      <c r="Q8" s="131"/>
      <c r="R8" s="59" t="s">
        <v>112</v>
      </c>
    </row>
    <row r="9" spans="1:23" ht="15" customHeight="1" x14ac:dyDescent="0.3">
      <c r="A9" s="172">
        <v>51</v>
      </c>
      <c r="B9" s="172"/>
      <c r="C9" s="134" t="s">
        <v>255</v>
      </c>
      <c r="D9" s="134"/>
      <c r="E9" s="134"/>
      <c r="F9" s="134" t="s">
        <v>129</v>
      </c>
      <c r="G9" s="134"/>
      <c r="H9" s="134"/>
      <c r="I9" s="138" t="s">
        <v>258</v>
      </c>
      <c r="J9" s="139"/>
      <c r="K9" s="139"/>
      <c r="L9" s="139"/>
      <c r="M9" s="139"/>
      <c r="N9" s="139"/>
      <c r="O9" s="139"/>
      <c r="P9" s="139"/>
      <c r="Q9" s="140"/>
      <c r="R9" s="57" t="s">
        <v>256</v>
      </c>
    </row>
    <row r="10" spans="1:23" ht="15" customHeight="1" x14ac:dyDescent="0.3">
      <c r="A10" s="129"/>
      <c r="B10" s="129"/>
      <c r="C10" s="129"/>
      <c r="D10" s="129"/>
      <c r="E10" s="129"/>
      <c r="F10" s="129"/>
      <c r="G10" s="129"/>
      <c r="H10" s="129"/>
      <c r="I10" s="135"/>
      <c r="J10" s="136"/>
      <c r="K10" s="136"/>
      <c r="L10" s="136"/>
      <c r="M10" s="136"/>
      <c r="N10" s="136"/>
      <c r="O10" s="136"/>
      <c r="P10" s="136"/>
      <c r="Q10" s="137"/>
      <c r="R10" s="55" t="s">
        <v>257</v>
      </c>
      <c r="W10" s="58">
        <f>51+63</f>
        <v>114</v>
      </c>
    </row>
    <row r="11" spans="1:23" ht="15" customHeight="1" x14ac:dyDescent="0.3">
      <c r="A11" s="141"/>
      <c r="B11" s="141"/>
      <c r="C11" s="141"/>
      <c r="D11" s="141"/>
      <c r="E11" s="141"/>
      <c r="F11" s="141"/>
      <c r="G11" s="141"/>
      <c r="H11" s="141"/>
      <c r="I11" s="173"/>
      <c r="J11" s="174"/>
      <c r="K11" s="174"/>
      <c r="L11" s="174"/>
      <c r="M11" s="174"/>
      <c r="N11" s="174"/>
      <c r="O11" s="174"/>
      <c r="P11" s="174"/>
      <c r="Q11" s="175"/>
      <c r="R11" s="56"/>
    </row>
    <row r="12" spans="1:23" ht="15" customHeight="1" x14ac:dyDescent="0.3">
      <c r="A12" s="207"/>
      <c r="B12" s="207"/>
      <c r="C12" s="207"/>
      <c r="D12" s="207"/>
      <c r="E12" s="207"/>
      <c r="F12" s="207"/>
      <c r="G12" s="207"/>
      <c r="H12" s="207"/>
      <c r="I12" s="208"/>
      <c r="J12" s="209"/>
      <c r="K12" s="209"/>
      <c r="L12" s="209"/>
      <c r="M12" s="209"/>
      <c r="N12" s="209"/>
      <c r="O12" s="209"/>
      <c r="P12" s="209"/>
      <c r="Q12" s="210"/>
      <c r="R12" s="211"/>
    </row>
    <row r="13" spans="1:23" ht="15" customHeight="1" x14ac:dyDescent="0.3">
      <c r="A13" s="117" t="s">
        <v>247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9"/>
    </row>
    <row r="14" spans="1:23" ht="15" customHeight="1" x14ac:dyDescent="0.3">
      <c r="A14" s="217" t="s">
        <v>248</v>
      </c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9"/>
    </row>
    <row r="15" spans="1:23" ht="15" customHeight="1" x14ac:dyDescent="0.3">
      <c r="A15" s="130" t="s">
        <v>115</v>
      </c>
      <c r="B15" s="130"/>
      <c r="C15" s="130"/>
      <c r="D15" s="120" t="s">
        <v>260</v>
      </c>
      <c r="E15" s="121"/>
      <c r="F15" s="121"/>
      <c r="G15" s="121"/>
      <c r="H15" s="121"/>
      <c r="I15" s="122"/>
      <c r="J15" s="176" t="s">
        <v>262</v>
      </c>
      <c r="K15" s="176"/>
      <c r="L15" s="176"/>
      <c r="M15" s="176"/>
      <c r="N15" s="176"/>
      <c r="O15" s="176"/>
      <c r="P15" s="176"/>
      <c r="Q15" s="176"/>
      <c r="R15" s="177"/>
    </row>
    <row r="16" spans="1:23" ht="15" customHeight="1" x14ac:dyDescent="0.3">
      <c r="A16" s="130" t="s">
        <v>116</v>
      </c>
      <c r="B16" s="130"/>
      <c r="C16" s="130"/>
      <c r="D16" s="123"/>
      <c r="E16" s="124"/>
      <c r="F16" s="124"/>
      <c r="G16" s="124"/>
      <c r="H16" s="124"/>
      <c r="I16" s="125"/>
      <c r="J16" s="178"/>
      <c r="K16" s="178"/>
      <c r="L16" s="178"/>
      <c r="M16" s="178"/>
      <c r="N16" s="178"/>
      <c r="O16" s="178"/>
      <c r="P16" s="178"/>
      <c r="Q16" s="178"/>
      <c r="R16" s="179"/>
    </row>
    <row r="17" spans="1:18" ht="15" customHeight="1" x14ac:dyDescent="0.3">
      <c r="A17" s="212" t="s">
        <v>117</v>
      </c>
      <c r="B17" s="212"/>
      <c r="C17" s="212"/>
      <c r="D17" s="213" t="s">
        <v>261</v>
      </c>
      <c r="E17" s="214"/>
      <c r="F17" s="214"/>
      <c r="G17" s="214"/>
      <c r="H17" s="214"/>
      <c r="I17" s="215"/>
      <c r="J17" s="178"/>
      <c r="K17" s="178"/>
      <c r="L17" s="178"/>
      <c r="M17" s="178"/>
      <c r="N17" s="178"/>
      <c r="O17" s="178"/>
      <c r="P17" s="178"/>
      <c r="Q17" s="178"/>
      <c r="R17" s="179"/>
    </row>
    <row r="18" spans="1:18" ht="15" customHeight="1" x14ac:dyDescent="0.3">
      <c r="A18" s="226" t="s">
        <v>265</v>
      </c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1"/>
    </row>
    <row r="19" spans="1:18" ht="15" customHeight="1" x14ac:dyDescent="0.3">
      <c r="A19" s="227"/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3"/>
    </row>
    <row r="20" spans="1:18" ht="15" customHeight="1" x14ac:dyDescent="0.3">
      <c r="A20" s="227"/>
      <c r="B20" s="222"/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222"/>
      <c r="Q20" s="222"/>
      <c r="R20" s="223"/>
    </row>
    <row r="21" spans="1:18" ht="15" customHeight="1" x14ac:dyDescent="0.3">
      <c r="A21" s="228"/>
      <c r="B21" s="224"/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225"/>
    </row>
    <row r="22" spans="1:18" ht="15" customHeight="1" x14ac:dyDescent="0.3">
      <c r="A22" s="217" t="s">
        <v>249</v>
      </c>
      <c r="B22" s="218"/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9"/>
    </row>
    <row r="23" spans="1:18" ht="15" customHeight="1" x14ac:dyDescent="0.3">
      <c r="A23" s="130" t="s">
        <v>115</v>
      </c>
      <c r="B23" s="130"/>
      <c r="C23" s="130"/>
      <c r="D23" s="120" t="s">
        <v>263</v>
      </c>
      <c r="E23" s="121"/>
      <c r="F23" s="121"/>
      <c r="G23" s="121"/>
      <c r="H23" s="121"/>
      <c r="I23" s="122"/>
      <c r="J23" s="176" t="s">
        <v>266</v>
      </c>
      <c r="K23" s="176"/>
      <c r="L23" s="176"/>
      <c r="M23" s="176"/>
      <c r="N23" s="176"/>
      <c r="O23" s="176"/>
      <c r="P23" s="176"/>
      <c r="Q23" s="176"/>
      <c r="R23" s="177"/>
    </row>
    <row r="24" spans="1:18" ht="15" customHeight="1" x14ac:dyDescent="0.3">
      <c r="A24" s="130" t="s">
        <v>116</v>
      </c>
      <c r="B24" s="130"/>
      <c r="C24" s="130"/>
      <c r="D24" s="123"/>
      <c r="E24" s="124"/>
      <c r="F24" s="124"/>
      <c r="G24" s="124"/>
      <c r="H24" s="124"/>
      <c r="I24" s="125"/>
      <c r="J24" s="178"/>
      <c r="K24" s="178"/>
      <c r="L24" s="178"/>
      <c r="M24" s="178"/>
      <c r="N24" s="178"/>
      <c r="O24" s="178"/>
      <c r="P24" s="178"/>
      <c r="Q24" s="178"/>
      <c r="R24" s="179"/>
    </row>
    <row r="25" spans="1:18" ht="15" customHeight="1" x14ac:dyDescent="0.3">
      <c r="A25" s="212" t="s">
        <v>117</v>
      </c>
      <c r="B25" s="212"/>
      <c r="C25" s="212"/>
      <c r="D25" s="213" t="s">
        <v>264</v>
      </c>
      <c r="E25" s="214"/>
      <c r="F25" s="214"/>
      <c r="G25" s="214"/>
      <c r="H25" s="214"/>
      <c r="I25" s="215"/>
      <c r="J25" s="178"/>
      <c r="K25" s="178"/>
      <c r="L25" s="178"/>
      <c r="M25" s="178"/>
      <c r="N25" s="178"/>
      <c r="O25" s="178"/>
      <c r="P25" s="178"/>
      <c r="Q25" s="178"/>
      <c r="R25" s="179"/>
    </row>
    <row r="26" spans="1:18" ht="15" customHeight="1" x14ac:dyDescent="0.3">
      <c r="A26" s="226" t="s">
        <v>269</v>
      </c>
      <c r="B26" s="220"/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1"/>
    </row>
    <row r="27" spans="1:18" ht="15" customHeight="1" x14ac:dyDescent="0.3">
      <c r="A27" s="227"/>
      <c r="B27" s="222"/>
      <c r="C27" s="222"/>
      <c r="D27" s="222"/>
      <c r="E27" s="222"/>
      <c r="F27" s="222"/>
      <c r="G27" s="222"/>
      <c r="H27" s="222"/>
      <c r="I27" s="222"/>
      <c r="J27" s="222"/>
      <c r="K27" s="222"/>
      <c r="L27" s="222"/>
      <c r="M27" s="222"/>
      <c r="N27" s="222"/>
      <c r="O27" s="222"/>
      <c r="P27" s="222"/>
      <c r="Q27" s="222"/>
      <c r="R27" s="223"/>
    </row>
    <row r="28" spans="1:18" ht="15" customHeight="1" x14ac:dyDescent="0.3">
      <c r="A28" s="227"/>
      <c r="B28" s="222"/>
      <c r="C28" s="222"/>
      <c r="D28" s="222"/>
      <c r="E28" s="222"/>
      <c r="F28" s="222"/>
      <c r="G28" s="222"/>
      <c r="H28" s="222"/>
      <c r="I28" s="222"/>
      <c r="J28" s="222"/>
      <c r="K28" s="222"/>
      <c r="L28" s="222"/>
      <c r="M28" s="222"/>
      <c r="N28" s="222"/>
      <c r="O28" s="222"/>
      <c r="P28" s="222"/>
      <c r="Q28" s="222"/>
      <c r="R28" s="223"/>
    </row>
    <row r="29" spans="1:18" ht="15" customHeight="1" x14ac:dyDescent="0.3">
      <c r="A29" s="228"/>
      <c r="B29" s="224"/>
      <c r="C29" s="224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24"/>
      <c r="Q29" s="224"/>
      <c r="R29" s="225"/>
    </row>
    <row r="30" spans="1:18" ht="15" customHeight="1" x14ac:dyDescent="0.3">
      <c r="A30" s="217" t="s">
        <v>250</v>
      </c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9"/>
    </row>
    <row r="31" spans="1:18" ht="15" customHeight="1" x14ac:dyDescent="0.3">
      <c r="A31" s="130" t="s">
        <v>115</v>
      </c>
      <c r="B31" s="130"/>
      <c r="C31" s="130"/>
      <c r="D31" s="120" t="s">
        <v>263</v>
      </c>
      <c r="E31" s="121"/>
      <c r="F31" s="121"/>
      <c r="G31" s="121"/>
      <c r="H31" s="121"/>
      <c r="I31" s="122"/>
      <c r="J31" s="176" t="s">
        <v>268</v>
      </c>
      <c r="K31" s="176"/>
      <c r="L31" s="176"/>
      <c r="M31" s="176"/>
      <c r="N31" s="176"/>
      <c r="O31" s="176"/>
      <c r="P31" s="176"/>
      <c r="Q31" s="176"/>
      <c r="R31" s="177"/>
    </row>
    <row r="32" spans="1:18" ht="15" customHeight="1" x14ac:dyDescent="0.3">
      <c r="A32" s="130" t="s">
        <v>116</v>
      </c>
      <c r="B32" s="130"/>
      <c r="C32" s="130"/>
      <c r="D32" s="123"/>
      <c r="E32" s="124"/>
      <c r="F32" s="124"/>
      <c r="G32" s="124"/>
      <c r="H32" s="124"/>
      <c r="I32" s="125"/>
      <c r="J32" s="178"/>
      <c r="K32" s="178"/>
      <c r="L32" s="178"/>
      <c r="M32" s="178"/>
      <c r="N32" s="178"/>
      <c r="O32" s="178"/>
      <c r="P32" s="178"/>
      <c r="Q32" s="178"/>
      <c r="R32" s="179"/>
    </row>
    <row r="33" spans="1:18" ht="15" customHeight="1" x14ac:dyDescent="0.3">
      <c r="A33" s="212" t="s">
        <v>117</v>
      </c>
      <c r="B33" s="212"/>
      <c r="C33" s="212"/>
      <c r="D33" s="213" t="s">
        <v>267</v>
      </c>
      <c r="E33" s="214"/>
      <c r="F33" s="214"/>
      <c r="G33" s="214"/>
      <c r="H33" s="214"/>
      <c r="I33" s="215"/>
      <c r="J33" s="178"/>
      <c r="K33" s="178"/>
      <c r="L33" s="178"/>
      <c r="M33" s="178"/>
      <c r="N33" s="178"/>
      <c r="O33" s="178"/>
      <c r="P33" s="178"/>
      <c r="Q33" s="178"/>
      <c r="R33" s="179"/>
    </row>
    <row r="34" spans="1:18" ht="15" customHeight="1" x14ac:dyDescent="0.3">
      <c r="A34" s="226" t="s">
        <v>270</v>
      </c>
      <c r="B34" s="220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20"/>
      <c r="O34" s="220"/>
      <c r="P34" s="220"/>
      <c r="Q34" s="220"/>
      <c r="R34" s="221"/>
    </row>
    <row r="35" spans="1:18" ht="15" customHeight="1" x14ac:dyDescent="0.3">
      <c r="A35" s="227"/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3"/>
    </row>
    <row r="36" spans="1:18" ht="15" customHeight="1" x14ac:dyDescent="0.3">
      <c r="A36" s="227"/>
      <c r="B36" s="222"/>
      <c r="C36" s="222"/>
      <c r="D36" s="222"/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3"/>
    </row>
    <row r="37" spans="1:18" ht="15" customHeight="1" x14ac:dyDescent="0.3">
      <c r="A37" s="228"/>
      <c r="B37" s="224"/>
      <c r="C37" s="224"/>
      <c r="D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4"/>
      <c r="Q37" s="224"/>
      <c r="R37" s="225"/>
    </row>
    <row r="38" spans="1:18" ht="15" customHeight="1" x14ac:dyDescent="0.3">
      <c r="A38" s="217" t="s">
        <v>251</v>
      </c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9"/>
    </row>
    <row r="39" spans="1:18" ht="15" customHeight="1" x14ac:dyDescent="0.3">
      <c r="A39" s="130" t="s">
        <v>115</v>
      </c>
      <c r="B39" s="130"/>
      <c r="C39" s="130"/>
      <c r="D39" s="120" t="s">
        <v>271</v>
      </c>
      <c r="E39" s="121"/>
      <c r="F39" s="121"/>
      <c r="G39" s="121"/>
      <c r="H39" s="121"/>
      <c r="I39" s="122"/>
      <c r="J39" s="176" t="s">
        <v>273</v>
      </c>
      <c r="K39" s="176"/>
      <c r="L39" s="176"/>
      <c r="M39" s="176"/>
      <c r="N39" s="176"/>
      <c r="O39" s="176"/>
      <c r="P39" s="176"/>
      <c r="Q39" s="176"/>
      <c r="R39" s="177"/>
    </row>
    <row r="40" spans="1:18" ht="15" customHeight="1" x14ac:dyDescent="0.3">
      <c r="A40" s="130" t="s">
        <v>116</v>
      </c>
      <c r="B40" s="130"/>
      <c r="C40" s="130"/>
      <c r="D40" s="123"/>
      <c r="E40" s="124"/>
      <c r="F40" s="124"/>
      <c r="G40" s="124"/>
      <c r="H40" s="124"/>
      <c r="I40" s="125"/>
      <c r="J40" s="178"/>
      <c r="K40" s="178"/>
      <c r="L40" s="178"/>
      <c r="M40" s="178"/>
      <c r="N40" s="178"/>
      <c r="O40" s="178"/>
      <c r="P40" s="178"/>
      <c r="Q40" s="178"/>
      <c r="R40" s="179"/>
    </row>
    <row r="41" spans="1:18" ht="15" customHeight="1" x14ac:dyDescent="0.3">
      <c r="A41" s="212" t="s">
        <v>117</v>
      </c>
      <c r="B41" s="212"/>
      <c r="C41" s="212"/>
      <c r="D41" s="213" t="s">
        <v>272</v>
      </c>
      <c r="E41" s="214"/>
      <c r="F41" s="214"/>
      <c r="G41" s="214"/>
      <c r="H41" s="214"/>
      <c r="I41" s="215"/>
      <c r="J41" s="178"/>
      <c r="K41" s="178"/>
      <c r="L41" s="178"/>
      <c r="M41" s="178"/>
      <c r="N41" s="178"/>
      <c r="O41" s="178"/>
      <c r="P41" s="178"/>
      <c r="Q41" s="178"/>
      <c r="R41" s="179"/>
    </row>
    <row r="42" spans="1:18" ht="15" customHeight="1" x14ac:dyDescent="0.3">
      <c r="A42" s="226" t="s">
        <v>274</v>
      </c>
      <c r="B42" s="220"/>
      <c r="C42" s="220"/>
      <c r="D42" s="220"/>
      <c r="E42" s="220"/>
      <c r="F42" s="220"/>
      <c r="G42" s="220"/>
      <c r="H42" s="220"/>
      <c r="I42" s="220"/>
      <c r="J42" s="220"/>
      <c r="K42" s="220"/>
      <c r="L42" s="220"/>
      <c r="M42" s="220"/>
      <c r="N42" s="220"/>
      <c r="O42" s="220"/>
      <c r="P42" s="220"/>
      <c r="Q42" s="220"/>
      <c r="R42" s="221"/>
    </row>
    <row r="43" spans="1:18" ht="15" customHeight="1" x14ac:dyDescent="0.3">
      <c r="A43" s="227"/>
      <c r="B43" s="222"/>
      <c r="C43" s="222"/>
      <c r="D43" s="222"/>
      <c r="E43" s="222"/>
      <c r="F43" s="222"/>
      <c r="G43" s="222"/>
      <c r="H43" s="222"/>
      <c r="I43" s="222"/>
      <c r="J43" s="222"/>
      <c r="K43" s="222"/>
      <c r="L43" s="222"/>
      <c r="M43" s="222"/>
      <c r="N43" s="222"/>
      <c r="O43" s="222"/>
      <c r="P43" s="222"/>
      <c r="Q43" s="222"/>
      <c r="R43" s="223"/>
    </row>
    <row r="44" spans="1:18" ht="15" customHeight="1" x14ac:dyDescent="0.3">
      <c r="A44" s="227"/>
      <c r="B44" s="222"/>
      <c r="C44" s="222"/>
      <c r="D44" s="222"/>
      <c r="E44" s="222"/>
      <c r="F44" s="222"/>
      <c r="G44" s="222"/>
      <c r="H44" s="222"/>
      <c r="I44" s="222"/>
      <c r="J44" s="222"/>
      <c r="K44" s="222"/>
      <c r="L44" s="222"/>
      <c r="M44" s="222"/>
      <c r="N44" s="222"/>
      <c r="O44" s="222"/>
      <c r="P44" s="222"/>
      <c r="Q44" s="222"/>
      <c r="R44" s="223"/>
    </row>
    <row r="45" spans="1:18" ht="15" customHeight="1" x14ac:dyDescent="0.3">
      <c r="A45" s="228"/>
      <c r="B45" s="224"/>
      <c r="C45" s="224"/>
      <c r="D45" s="224"/>
      <c r="E45" s="224"/>
      <c r="F45" s="224"/>
      <c r="G45" s="224"/>
      <c r="H45" s="224"/>
      <c r="I45" s="224"/>
      <c r="J45" s="224"/>
      <c r="K45" s="224"/>
      <c r="L45" s="224"/>
      <c r="M45" s="224"/>
      <c r="N45" s="224"/>
      <c r="O45" s="224"/>
      <c r="P45" s="224"/>
      <c r="Q45" s="224"/>
      <c r="R45" s="225"/>
    </row>
    <row r="46" spans="1:18" ht="15" customHeight="1" x14ac:dyDescent="0.3">
      <c r="A46" s="126" t="s">
        <v>18</v>
      </c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8"/>
    </row>
    <row r="47" spans="1:18" ht="15" customHeight="1" x14ac:dyDescent="0.3">
      <c r="A47" s="115" t="s">
        <v>25</v>
      </c>
      <c r="B47" s="116"/>
      <c r="C47" s="132" t="s">
        <v>108</v>
      </c>
      <c r="D47" s="132"/>
      <c r="E47" s="132"/>
      <c r="F47" s="132" t="s">
        <v>26</v>
      </c>
      <c r="G47" s="132"/>
      <c r="H47" s="110" t="s">
        <v>103</v>
      </c>
      <c r="I47" s="115" t="s">
        <v>27</v>
      </c>
      <c r="J47" s="131"/>
      <c r="K47" s="131"/>
      <c r="L47" s="116"/>
      <c r="M47" s="115" t="s">
        <v>24</v>
      </c>
      <c r="N47" s="131"/>
      <c r="O47" s="131"/>
      <c r="P47" s="131"/>
      <c r="Q47" s="131"/>
      <c r="R47" s="116"/>
    </row>
    <row r="48" spans="1:18" ht="15" customHeight="1" x14ac:dyDescent="0.3">
      <c r="A48" s="134"/>
      <c r="B48" s="134"/>
      <c r="C48" s="134"/>
      <c r="D48" s="134"/>
      <c r="E48" s="134"/>
      <c r="F48" s="134"/>
      <c r="G48" s="134"/>
      <c r="H48" s="112"/>
      <c r="I48" s="134"/>
      <c r="J48" s="134"/>
      <c r="K48" s="134"/>
      <c r="L48" s="134"/>
      <c r="M48" s="134"/>
      <c r="N48" s="134"/>
      <c r="O48" s="134"/>
      <c r="P48" s="134"/>
      <c r="Q48" s="134"/>
      <c r="R48" s="134"/>
    </row>
    <row r="49" spans="1:18" ht="15" customHeight="1" x14ac:dyDescent="0.3">
      <c r="A49" s="129"/>
      <c r="B49" s="129"/>
      <c r="C49" s="129"/>
      <c r="D49" s="129"/>
      <c r="E49" s="129"/>
      <c r="F49" s="129"/>
      <c r="G49" s="129"/>
      <c r="H49" s="111"/>
      <c r="I49" s="135"/>
      <c r="J49" s="136"/>
      <c r="K49" s="136"/>
      <c r="L49" s="137"/>
      <c r="M49" s="136"/>
      <c r="N49" s="136"/>
      <c r="O49" s="136"/>
      <c r="P49" s="136"/>
      <c r="Q49" s="136"/>
      <c r="R49" s="137"/>
    </row>
    <row r="50" spans="1:18" ht="15" customHeight="1" x14ac:dyDescent="0.3">
      <c r="A50" s="141"/>
      <c r="B50" s="141"/>
      <c r="C50" s="141"/>
      <c r="D50" s="141"/>
      <c r="E50" s="141"/>
      <c r="F50" s="141"/>
      <c r="G50" s="141"/>
      <c r="H50" s="113"/>
      <c r="I50" s="171"/>
      <c r="J50" s="171"/>
      <c r="K50" s="171"/>
      <c r="L50" s="171"/>
      <c r="M50" s="133"/>
      <c r="N50" s="133"/>
      <c r="O50" s="133"/>
      <c r="P50" s="133"/>
      <c r="Q50" s="133"/>
      <c r="R50" s="133"/>
    </row>
    <row r="51" spans="1:18" ht="15" customHeight="1" x14ac:dyDescent="0.3">
      <c r="A51" s="142"/>
      <c r="B51" s="142"/>
      <c r="C51" s="142"/>
      <c r="D51" s="142"/>
      <c r="E51" s="142"/>
      <c r="F51" s="142"/>
      <c r="G51" s="142"/>
      <c r="H51" s="114"/>
      <c r="I51" s="142"/>
      <c r="J51" s="142"/>
      <c r="K51" s="142"/>
      <c r="L51" s="142"/>
      <c r="M51" s="142"/>
      <c r="N51" s="142"/>
      <c r="O51" s="142"/>
      <c r="P51" s="142"/>
      <c r="Q51" s="142"/>
      <c r="R51" s="142"/>
    </row>
    <row r="52" spans="1:18" ht="15.95" customHeight="1" x14ac:dyDescent="0.3">
      <c r="A52" s="216"/>
      <c r="B52" s="216"/>
      <c r="C52" s="216"/>
      <c r="D52" s="216"/>
      <c r="E52" s="216"/>
      <c r="F52" s="216"/>
      <c r="G52" s="216"/>
      <c r="H52" s="216"/>
      <c r="I52" s="216"/>
      <c r="J52" s="216"/>
      <c r="K52" s="216"/>
      <c r="L52" s="216"/>
      <c r="M52" s="216"/>
      <c r="N52" s="216"/>
      <c r="O52" s="216"/>
      <c r="P52" s="216"/>
      <c r="Q52" s="216"/>
      <c r="R52" s="216"/>
    </row>
    <row r="53" spans="1:18" ht="15.95" customHeight="1" x14ac:dyDescent="0.3">
      <c r="A53" s="216"/>
      <c r="B53" s="216"/>
      <c r="C53" s="216"/>
      <c r="D53" s="216"/>
      <c r="E53" s="216"/>
      <c r="F53" s="216"/>
      <c r="G53" s="216"/>
      <c r="H53" s="216"/>
      <c r="I53" s="216"/>
      <c r="J53" s="216"/>
      <c r="K53" s="216"/>
      <c r="L53" s="216"/>
      <c r="M53" s="216"/>
      <c r="N53" s="216"/>
      <c r="O53" s="216"/>
      <c r="P53" s="216"/>
      <c r="Q53" s="216"/>
      <c r="R53" s="216"/>
    </row>
    <row r="54" spans="1:18" ht="15.95" customHeight="1" x14ac:dyDescent="0.3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</row>
  </sheetData>
  <sheetProtection formatCells="0" formatColumns="0" formatRows="0" insertColumns="0" insertRows="0" insertHyperlinks="0" deleteColumns="0" deleteRows="0" sort="0"/>
  <mergeCells count="104">
    <mergeCell ref="A14:R14"/>
    <mergeCell ref="A18:R21"/>
    <mergeCell ref="A26:R29"/>
    <mergeCell ref="A34:R37"/>
    <mergeCell ref="A42:R45"/>
    <mergeCell ref="A39:C39"/>
    <mergeCell ref="D39:I39"/>
    <mergeCell ref="J39:R41"/>
    <mergeCell ref="A40:C40"/>
    <mergeCell ref="D40:I40"/>
    <mergeCell ref="A41:C41"/>
    <mergeCell ref="D41:I41"/>
    <mergeCell ref="D31:I31"/>
    <mergeCell ref="J31:R33"/>
    <mergeCell ref="A32:C32"/>
    <mergeCell ref="D32:I32"/>
    <mergeCell ref="A33:C33"/>
    <mergeCell ref="D33:I33"/>
    <mergeCell ref="A22:R22"/>
    <mergeCell ref="A23:C23"/>
    <mergeCell ref="D23:I23"/>
    <mergeCell ref="J23:R25"/>
    <mergeCell ref="A24:C24"/>
    <mergeCell ref="D24:I24"/>
    <mergeCell ref="A25:C25"/>
    <mergeCell ref="D25:I25"/>
    <mergeCell ref="C11:E11"/>
    <mergeCell ref="F11:H11"/>
    <mergeCell ref="I11:Q11"/>
    <mergeCell ref="I12:Q12"/>
    <mergeCell ref="A15:C15"/>
    <mergeCell ref="D15:I15"/>
    <mergeCell ref="J15:R17"/>
    <mergeCell ref="A16:C16"/>
    <mergeCell ref="D16:I16"/>
    <mergeCell ref="A17:C17"/>
    <mergeCell ref="D17:I17"/>
    <mergeCell ref="Q4:R7"/>
    <mergeCell ref="M6:N6"/>
    <mergeCell ref="M7:N7"/>
    <mergeCell ref="O4:P4"/>
    <mergeCell ref="O5:P5"/>
    <mergeCell ref="O6:P6"/>
    <mergeCell ref="O7:P7"/>
    <mergeCell ref="M3:P3"/>
    <mergeCell ref="Q3:R3"/>
    <mergeCell ref="M4:N4"/>
    <mergeCell ref="M5:N5"/>
    <mergeCell ref="A11:B11"/>
    <mergeCell ref="A12:B12"/>
    <mergeCell ref="A13:R13"/>
    <mergeCell ref="A1:F1"/>
    <mergeCell ref="G1:L1"/>
    <mergeCell ref="M1:R1"/>
    <mergeCell ref="A3:D3"/>
    <mergeCell ref="E3:H3"/>
    <mergeCell ref="I3:L3"/>
    <mergeCell ref="A4:D7"/>
    <mergeCell ref="E4:H7"/>
    <mergeCell ref="I4:L7"/>
    <mergeCell ref="I8:Q8"/>
    <mergeCell ref="I9:Q9"/>
    <mergeCell ref="I10:Q10"/>
    <mergeCell ref="A8:B8"/>
    <mergeCell ref="A9:B9"/>
    <mergeCell ref="A10:B10"/>
    <mergeCell ref="A2:R2"/>
    <mergeCell ref="C12:E12"/>
    <mergeCell ref="F12:H12"/>
    <mergeCell ref="F9:H9"/>
    <mergeCell ref="C9:E9"/>
    <mergeCell ref="F8:H8"/>
    <mergeCell ref="C8:E8"/>
    <mergeCell ref="C10:E10"/>
    <mergeCell ref="F10:H10"/>
    <mergeCell ref="A38:R38"/>
    <mergeCell ref="A30:R30"/>
    <mergeCell ref="A31:C31"/>
    <mergeCell ref="C48:E48"/>
    <mergeCell ref="C49:E49"/>
    <mergeCell ref="A51:B51"/>
    <mergeCell ref="M49:R49"/>
    <mergeCell ref="M50:R50"/>
    <mergeCell ref="M51:R51"/>
    <mergeCell ref="A49:B49"/>
    <mergeCell ref="A50:B50"/>
    <mergeCell ref="F50:G50"/>
    <mergeCell ref="I51:L51"/>
    <mergeCell ref="I50:L50"/>
    <mergeCell ref="C50:E50"/>
    <mergeCell ref="C51:E51"/>
    <mergeCell ref="F49:G49"/>
    <mergeCell ref="F51:G51"/>
    <mergeCell ref="F48:G48"/>
    <mergeCell ref="M48:R48"/>
    <mergeCell ref="I48:L48"/>
    <mergeCell ref="A48:B48"/>
    <mergeCell ref="I49:L49"/>
    <mergeCell ref="I47:L47"/>
    <mergeCell ref="M47:R47"/>
    <mergeCell ref="A46:R46"/>
    <mergeCell ref="A47:B47"/>
    <mergeCell ref="F47:G47"/>
    <mergeCell ref="C47:E47"/>
  </mergeCells>
  <printOptions horizontalCentered="1"/>
  <pageMargins left="0.23622047244094491" right="0.23622047244094491" top="0.39370078740157483" bottom="0.39370078740157483" header="0.31496062992125984" footer="0.31496062992125984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'DATA Validation'!$B$2:$B$25</xm:f>
          </x14:formula1>
          <xm:sqref>A9:B12</xm:sqref>
        </x14:dataValidation>
        <x14:dataValidation type="list" allowBlank="1" showInputMessage="1" showErrorMessage="1">
          <x14:formula1>
            <xm:f>'DATA Validation'!$A$2:$A$25</xm:f>
          </x14:formula1>
          <xm:sqref>F9:H12</xm:sqref>
        </x14:dataValidation>
        <x14:dataValidation type="list" allowBlank="1" showInputMessage="1" showErrorMessage="1">
          <x14:formula1>
            <xm:f>'DATA Validation'!$C$2:$C$28</xm:f>
          </x14:formula1>
          <xm:sqref>C9:E12</xm:sqref>
        </x14:dataValidation>
        <x14:dataValidation type="list" allowBlank="1" showInputMessage="1" showErrorMessage="1">
          <x14:formula1>
            <xm:f>'[1]DATA Validation'!#REF!</xm:f>
          </x14:formula1>
          <xm:sqref>I48:L51</xm:sqref>
        </x14:dataValidation>
        <x14:dataValidation type="list" allowBlank="1" showInputMessage="1" showErrorMessage="1">
          <x14:formula1>
            <xm:f>'[1]DATA Validation'!#REF!</xm:f>
          </x14:formula1>
          <xm:sqref>A48:B51</xm:sqref>
        </x14:dataValidation>
        <x14:dataValidation type="list" allowBlank="1" showInputMessage="1" showErrorMessage="1">
          <x14:formula1>
            <xm:f>'[1]DATA Validation'!#REF!</xm:f>
          </x14:formula1>
          <xm:sqref>C48:E51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selection activeCell="A22" sqref="A22"/>
    </sheetView>
  </sheetViews>
  <sheetFormatPr defaultRowHeight="18" x14ac:dyDescent="0.25"/>
  <cols>
    <col min="1" max="1" width="4.85546875" style="64" bestFit="1" customWidth="1"/>
    <col min="2" max="2" width="13.140625" style="64" customWidth="1"/>
    <col min="3" max="4" width="14.7109375" style="64" customWidth="1"/>
    <col min="5" max="5" width="9.85546875" style="64" bestFit="1" customWidth="1"/>
    <col min="6" max="6" width="10.7109375" style="64" customWidth="1"/>
    <col min="7" max="7" width="13" style="64" bestFit="1" customWidth="1"/>
    <col min="8" max="8" width="12.7109375" style="64" bestFit="1" customWidth="1"/>
    <col min="9" max="9" width="10.42578125" style="64" bestFit="1" customWidth="1"/>
    <col min="10" max="10" width="10.42578125" style="64" customWidth="1"/>
    <col min="11" max="11" width="9.28515625" style="64" customWidth="1"/>
    <col min="12" max="15" width="13.140625" style="64" customWidth="1"/>
    <col min="16" max="16" width="10.28515625" style="64" bestFit="1" customWidth="1"/>
    <col min="17" max="16384" width="9.140625" style="65"/>
  </cols>
  <sheetData>
    <row r="1" spans="1:17" x14ac:dyDescent="0.25">
      <c r="A1" s="63" t="s">
        <v>1</v>
      </c>
      <c r="B1" s="63" t="s">
        <v>28</v>
      </c>
      <c r="C1" s="63" t="s">
        <v>120</v>
      </c>
      <c r="D1" s="63" t="s">
        <v>121</v>
      </c>
      <c r="E1" s="63" t="s">
        <v>122</v>
      </c>
      <c r="F1" s="63" t="s">
        <v>31</v>
      </c>
      <c r="G1" s="63" t="s">
        <v>151</v>
      </c>
      <c r="H1" s="63" t="s">
        <v>152</v>
      </c>
      <c r="I1" s="63" t="s">
        <v>153</v>
      </c>
      <c r="J1" s="63" t="s">
        <v>242</v>
      </c>
      <c r="K1" s="63" t="s">
        <v>123</v>
      </c>
      <c r="L1" s="63" t="s">
        <v>230</v>
      </c>
      <c r="M1" s="63" t="s">
        <v>113</v>
      </c>
      <c r="N1" s="63" t="s">
        <v>222</v>
      </c>
      <c r="O1" s="63" t="s">
        <v>114</v>
      </c>
    </row>
    <row r="2" spans="1:17" x14ac:dyDescent="0.25">
      <c r="A2" s="66"/>
      <c r="B2" s="66"/>
      <c r="C2" s="66"/>
      <c r="D2" s="66"/>
      <c r="E2" s="66"/>
      <c r="F2" s="66"/>
      <c r="G2" s="66"/>
      <c r="H2" s="80" t="str">
        <f>IF(E2&lt;&gt;"",(E2/G2)/24,"")</f>
        <v/>
      </c>
      <c r="I2" s="80" t="str">
        <f t="shared" ref="I2:I9" si="0">IF(E2&lt;&gt;"",IF(J1="",H2+I1,H2),"")</f>
        <v/>
      </c>
      <c r="J2" s="99"/>
      <c r="K2" s="66"/>
      <c r="L2" s="68" t="str">
        <f>IF(E2&lt;&gt;"",ROUND(((((H2*24)*60))*K2)+'Fuel Planning'!G9+'Fuel Planning'!G10+'Fuel Planning'!C11,-1),"")</f>
        <v/>
      </c>
      <c r="M2" s="68" t="str">
        <f>IF(E2&lt;&gt;"",((L24-N22)-L2)+N2,"")</f>
        <v/>
      </c>
      <c r="N2" s="95"/>
      <c r="O2" s="68" t="str">
        <f>IF(E2&lt;&gt;"",'Fuel Planning'!C22-ROUTE!L2+N2,"")</f>
        <v/>
      </c>
      <c r="P2" s="77" t="s">
        <v>229</v>
      </c>
    </row>
    <row r="3" spans="1:17" x14ac:dyDescent="0.25">
      <c r="A3" s="69"/>
      <c r="B3" s="69"/>
      <c r="C3" s="69"/>
      <c r="D3" s="69"/>
      <c r="E3" s="69"/>
      <c r="F3" s="69"/>
      <c r="G3" s="69"/>
      <c r="H3" s="80" t="str">
        <f t="shared" ref="H3" si="1">IF(E3&lt;&gt;"",(E3/G3)/24,"")</f>
        <v/>
      </c>
      <c r="I3" s="80" t="str">
        <f t="shared" si="0"/>
        <v/>
      </c>
      <c r="J3" s="101"/>
      <c r="K3" s="69"/>
      <c r="L3" s="68" t="str">
        <f>IF(E3&lt;&gt;"",ROUND(((H3*24)*60)*K3,-1),"")</f>
        <v/>
      </c>
      <c r="M3" s="68" t="str">
        <f t="shared" ref="M3:M9" si="2">IF(E3&lt;&gt;"",((M2-L3))+N3,"")</f>
        <v/>
      </c>
      <c r="N3" s="69"/>
      <c r="O3" s="68" t="str">
        <f t="shared" ref="O3:O9" si="3">IF(E3&lt;&gt;"",O2-L3+N3,"")</f>
        <v/>
      </c>
    </row>
    <row r="4" spans="1:17" x14ac:dyDescent="0.25">
      <c r="A4" s="66"/>
      <c r="B4" s="66"/>
      <c r="C4" s="66"/>
      <c r="D4" s="66"/>
      <c r="E4" s="66"/>
      <c r="F4" s="66"/>
      <c r="G4" s="66"/>
      <c r="H4" s="80" t="str">
        <f>IF(E4&lt;&gt;"",(E4/G4)/24,"")</f>
        <v/>
      </c>
      <c r="I4" s="80" t="str">
        <f t="shared" si="0"/>
        <v/>
      </c>
      <c r="J4" s="99"/>
      <c r="K4" s="66"/>
      <c r="L4" s="68" t="str">
        <f>IF(E4&lt;&gt;"",ROUND(((((H4*24)*60))*K4)+'Fuel Planning'!G9+'Fuel Planning'!G10+'Fuel Planning'!C11,-1),"")</f>
        <v/>
      </c>
      <c r="M4" s="68" t="str">
        <f t="shared" si="2"/>
        <v/>
      </c>
      <c r="N4" s="95"/>
      <c r="O4" s="68" t="str">
        <f t="shared" si="3"/>
        <v/>
      </c>
    </row>
    <row r="5" spans="1:17" x14ac:dyDescent="0.25">
      <c r="A5" s="69"/>
      <c r="B5" s="69"/>
      <c r="C5" s="69"/>
      <c r="D5" s="69"/>
      <c r="E5" s="69"/>
      <c r="F5" s="69"/>
      <c r="G5" s="69"/>
      <c r="H5" s="80" t="str">
        <f t="shared" ref="H5:H19" si="4">IF(E5&lt;&gt;"",(E5/G5)/24,"")</f>
        <v/>
      </c>
      <c r="I5" s="80" t="str">
        <f t="shared" si="0"/>
        <v/>
      </c>
      <c r="J5" s="101"/>
      <c r="K5" s="69"/>
      <c r="L5" s="68" t="str">
        <f>IF(E5&lt;&gt;"",ROUND(((H5*24)*60)*K5,-1),"")</f>
        <v/>
      </c>
      <c r="M5" s="68" t="str">
        <f t="shared" si="2"/>
        <v/>
      </c>
      <c r="N5" s="69"/>
      <c r="O5" s="68" t="str">
        <f t="shared" si="3"/>
        <v/>
      </c>
    </row>
    <row r="6" spans="1:17" x14ac:dyDescent="0.25">
      <c r="A6" s="66"/>
      <c r="B6" s="66"/>
      <c r="C6" s="66"/>
      <c r="D6" s="66"/>
      <c r="E6" s="66"/>
      <c r="F6" s="66"/>
      <c r="G6" s="66"/>
      <c r="H6" s="80" t="str">
        <f t="shared" si="4"/>
        <v/>
      </c>
      <c r="I6" s="80" t="str">
        <f t="shared" si="0"/>
        <v/>
      </c>
      <c r="J6" s="99"/>
      <c r="K6" s="66"/>
      <c r="L6" s="68" t="str">
        <f>IF(E6&lt;&gt;"",ROUND(((H6*24)*60)*K6,-1),"")</f>
        <v/>
      </c>
      <c r="M6" s="68" t="str">
        <f t="shared" si="2"/>
        <v/>
      </c>
      <c r="N6" s="95"/>
      <c r="O6" s="68" t="str">
        <f t="shared" si="3"/>
        <v/>
      </c>
      <c r="Q6" s="98"/>
    </row>
    <row r="7" spans="1:17" x14ac:dyDescent="0.25">
      <c r="A7" s="69"/>
      <c r="B7" s="69"/>
      <c r="C7" s="69"/>
      <c r="D7" s="69"/>
      <c r="E7" s="69"/>
      <c r="F7" s="69"/>
      <c r="G7" s="69"/>
      <c r="H7" s="80" t="str">
        <f t="shared" si="4"/>
        <v/>
      </c>
      <c r="I7" s="80" t="str">
        <f t="shared" si="0"/>
        <v/>
      </c>
      <c r="J7" s="101"/>
      <c r="K7" s="69"/>
      <c r="L7" s="68" t="str">
        <f>IF(E7&lt;&gt;"",ROUND(((H7*24)*60)*K7,-1),"")</f>
        <v/>
      </c>
      <c r="M7" s="68" t="str">
        <f t="shared" si="2"/>
        <v/>
      </c>
      <c r="N7" s="69"/>
      <c r="O7" s="68" t="str">
        <f t="shared" si="3"/>
        <v/>
      </c>
    </row>
    <row r="8" spans="1:17" x14ac:dyDescent="0.25">
      <c r="A8" s="66"/>
      <c r="B8" s="66"/>
      <c r="C8" s="66"/>
      <c r="D8" s="66"/>
      <c r="E8" s="66"/>
      <c r="F8" s="66"/>
      <c r="G8" s="66"/>
      <c r="H8" s="80" t="str">
        <f t="shared" si="4"/>
        <v/>
      </c>
      <c r="I8" s="80" t="str">
        <f t="shared" si="0"/>
        <v/>
      </c>
      <c r="J8" s="99"/>
      <c r="K8" s="66"/>
      <c r="L8" s="68" t="str">
        <f>IF(E8&lt;&gt;"",ROUND(((H8*24)*60)*K8,-1),"")</f>
        <v/>
      </c>
      <c r="M8" s="68" t="str">
        <f t="shared" si="2"/>
        <v/>
      </c>
      <c r="N8" s="95"/>
      <c r="O8" s="68" t="str">
        <f t="shared" si="3"/>
        <v/>
      </c>
    </row>
    <row r="9" spans="1:17" x14ac:dyDescent="0.25">
      <c r="A9" s="70"/>
      <c r="B9" s="70"/>
      <c r="C9" s="70"/>
      <c r="D9" s="70"/>
      <c r="E9" s="70"/>
      <c r="F9" s="70"/>
      <c r="G9" s="70"/>
      <c r="H9" s="82" t="str">
        <f t="shared" si="4"/>
        <v/>
      </c>
      <c r="I9" s="81" t="str">
        <f t="shared" si="0"/>
        <v/>
      </c>
      <c r="J9" s="102"/>
      <c r="K9" s="70"/>
      <c r="L9" s="71" t="str">
        <f>IF(E9&lt;&gt;"",ROUND(((H9*24)*60)*K9,-1),"")</f>
        <v/>
      </c>
      <c r="M9" s="68" t="str">
        <f t="shared" si="2"/>
        <v/>
      </c>
      <c r="N9" s="70"/>
      <c r="O9" s="71" t="str">
        <f t="shared" si="3"/>
        <v/>
      </c>
    </row>
    <row r="10" spans="1:17" x14ac:dyDescent="0.25">
      <c r="A10" s="66"/>
      <c r="B10" s="66"/>
      <c r="C10" s="66"/>
      <c r="D10" s="66"/>
      <c r="E10" s="66"/>
      <c r="F10" s="66"/>
      <c r="G10" s="66"/>
      <c r="H10" s="80"/>
      <c r="I10" s="80" t="str">
        <f>IF(E10&lt;&gt;"",IF(J9="",I9+H10,I9-I9),"")</f>
        <v/>
      </c>
      <c r="J10" s="99"/>
      <c r="K10" s="66"/>
      <c r="L10" s="68"/>
      <c r="M10" s="68"/>
      <c r="N10" s="95"/>
      <c r="O10" s="68"/>
    </row>
    <row r="11" spans="1:17" x14ac:dyDescent="0.25">
      <c r="A11" s="69"/>
      <c r="B11" s="69"/>
      <c r="C11" s="69"/>
      <c r="D11" s="69"/>
      <c r="E11" s="69"/>
      <c r="F11" s="69"/>
      <c r="G11" s="69"/>
      <c r="H11" s="81"/>
      <c r="I11" s="80" t="str">
        <f>IF(E11&lt;&gt;"",IF(J10="",I10+H11,I10-I10),"")</f>
        <v/>
      </c>
      <c r="J11" s="102"/>
      <c r="K11" s="70"/>
      <c r="L11" s="71"/>
      <c r="M11" s="68"/>
      <c r="N11" s="70"/>
      <c r="O11" s="68"/>
    </row>
    <row r="12" spans="1:17" x14ac:dyDescent="0.25">
      <c r="A12" s="66"/>
      <c r="B12" s="66"/>
      <c r="C12" s="66"/>
      <c r="D12" s="66"/>
      <c r="E12" s="66"/>
      <c r="F12" s="66"/>
      <c r="G12" s="66"/>
      <c r="H12" s="80"/>
      <c r="I12" s="80" t="str">
        <f>IF(E12&lt;&gt;"",IF(J11="",I11+H12,I11-I11),"")</f>
        <v/>
      </c>
      <c r="J12" s="99"/>
      <c r="K12" s="66"/>
      <c r="L12" s="68"/>
      <c r="M12" s="68"/>
      <c r="N12" s="95"/>
      <c r="O12" s="68"/>
    </row>
    <row r="13" spans="1:17" x14ac:dyDescent="0.25">
      <c r="A13" s="69"/>
      <c r="B13" s="69"/>
      <c r="C13" s="69"/>
      <c r="D13" s="69"/>
      <c r="E13" s="69"/>
      <c r="F13" s="69"/>
      <c r="G13" s="69"/>
      <c r="H13" s="81"/>
      <c r="I13" s="80" t="str">
        <f>IF(E13&lt;&gt;"",IF(J12="",I12+H13,I12-I12),"")</f>
        <v/>
      </c>
      <c r="J13" s="102"/>
      <c r="K13" s="70"/>
      <c r="L13" s="71"/>
      <c r="M13" s="68"/>
      <c r="N13" s="70"/>
      <c r="O13" s="68"/>
    </row>
    <row r="14" spans="1:17" x14ac:dyDescent="0.25">
      <c r="A14" s="66"/>
      <c r="B14" s="66"/>
      <c r="C14" s="66"/>
      <c r="D14" s="66"/>
      <c r="E14" s="66"/>
      <c r="F14" s="66"/>
      <c r="G14" s="66"/>
      <c r="H14" s="80"/>
      <c r="I14" s="80" t="str">
        <f>IF(E14&lt;&gt;"",IF(J13="",I13+H14,I13-I13),"")</f>
        <v/>
      </c>
      <c r="J14" s="99"/>
      <c r="K14" s="66"/>
      <c r="L14" s="68"/>
      <c r="M14" s="68"/>
      <c r="N14" s="95"/>
      <c r="O14" s="68"/>
    </row>
    <row r="15" spans="1:17" x14ac:dyDescent="0.25">
      <c r="A15" s="70"/>
      <c r="B15" s="70"/>
      <c r="C15" s="70"/>
      <c r="D15" s="70"/>
      <c r="E15" s="70"/>
      <c r="F15" s="70"/>
      <c r="G15" s="70"/>
      <c r="H15" s="83" t="str">
        <f t="shared" si="4"/>
        <v/>
      </c>
      <c r="I15" s="81" t="str">
        <f>IF(E15&lt;&gt;"",IF(J14="",H15+I9,H15),"")</f>
        <v/>
      </c>
      <c r="J15" s="103"/>
      <c r="K15" s="70"/>
      <c r="L15" s="71" t="str">
        <f>IF(E15&lt;&gt;"",ROUND(((H15*24)*60)*K15,-1),"")</f>
        <v/>
      </c>
      <c r="M15" s="71" t="str">
        <f>IF(E15&lt;&gt;"",(M9-L15)+N15,"")</f>
        <v/>
      </c>
      <c r="N15" s="70"/>
      <c r="O15" s="71" t="str">
        <f>IF(E15&lt;&gt;"",O9-L15+N15,"")</f>
        <v/>
      </c>
    </row>
    <row r="16" spans="1:17" x14ac:dyDescent="0.25">
      <c r="A16" s="66"/>
      <c r="B16" s="66"/>
      <c r="C16" s="66"/>
      <c r="D16" s="66"/>
      <c r="E16" s="72"/>
      <c r="F16" s="72"/>
      <c r="G16" s="72"/>
      <c r="H16" s="81"/>
      <c r="I16" s="80" t="str">
        <f>IF(E16&lt;&gt;"",IF(J15="",I15+H16,I15-I15),"")</f>
        <v/>
      </c>
      <c r="J16" s="100"/>
      <c r="K16" s="72"/>
      <c r="L16" s="71"/>
      <c r="M16" s="68"/>
      <c r="N16" s="96"/>
      <c r="O16" s="68"/>
    </row>
    <row r="17" spans="1:16" x14ac:dyDescent="0.25">
      <c r="A17" s="69"/>
      <c r="B17" s="69"/>
      <c r="C17" s="69"/>
      <c r="D17" s="69"/>
      <c r="E17" s="69"/>
      <c r="F17" s="69"/>
      <c r="G17" s="69"/>
      <c r="H17" s="80" t="str">
        <f t="shared" si="4"/>
        <v/>
      </c>
      <c r="I17" s="80" t="str">
        <f>IF(E17&lt;&gt;"",IF(J16="",H17+I15,H17),"")</f>
        <v/>
      </c>
      <c r="J17" s="101"/>
      <c r="K17" s="69"/>
      <c r="L17" s="68" t="str">
        <f>IF(E17&lt;&gt;"",ROUND(((H17*24)*60)*K17,-1),"")</f>
        <v/>
      </c>
      <c r="M17" s="68" t="str">
        <f>IF(E17&lt;&gt;"",(M15-L17)+N17,"")</f>
        <v/>
      </c>
      <c r="N17" s="69"/>
      <c r="O17" s="68" t="str">
        <f>IF(E17&lt;&gt;"",O15-L17+N17,"")</f>
        <v/>
      </c>
    </row>
    <row r="18" spans="1:16" x14ac:dyDescent="0.25">
      <c r="A18" s="66"/>
      <c r="B18" s="66"/>
      <c r="C18" s="66"/>
      <c r="D18" s="66"/>
      <c r="E18" s="66"/>
      <c r="F18" s="66"/>
      <c r="G18" s="66"/>
      <c r="H18" s="80" t="str">
        <f t="shared" si="4"/>
        <v/>
      </c>
      <c r="I18" s="80" t="str">
        <f>IF(E18&lt;&gt;"",IF(J17="",H18+I17,H18),"")</f>
        <v/>
      </c>
      <c r="J18" s="99"/>
      <c r="K18" s="66"/>
      <c r="L18" s="68" t="str">
        <f>IF(E18&lt;&gt;"",ROUND(((H18*24)*60)*K18,-1),"")</f>
        <v/>
      </c>
      <c r="M18" s="68" t="str">
        <f>IF(E18&lt;&gt;"",(M17-L18)+N18,"")</f>
        <v/>
      </c>
      <c r="N18" s="95"/>
      <c r="O18" s="68" t="str">
        <f>IF(E18&lt;&gt;"",O17-L18+N18,"")</f>
        <v/>
      </c>
    </row>
    <row r="19" spans="1:16" x14ac:dyDescent="0.25">
      <c r="A19" s="69"/>
      <c r="B19" s="69"/>
      <c r="C19" s="69"/>
      <c r="D19" s="69"/>
      <c r="E19" s="69"/>
      <c r="F19" s="69"/>
      <c r="G19" s="69"/>
      <c r="H19" s="80" t="str">
        <f t="shared" si="4"/>
        <v/>
      </c>
      <c r="I19" s="80" t="str">
        <f>IF(E19&lt;&gt;"",IF(J18="",H19+I18,H19),"")</f>
        <v/>
      </c>
      <c r="J19" s="101"/>
      <c r="K19" s="69"/>
      <c r="L19" s="68" t="str">
        <f>IF(E19&lt;&gt;"",ROUND(((H19*24)*60)*K19,-1),"")</f>
        <v/>
      </c>
      <c r="M19" s="68" t="str">
        <f>IF(E19&lt;&gt;"",(M18-L19)+N19,"")</f>
        <v/>
      </c>
      <c r="N19" s="69"/>
      <c r="O19" s="68" t="str">
        <f>IF(E19&lt;&gt;"",O18-L19+N19,"")</f>
        <v/>
      </c>
    </row>
    <row r="20" spans="1:16" x14ac:dyDescent="0.25">
      <c r="A20" s="66"/>
      <c r="B20" s="66"/>
      <c r="C20" s="66"/>
      <c r="D20" s="66"/>
      <c r="E20" s="66"/>
      <c r="F20" s="66"/>
      <c r="G20" s="66"/>
      <c r="H20" s="80" t="str">
        <f>IF(E20&lt;&gt;"",(E20/G20)/24,"")</f>
        <v/>
      </c>
      <c r="I20" s="80" t="str">
        <f>IF(E20&lt;&gt;"",IF(J19="",H20+I18,H20),"")</f>
        <v/>
      </c>
      <c r="J20" s="99"/>
      <c r="K20" s="66"/>
      <c r="L20" s="68" t="str">
        <f>IF(E20&lt;&gt;"",ROUND(((H20*24)*60)*K20,-1),"")</f>
        <v/>
      </c>
      <c r="M20" s="68" t="str">
        <f>IF(E20&lt;&gt;"",(M19-L20)+N20,"")</f>
        <v/>
      </c>
      <c r="N20" s="95"/>
      <c r="O20" s="68" t="str">
        <f>IF(E20&lt;&gt;"",O19-L20+N20,"")</f>
        <v/>
      </c>
    </row>
    <row r="21" spans="1:16" x14ac:dyDescent="0.25">
      <c r="A21" s="69"/>
      <c r="B21" s="69"/>
      <c r="C21" s="69"/>
      <c r="D21" s="69"/>
      <c r="E21" s="69"/>
      <c r="F21" s="69"/>
      <c r="G21" s="69"/>
      <c r="H21" s="80" t="str">
        <f>IF(E21&lt;&gt;"",(E21/G21)/24,"")</f>
        <v/>
      </c>
      <c r="I21" s="80" t="str">
        <f>IF(E21&lt;&gt;"",IF(J20="",I20+H21,I20-I20),"")</f>
        <v/>
      </c>
      <c r="J21" s="101"/>
      <c r="K21" s="69"/>
      <c r="L21" s="68" t="str">
        <f>IF(E21&lt;&gt;"",ROUND(((H21*24)*60)*K21,-1),"")</f>
        <v/>
      </c>
      <c r="M21" s="68" t="str">
        <f>IF(E21&lt;&gt;"",(M20-L21)+N21,"")</f>
        <v/>
      </c>
      <c r="N21" s="69"/>
      <c r="O21" s="68" t="str">
        <f>IF(E21&lt;&gt;"",O20-L21+N21,"")</f>
        <v/>
      </c>
    </row>
    <row r="22" spans="1:16" x14ac:dyDescent="0.25">
      <c r="D22" s="73" t="s">
        <v>53</v>
      </c>
      <c r="E22" s="68">
        <f>SUM(E4:E20)</f>
        <v>0</v>
      </c>
      <c r="G22" s="73" t="s">
        <v>53</v>
      </c>
      <c r="H22" s="67">
        <f>SUM(H4:H20)</f>
        <v>0</v>
      </c>
      <c r="I22" s="74"/>
      <c r="J22" s="74"/>
      <c r="K22" s="73" t="s">
        <v>53</v>
      </c>
      <c r="L22" s="68">
        <f>SUM(L2:L21)</f>
        <v>0</v>
      </c>
      <c r="M22" s="73" t="s">
        <v>53</v>
      </c>
      <c r="N22" s="68">
        <f>SUM(N2:N20)</f>
        <v>0</v>
      </c>
      <c r="O22" s="89"/>
    </row>
    <row r="23" spans="1:16" x14ac:dyDescent="0.25">
      <c r="B23" s="77" t="s">
        <v>126</v>
      </c>
    </row>
    <row r="24" spans="1:16" x14ac:dyDescent="0.25">
      <c r="B24" s="77" t="s">
        <v>127</v>
      </c>
      <c r="K24" s="75" t="s">
        <v>241</v>
      </c>
      <c r="L24" s="68">
        <f>L22+'Fuel Planning'!C6</f>
        <v>900</v>
      </c>
      <c r="P24" s="76"/>
    </row>
    <row r="25" spans="1:16" x14ac:dyDescent="0.25">
      <c r="G25" s="73" t="s">
        <v>232</v>
      </c>
      <c r="H25" s="97">
        <f>SUM(H5:H15)</f>
        <v>0</v>
      </c>
    </row>
    <row r="29" spans="1:16" x14ac:dyDescent="0.25">
      <c r="L29" s="78"/>
    </row>
    <row r="32" spans="1:16" x14ac:dyDescent="0.25">
      <c r="L32" s="78"/>
    </row>
  </sheetData>
  <sheetProtection formatCells="0" formatColumns="0" formatRows="0" insertColumns="0" insertRows="0" insertHyperlinks="0" deleteColumns="0" deleteRows="0" sort="0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7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9" sqref="C9"/>
    </sheetView>
  </sheetViews>
  <sheetFormatPr defaultRowHeight="15" x14ac:dyDescent="0.25"/>
  <cols>
    <col min="1" max="1" width="9.140625" style="2"/>
    <col min="2" max="2" width="9.7109375" customWidth="1"/>
    <col min="3" max="3" width="11.28515625" bestFit="1" customWidth="1"/>
    <col min="4" max="4" width="9.7109375" customWidth="1"/>
    <col min="5" max="5" width="9.140625" style="2"/>
    <col min="6" max="6" width="7.140625" style="6" customWidth="1"/>
    <col min="7" max="7" width="9.140625" style="4"/>
    <col min="8" max="8" width="11.5703125" bestFit="1" customWidth="1"/>
  </cols>
  <sheetData>
    <row r="1" spans="1:10" ht="15.75" thickBot="1" x14ac:dyDescent="0.3"/>
    <row r="2" spans="1:10" ht="16.5" thickTop="1" thickBot="1" x14ac:dyDescent="0.3">
      <c r="B2" s="180" t="s">
        <v>96</v>
      </c>
      <c r="C2" s="181"/>
      <c r="D2" s="182"/>
    </row>
    <row r="3" spans="1:10" ht="23.25" customHeight="1" thickTop="1" x14ac:dyDescent="0.25">
      <c r="B3" s="11"/>
    </row>
    <row r="4" spans="1:10" x14ac:dyDescent="0.25">
      <c r="A4"/>
      <c r="B4" s="2" t="s">
        <v>33</v>
      </c>
      <c r="C4" s="60">
        <v>60</v>
      </c>
      <c r="D4" s="4" t="s">
        <v>243</v>
      </c>
      <c r="E4"/>
      <c r="F4"/>
      <c r="G4"/>
    </row>
    <row r="5" spans="1:10" x14ac:dyDescent="0.25">
      <c r="A5"/>
      <c r="B5" s="2" t="s">
        <v>35</v>
      </c>
      <c r="C5" s="61">
        <v>100</v>
      </c>
      <c r="D5" s="5" t="s">
        <v>102</v>
      </c>
      <c r="E5" s="3"/>
      <c r="F5"/>
      <c r="G5"/>
    </row>
    <row r="6" spans="1:10" x14ac:dyDescent="0.25">
      <c r="A6"/>
      <c r="B6" s="2" t="s">
        <v>32</v>
      </c>
      <c r="C6" s="61">
        <v>900</v>
      </c>
      <c r="D6" s="5" t="s">
        <v>37</v>
      </c>
      <c r="E6"/>
      <c r="F6"/>
      <c r="G6"/>
    </row>
    <row r="7" spans="1:10" x14ac:dyDescent="0.25">
      <c r="A7"/>
      <c r="B7" s="7" t="s">
        <v>36</v>
      </c>
      <c r="C7" s="61">
        <v>500</v>
      </c>
      <c r="D7" s="5" t="s">
        <v>34</v>
      </c>
      <c r="E7"/>
      <c r="F7"/>
      <c r="G7"/>
    </row>
    <row r="8" spans="1:10" x14ac:dyDescent="0.25">
      <c r="A8"/>
      <c r="B8" s="7" t="s">
        <v>110</v>
      </c>
      <c r="C8" s="61">
        <v>10</v>
      </c>
      <c r="D8" s="5" t="s">
        <v>97</v>
      </c>
      <c r="E8" s="61">
        <v>150</v>
      </c>
      <c r="F8" t="s">
        <v>98</v>
      </c>
      <c r="G8"/>
    </row>
    <row r="9" spans="1:10" x14ac:dyDescent="0.25">
      <c r="A9"/>
      <c r="B9" s="7" t="s">
        <v>225</v>
      </c>
      <c r="C9" s="61">
        <v>5</v>
      </c>
      <c r="D9" s="5" t="s">
        <v>97</v>
      </c>
      <c r="E9" s="61">
        <v>170</v>
      </c>
      <c r="F9" t="s">
        <v>226</v>
      </c>
      <c r="G9" s="8">
        <f>E9*C9</f>
        <v>850</v>
      </c>
      <c r="H9" t="s">
        <v>34</v>
      </c>
    </row>
    <row r="10" spans="1:10" x14ac:dyDescent="0.25">
      <c r="A10"/>
      <c r="B10" s="7" t="s">
        <v>227</v>
      </c>
      <c r="C10" s="61">
        <v>0</v>
      </c>
      <c r="D10" s="87" t="s">
        <v>97</v>
      </c>
      <c r="E10" s="61">
        <v>120</v>
      </c>
      <c r="F10" t="s">
        <v>226</v>
      </c>
      <c r="G10" s="8">
        <f>E10*C10</f>
        <v>0</v>
      </c>
    </row>
    <row r="11" spans="1:10" x14ac:dyDescent="0.25">
      <c r="A11"/>
      <c r="B11" s="7" t="s">
        <v>228</v>
      </c>
      <c r="C11" s="61">
        <v>300</v>
      </c>
      <c r="D11" s="5"/>
      <c r="E11" s="88"/>
      <c r="F11"/>
      <c r="G11"/>
    </row>
    <row r="12" spans="1:10" ht="15.75" thickBot="1" x14ac:dyDescent="0.3"/>
    <row r="13" spans="1:10" ht="16.5" thickTop="1" thickBot="1" x14ac:dyDescent="0.3">
      <c r="B13" s="180" t="s">
        <v>38</v>
      </c>
      <c r="C13" s="181"/>
      <c r="D13" s="182"/>
    </row>
    <row r="14" spans="1:10" ht="23.25" customHeight="1" thickTop="1" x14ac:dyDescent="0.25">
      <c r="J14" s="45"/>
    </row>
    <row r="15" spans="1:10" x14ac:dyDescent="0.25">
      <c r="B15" s="54" t="s">
        <v>4</v>
      </c>
      <c r="C15" s="8">
        <f>((C4*(C5/10))+C6)</f>
        <v>1500</v>
      </c>
      <c r="D15" t="s">
        <v>34</v>
      </c>
    </row>
    <row r="16" spans="1:10" x14ac:dyDescent="0.25">
      <c r="B16" s="54" t="s">
        <v>3</v>
      </c>
      <c r="C16" s="9">
        <f>C15+C7</f>
        <v>2000</v>
      </c>
      <c r="D16" t="s">
        <v>34</v>
      </c>
    </row>
    <row r="17" spans="2:10" x14ac:dyDescent="0.25">
      <c r="B17" s="54" t="s">
        <v>2</v>
      </c>
      <c r="C17" s="10">
        <f>C16+(C8*E8)</f>
        <v>3500</v>
      </c>
      <c r="D17" t="s">
        <v>34</v>
      </c>
    </row>
    <row r="18" spans="2:10" x14ac:dyDescent="0.25">
      <c r="B18" s="54" t="s">
        <v>113</v>
      </c>
      <c r="C18" s="10">
        <f>ROUTE!L22+'Fuel Planning'!C6</f>
        <v>900</v>
      </c>
      <c r="D18" s="45" t="s">
        <v>128</v>
      </c>
      <c r="E18" s="53"/>
    </row>
    <row r="20" spans="2:10" x14ac:dyDescent="0.25">
      <c r="B20" s="39" t="s">
        <v>223</v>
      </c>
      <c r="C20" s="41">
        <f>IF((C18-11700)&lt;0,0,C18-C22)</f>
        <v>0</v>
      </c>
      <c r="D20" t="s">
        <v>34</v>
      </c>
    </row>
    <row r="22" spans="2:10" x14ac:dyDescent="0.25">
      <c r="B22" s="54" t="s">
        <v>104</v>
      </c>
      <c r="C22" s="62">
        <v>7700</v>
      </c>
      <c r="D22" t="s">
        <v>109</v>
      </c>
      <c r="F22" s="52"/>
      <c r="G22" s="5"/>
    </row>
    <row r="23" spans="2:10" x14ac:dyDescent="0.25">
      <c r="B23" s="54" t="s">
        <v>224</v>
      </c>
      <c r="C23" s="62">
        <f>ROUTE!N22</f>
        <v>0</v>
      </c>
      <c r="F23" s="52"/>
      <c r="G23" s="5"/>
    </row>
    <row r="24" spans="2:10" x14ac:dyDescent="0.25">
      <c r="B24" s="7" t="s">
        <v>105</v>
      </c>
      <c r="C24" s="8">
        <f>(C22+C23)-C18</f>
        <v>6800</v>
      </c>
      <c r="D24" t="s">
        <v>34</v>
      </c>
    </row>
    <row r="25" spans="2:10" x14ac:dyDescent="0.25">
      <c r="B25" s="39" t="s">
        <v>106</v>
      </c>
      <c r="C25" s="8">
        <f>(C24/E8)+C8</f>
        <v>55.333333333333336</v>
      </c>
      <c r="D25" s="45" t="s">
        <v>111</v>
      </c>
      <c r="I25" s="46"/>
      <c r="J25" s="46"/>
    </row>
    <row r="27" spans="2:10" x14ac:dyDescent="0.25">
      <c r="B27" s="2" t="s">
        <v>100</v>
      </c>
      <c r="C27" s="40">
        <f>13977+C22</f>
        <v>21677</v>
      </c>
    </row>
    <row r="37" spans="7:7" x14ac:dyDescent="0.25">
      <c r="G37" s="50"/>
    </row>
  </sheetData>
  <sheetProtection formatCells="0" formatColumns="0" formatRows="0" insertColumns="0" insertRows="0" insertHyperlinks="0" deleteColumns="0" deleteRows="0"/>
  <mergeCells count="2">
    <mergeCell ref="B2:D2"/>
    <mergeCell ref="B13:D13"/>
  </mergeCells>
  <pageMargins left="0.7" right="0.7" top="0.75" bottom="0.75" header="0.3" footer="0.3"/>
  <pageSetup paperSize="9" orientation="portrait" horizontalDpi="30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ACA6540-509A-412B-8F38-F742469E9AC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C20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zoomScale="80" zoomScaleNormal="80" workbookViewId="0">
      <selection activeCell="D37" sqref="D37"/>
    </sheetView>
  </sheetViews>
  <sheetFormatPr defaultColWidth="11.42578125" defaultRowHeight="15" x14ac:dyDescent="0.25"/>
  <cols>
    <col min="1" max="1" width="48.5703125" style="12" bestFit="1" customWidth="1"/>
    <col min="2" max="3" width="11.42578125" style="12"/>
    <col min="4" max="4" width="11.85546875" style="12" bestFit="1" customWidth="1"/>
    <col min="5" max="7" width="11.42578125" style="12"/>
    <col min="8" max="8" width="20.42578125" style="12" bestFit="1" customWidth="1"/>
    <col min="9" max="9" width="24.5703125" style="12" bestFit="1" customWidth="1"/>
    <col min="10" max="10" width="18.85546875" style="12" bestFit="1" customWidth="1"/>
    <col min="11" max="11" width="28.42578125" style="12" bestFit="1" customWidth="1"/>
    <col min="12" max="12" width="34.85546875" style="12" bestFit="1" customWidth="1"/>
    <col min="13" max="16384" width="11.42578125" style="12"/>
  </cols>
  <sheetData>
    <row r="1" spans="1:18" ht="18.75" x14ac:dyDescent="0.25">
      <c r="A1" s="12" t="s">
        <v>39</v>
      </c>
      <c r="E1" s="13" t="s">
        <v>40</v>
      </c>
      <c r="F1" s="14"/>
      <c r="G1" s="14"/>
      <c r="H1" s="14"/>
      <c r="I1" s="14"/>
    </row>
    <row r="2" spans="1:18" ht="15.75" x14ac:dyDescent="0.25">
      <c r="A2" s="15" t="s">
        <v>41</v>
      </c>
      <c r="D2" s="183" t="s">
        <v>42</v>
      </c>
      <c r="E2" s="183"/>
      <c r="F2" s="183"/>
      <c r="G2" s="183"/>
      <c r="H2" s="183"/>
      <c r="I2" s="183"/>
      <c r="J2" s="183"/>
      <c r="K2" s="183"/>
      <c r="L2" s="16"/>
      <c r="M2" s="16"/>
      <c r="N2" s="16"/>
      <c r="O2" s="16"/>
      <c r="P2" s="16"/>
      <c r="Q2" s="16"/>
      <c r="R2" s="16"/>
    </row>
    <row r="4" spans="1:18" ht="15.75" thickBot="1" x14ac:dyDescent="0.3">
      <c r="B4" s="17" t="s">
        <v>43</v>
      </c>
      <c r="C4" s="17" t="s">
        <v>44</v>
      </c>
      <c r="D4" s="17" t="s">
        <v>45</v>
      </c>
      <c r="E4" s="17" t="s">
        <v>46</v>
      </c>
      <c r="F4" s="17" t="s">
        <v>47</v>
      </c>
      <c r="G4" s="17"/>
    </row>
    <row r="5" spans="1:18" ht="19.5" thickBot="1" x14ac:dyDescent="0.3">
      <c r="A5" s="18" t="s">
        <v>48</v>
      </c>
      <c r="B5" s="12">
        <v>13977</v>
      </c>
      <c r="C5" s="12">
        <v>1.4</v>
      </c>
      <c r="D5" s="19" t="s">
        <v>49</v>
      </c>
      <c r="H5" s="38" t="s">
        <v>50</v>
      </c>
      <c r="I5" s="38" t="s">
        <v>101</v>
      </c>
      <c r="J5" s="34"/>
      <c r="K5" s="34"/>
      <c r="L5" s="34"/>
    </row>
    <row r="6" spans="1:18" ht="19.5" thickBot="1" x14ac:dyDescent="0.35">
      <c r="H6" s="49">
        <f>SUM(B5,E9,E13,E20,E27,E38,E52,E62)</f>
        <v>30431</v>
      </c>
      <c r="I6" s="44">
        <v>31086</v>
      </c>
      <c r="J6" s="35"/>
      <c r="K6" s="35"/>
      <c r="L6" s="36"/>
    </row>
    <row r="7" spans="1:18" x14ac:dyDescent="0.25">
      <c r="A7" s="18" t="s">
        <v>51</v>
      </c>
      <c r="B7" s="12">
        <v>1</v>
      </c>
      <c r="D7" s="20">
        <v>7700</v>
      </c>
      <c r="E7" s="51">
        <f t="shared" ref="E7:E61" si="0">D7*B7</f>
        <v>7700</v>
      </c>
      <c r="I7" s="27"/>
      <c r="J7" s="27"/>
      <c r="K7" s="27"/>
      <c r="L7" s="27"/>
    </row>
    <row r="8" spans="1:18" x14ac:dyDescent="0.25">
      <c r="A8" s="18" t="s">
        <v>52</v>
      </c>
      <c r="B8" s="12">
        <v>1</v>
      </c>
      <c r="D8" s="20">
        <v>4000</v>
      </c>
      <c r="E8" s="21">
        <f t="shared" si="0"/>
        <v>4000</v>
      </c>
      <c r="I8" s="42"/>
      <c r="J8" s="27"/>
      <c r="K8" s="27"/>
      <c r="L8" s="27"/>
    </row>
    <row r="9" spans="1:18" x14ac:dyDescent="0.25">
      <c r="A9" s="22" t="s">
        <v>53</v>
      </c>
      <c r="B9" s="23"/>
      <c r="C9" s="23"/>
      <c r="D9" s="23"/>
      <c r="E9" s="22">
        <f>SUM(E7:E8)</f>
        <v>11700</v>
      </c>
      <c r="G9" s="24"/>
      <c r="I9" s="27">
        <f>I6-H6</f>
        <v>655</v>
      </c>
      <c r="J9" s="27"/>
      <c r="K9" s="27"/>
      <c r="L9" s="27"/>
    </row>
    <row r="10" spans="1:18" x14ac:dyDescent="0.25">
      <c r="A10" s="25"/>
      <c r="B10" s="26"/>
      <c r="C10" s="26"/>
      <c r="D10" s="26"/>
      <c r="E10" s="25"/>
      <c r="F10" s="25"/>
      <c r="I10" s="27"/>
      <c r="J10" s="27"/>
      <c r="K10" s="27"/>
      <c r="L10" s="27"/>
    </row>
    <row r="11" spans="1:18" x14ac:dyDescent="0.25">
      <c r="A11" s="18" t="s">
        <v>54</v>
      </c>
      <c r="I11" s="27"/>
      <c r="J11" s="27"/>
      <c r="K11" s="27"/>
      <c r="L11" s="27"/>
    </row>
    <row r="12" spans="1:18" x14ac:dyDescent="0.25">
      <c r="A12" s="12" t="s">
        <v>55</v>
      </c>
      <c r="B12" s="12">
        <v>207</v>
      </c>
      <c r="C12" s="12">
        <v>7.75</v>
      </c>
      <c r="D12" s="20">
        <v>2</v>
      </c>
      <c r="E12" s="21">
        <f t="shared" si="0"/>
        <v>414</v>
      </c>
      <c r="F12" s="12">
        <f>C12*D12</f>
        <v>15.5</v>
      </c>
      <c r="I12" s="27">
        <f>7758+4006</f>
        <v>11764</v>
      </c>
      <c r="J12" s="27"/>
      <c r="K12" s="27"/>
      <c r="L12" s="27"/>
    </row>
    <row r="13" spans="1:18" x14ac:dyDescent="0.25">
      <c r="A13" s="22" t="s">
        <v>53</v>
      </c>
      <c r="B13" s="23"/>
      <c r="C13" s="23"/>
      <c r="D13" s="23"/>
      <c r="E13" s="22">
        <f>E12</f>
        <v>414</v>
      </c>
      <c r="F13" s="22">
        <f>F12</f>
        <v>15.5</v>
      </c>
      <c r="I13" s="27"/>
      <c r="J13" s="27"/>
      <c r="K13" s="27"/>
      <c r="L13" s="27"/>
    </row>
    <row r="14" spans="1:18" s="26" customFormat="1" x14ac:dyDescent="0.25">
      <c r="A14" s="25"/>
      <c r="E14" s="25"/>
      <c r="F14" s="25"/>
      <c r="I14" s="27"/>
      <c r="J14" s="27"/>
      <c r="K14" s="28"/>
      <c r="L14" s="27"/>
    </row>
    <row r="15" spans="1:18" x14ac:dyDescent="0.25">
      <c r="A15" s="18" t="s">
        <v>56</v>
      </c>
      <c r="I15" s="184"/>
      <c r="J15" s="28"/>
      <c r="K15" s="28"/>
      <c r="L15" s="28"/>
      <c r="M15" s="28"/>
      <c r="N15" s="28"/>
      <c r="O15" s="29"/>
    </row>
    <row r="16" spans="1:18" ht="15.75" customHeight="1" x14ac:dyDescent="0.25">
      <c r="A16" s="12" t="s">
        <v>57</v>
      </c>
      <c r="B16" s="12">
        <v>133</v>
      </c>
      <c r="D16" s="20"/>
      <c r="E16" s="12">
        <f t="shared" si="0"/>
        <v>0</v>
      </c>
      <c r="F16" s="12">
        <f>C16*D16</f>
        <v>0</v>
      </c>
      <c r="I16" s="184"/>
      <c r="J16" s="27"/>
      <c r="K16" s="185"/>
      <c r="L16" s="37"/>
      <c r="M16" s="30"/>
      <c r="N16" s="30"/>
    </row>
    <row r="17" spans="1:12" x14ac:dyDescent="0.25">
      <c r="A17" s="12" t="s">
        <v>58</v>
      </c>
      <c r="B17" s="12">
        <v>144</v>
      </c>
      <c r="D17" s="48"/>
      <c r="E17" s="12">
        <f t="shared" si="0"/>
        <v>0</v>
      </c>
      <c r="F17" s="12">
        <f>C17*D17</f>
        <v>0</v>
      </c>
      <c r="I17" s="27"/>
      <c r="J17" s="37"/>
      <c r="K17" s="185"/>
      <c r="L17" s="27"/>
    </row>
    <row r="18" spans="1:12" x14ac:dyDescent="0.25">
      <c r="A18" s="12" t="s">
        <v>59</v>
      </c>
      <c r="B18" s="12">
        <v>33</v>
      </c>
      <c r="D18" s="20"/>
      <c r="E18" s="12">
        <f t="shared" si="0"/>
        <v>0</v>
      </c>
      <c r="F18" s="12">
        <f>C18*D18</f>
        <v>0</v>
      </c>
      <c r="I18" s="27"/>
      <c r="J18" s="37"/>
      <c r="K18" s="185"/>
      <c r="L18" s="27"/>
    </row>
    <row r="19" spans="1:12" x14ac:dyDescent="0.25">
      <c r="A19" s="12" t="s">
        <v>60</v>
      </c>
      <c r="B19" s="12">
        <v>135</v>
      </c>
      <c r="D19" s="20"/>
      <c r="E19" s="21">
        <f t="shared" si="0"/>
        <v>0</v>
      </c>
      <c r="F19" s="12">
        <f>C19*D19</f>
        <v>0</v>
      </c>
      <c r="I19" s="27"/>
      <c r="J19" s="27"/>
      <c r="K19" s="185"/>
      <c r="L19" s="27"/>
    </row>
    <row r="20" spans="1:12" x14ac:dyDescent="0.25">
      <c r="A20" s="22" t="s">
        <v>53</v>
      </c>
      <c r="B20" s="23"/>
      <c r="C20" s="23"/>
      <c r="D20" s="23"/>
      <c r="E20" s="22">
        <f>SUM(E16:E19)</f>
        <v>0</v>
      </c>
      <c r="F20" s="22">
        <f>SUM(F16:F19)</f>
        <v>0</v>
      </c>
    </row>
    <row r="21" spans="1:12" s="26" customFormat="1" x14ac:dyDescent="0.25">
      <c r="A21" s="25"/>
      <c r="E21" s="25"/>
      <c r="F21" s="25"/>
      <c r="I21" s="32"/>
      <c r="J21" s="32"/>
    </row>
    <row r="22" spans="1:12" x14ac:dyDescent="0.25">
      <c r="A22" s="18" t="s">
        <v>61</v>
      </c>
      <c r="I22" s="32"/>
      <c r="J22" s="32"/>
    </row>
    <row r="23" spans="1:12" x14ac:dyDescent="0.25">
      <c r="A23" s="12" t="s">
        <v>62</v>
      </c>
      <c r="B23" s="12">
        <v>661</v>
      </c>
      <c r="D23" s="20">
        <v>1</v>
      </c>
      <c r="E23" s="12">
        <f t="shared" si="0"/>
        <v>661</v>
      </c>
      <c r="F23" s="12">
        <f>C23*D23</f>
        <v>0</v>
      </c>
      <c r="I23" s="32"/>
      <c r="J23" s="32"/>
    </row>
    <row r="24" spans="1:12" ht="15" customHeight="1" x14ac:dyDescent="0.25">
      <c r="A24" s="12" t="s">
        <v>63</v>
      </c>
      <c r="B24" s="12">
        <v>317</v>
      </c>
      <c r="D24" s="20"/>
      <c r="E24" s="12">
        <f t="shared" si="0"/>
        <v>0</v>
      </c>
      <c r="F24" s="12">
        <f>C24*D24</f>
        <v>0</v>
      </c>
    </row>
    <row r="25" spans="1:12" x14ac:dyDescent="0.25">
      <c r="A25" s="12" t="s">
        <v>64</v>
      </c>
      <c r="B25" s="12">
        <v>1314</v>
      </c>
      <c r="D25" s="20">
        <v>1</v>
      </c>
      <c r="E25" s="12">
        <f t="shared" si="0"/>
        <v>1314</v>
      </c>
      <c r="F25" s="12">
        <f>C25*D25</f>
        <v>0</v>
      </c>
      <c r="H25" s="29"/>
      <c r="I25" s="186"/>
      <c r="J25" s="186"/>
      <c r="K25" s="29"/>
    </row>
    <row r="26" spans="1:12" x14ac:dyDescent="0.25">
      <c r="A26" s="12" t="s">
        <v>65</v>
      </c>
      <c r="B26" s="12">
        <v>139</v>
      </c>
      <c r="D26" s="20"/>
      <c r="E26" s="21">
        <f t="shared" si="0"/>
        <v>0</v>
      </c>
      <c r="F26" s="12">
        <f>C26*D26</f>
        <v>0</v>
      </c>
      <c r="H26" s="33"/>
      <c r="I26" s="33"/>
      <c r="J26" s="33"/>
      <c r="K26" s="33"/>
    </row>
    <row r="27" spans="1:12" x14ac:dyDescent="0.25">
      <c r="A27" s="22" t="s">
        <v>53</v>
      </c>
      <c r="B27" s="23"/>
      <c r="C27" s="23"/>
      <c r="D27" s="23"/>
      <c r="E27" s="22">
        <f>SUM(E23:E26)</f>
        <v>1975</v>
      </c>
      <c r="F27" s="22">
        <f>SUM(F23:F26)</f>
        <v>0</v>
      </c>
    </row>
    <row r="28" spans="1:12" s="26" customFormat="1" x14ac:dyDescent="0.25">
      <c r="A28" s="25"/>
      <c r="E28" s="25"/>
      <c r="F28" s="25"/>
    </row>
    <row r="29" spans="1:12" x14ac:dyDescent="0.25">
      <c r="A29" s="18" t="s">
        <v>66</v>
      </c>
    </row>
    <row r="30" spans="1:12" x14ac:dyDescent="0.25">
      <c r="A30" s="12" t="s">
        <v>67</v>
      </c>
      <c r="B30" s="12">
        <v>24</v>
      </c>
      <c r="D30" s="20"/>
      <c r="E30" s="12">
        <f t="shared" si="0"/>
        <v>0</v>
      </c>
      <c r="F30" s="12">
        <f t="shared" ref="F30:F37" si="1">C30*D30</f>
        <v>0</v>
      </c>
    </row>
    <row r="31" spans="1:12" x14ac:dyDescent="0.25">
      <c r="A31" s="12" t="s">
        <v>68</v>
      </c>
      <c r="B31" s="12">
        <v>260</v>
      </c>
      <c r="D31" s="20"/>
      <c r="E31" s="12">
        <f t="shared" si="0"/>
        <v>0</v>
      </c>
      <c r="F31" s="12">
        <f t="shared" si="1"/>
        <v>0</v>
      </c>
    </row>
    <row r="32" spans="1:12" x14ac:dyDescent="0.25">
      <c r="A32" s="12" t="s">
        <v>69</v>
      </c>
      <c r="B32" s="12">
        <v>489</v>
      </c>
      <c r="D32" s="20"/>
      <c r="E32" s="12">
        <f t="shared" si="0"/>
        <v>0</v>
      </c>
      <c r="F32" s="12">
        <f t="shared" si="1"/>
        <v>0</v>
      </c>
    </row>
    <row r="33" spans="1:6" x14ac:dyDescent="0.25">
      <c r="A33" s="12" t="s">
        <v>70</v>
      </c>
      <c r="B33" s="12">
        <v>531</v>
      </c>
      <c r="D33" s="20"/>
      <c r="E33" s="12">
        <f t="shared" si="0"/>
        <v>0</v>
      </c>
      <c r="F33" s="12">
        <f t="shared" si="1"/>
        <v>0</v>
      </c>
    </row>
    <row r="34" spans="1:6" x14ac:dyDescent="0.25">
      <c r="A34" s="12" t="s">
        <v>71</v>
      </c>
      <c r="B34" s="12">
        <v>511</v>
      </c>
      <c r="D34" s="20"/>
      <c r="E34" s="12">
        <f t="shared" si="0"/>
        <v>0</v>
      </c>
      <c r="F34" s="12">
        <f t="shared" si="1"/>
        <v>0</v>
      </c>
    </row>
    <row r="35" spans="1:6" x14ac:dyDescent="0.25">
      <c r="A35" s="12" t="s">
        <v>72</v>
      </c>
      <c r="B35" s="12">
        <v>798</v>
      </c>
      <c r="D35" s="48"/>
      <c r="E35" s="12">
        <f t="shared" si="0"/>
        <v>0</v>
      </c>
      <c r="F35" s="12">
        <f t="shared" si="1"/>
        <v>0</v>
      </c>
    </row>
    <row r="36" spans="1:6" x14ac:dyDescent="0.25">
      <c r="A36" s="12" t="s">
        <v>73</v>
      </c>
      <c r="B36" s="12">
        <v>985</v>
      </c>
      <c r="D36" s="20">
        <v>2</v>
      </c>
      <c r="E36" s="12">
        <f t="shared" si="0"/>
        <v>1970</v>
      </c>
      <c r="F36" s="12">
        <f t="shared" si="1"/>
        <v>0</v>
      </c>
    </row>
    <row r="37" spans="1:6" x14ac:dyDescent="0.25">
      <c r="A37" s="12" t="s">
        <v>74</v>
      </c>
      <c r="B37" s="12">
        <v>1243</v>
      </c>
      <c r="D37" s="20"/>
      <c r="E37" s="21">
        <f t="shared" si="0"/>
        <v>0</v>
      </c>
      <c r="F37" s="12">
        <f t="shared" si="1"/>
        <v>0</v>
      </c>
    </row>
    <row r="38" spans="1:6" x14ac:dyDescent="0.25">
      <c r="A38" s="22" t="s">
        <v>53</v>
      </c>
      <c r="B38" s="23"/>
      <c r="C38" s="23"/>
      <c r="D38" s="23"/>
      <c r="E38" s="22">
        <f>SUM(E30:E37)</f>
        <v>1970</v>
      </c>
      <c r="F38" s="22">
        <f>SUM(F30:F37)</f>
        <v>0</v>
      </c>
    </row>
    <row r="39" spans="1:6" s="26" customFormat="1" x14ac:dyDescent="0.25">
      <c r="A39" s="25"/>
      <c r="E39" s="25"/>
      <c r="F39" s="25"/>
    </row>
    <row r="40" spans="1:6" x14ac:dyDescent="0.25">
      <c r="A40" s="18" t="s">
        <v>75</v>
      </c>
    </row>
    <row r="41" spans="1:6" x14ac:dyDescent="0.25">
      <c r="A41" s="12" t="s">
        <v>76</v>
      </c>
      <c r="B41" s="12">
        <v>287</v>
      </c>
      <c r="D41" s="20"/>
      <c r="E41" s="12">
        <f t="shared" si="0"/>
        <v>0</v>
      </c>
      <c r="F41" s="12">
        <f t="shared" ref="F41:F51" si="2">C41*D41</f>
        <v>0</v>
      </c>
    </row>
    <row r="42" spans="1:6" x14ac:dyDescent="0.25">
      <c r="A42" s="12" t="s">
        <v>77</v>
      </c>
      <c r="B42" s="12">
        <v>970</v>
      </c>
      <c r="D42" s="20"/>
      <c r="E42" s="12">
        <f t="shared" si="0"/>
        <v>0</v>
      </c>
      <c r="F42" s="12">
        <f t="shared" si="2"/>
        <v>0</v>
      </c>
    </row>
    <row r="43" spans="1:6" x14ac:dyDescent="0.25">
      <c r="A43" s="12" t="s">
        <v>78</v>
      </c>
      <c r="B43" s="12">
        <v>690</v>
      </c>
      <c r="D43" s="20"/>
      <c r="E43" s="12">
        <f t="shared" si="0"/>
        <v>0</v>
      </c>
      <c r="F43" s="12">
        <f t="shared" si="2"/>
        <v>0</v>
      </c>
    </row>
    <row r="44" spans="1:6" x14ac:dyDescent="0.25">
      <c r="A44" s="12" t="s">
        <v>79</v>
      </c>
      <c r="B44" s="12">
        <v>628</v>
      </c>
      <c r="D44" s="20"/>
      <c r="E44" s="12">
        <f t="shared" si="0"/>
        <v>0</v>
      </c>
      <c r="F44" s="12">
        <f t="shared" si="2"/>
        <v>0</v>
      </c>
    </row>
    <row r="45" spans="1:6" x14ac:dyDescent="0.25">
      <c r="A45" s="12" t="s">
        <v>80</v>
      </c>
      <c r="B45" s="12">
        <v>631</v>
      </c>
      <c r="D45" s="20"/>
      <c r="E45" s="12">
        <f t="shared" si="0"/>
        <v>0</v>
      </c>
      <c r="F45" s="12">
        <f t="shared" si="2"/>
        <v>0</v>
      </c>
    </row>
    <row r="46" spans="1:6" x14ac:dyDescent="0.25">
      <c r="A46" s="12" t="s">
        <v>81</v>
      </c>
      <c r="B46" s="12">
        <v>220</v>
      </c>
      <c r="D46" s="20"/>
      <c r="E46" s="12">
        <f t="shared" si="0"/>
        <v>0</v>
      </c>
      <c r="F46" s="12">
        <f t="shared" si="2"/>
        <v>0</v>
      </c>
    </row>
    <row r="47" spans="1:6" x14ac:dyDescent="0.25">
      <c r="A47" s="12" t="s">
        <v>82</v>
      </c>
      <c r="B47" s="12">
        <v>220</v>
      </c>
      <c r="D47" s="20"/>
      <c r="E47" s="12">
        <f t="shared" si="0"/>
        <v>0</v>
      </c>
      <c r="F47" s="12">
        <f t="shared" si="2"/>
        <v>0</v>
      </c>
    </row>
    <row r="48" spans="1:6" x14ac:dyDescent="0.25">
      <c r="A48" s="12" t="s">
        <v>83</v>
      </c>
      <c r="B48" s="12">
        <v>220</v>
      </c>
      <c r="D48" s="20"/>
      <c r="E48" s="12">
        <f t="shared" si="0"/>
        <v>0</v>
      </c>
      <c r="F48" s="12">
        <f t="shared" si="2"/>
        <v>0</v>
      </c>
    </row>
    <row r="49" spans="1:6" x14ac:dyDescent="0.25">
      <c r="A49" s="12" t="s">
        <v>84</v>
      </c>
      <c r="B49" s="12">
        <v>282</v>
      </c>
      <c r="D49" s="20"/>
      <c r="E49" s="12">
        <f t="shared" si="0"/>
        <v>0</v>
      </c>
      <c r="F49" s="12">
        <f t="shared" si="2"/>
        <v>0</v>
      </c>
    </row>
    <row r="50" spans="1:6" x14ac:dyDescent="0.25">
      <c r="A50" s="12" t="s">
        <v>85</v>
      </c>
      <c r="B50" s="12">
        <v>260</v>
      </c>
      <c r="D50" s="20"/>
      <c r="E50" s="12">
        <f t="shared" si="0"/>
        <v>0</v>
      </c>
      <c r="F50" s="12">
        <f t="shared" si="2"/>
        <v>0</v>
      </c>
    </row>
    <row r="51" spans="1:6" x14ac:dyDescent="0.25">
      <c r="A51" s="12" t="s">
        <v>86</v>
      </c>
      <c r="B51" s="12">
        <v>262</v>
      </c>
      <c r="D51" s="20"/>
      <c r="E51" s="21">
        <f t="shared" si="0"/>
        <v>0</v>
      </c>
      <c r="F51" s="12">
        <f t="shared" si="2"/>
        <v>0</v>
      </c>
    </row>
    <row r="52" spans="1:6" x14ac:dyDescent="0.25">
      <c r="A52" s="22" t="s">
        <v>53</v>
      </c>
      <c r="B52" s="23"/>
      <c r="C52" s="23"/>
      <c r="D52" s="23"/>
      <c r="E52" s="22">
        <f>SUM(E41:E51)</f>
        <v>0</v>
      </c>
      <c r="F52" s="22">
        <f>SUM(F41:F51)</f>
        <v>0</v>
      </c>
    </row>
    <row r="53" spans="1:6" s="26" customFormat="1" x14ac:dyDescent="0.25">
      <c r="A53" s="25"/>
      <c r="E53" s="25"/>
      <c r="F53" s="25"/>
    </row>
    <row r="54" spans="1:6" x14ac:dyDescent="0.25">
      <c r="A54" s="31" t="s">
        <v>87</v>
      </c>
    </row>
    <row r="55" spans="1:6" x14ac:dyDescent="0.25">
      <c r="A55" s="12" t="s">
        <v>88</v>
      </c>
      <c r="B55" s="12">
        <v>192</v>
      </c>
      <c r="D55" s="20">
        <v>1</v>
      </c>
      <c r="E55" s="12">
        <f t="shared" si="0"/>
        <v>192</v>
      </c>
      <c r="F55" s="12">
        <f>C55*D55</f>
        <v>0</v>
      </c>
    </row>
    <row r="56" spans="1:6" x14ac:dyDescent="0.25">
      <c r="A56" s="12" t="s">
        <v>89</v>
      </c>
      <c r="B56" s="12">
        <v>203</v>
      </c>
      <c r="D56" s="48">
        <v>1</v>
      </c>
      <c r="E56" s="12">
        <f t="shared" si="0"/>
        <v>203</v>
      </c>
      <c r="F56" s="12">
        <f t="shared" ref="F56:F61" si="3">C56*D56</f>
        <v>0</v>
      </c>
    </row>
    <row r="57" spans="1:6" x14ac:dyDescent="0.25">
      <c r="A57" s="12" t="s">
        <v>90</v>
      </c>
      <c r="B57" s="12">
        <v>485</v>
      </c>
      <c r="D57" s="20"/>
      <c r="E57" s="12">
        <f t="shared" si="0"/>
        <v>0</v>
      </c>
      <c r="F57" s="12">
        <f t="shared" si="3"/>
        <v>0</v>
      </c>
    </row>
    <row r="58" spans="1:6" x14ac:dyDescent="0.25">
      <c r="A58" s="12" t="s">
        <v>91</v>
      </c>
      <c r="B58" s="12">
        <v>465</v>
      </c>
      <c r="D58" s="20"/>
      <c r="E58" s="12">
        <f t="shared" si="0"/>
        <v>0</v>
      </c>
      <c r="F58" s="12">
        <f t="shared" si="3"/>
        <v>0</v>
      </c>
    </row>
    <row r="59" spans="1:6" x14ac:dyDescent="0.25">
      <c r="A59" s="12" t="s">
        <v>92</v>
      </c>
      <c r="B59" s="12">
        <v>645</v>
      </c>
      <c r="D59" s="20"/>
      <c r="E59" s="12">
        <f t="shared" si="0"/>
        <v>0</v>
      </c>
      <c r="F59" s="12">
        <f t="shared" si="3"/>
        <v>0</v>
      </c>
    </row>
    <row r="60" spans="1:6" x14ac:dyDescent="0.25">
      <c r="A60" s="12" t="s">
        <v>93</v>
      </c>
      <c r="B60" s="12">
        <v>675</v>
      </c>
      <c r="D60" s="20"/>
      <c r="E60" s="12">
        <f t="shared" si="0"/>
        <v>0</v>
      </c>
      <c r="F60" s="12">
        <f t="shared" si="3"/>
        <v>0</v>
      </c>
    </row>
    <row r="61" spans="1:6" x14ac:dyDescent="0.25">
      <c r="A61" s="12" t="s">
        <v>94</v>
      </c>
      <c r="B61" s="12">
        <v>675</v>
      </c>
      <c r="D61" s="20"/>
      <c r="E61" s="21">
        <f t="shared" si="0"/>
        <v>0</v>
      </c>
      <c r="F61" s="12">
        <f t="shared" si="3"/>
        <v>0</v>
      </c>
    </row>
    <row r="62" spans="1:6" x14ac:dyDescent="0.25">
      <c r="A62" s="22" t="s">
        <v>53</v>
      </c>
      <c r="B62" s="23"/>
      <c r="C62" s="23"/>
      <c r="D62" s="23"/>
      <c r="E62" s="22">
        <f>SUM(E55:E61)</f>
        <v>395</v>
      </c>
      <c r="F62" s="22">
        <f>SUM(F55:F61)</f>
        <v>0</v>
      </c>
    </row>
    <row r="65" spans="2:7" ht="15.75" thickBot="1" x14ac:dyDescent="0.3"/>
    <row r="66" spans="2:7" ht="15.75" customHeight="1" x14ac:dyDescent="0.25">
      <c r="B66" s="187" t="s">
        <v>95</v>
      </c>
      <c r="C66" s="188"/>
      <c r="D66" s="188"/>
      <c r="E66" s="189"/>
      <c r="F66" s="32"/>
      <c r="G66" s="32"/>
    </row>
    <row r="67" spans="2:7" ht="15.75" thickBot="1" x14ac:dyDescent="0.3">
      <c r="B67" s="190"/>
      <c r="C67" s="191"/>
      <c r="D67" s="191"/>
      <c r="E67" s="192"/>
    </row>
  </sheetData>
  <sheetProtection selectLockedCells="1"/>
  <protectedRanges>
    <protectedRange sqref="I25:J25 H26:K26" name="Plage2"/>
    <protectedRange sqref="D7:D8 D12 D16:D19 D23:D26 D30:D37 D41:D51 D55:D61" name="Plage1"/>
  </protectedRanges>
  <mergeCells count="5">
    <mergeCell ref="D2:K2"/>
    <mergeCell ref="I15:I16"/>
    <mergeCell ref="K16:K19"/>
    <mergeCell ref="I25:J25"/>
    <mergeCell ref="B66:E67"/>
  </mergeCells>
  <hyperlinks>
    <hyperlink ref="A2" r:id="rId1"/>
  </hyperlinks>
  <pageMargins left="0.23622047244094491" right="0.23622047244094491" top="0.74803149606299213" bottom="0.74803149606299213" header="0.31496062992125984" footer="0.31496062992125984"/>
  <pageSetup paperSize="9" scale="40" orientation="portrait" horizontalDpi="360" verticalDpi="36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1135F70-71F2-4E86-9BDD-A0721A1DF963}">
            <x14:iconSet iconSet="3Symbols2" custom="1">
              <x14:cfvo type="percent">
                <xm:f>0</xm:f>
              </x14:cfvo>
              <x14:cfvo type="num">
                <xm:f>$I$6</xm:f>
              </x14:cfvo>
              <x14:cfvo type="num" gte="0">
                <xm:f>$I$6</xm:f>
              </x14:cfvo>
              <x14:cfIcon iconSet="NoIcons" iconId="0"/>
              <x14:cfIcon iconSet="NoIcons" iconId="0"/>
              <x14:cfIcon iconSet="4RedToBlack" iconId="3"/>
            </x14:iconSet>
          </x14:cfRule>
          <xm:sqref>H6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7"/>
  <sheetViews>
    <sheetView zoomScale="90" zoomScaleNormal="90" workbookViewId="0">
      <selection activeCell="R32" sqref="R32"/>
    </sheetView>
  </sheetViews>
  <sheetFormatPr defaultRowHeight="15" x14ac:dyDescent="0.25"/>
  <cols>
    <col min="15" max="15" width="11" bestFit="1" customWidth="1"/>
    <col min="20" max="20" width="10.85546875" bestFit="1" customWidth="1"/>
  </cols>
  <sheetData>
    <row r="3" spans="2:18" x14ac:dyDescent="0.25">
      <c r="B3" s="204" t="s">
        <v>8</v>
      </c>
      <c r="C3" s="196"/>
      <c r="D3" s="197"/>
      <c r="E3" s="1"/>
      <c r="F3" s="195" t="s">
        <v>10</v>
      </c>
      <c r="G3" s="196"/>
      <c r="H3" s="197"/>
      <c r="I3" s="1"/>
      <c r="J3" s="195" t="s">
        <v>12</v>
      </c>
      <c r="K3" s="196"/>
      <c r="L3" s="197"/>
      <c r="N3" s="193" t="s">
        <v>11</v>
      </c>
      <c r="O3" s="193"/>
      <c r="P3" s="193"/>
      <c r="Q3" s="193"/>
      <c r="R3" s="193"/>
    </row>
    <row r="4" spans="2:18" x14ac:dyDescent="0.25">
      <c r="B4" s="198"/>
      <c r="C4" s="199"/>
      <c r="D4" s="200"/>
      <c r="E4" s="1"/>
      <c r="F4" s="198"/>
      <c r="G4" s="199"/>
      <c r="H4" s="200"/>
      <c r="I4" s="1"/>
      <c r="J4" s="198"/>
      <c r="K4" s="199"/>
      <c r="L4" s="200"/>
      <c r="N4" s="194"/>
      <c r="O4" s="194"/>
      <c r="P4" s="194"/>
      <c r="Q4" s="194"/>
      <c r="R4" s="194"/>
    </row>
    <row r="5" spans="2:18" x14ac:dyDescent="0.25">
      <c r="B5" s="198"/>
      <c r="C5" s="199"/>
      <c r="D5" s="200"/>
      <c r="E5" s="1"/>
      <c r="F5" s="198"/>
      <c r="G5" s="199"/>
      <c r="H5" s="200"/>
      <c r="I5" s="1"/>
      <c r="J5" s="198"/>
      <c r="K5" s="199"/>
      <c r="L5" s="200"/>
      <c r="N5" s="194"/>
      <c r="O5" s="194"/>
      <c r="P5" s="194"/>
      <c r="Q5" s="194"/>
      <c r="R5" s="194"/>
    </row>
    <row r="6" spans="2:18" x14ac:dyDescent="0.25">
      <c r="B6" s="198"/>
      <c r="C6" s="199"/>
      <c r="D6" s="200"/>
      <c r="E6" s="1"/>
      <c r="F6" s="198"/>
      <c r="G6" s="199"/>
      <c r="H6" s="200"/>
      <c r="I6" s="1"/>
      <c r="J6" s="198"/>
      <c r="K6" s="199"/>
      <c r="L6" s="200"/>
      <c r="N6" s="194"/>
      <c r="O6" s="194"/>
      <c r="P6" s="194"/>
      <c r="Q6" s="194"/>
      <c r="R6" s="194"/>
    </row>
    <row r="7" spans="2:18" x14ac:dyDescent="0.25">
      <c r="B7" s="198"/>
      <c r="C7" s="199"/>
      <c r="D7" s="200"/>
      <c r="E7" s="1"/>
      <c r="F7" s="198"/>
      <c r="G7" s="199"/>
      <c r="H7" s="200"/>
      <c r="I7" s="1"/>
      <c r="J7" s="198"/>
      <c r="K7" s="199"/>
      <c r="L7" s="200"/>
      <c r="N7" s="194"/>
      <c r="O7" s="194"/>
      <c r="P7" s="194"/>
      <c r="Q7" s="194"/>
      <c r="R7" s="194"/>
    </row>
    <row r="8" spans="2:18" x14ac:dyDescent="0.25">
      <c r="B8" s="198"/>
      <c r="C8" s="199"/>
      <c r="D8" s="200"/>
      <c r="E8" s="1"/>
      <c r="F8" s="198"/>
      <c r="G8" s="199"/>
      <c r="H8" s="200"/>
      <c r="I8" s="1"/>
      <c r="J8" s="198"/>
      <c r="K8" s="199"/>
      <c r="L8" s="200"/>
      <c r="N8" s="194"/>
      <c r="O8" s="194"/>
      <c r="P8" s="194"/>
      <c r="Q8" s="194"/>
      <c r="R8" s="194"/>
    </row>
    <row r="9" spans="2:18" x14ac:dyDescent="0.25">
      <c r="B9" s="198"/>
      <c r="C9" s="199"/>
      <c r="D9" s="200"/>
      <c r="E9" s="1"/>
      <c r="F9" s="198"/>
      <c r="G9" s="199"/>
      <c r="H9" s="200"/>
      <c r="I9" s="1"/>
      <c r="J9" s="198"/>
      <c r="K9" s="199"/>
      <c r="L9" s="200"/>
      <c r="N9" s="194"/>
      <c r="O9" s="194"/>
      <c r="P9" s="194"/>
      <c r="Q9" s="194"/>
      <c r="R9" s="194"/>
    </row>
    <row r="10" spans="2:18" x14ac:dyDescent="0.25">
      <c r="B10" s="201"/>
      <c r="C10" s="202"/>
      <c r="D10" s="203"/>
      <c r="E10" s="1"/>
      <c r="F10" s="201"/>
      <c r="G10" s="202"/>
      <c r="H10" s="203"/>
      <c r="I10" s="1"/>
      <c r="J10" s="201"/>
      <c r="K10" s="202"/>
      <c r="L10" s="203"/>
      <c r="N10" s="194"/>
      <c r="O10" s="194"/>
      <c r="P10" s="194"/>
      <c r="Q10" s="194"/>
      <c r="R10" s="194"/>
    </row>
    <row r="12" spans="2:18" x14ac:dyDescent="0.25">
      <c r="B12" s="204" t="s">
        <v>9</v>
      </c>
      <c r="C12" s="196"/>
      <c r="D12" s="197"/>
      <c r="E12" s="1"/>
      <c r="F12" s="195" t="s">
        <v>7</v>
      </c>
      <c r="G12" s="196"/>
      <c r="H12" s="197"/>
      <c r="I12" s="1"/>
      <c r="J12" s="195" t="s">
        <v>13</v>
      </c>
      <c r="K12" s="196"/>
      <c r="L12" s="197"/>
      <c r="N12" s="193" t="s">
        <v>231</v>
      </c>
      <c r="O12" s="193"/>
      <c r="P12" s="193"/>
      <c r="Q12" s="193"/>
      <c r="R12" s="193"/>
    </row>
    <row r="13" spans="2:18" x14ac:dyDescent="0.25">
      <c r="B13" s="198"/>
      <c r="C13" s="199"/>
      <c r="D13" s="200"/>
      <c r="E13" s="1"/>
      <c r="F13" s="198"/>
      <c r="G13" s="199"/>
      <c r="H13" s="200"/>
      <c r="I13" s="1"/>
      <c r="J13" s="198"/>
      <c r="K13" s="199"/>
      <c r="L13" s="200"/>
      <c r="N13" s="194"/>
      <c r="O13" s="194"/>
      <c r="P13" s="194"/>
      <c r="Q13" s="194"/>
      <c r="R13" s="194"/>
    </row>
    <row r="14" spans="2:18" x14ac:dyDescent="0.25">
      <c r="B14" s="198"/>
      <c r="C14" s="199"/>
      <c r="D14" s="200"/>
      <c r="E14" s="1"/>
      <c r="F14" s="198"/>
      <c r="G14" s="199"/>
      <c r="H14" s="200"/>
      <c r="I14" s="1"/>
      <c r="J14" s="198"/>
      <c r="K14" s="199"/>
      <c r="L14" s="200"/>
      <c r="N14" s="194"/>
      <c r="O14" s="194"/>
      <c r="P14" s="194"/>
      <c r="Q14" s="194"/>
      <c r="R14" s="194"/>
    </row>
    <row r="15" spans="2:18" x14ac:dyDescent="0.25">
      <c r="B15" s="198"/>
      <c r="C15" s="199"/>
      <c r="D15" s="200"/>
      <c r="E15" s="1"/>
      <c r="F15" s="198"/>
      <c r="G15" s="199"/>
      <c r="H15" s="200"/>
      <c r="I15" s="1"/>
      <c r="J15" s="198"/>
      <c r="K15" s="199"/>
      <c r="L15" s="200"/>
      <c r="N15" s="194"/>
      <c r="O15" s="194"/>
      <c r="P15" s="194"/>
      <c r="Q15" s="194"/>
      <c r="R15" s="194"/>
    </row>
    <row r="16" spans="2:18" x14ac:dyDescent="0.25">
      <c r="B16" s="198"/>
      <c r="C16" s="199"/>
      <c r="D16" s="200"/>
      <c r="E16" s="1"/>
      <c r="F16" s="198"/>
      <c r="G16" s="199"/>
      <c r="H16" s="200"/>
      <c r="I16" s="1"/>
      <c r="J16" s="198"/>
      <c r="K16" s="199"/>
      <c r="L16" s="200"/>
      <c r="N16" s="194"/>
      <c r="O16" s="194"/>
      <c r="P16" s="194"/>
      <c r="Q16" s="194"/>
      <c r="R16" s="194"/>
    </row>
    <row r="17" spans="2:20" x14ac:dyDescent="0.25">
      <c r="B17" s="198"/>
      <c r="C17" s="199"/>
      <c r="D17" s="200"/>
      <c r="E17" s="1"/>
      <c r="F17" s="198"/>
      <c r="G17" s="199"/>
      <c r="H17" s="200"/>
      <c r="I17" s="1"/>
      <c r="J17" s="198"/>
      <c r="K17" s="199"/>
      <c r="L17" s="200"/>
      <c r="N17" s="194"/>
      <c r="O17" s="194"/>
      <c r="P17" s="194"/>
      <c r="Q17" s="194"/>
      <c r="R17" s="194"/>
    </row>
    <row r="18" spans="2:20" x14ac:dyDescent="0.25">
      <c r="B18" s="198"/>
      <c r="C18" s="199"/>
      <c r="D18" s="200"/>
      <c r="E18" s="1"/>
      <c r="F18" s="198"/>
      <c r="G18" s="199"/>
      <c r="H18" s="200"/>
      <c r="I18" s="1"/>
      <c r="J18" s="198"/>
      <c r="K18" s="199"/>
      <c r="L18" s="200"/>
      <c r="N18" s="194"/>
      <c r="O18" s="194"/>
      <c r="P18" s="194"/>
      <c r="Q18" s="194"/>
      <c r="R18" s="194"/>
    </row>
    <row r="19" spans="2:20" x14ac:dyDescent="0.25">
      <c r="B19" s="201"/>
      <c r="C19" s="202"/>
      <c r="D19" s="203"/>
      <c r="E19" s="1"/>
      <c r="F19" s="201"/>
      <c r="G19" s="202"/>
      <c r="H19" s="203"/>
      <c r="I19" s="1"/>
      <c r="J19" s="201"/>
      <c r="K19" s="202"/>
      <c r="L19" s="203"/>
      <c r="N19" s="194"/>
      <c r="O19" s="194"/>
      <c r="P19" s="194"/>
      <c r="Q19" s="194"/>
      <c r="R19" s="194"/>
    </row>
    <row r="20" spans="2:20" x14ac:dyDescent="0.25">
      <c r="N20" s="194"/>
      <c r="O20" s="194"/>
      <c r="P20" s="194"/>
      <c r="Q20" s="194"/>
      <c r="R20" s="194"/>
    </row>
    <row r="21" spans="2:20" x14ac:dyDescent="0.25">
      <c r="B21" s="195" t="s">
        <v>17</v>
      </c>
      <c r="C21" s="196"/>
      <c r="D21" s="197"/>
      <c r="E21" s="1"/>
      <c r="F21" s="195" t="s">
        <v>6</v>
      </c>
      <c r="G21" s="196"/>
      <c r="H21" s="197"/>
      <c r="I21" s="1"/>
      <c r="J21" s="195" t="s">
        <v>14</v>
      </c>
      <c r="K21" s="196"/>
      <c r="L21" s="197"/>
      <c r="N21" s="194"/>
      <c r="O21" s="194"/>
      <c r="P21" s="194"/>
      <c r="Q21" s="194"/>
      <c r="R21" s="194"/>
    </row>
    <row r="22" spans="2:20" x14ac:dyDescent="0.25">
      <c r="B22" s="198"/>
      <c r="C22" s="199"/>
      <c r="D22" s="200"/>
      <c r="E22" s="1"/>
      <c r="F22" s="198"/>
      <c r="G22" s="199"/>
      <c r="H22" s="200"/>
      <c r="I22" s="1"/>
      <c r="J22" s="198"/>
      <c r="K22" s="199"/>
      <c r="L22" s="200"/>
      <c r="N22" s="194"/>
      <c r="O22" s="194"/>
      <c r="P22" s="194"/>
      <c r="Q22" s="194"/>
      <c r="R22" s="194"/>
    </row>
    <row r="23" spans="2:20" x14ac:dyDescent="0.25">
      <c r="B23" s="198"/>
      <c r="C23" s="199"/>
      <c r="D23" s="200"/>
      <c r="E23" s="1"/>
      <c r="F23" s="198"/>
      <c r="G23" s="199"/>
      <c r="H23" s="200"/>
      <c r="I23" s="1"/>
      <c r="J23" s="198"/>
      <c r="K23" s="199"/>
      <c r="L23" s="200"/>
      <c r="N23" s="194"/>
      <c r="O23" s="194"/>
      <c r="P23" s="194"/>
      <c r="Q23" s="194"/>
      <c r="R23" s="194"/>
    </row>
    <row r="24" spans="2:20" x14ac:dyDescent="0.25">
      <c r="B24" s="198"/>
      <c r="C24" s="199"/>
      <c r="D24" s="200"/>
      <c r="E24" s="1"/>
      <c r="F24" s="198"/>
      <c r="G24" s="199"/>
      <c r="H24" s="200"/>
      <c r="I24" s="1"/>
      <c r="J24" s="198"/>
      <c r="K24" s="199"/>
      <c r="L24" s="200"/>
    </row>
    <row r="25" spans="2:20" x14ac:dyDescent="0.25">
      <c r="B25" s="198"/>
      <c r="C25" s="199"/>
      <c r="D25" s="200"/>
      <c r="E25" s="1"/>
      <c r="F25" s="198"/>
      <c r="G25" s="199"/>
      <c r="H25" s="200"/>
      <c r="I25" s="1"/>
      <c r="J25" s="198"/>
      <c r="K25" s="199"/>
      <c r="L25" s="200"/>
    </row>
    <row r="26" spans="2:20" x14ac:dyDescent="0.25">
      <c r="B26" s="198"/>
      <c r="C26" s="199"/>
      <c r="D26" s="200"/>
      <c r="E26" s="1"/>
      <c r="F26" s="198"/>
      <c r="G26" s="199"/>
      <c r="H26" s="200"/>
      <c r="I26" s="1"/>
      <c r="J26" s="198"/>
      <c r="K26" s="199"/>
      <c r="L26" s="200"/>
    </row>
    <row r="27" spans="2:20" x14ac:dyDescent="0.25">
      <c r="B27" s="198"/>
      <c r="C27" s="199"/>
      <c r="D27" s="200"/>
      <c r="E27" s="1"/>
      <c r="F27" s="198"/>
      <c r="G27" s="199"/>
      <c r="H27" s="200"/>
      <c r="I27" s="1"/>
      <c r="J27" s="198"/>
      <c r="K27" s="199"/>
      <c r="L27" s="200"/>
      <c r="P27" s="45"/>
      <c r="S27" s="45"/>
    </row>
    <row r="28" spans="2:20" x14ac:dyDescent="0.25">
      <c r="B28" s="201"/>
      <c r="C28" s="202"/>
      <c r="D28" s="203"/>
      <c r="E28" s="1"/>
      <c r="F28" s="201"/>
      <c r="G28" s="202"/>
      <c r="H28" s="203"/>
      <c r="I28" s="1"/>
      <c r="J28" s="201"/>
      <c r="K28" s="202"/>
      <c r="L28" s="203"/>
      <c r="T28" s="45"/>
    </row>
    <row r="29" spans="2:20" x14ac:dyDescent="0.25">
      <c r="T29" s="45"/>
    </row>
    <row r="30" spans="2:20" x14ac:dyDescent="0.25">
      <c r="B30" s="195"/>
      <c r="C30" s="196"/>
      <c r="D30" s="197"/>
      <c r="E30" s="1"/>
      <c r="F30" s="195" t="s">
        <v>16</v>
      </c>
      <c r="G30" s="196"/>
      <c r="H30" s="197"/>
      <c r="I30" s="1"/>
      <c r="J30" s="195" t="s">
        <v>15</v>
      </c>
      <c r="K30" s="196"/>
      <c r="L30" s="197"/>
      <c r="S30" s="79"/>
      <c r="T30" s="45"/>
    </row>
    <row r="31" spans="2:20" x14ac:dyDescent="0.25">
      <c r="B31" s="198"/>
      <c r="C31" s="199"/>
      <c r="D31" s="200"/>
      <c r="E31" s="1"/>
      <c r="F31" s="198"/>
      <c r="G31" s="199"/>
      <c r="H31" s="200"/>
      <c r="I31" s="1"/>
      <c r="J31" s="198"/>
      <c r="K31" s="199"/>
      <c r="L31" s="200"/>
    </row>
    <row r="32" spans="2:20" x14ac:dyDescent="0.25">
      <c r="B32" s="198"/>
      <c r="C32" s="199"/>
      <c r="D32" s="200"/>
      <c r="E32" s="1"/>
      <c r="F32" s="198"/>
      <c r="G32" s="199"/>
      <c r="H32" s="200"/>
      <c r="I32" s="1"/>
      <c r="J32" s="198"/>
      <c r="K32" s="199"/>
      <c r="L32" s="200"/>
    </row>
    <row r="33" spans="2:12" x14ac:dyDescent="0.25">
      <c r="B33" s="198"/>
      <c r="C33" s="199"/>
      <c r="D33" s="200"/>
      <c r="E33" s="1"/>
      <c r="F33" s="198"/>
      <c r="G33" s="199"/>
      <c r="H33" s="200"/>
      <c r="I33" s="1"/>
      <c r="J33" s="198"/>
      <c r="K33" s="199"/>
      <c r="L33" s="200"/>
    </row>
    <row r="34" spans="2:12" x14ac:dyDescent="0.25">
      <c r="B34" s="198"/>
      <c r="C34" s="199"/>
      <c r="D34" s="200"/>
      <c r="E34" s="1"/>
      <c r="F34" s="198"/>
      <c r="G34" s="199"/>
      <c r="H34" s="200"/>
      <c r="I34" s="1"/>
      <c r="J34" s="198"/>
      <c r="K34" s="199"/>
      <c r="L34" s="200"/>
    </row>
    <row r="35" spans="2:12" x14ac:dyDescent="0.25">
      <c r="B35" s="198"/>
      <c r="C35" s="199"/>
      <c r="D35" s="200"/>
      <c r="E35" s="1"/>
      <c r="F35" s="198"/>
      <c r="G35" s="199"/>
      <c r="H35" s="200"/>
      <c r="I35" s="1"/>
      <c r="J35" s="198"/>
      <c r="K35" s="199"/>
      <c r="L35" s="200"/>
    </row>
    <row r="36" spans="2:12" x14ac:dyDescent="0.25">
      <c r="B36" s="198"/>
      <c r="C36" s="199"/>
      <c r="D36" s="200"/>
      <c r="E36" s="1"/>
      <c r="F36" s="198"/>
      <c r="G36" s="199"/>
      <c r="H36" s="200"/>
      <c r="I36" s="1"/>
      <c r="J36" s="198"/>
      <c r="K36" s="199"/>
      <c r="L36" s="200"/>
    </row>
    <row r="37" spans="2:12" x14ac:dyDescent="0.25">
      <c r="B37" s="201"/>
      <c r="C37" s="202"/>
      <c r="D37" s="203"/>
      <c r="E37" s="1"/>
      <c r="F37" s="201"/>
      <c r="G37" s="202"/>
      <c r="H37" s="203"/>
      <c r="I37" s="1"/>
      <c r="J37" s="201"/>
      <c r="K37" s="202"/>
      <c r="L37" s="203"/>
    </row>
  </sheetData>
  <sheetProtection selectLockedCells="1"/>
  <mergeCells count="28">
    <mergeCell ref="J13:L19"/>
    <mergeCell ref="B31:D37"/>
    <mergeCell ref="J21:L21"/>
    <mergeCell ref="J22:L28"/>
    <mergeCell ref="J30:L30"/>
    <mergeCell ref="J31:L37"/>
    <mergeCell ref="F21:H21"/>
    <mergeCell ref="F22:H28"/>
    <mergeCell ref="F30:H30"/>
    <mergeCell ref="F31:H37"/>
    <mergeCell ref="B21:D21"/>
    <mergeCell ref="B22:D28"/>
    <mergeCell ref="N12:R12"/>
    <mergeCell ref="N4:R10"/>
    <mergeCell ref="N3:R3"/>
    <mergeCell ref="B30:D30"/>
    <mergeCell ref="F13:H19"/>
    <mergeCell ref="B4:D10"/>
    <mergeCell ref="B3:D3"/>
    <mergeCell ref="B12:D12"/>
    <mergeCell ref="J3:L3"/>
    <mergeCell ref="J4:L10"/>
    <mergeCell ref="J12:L12"/>
    <mergeCell ref="F3:H3"/>
    <mergeCell ref="F4:H10"/>
    <mergeCell ref="F12:H12"/>
    <mergeCell ref="B13:D19"/>
    <mergeCell ref="N13:R23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6"/>
  <sheetViews>
    <sheetView workbookViewId="0">
      <selection activeCell="C5" sqref="C5"/>
    </sheetView>
  </sheetViews>
  <sheetFormatPr defaultRowHeight="15" x14ac:dyDescent="0.25"/>
  <cols>
    <col min="3" max="3" width="10.140625" customWidth="1"/>
    <col min="7" max="7" width="9.85546875" customWidth="1"/>
    <col min="9" max="9" width="11" bestFit="1" customWidth="1"/>
    <col min="11" max="11" width="11" bestFit="1" customWidth="1"/>
  </cols>
  <sheetData>
    <row r="3" spans="3:10" x14ac:dyDescent="0.25">
      <c r="C3" s="205" t="s">
        <v>245</v>
      </c>
      <c r="D3" s="205"/>
      <c r="F3" s="206" t="s">
        <v>246</v>
      </c>
      <c r="G3" s="206"/>
    </row>
    <row r="4" spans="3:10" x14ac:dyDescent="0.25">
      <c r="G4" s="45"/>
      <c r="H4" s="45"/>
    </row>
    <row r="5" spans="3:10" x14ac:dyDescent="0.25">
      <c r="C5" s="107">
        <v>450</v>
      </c>
      <c r="D5" s="108" t="s">
        <v>151</v>
      </c>
      <c r="F5" s="92">
        <v>500</v>
      </c>
      <c r="G5" s="11" t="s">
        <v>234</v>
      </c>
      <c r="I5" s="104"/>
      <c r="J5" s="104"/>
    </row>
    <row r="6" spans="3:10" x14ac:dyDescent="0.25">
      <c r="C6" s="105" t="s">
        <v>118</v>
      </c>
      <c r="D6" s="105" t="s">
        <v>244</v>
      </c>
      <c r="F6" s="90">
        <v>8</v>
      </c>
      <c r="G6" s="45" t="s">
        <v>240</v>
      </c>
    </row>
    <row r="7" spans="3:10" x14ac:dyDescent="0.25">
      <c r="C7" s="106">
        <f t="shared" ref="C7:C26" si="0">(($C$5/60^3)/24)*D7</f>
        <v>4.3402777777777779E-5</v>
      </c>
      <c r="D7" s="109">
        <v>0.5</v>
      </c>
      <c r="F7" s="92">
        <v>1000</v>
      </c>
      <c r="G7" s="11" t="s">
        <v>235</v>
      </c>
    </row>
    <row r="8" spans="3:10" x14ac:dyDescent="0.25">
      <c r="C8" s="106">
        <f t="shared" si="0"/>
        <v>8.6805555555555559E-5</v>
      </c>
      <c r="D8" s="109">
        <v>1</v>
      </c>
      <c r="F8" s="91">
        <f>ROUNDUP(((((F5*6080)/(60*60))*F6)*(SIN((F11*(PI()/180)))))+F7,-2)</f>
        <v>2200</v>
      </c>
      <c r="G8" s="45" t="s">
        <v>239</v>
      </c>
    </row>
    <row r="9" spans="3:10" x14ac:dyDescent="0.25">
      <c r="C9" s="106">
        <f t="shared" si="0"/>
        <v>1.3020833333333333E-4</v>
      </c>
      <c r="D9" s="109">
        <v>1.5</v>
      </c>
      <c r="F9" s="92">
        <v>2200</v>
      </c>
      <c r="G9" s="11" t="s">
        <v>236</v>
      </c>
    </row>
    <row r="10" spans="3:10" x14ac:dyDescent="0.25">
      <c r="C10" s="106">
        <f t="shared" si="0"/>
        <v>1.7361111111111112E-4</v>
      </c>
      <c r="D10" s="109">
        <v>2</v>
      </c>
      <c r="F10" s="93">
        <f>F9-500</f>
        <v>1700</v>
      </c>
      <c r="G10" s="11" t="s">
        <v>237</v>
      </c>
    </row>
    <row r="11" spans="3:10" x14ac:dyDescent="0.25">
      <c r="C11" s="106">
        <f t="shared" si="0"/>
        <v>2.170138888888889E-4</v>
      </c>
      <c r="D11" s="109">
        <v>2.5</v>
      </c>
      <c r="F11" s="92">
        <v>10</v>
      </c>
      <c r="G11" s="11" t="s">
        <v>147</v>
      </c>
    </row>
    <row r="12" spans="3:10" x14ac:dyDescent="0.25">
      <c r="C12" s="106">
        <f t="shared" si="0"/>
        <v>2.6041666666666666E-4</v>
      </c>
      <c r="D12" s="109">
        <v>3</v>
      </c>
      <c r="F12" s="92">
        <v>500</v>
      </c>
      <c r="G12" s="11" t="s">
        <v>238</v>
      </c>
    </row>
    <row r="13" spans="3:10" x14ac:dyDescent="0.25">
      <c r="C13" s="106">
        <f t="shared" si="0"/>
        <v>3.0381944444444445E-4</v>
      </c>
      <c r="D13" s="109">
        <v>3.5</v>
      </c>
      <c r="F13" s="92">
        <v>20</v>
      </c>
      <c r="G13" s="11" t="s">
        <v>148</v>
      </c>
    </row>
    <row r="14" spans="3:10" x14ac:dyDescent="0.25">
      <c r="C14" s="106">
        <f t="shared" si="0"/>
        <v>3.4722222222222224E-4</v>
      </c>
      <c r="D14" s="109">
        <v>4</v>
      </c>
      <c r="F14" s="94">
        <f>((F9-F12)/6080)/TAN(F13*(PI()/180))+((F9/TAN(F11*(PI()/180)))/6080)</f>
        <v>2.8203177000381281</v>
      </c>
      <c r="G14" s="11" t="s">
        <v>149</v>
      </c>
    </row>
    <row r="15" spans="3:10" x14ac:dyDescent="0.25">
      <c r="C15" s="106">
        <f t="shared" si="0"/>
        <v>3.9062500000000002E-4</v>
      </c>
      <c r="D15" s="109">
        <v>4.5</v>
      </c>
    </row>
    <row r="16" spans="3:10" x14ac:dyDescent="0.25">
      <c r="C16" s="106">
        <f t="shared" si="0"/>
        <v>4.3402777777777781E-4</v>
      </c>
      <c r="D16" s="109">
        <v>5</v>
      </c>
    </row>
    <row r="17" spans="3:11" x14ac:dyDescent="0.25">
      <c r="C17" s="106">
        <f t="shared" si="0"/>
        <v>4.7743055555555559E-4</v>
      </c>
      <c r="D17" s="109">
        <v>5.5</v>
      </c>
      <c r="K17" s="104"/>
    </row>
    <row r="18" spans="3:11" x14ac:dyDescent="0.25">
      <c r="C18" s="106">
        <f t="shared" si="0"/>
        <v>5.2083333333333333E-4</v>
      </c>
      <c r="D18" s="109">
        <v>6</v>
      </c>
    </row>
    <row r="19" spans="3:11" x14ac:dyDescent="0.25">
      <c r="C19" s="106">
        <f t="shared" si="0"/>
        <v>5.6423611111111117E-4</v>
      </c>
      <c r="D19" s="109">
        <v>6.5</v>
      </c>
    </row>
    <row r="20" spans="3:11" x14ac:dyDescent="0.25">
      <c r="C20" s="106">
        <f t="shared" si="0"/>
        <v>6.076388888888889E-4</v>
      </c>
      <c r="D20" s="109">
        <v>7</v>
      </c>
    </row>
    <row r="21" spans="3:11" x14ac:dyDescent="0.25">
      <c r="C21" s="106">
        <f t="shared" si="0"/>
        <v>6.5104166666666674E-4</v>
      </c>
      <c r="D21" s="109">
        <v>7.5</v>
      </c>
    </row>
    <row r="22" spans="3:11" x14ac:dyDescent="0.25">
      <c r="C22" s="106">
        <f t="shared" si="0"/>
        <v>6.9444444444444447E-4</v>
      </c>
      <c r="D22" s="109">
        <v>8</v>
      </c>
    </row>
    <row r="23" spans="3:11" x14ac:dyDescent="0.25">
      <c r="C23" s="106">
        <f t="shared" si="0"/>
        <v>7.378472222222222E-4</v>
      </c>
      <c r="D23" s="109">
        <v>8.5</v>
      </c>
    </row>
    <row r="24" spans="3:11" x14ac:dyDescent="0.25">
      <c r="C24" s="106">
        <f t="shared" si="0"/>
        <v>7.8125000000000004E-4</v>
      </c>
      <c r="D24" s="109">
        <v>9</v>
      </c>
    </row>
    <row r="25" spans="3:11" x14ac:dyDescent="0.25">
      <c r="C25" s="106">
        <f t="shared" si="0"/>
        <v>8.2465277777777778E-4</v>
      </c>
      <c r="D25" s="109">
        <v>9.5</v>
      </c>
    </row>
    <row r="26" spans="3:11" x14ac:dyDescent="0.25">
      <c r="C26" s="106">
        <f t="shared" si="0"/>
        <v>8.6805555555555562E-4</v>
      </c>
      <c r="D26" s="109">
        <v>10</v>
      </c>
    </row>
  </sheetData>
  <mergeCells count="2">
    <mergeCell ref="C3:D3"/>
    <mergeCell ref="F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19" sqref="C19"/>
    </sheetView>
  </sheetViews>
  <sheetFormatPr defaultRowHeight="15" x14ac:dyDescent="0.25"/>
  <cols>
    <col min="1" max="1" width="12" bestFit="1" customWidth="1"/>
    <col min="3" max="3" width="11.140625" bestFit="1" customWidth="1"/>
    <col min="5" max="5" width="18.85546875" bestFit="1" customWidth="1"/>
    <col min="6" max="6" width="15" bestFit="1" customWidth="1"/>
    <col min="7" max="7" width="10" bestFit="1" customWidth="1"/>
    <col min="8" max="8" width="14.85546875" bestFit="1" customWidth="1"/>
  </cols>
  <sheetData>
    <row r="1" spans="1:8" x14ac:dyDescent="0.25">
      <c r="A1" s="84" t="s">
        <v>154</v>
      </c>
      <c r="B1" s="84" t="s">
        <v>155</v>
      </c>
      <c r="C1" s="11" t="s">
        <v>164</v>
      </c>
      <c r="D1" s="84" t="s">
        <v>183</v>
      </c>
      <c r="E1" s="84" t="s">
        <v>221</v>
      </c>
      <c r="F1" s="84" t="s">
        <v>199</v>
      </c>
      <c r="G1" s="84" t="s">
        <v>203</v>
      </c>
      <c r="H1" s="84" t="s">
        <v>211</v>
      </c>
    </row>
    <row r="2" spans="1:8" x14ac:dyDescent="0.25">
      <c r="A2" s="45" t="s">
        <v>157</v>
      </c>
      <c r="B2" s="85">
        <v>50</v>
      </c>
      <c r="C2" s="45" t="s">
        <v>165</v>
      </c>
      <c r="D2" s="86" t="s">
        <v>184</v>
      </c>
      <c r="E2" s="45" t="s">
        <v>187</v>
      </c>
      <c r="F2" s="43" t="s">
        <v>124</v>
      </c>
      <c r="G2" s="45" t="s">
        <v>138</v>
      </c>
      <c r="H2" s="45" t="s">
        <v>99</v>
      </c>
    </row>
    <row r="3" spans="1:8" x14ac:dyDescent="0.25">
      <c r="A3" s="45" t="s">
        <v>129</v>
      </c>
      <c r="B3" s="86">
        <v>51</v>
      </c>
      <c r="C3" s="45" t="s">
        <v>166</v>
      </c>
      <c r="D3" s="86" t="s">
        <v>125</v>
      </c>
      <c r="E3" s="45" t="s">
        <v>188</v>
      </c>
      <c r="F3" s="43" t="s">
        <v>200</v>
      </c>
      <c r="G3" s="45" t="s">
        <v>99</v>
      </c>
      <c r="H3" s="45" t="s">
        <v>135</v>
      </c>
    </row>
    <row r="4" spans="1:8" x14ac:dyDescent="0.25">
      <c r="A4" s="45" t="s">
        <v>158</v>
      </c>
      <c r="B4" s="85">
        <v>52</v>
      </c>
      <c r="C4" s="45" t="s">
        <v>167</v>
      </c>
      <c r="D4" s="86" t="s">
        <v>185</v>
      </c>
      <c r="E4" s="45" t="s">
        <v>137</v>
      </c>
      <c r="F4" s="43" t="s">
        <v>201</v>
      </c>
      <c r="G4" s="45" t="s">
        <v>135</v>
      </c>
      <c r="H4" s="45" t="s">
        <v>213</v>
      </c>
    </row>
    <row r="5" spans="1:8" x14ac:dyDescent="0.25">
      <c r="A5" s="45" t="s">
        <v>162</v>
      </c>
      <c r="B5" s="6">
        <v>53</v>
      </c>
      <c r="C5" s="45" t="s">
        <v>168</v>
      </c>
      <c r="D5" s="86" t="s">
        <v>186</v>
      </c>
      <c r="E5" s="45" t="s">
        <v>119</v>
      </c>
      <c r="F5" s="43" t="s">
        <v>202</v>
      </c>
      <c r="G5" s="45" t="s">
        <v>140</v>
      </c>
      <c r="H5" s="45" t="s">
        <v>212</v>
      </c>
    </row>
    <row r="6" spans="1:8" x14ac:dyDescent="0.25">
      <c r="A6" s="45" t="s">
        <v>159</v>
      </c>
      <c r="B6" s="85">
        <v>54</v>
      </c>
      <c r="C6" s="45" t="s">
        <v>131</v>
      </c>
      <c r="D6" s="6"/>
      <c r="E6" s="45" t="s">
        <v>142</v>
      </c>
      <c r="G6" s="45" t="s">
        <v>209</v>
      </c>
      <c r="H6" s="45" t="s">
        <v>184</v>
      </c>
    </row>
    <row r="7" spans="1:8" x14ac:dyDescent="0.25">
      <c r="A7" s="45" t="s">
        <v>163</v>
      </c>
      <c r="B7" s="6">
        <v>55</v>
      </c>
      <c r="C7" s="45" t="s">
        <v>130</v>
      </c>
      <c r="D7" s="6"/>
      <c r="E7" s="45" t="s">
        <v>189</v>
      </c>
      <c r="G7" s="45" t="s">
        <v>210</v>
      </c>
      <c r="H7" s="45" t="s">
        <v>145</v>
      </c>
    </row>
    <row r="8" spans="1:8" x14ac:dyDescent="0.25">
      <c r="A8" s="45" t="s">
        <v>132</v>
      </c>
      <c r="B8" s="85">
        <v>56</v>
      </c>
      <c r="C8" s="45" t="s">
        <v>171</v>
      </c>
      <c r="D8" s="6"/>
      <c r="E8" s="45" t="s">
        <v>190</v>
      </c>
      <c r="G8" s="45" t="s">
        <v>141</v>
      </c>
      <c r="H8" s="45" t="s">
        <v>146</v>
      </c>
    </row>
    <row r="9" spans="1:8" x14ac:dyDescent="0.25">
      <c r="A9" s="45" t="s">
        <v>161</v>
      </c>
      <c r="B9" s="6">
        <v>57</v>
      </c>
      <c r="C9" s="45" t="s">
        <v>172</v>
      </c>
      <c r="D9" s="6"/>
      <c r="E9" s="45" t="s">
        <v>191</v>
      </c>
      <c r="G9" s="45" t="s">
        <v>150</v>
      </c>
      <c r="H9" s="45" t="s">
        <v>125</v>
      </c>
    </row>
    <row r="10" spans="1:8" x14ac:dyDescent="0.25">
      <c r="A10" s="45" t="s">
        <v>160</v>
      </c>
      <c r="B10" s="6">
        <v>58</v>
      </c>
      <c r="C10" s="45" t="s">
        <v>169</v>
      </c>
      <c r="D10" s="6"/>
      <c r="E10" s="45" t="s">
        <v>143</v>
      </c>
      <c r="G10" s="45" t="s">
        <v>207</v>
      </c>
      <c r="H10" s="45" t="s">
        <v>141</v>
      </c>
    </row>
    <row r="11" spans="1:8" x14ac:dyDescent="0.25">
      <c r="A11" s="45" t="s">
        <v>179</v>
      </c>
      <c r="B11" s="6">
        <v>59</v>
      </c>
      <c r="C11" s="45" t="s">
        <v>170</v>
      </c>
      <c r="D11" s="6"/>
      <c r="E11" s="45" t="s">
        <v>192</v>
      </c>
      <c r="G11" s="45" t="s">
        <v>206</v>
      </c>
      <c r="H11" s="45" t="s">
        <v>136</v>
      </c>
    </row>
    <row r="12" spans="1:8" x14ac:dyDescent="0.25">
      <c r="A12" s="45" t="s">
        <v>156</v>
      </c>
      <c r="B12" s="85">
        <v>60</v>
      </c>
      <c r="C12" s="45" t="s">
        <v>173</v>
      </c>
      <c r="D12" s="6"/>
      <c r="E12" s="45" t="s">
        <v>144</v>
      </c>
      <c r="G12" s="45" t="s">
        <v>204</v>
      </c>
      <c r="H12" s="45" t="s">
        <v>185</v>
      </c>
    </row>
    <row r="13" spans="1:8" x14ac:dyDescent="0.25">
      <c r="A13" s="45" t="s">
        <v>180</v>
      </c>
      <c r="B13" s="6">
        <v>61</v>
      </c>
      <c r="C13" s="45" t="s">
        <v>174</v>
      </c>
      <c r="D13" s="6"/>
      <c r="E13" s="45" t="s">
        <v>194</v>
      </c>
      <c r="G13" s="45" t="s">
        <v>205</v>
      </c>
      <c r="H13" s="45" t="s">
        <v>214</v>
      </c>
    </row>
    <row r="14" spans="1:8" x14ac:dyDescent="0.25">
      <c r="A14" s="45" t="s">
        <v>181</v>
      </c>
      <c r="B14" s="6">
        <v>62</v>
      </c>
      <c r="C14" s="45" t="s">
        <v>175</v>
      </c>
      <c r="D14" s="6"/>
      <c r="E14" s="45" t="s">
        <v>195</v>
      </c>
      <c r="G14" s="45" t="s">
        <v>208</v>
      </c>
      <c r="H14" s="45" t="s">
        <v>215</v>
      </c>
    </row>
    <row r="15" spans="1:8" x14ac:dyDescent="0.25">
      <c r="A15" s="45" t="s">
        <v>182</v>
      </c>
      <c r="B15" s="6">
        <v>63</v>
      </c>
      <c r="C15" s="45" t="s">
        <v>176</v>
      </c>
      <c r="D15" s="6"/>
      <c r="E15" s="45" t="s">
        <v>193</v>
      </c>
      <c r="G15" s="45" t="s">
        <v>233</v>
      </c>
      <c r="H15" s="45" t="s">
        <v>216</v>
      </c>
    </row>
    <row r="16" spans="1:8" x14ac:dyDescent="0.25">
      <c r="B16" s="6"/>
      <c r="C16" s="45" t="s">
        <v>177</v>
      </c>
      <c r="D16" s="6"/>
      <c r="E16" s="45" t="s">
        <v>196</v>
      </c>
      <c r="H16" s="45" t="s">
        <v>217</v>
      </c>
    </row>
    <row r="17" spans="2:5" x14ac:dyDescent="0.25">
      <c r="B17" s="6"/>
      <c r="C17" s="45" t="s">
        <v>178</v>
      </c>
      <c r="D17" s="6"/>
      <c r="E17" s="45" t="s">
        <v>197</v>
      </c>
    </row>
    <row r="18" spans="2:5" x14ac:dyDescent="0.25">
      <c r="C18" s="45" t="s">
        <v>255</v>
      </c>
      <c r="E18" s="45" t="s">
        <v>198</v>
      </c>
    </row>
    <row r="19" spans="2:5" x14ac:dyDescent="0.25">
      <c r="E19" s="45" t="s">
        <v>139</v>
      </c>
    </row>
    <row r="20" spans="2:5" x14ac:dyDescent="0.25">
      <c r="E20" s="45" t="s">
        <v>133</v>
      </c>
    </row>
    <row r="21" spans="2:5" x14ac:dyDescent="0.25">
      <c r="E21" s="45" t="s">
        <v>134</v>
      </c>
    </row>
    <row r="22" spans="2:5" x14ac:dyDescent="0.25">
      <c r="E22" s="45" t="s">
        <v>218</v>
      </c>
    </row>
    <row r="23" spans="2:5" x14ac:dyDescent="0.25">
      <c r="E23" s="45" t="s">
        <v>219</v>
      </c>
    </row>
    <row r="24" spans="2:5" x14ac:dyDescent="0.25">
      <c r="E24" s="45" t="s">
        <v>220</v>
      </c>
    </row>
  </sheetData>
  <sortState ref="H3:H22">
    <sortCondition ref="H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MISSION CARDS VMA</vt:lpstr>
      <vt:lpstr>ROUTE</vt:lpstr>
      <vt:lpstr>Fuel Planning</vt:lpstr>
      <vt:lpstr>Weight Planning</vt:lpstr>
      <vt:lpstr>OBJECTS</vt:lpstr>
      <vt:lpstr>CALCULATORS</vt:lpstr>
      <vt:lpstr>DATA Validation</vt:lpstr>
      <vt:lpstr>'MISSION CARDS VMA'!Print_Area</vt:lpstr>
      <vt:lpstr>ROUTE!Print_Area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Brown</dc:creator>
  <cp:lastModifiedBy>Robert Brown</cp:lastModifiedBy>
  <cp:lastPrinted>2018-09-14T15:29:12Z</cp:lastPrinted>
  <dcterms:created xsi:type="dcterms:W3CDTF">2018-07-16T16:39:08Z</dcterms:created>
  <dcterms:modified xsi:type="dcterms:W3CDTF">2018-09-14T15:30:28Z</dcterms:modified>
</cp:coreProperties>
</file>