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0" yWindow="75" windowWidth="15195" windowHeight="12705" tabRatio="679" firstSheet="1" activeTab="4"/>
  </bookViews>
  <sheets>
    <sheet name="Statistics &amp; Calculations" sheetId="1" r:id="rId1"/>
    <sheet name="Apsect Ratios" sheetId="6" r:id="rId2"/>
    <sheet name="Ring ID to Wire Length" sheetId="11" r:id="rId3"/>
    <sheet name="Weaves" sheetId="2" r:id="rId4"/>
    <sheet name="Finished Products" sheetId="9" r:id="rId5"/>
    <sheet name="Rings" sheetId="8" r:id="rId6"/>
    <sheet name="Useful Links" sheetId="5" r:id="rId7"/>
    <sheet name="Orders" sheetId="12" r:id="rId8"/>
  </sheets>
  <definedNames>
    <definedName name="cfdebug_execution" localSheetId="0">'Statistics &amp; Calculations'!#REF!</definedName>
    <definedName name="cfdebug_scopevars" localSheetId="0">'Statistics &amp; Calculations'!#REF!</definedName>
    <definedName name="cfdebug_templates" localSheetId="0">'Statistics &amp; Calculations'!#REF!</definedName>
    <definedName name="cfdebug_top" localSheetId="0">'Statistics &amp; Calculations'!#REF!</definedName>
    <definedName name="_xlnm.Print_Area" localSheetId="1">'Apsect Ratios'!$A$1:$R$81</definedName>
    <definedName name="_xlnm.Print_Area" localSheetId="4">'Finished Products'!$B$1:$J$31</definedName>
    <definedName name="_xlnm.Print_Area" localSheetId="7">Orders!$A$62:$H$167</definedName>
    <definedName name="_xlnm.Print_Area" localSheetId="2">'Ring ID to Wire Length'!$A$1:$M$86</definedName>
    <definedName name="_xlnm.Print_Area" localSheetId="5">Rings!$A$1:$L$35</definedName>
    <definedName name="_xlnm.Print_Area" localSheetId="0">'Statistics &amp; Calculations'!$A$1:$S$81</definedName>
    <definedName name="_xlnm.Print_Area" localSheetId="6">'Useful Links'!$A$1:$C$27</definedName>
    <definedName name="_xlnm.Print_Area" localSheetId="3">Weaves!$A$1:$K$117</definedName>
  </definedNames>
  <calcPr calcId="125725"/>
</workbook>
</file>

<file path=xl/calcChain.xml><?xml version="1.0" encoding="utf-8"?>
<calcChain xmlns="http://schemas.openxmlformats.org/spreadsheetml/2006/main">
  <c r="H16" i="9"/>
  <c r="G16"/>
  <c r="G19"/>
  <c r="H19" s="1"/>
  <c r="G14"/>
  <c r="H14" s="1"/>
  <c r="H15"/>
  <c r="G15"/>
  <c r="G22"/>
  <c r="H22" s="1"/>
  <c r="G28"/>
  <c r="H28" s="1"/>
  <c r="G26"/>
  <c r="H26" s="1"/>
  <c r="G20"/>
  <c r="H20" s="1"/>
  <c r="J21" i="8"/>
  <c r="J22"/>
  <c r="G18" i="9"/>
  <c r="H18" s="1"/>
  <c r="J20" i="8"/>
  <c r="J31"/>
  <c r="J30"/>
  <c r="J34"/>
  <c r="J8"/>
  <c r="J19"/>
  <c r="J32"/>
  <c r="J12"/>
  <c r="J14"/>
  <c r="J5"/>
  <c r="J11"/>
  <c r="J9"/>
  <c r="J26"/>
  <c r="J27"/>
  <c r="J6"/>
  <c r="J2"/>
  <c r="J3"/>
  <c r="J29"/>
  <c r="J28"/>
  <c r="J24"/>
  <c r="J23"/>
  <c r="J10"/>
  <c r="J25"/>
  <c r="J4"/>
  <c r="J13"/>
  <c r="J7"/>
  <c r="J15"/>
  <c r="J16"/>
  <c r="J18"/>
  <c r="J17"/>
  <c r="E75" i="6"/>
  <c r="B74"/>
  <c r="C74" s="1"/>
  <c r="D74" s="1"/>
  <c r="E76"/>
  <c r="D80"/>
  <c r="D79"/>
  <c r="D78"/>
  <c r="D77"/>
  <c r="D76"/>
  <c r="D75"/>
  <c r="D81"/>
  <c r="D73"/>
  <c r="D72"/>
  <c r="B71"/>
  <c r="C71" s="1"/>
  <c r="D71" s="1"/>
  <c r="D70"/>
  <c r="B69"/>
  <c r="C69"/>
  <c r="E69" s="1"/>
  <c r="D68"/>
  <c r="D67"/>
  <c r="B66"/>
  <c r="C66" s="1"/>
  <c r="D65"/>
  <c r="B64"/>
  <c r="C64"/>
  <c r="D64" s="1"/>
  <c r="D63"/>
  <c r="D62"/>
  <c r="B61"/>
  <c r="C61"/>
  <c r="E61" s="1"/>
  <c r="D60"/>
  <c r="B59"/>
  <c r="C59" s="1"/>
  <c r="D58"/>
  <c r="D57"/>
  <c r="B56"/>
  <c r="C56" s="1"/>
  <c r="D55"/>
  <c r="D54"/>
  <c r="B53"/>
  <c r="C53" s="1"/>
  <c r="D52"/>
  <c r="B51"/>
  <c r="C51" s="1"/>
  <c r="D50"/>
  <c r="D49"/>
  <c r="B48"/>
  <c r="C48" s="1"/>
  <c r="D47"/>
  <c r="B46"/>
  <c r="C46" s="1"/>
  <c r="D45"/>
  <c r="D44"/>
  <c r="B43"/>
  <c r="C43" s="1"/>
  <c r="D42"/>
  <c r="D41"/>
  <c r="B40"/>
  <c r="C40" s="1"/>
  <c r="D39"/>
  <c r="B38"/>
  <c r="C38" s="1"/>
  <c r="B35"/>
  <c r="C35" s="1"/>
  <c r="B34"/>
  <c r="C34"/>
  <c r="M34" s="1"/>
  <c r="B31"/>
  <c r="C31" s="1"/>
  <c r="H7" i="12"/>
  <c r="H5"/>
  <c r="H4"/>
  <c r="G17" i="9"/>
  <c r="H17" s="1"/>
  <c r="G30"/>
  <c r="H30" s="1"/>
  <c r="G29"/>
  <c r="H29" s="1"/>
  <c r="M72" i="1"/>
  <c r="M79"/>
  <c r="F34"/>
  <c r="F35"/>
  <c r="F36"/>
  <c r="G36"/>
  <c r="J49"/>
  <c r="J48"/>
  <c r="K48"/>
  <c r="J47"/>
  <c r="J46"/>
  <c r="K46"/>
  <c r="J45"/>
  <c r="J44"/>
  <c r="J43"/>
  <c r="K43"/>
  <c r="J42"/>
  <c r="J41"/>
  <c r="J40"/>
  <c r="K40"/>
  <c r="J39"/>
  <c r="J38"/>
  <c r="K38"/>
  <c r="J37"/>
  <c r="J36"/>
  <c r="J35"/>
  <c r="K35"/>
  <c r="J34"/>
  <c r="F66"/>
  <c r="G66"/>
  <c r="F65"/>
  <c r="F64"/>
  <c r="F63"/>
  <c r="G63"/>
  <c r="F62"/>
  <c r="F61"/>
  <c r="G61"/>
  <c r="F60"/>
  <c r="F59"/>
  <c r="F58"/>
  <c r="G58"/>
  <c r="F57"/>
  <c r="F56"/>
  <c r="F55"/>
  <c r="G55"/>
  <c r="F54"/>
  <c r="F53"/>
  <c r="G53"/>
  <c r="F52"/>
  <c r="F51"/>
  <c r="F50"/>
  <c r="G50"/>
  <c r="F49"/>
  <c r="F48"/>
  <c r="G48"/>
  <c r="F47"/>
  <c r="F46"/>
  <c r="F45"/>
  <c r="G45"/>
  <c r="F44"/>
  <c r="F43"/>
  <c r="F42"/>
  <c r="G42"/>
  <c r="N57"/>
  <c r="O57"/>
  <c r="N56"/>
  <c r="N55"/>
  <c r="N54"/>
  <c r="O54"/>
  <c r="N53"/>
  <c r="N52"/>
  <c r="O52"/>
  <c r="N51"/>
  <c r="N50"/>
  <c r="N49"/>
  <c r="O49"/>
  <c r="N48"/>
  <c r="N47"/>
  <c r="N46"/>
  <c r="O46"/>
  <c r="N45"/>
  <c r="N44"/>
  <c r="O44"/>
  <c r="N43"/>
  <c r="N42"/>
  <c r="N41"/>
  <c r="O41"/>
  <c r="N40"/>
  <c r="N39"/>
  <c r="O39"/>
  <c r="N38"/>
  <c r="N37"/>
  <c r="N36"/>
  <c r="O36"/>
  <c r="N35"/>
  <c r="N34"/>
  <c r="J66"/>
  <c r="K66"/>
  <c r="J65"/>
  <c r="J64"/>
  <c r="K64"/>
  <c r="J63"/>
  <c r="J62"/>
  <c r="J61"/>
  <c r="K61"/>
  <c r="J60"/>
  <c r="J59"/>
  <c r="K59"/>
  <c r="J58"/>
  <c r="J57"/>
  <c r="J56"/>
  <c r="K56"/>
  <c r="J55"/>
  <c r="J54"/>
  <c r="J53"/>
  <c r="K53"/>
  <c r="J52"/>
  <c r="J51"/>
  <c r="K51"/>
  <c r="J50"/>
  <c r="R64"/>
  <c r="S64"/>
  <c r="R63"/>
  <c r="R62"/>
  <c r="S62"/>
  <c r="R61"/>
  <c r="R60"/>
  <c r="R59"/>
  <c r="S59"/>
  <c r="R58"/>
  <c r="R57"/>
  <c r="R56"/>
  <c r="S56"/>
  <c r="R55"/>
  <c r="R54"/>
  <c r="S54"/>
  <c r="R53"/>
  <c r="R52"/>
  <c r="R51"/>
  <c r="S51"/>
  <c r="R50"/>
  <c r="R49"/>
  <c r="S49"/>
  <c r="R48"/>
  <c r="R47"/>
  <c r="R46"/>
  <c r="S46"/>
  <c r="R45"/>
  <c r="R44"/>
  <c r="S44"/>
  <c r="R43"/>
  <c r="R42"/>
  <c r="S42"/>
  <c r="R41"/>
  <c r="R40"/>
  <c r="R39"/>
  <c r="S39"/>
  <c r="R38"/>
  <c r="R37"/>
  <c r="S37"/>
  <c r="R36"/>
  <c r="R35"/>
  <c r="R34"/>
  <c r="S34"/>
  <c r="N66"/>
  <c r="N65"/>
  <c r="N64"/>
  <c r="O64"/>
  <c r="N63"/>
  <c r="N62"/>
  <c r="O62"/>
  <c r="N61"/>
  <c r="N60"/>
  <c r="N59"/>
  <c r="O59"/>
  <c r="N58"/>
  <c r="I8" i="11"/>
  <c r="K8" s="1"/>
  <c r="M8" s="1"/>
  <c r="B5"/>
  <c r="D5"/>
  <c r="F5" s="1"/>
  <c r="I5"/>
  <c r="K5"/>
  <c r="M5" s="1"/>
  <c r="I63"/>
  <c r="K63" s="1"/>
  <c r="M63" s="1"/>
  <c r="I64"/>
  <c r="K64" s="1"/>
  <c r="M64" s="1"/>
  <c r="L64"/>
  <c r="I65"/>
  <c r="J65" s="1"/>
  <c r="L65" s="1"/>
  <c r="I66"/>
  <c r="K66" s="1"/>
  <c r="M66" s="1"/>
  <c r="L66"/>
  <c r="I67"/>
  <c r="J67" s="1"/>
  <c r="L67" s="1"/>
  <c r="K67"/>
  <c r="M67" s="1"/>
  <c r="I68"/>
  <c r="K68"/>
  <c r="M68"/>
  <c r="L68"/>
  <c r="I69"/>
  <c r="K69"/>
  <c r="M69"/>
  <c r="L69"/>
  <c r="I70"/>
  <c r="K70"/>
  <c r="M70"/>
  <c r="J70"/>
  <c r="L70" s="1"/>
  <c r="I71"/>
  <c r="K71"/>
  <c r="M71" s="1"/>
  <c r="L71"/>
  <c r="I72"/>
  <c r="J72" s="1"/>
  <c r="L72" s="1"/>
  <c r="I73"/>
  <c r="K73" s="1"/>
  <c r="M73" s="1"/>
  <c r="L73"/>
  <c r="I74"/>
  <c r="K74" s="1"/>
  <c r="M74" s="1"/>
  <c r="L74"/>
  <c r="I75"/>
  <c r="J75" s="1"/>
  <c r="L75" s="1"/>
  <c r="I76"/>
  <c r="K76" s="1"/>
  <c r="M76" s="1"/>
  <c r="L76"/>
  <c r="I77"/>
  <c r="K77" s="1"/>
  <c r="M77" s="1"/>
  <c r="J77"/>
  <c r="L77" s="1"/>
  <c r="I78"/>
  <c r="K78" s="1"/>
  <c r="M78" s="1"/>
  <c r="L78"/>
  <c r="I79"/>
  <c r="K79" s="1"/>
  <c r="M79" s="1"/>
  <c r="L79"/>
  <c r="I80"/>
  <c r="K80" s="1"/>
  <c r="M80" s="1"/>
  <c r="I81"/>
  <c r="K81" s="1"/>
  <c r="M81" s="1"/>
  <c r="L81"/>
  <c r="I82"/>
  <c r="K82" s="1"/>
  <c r="M82" s="1"/>
  <c r="L82"/>
  <c r="I83"/>
  <c r="K83" s="1"/>
  <c r="M83" s="1"/>
  <c r="J83"/>
  <c r="L83" s="1"/>
  <c r="I84"/>
  <c r="K84" s="1"/>
  <c r="M84" s="1"/>
  <c r="L84"/>
  <c r="I85"/>
  <c r="J85" s="1"/>
  <c r="L85" s="1"/>
  <c r="B67"/>
  <c r="C67" s="1"/>
  <c r="E67" s="1"/>
  <c r="D67"/>
  <c r="F67" s="1"/>
  <c r="B68"/>
  <c r="D68" s="1"/>
  <c r="F68" s="1"/>
  <c r="E68"/>
  <c r="B69"/>
  <c r="D69" s="1"/>
  <c r="F69" s="1"/>
  <c r="E69"/>
  <c r="B70"/>
  <c r="D70" s="1"/>
  <c r="F70" s="1"/>
  <c r="C70"/>
  <c r="E70" s="1"/>
  <c r="B71"/>
  <c r="D71" s="1"/>
  <c r="F71" s="1"/>
  <c r="E71"/>
  <c r="B72"/>
  <c r="C72" s="1"/>
  <c r="E72" s="1"/>
  <c r="B73"/>
  <c r="D73" s="1"/>
  <c r="F73" s="1"/>
  <c r="E73"/>
  <c r="B74"/>
  <c r="D74" s="1"/>
  <c r="F74" s="1"/>
  <c r="E74"/>
  <c r="B75"/>
  <c r="C75" s="1"/>
  <c r="E75" s="1"/>
  <c r="B76"/>
  <c r="D76"/>
  <c r="F76" s="1"/>
  <c r="E76"/>
  <c r="B77"/>
  <c r="D77" s="1"/>
  <c r="F77" s="1"/>
  <c r="C77"/>
  <c r="E77" s="1"/>
  <c r="B78"/>
  <c r="D78" s="1"/>
  <c r="F78" s="1"/>
  <c r="E78"/>
  <c r="B79"/>
  <c r="D79" s="1"/>
  <c r="F79" s="1"/>
  <c r="E79"/>
  <c r="B80"/>
  <c r="D80" s="1"/>
  <c r="F80" s="1"/>
  <c r="B81"/>
  <c r="D81" s="1"/>
  <c r="F81" s="1"/>
  <c r="E81"/>
  <c r="B82"/>
  <c r="D82" s="1"/>
  <c r="F82" s="1"/>
  <c r="E82"/>
  <c r="B83"/>
  <c r="D83" s="1"/>
  <c r="F83" s="1"/>
  <c r="B84"/>
  <c r="D84"/>
  <c r="F84"/>
  <c r="E84"/>
  <c r="B85"/>
  <c r="D85" s="1"/>
  <c r="F85" s="1"/>
  <c r="C85"/>
  <c r="E85" s="1"/>
  <c r="B86"/>
  <c r="D86" s="1"/>
  <c r="F86" s="1"/>
  <c r="E86"/>
  <c r="I62"/>
  <c r="I61"/>
  <c r="I60"/>
  <c r="J60"/>
  <c r="I59"/>
  <c r="K59" s="1"/>
  <c r="M59" s="1"/>
  <c r="I58"/>
  <c r="J58" s="1"/>
  <c r="L58" s="1"/>
  <c r="I57"/>
  <c r="K57" s="1"/>
  <c r="M57" s="1"/>
  <c r="I56"/>
  <c r="K56" s="1"/>
  <c r="M56" s="1"/>
  <c r="I55"/>
  <c r="K55" s="1"/>
  <c r="M55" s="1"/>
  <c r="J55"/>
  <c r="L55" s="1"/>
  <c r="I54"/>
  <c r="I53"/>
  <c r="K53" s="1"/>
  <c r="M53" s="1"/>
  <c r="I52"/>
  <c r="J52" s="1"/>
  <c r="L52" s="1"/>
  <c r="I51"/>
  <c r="K51" s="1"/>
  <c r="M51" s="1"/>
  <c r="I50"/>
  <c r="J50" s="1"/>
  <c r="L50" s="1"/>
  <c r="I49"/>
  <c r="I48"/>
  <c r="I47"/>
  <c r="K47" s="1"/>
  <c r="M47" s="1"/>
  <c r="I46"/>
  <c r="I45"/>
  <c r="K45" s="1"/>
  <c r="M45" s="1"/>
  <c r="I44"/>
  <c r="K44" s="1"/>
  <c r="M44" s="1"/>
  <c r="I43"/>
  <c r="K43" s="1"/>
  <c r="M43" s="1"/>
  <c r="I42"/>
  <c r="J42" s="1"/>
  <c r="L42" s="1"/>
  <c r="I41"/>
  <c r="K41" s="1"/>
  <c r="M41" s="1"/>
  <c r="I40"/>
  <c r="J40" s="1"/>
  <c r="L40" s="1"/>
  <c r="I39"/>
  <c r="K39" s="1"/>
  <c r="M39" s="1"/>
  <c r="I38"/>
  <c r="I37"/>
  <c r="K37" s="1"/>
  <c r="M37" s="1"/>
  <c r="I36"/>
  <c r="I35"/>
  <c r="K35" s="1"/>
  <c r="M35" s="1"/>
  <c r="I34"/>
  <c r="J34" s="1"/>
  <c r="L34" s="1"/>
  <c r="I33"/>
  <c r="I32"/>
  <c r="J32"/>
  <c r="L32" s="1"/>
  <c r="I31"/>
  <c r="K31" s="1"/>
  <c r="M31" s="1"/>
  <c r="I30"/>
  <c r="I29"/>
  <c r="K29" s="1"/>
  <c r="M29" s="1"/>
  <c r="I28"/>
  <c r="I27"/>
  <c r="K27" s="1"/>
  <c r="M27" s="1"/>
  <c r="I26"/>
  <c r="I25"/>
  <c r="K25" s="1"/>
  <c r="M25" s="1"/>
  <c r="I24"/>
  <c r="J24" s="1"/>
  <c r="L24" s="1"/>
  <c r="I23"/>
  <c r="I22"/>
  <c r="I21"/>
  <c r="K21" s="1"/>
  <c r="M21" s="1"/>
  <c r="I20"/>
  <c r="K20" s="1"/>
  <c r="M20" s="1"/>
  <c r="I19"/>
  <c r="K19" s="1"/>
  <c r="M19" s="1"/>
  <c r="I18"/>
  <c r="I17"/>
  <c r="K17" s="1"/>
  <c r="M17" s="1"/>
  <c r="I16"/>
  <c r="J16" s="1"/>
  <c r="L16" s="1"/>
  <c r="I15"/>
  <c r="K15" s="1"/>
  <c r="M15" s="1"/>
  <c r="I14"/>
  <c r="J14" s="1"/>
  <c r="L14" s="1"/>
  <c r="I13"/>
  <c r="I12"/>
  <c r="I11"/>
  <c r="K11" s="1"/>
  <c r="M11" s="1"/>
  <c r="I10"/>
  <c r="I9"/>
  <c r="K9" s="1"/>
  <c r="M9" s="1"/>
  <c r="I7"/>
  <c r="K7" s="1"/>
  <c r="M7" s="1"/>
  <c r="I6"/>
  <c r="J6" s="1"/>
  <c r="L6" s="1"/>
  <c r="B66"/>
  <c r="B65"/>
  <c r="D65" s="1"/>
  <c r="F65" s="1"/>
  <c r="B64"/>
  <c r="B63"/>
  <c r="D63" s="1"/>
  <c r="F63" s="1"/>
  <c r="B62"/>
  <c r="C62" s="1"/>
  <c r="E62" s="1"/>
  <c r="B61"/>
  <c r="D61" s="1"/>
  <c r="F61" s="1"/>
  <c r="B60"/>
  <c r="D60" s="1"/>
  <c r="F60" s="1"/>
  <c r="B59"/>
  <c r="C59"/>
  <c r="E59"/>
  <c r="B58"/>
  <c r="B57"/>
  <c r="C57"/>
  <c r="E57" s="1"/>
  <c r="B56"/>
  <c r="B55"/>
  <c r="D55" s="1"/>
  <c r="F55" s="1"/>
  <c r="B54"/>
  <c r="C54"/>
  <c r="E54" s="1"/>
  <c r="B53"/>
  <c r="D53" s="1"/>
  <c r="F53" s="1"/>
  <c r="B52"/>
  <c r="C52" s="1"/>
  <c r="E52" s="1"/>
  <c r="B51"/>
  <c r="D51" s="1"/>
  <c r="F51" s="1"/>
  <c r="B50"/>
  <c r="B49"/>
  <c r="C49" s="1"/>
  <c r="E49" s="1"/>
  <c r="B48"/>
  <c r="D48" s="1"/>
  <c r="F48" s="1"/>
  <c r="B47"/>
  <c r="D47" s="1"/>
  <c r="F47" s="1"/>
  <c r="B46"/>
  <c r="C46" s="1"/>
  <c r="E46" s="1"/>
  <c r="B45"/>
  <c r="B44"/>
  <c r="C44" s="1"/>
  <c r="E44" s="1"/>
  <c r="B43"/>
  <c r="B42"/>
  <c r="D42" s="1"/>
  <c r="F42" s="1"/>
  <c r="B41"/>
  <c r="D41" s="1"/>
  <c r="F41" s="1"/>
  <c r="C41"/>
  <c r="B40"/>
  <c r="C40" s="1"/>
  <c r="E40" s="1"/>
  <c r="B39"/>
  <c r="D39" s="1"/>
  <c r="F39" s="1"/>
  <c r="B38"/>
  <c r="B37"/>
  <c r="C37" s="1"/>
  <c r="E37" s="1"/>
  <c r="B36"/>
  <c r="B35"/>
  <c r="D35" s="1"/>
  <c r="F35" s="1"/>
  <c r="B34"/>
  <c r="D34"/>
  <c r="F34" s="1"/>
  <c r="B33"/>
  <c r="B32"/>
  <c r="D32" s="1"/>
  <c r="F32" s="1"/>
  <c r="B31"/>
  <c r="B30"/>
  <c r="D30" s="1"/>
  <c r="F30" s="1"/>
  <c r="B29"/>
  <c r="C29" s="1"/>
  <c r="E29" s="1"/>
  <c r="B28"/>
  <c r="D28"/>
  <c r="F28" s="1"/>
  <c r="B27"/>
  <c r="C27" s="1"/>
  <c r="E27" s="1"/>
  <c r="B26"/>
  <c r="B25"/>
  <c r="D25" s="1"/>
  <c r="F25" s="1"/>
  <c r="B24"/>
  <c r="D24" s="1"/>
  <c r="F24" s="1"/>
  <c r="B23"/>
  <c r="D23" s="1"/>
  <c r="F23" s="1"/>
  <c r="B22"/>
  <c r="C22" s="1"/>
  <c r="E22" s="1"/>
  <c r="B21"/>
  <c r="B20"/>
  <c r="D20" s="1"/>
  <c r="F20" s="1"/>
  <c r="B19"/>
  <c r="C19"/>
  <c r="E19" s="1"/>
  <c r="B18"/>
  <c r="D18" s="1"/>
  <c r="F18" s="1"/>
  <c r="B17"/>
  <c r="B16"/>
  <c r="D16" s="1"/>
  <c r="F16" s="1"/>
  <c r="B15"/>
  <c r="B14"/>
  <c r="C14"/>
  <c r="E14" s="1"/>
  <c r="B13"/>
  <c r="D13" s="1"/>
  <c r="F13" s="1"/>
  <c r="B12"/>
  <c r="B11"/>
  <c r="D11" s="1"/>
  <c r="F11" s="1"/>
  <c r="C11"/>
  <c r="B10"/>
  <c r="D10" s="1"/>
  <c r="F10" s="1"/>
  <c r="B9"/>
  <c r="C9" s="1"/>
  <c r="E9" s="1"/>
  <c r="B8"/>
  <c r="D8" s="1"/>
  <c r="F8" s="1"/>
  <c r="B7"/>
  <c r="B6"/>
  <c r="C6" s="1"/>
  <c r="E6" s="1"/>
  <c r="K20" i="6"/>
  <c r="Q9"/>
  <c r="B8"/>
  <c r="C8" s="1"/>
  <c r="K7"/>
  <c r="K9"/>
  <c r="B10"/>
  <c r="C10" s="1"/>
  <c r="K11"/>
  <c r="K12"/>
  <c r="B13"/>
  <c r="C13" s="1"/>
  <c r="K14"/>
  <c r="K15"/>
  <c r="B16"/>
  <c r="C16" s="1"/>
  <c r="K17"/>
  <c r="B18"/>
  <c r="C18" s="1"/>
  <c r="K19"/>
  <c r="B21"/>
  <c r="C21" s="1"/>
  <c r="B73"/>
  <c r="B72"/>
  <c r="B70"/>
  <c r="B68"/>
  <c r="B67"/>
  <c r="B65"/>
  <c r="B63"/>
  <c r="B62"/>
  <c r="B60"/>
  <c r="B58"/>
  <c r="B57"/>
  <c r="B55"/>
  <c r="B54"/>
  <c r="B52"/>
  <c r="B50"/>
  <c r="B49"/>
  <c r="B47"/>
  <c r="B45"/>
  <c r="B44"/>
  <c r="B42"/>
  <c r="B41"/>
  <c r="B39"/>
  <c r="B37"/>
  <c r="B36"/>
  <c r="B33"/>
  <c r="B32"/>
  <c r="B30"/>
  <c r="B29"/>
  <c r="C29" s="1"/>
  <c r="B28"/>
  <c r="B27"/>
  <c r="B26"/>
  <c r="C26" s="1"/>
  <c r="B25"/>
  <c r="B24"/>
  <c r="B23"/>
  <c r="C23" s="1"/>
  <c r="B22"/>
  <c r="B20"/>
  <c r="B19"/>
  <c r="B17"/>
  <c r="B15"/>
  <c r="B14"/>
  <c r="B12"/>
  <c r="B11"/>
  <c r="B9"/>
  <c r="B7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5"/>
  <c r="F41"/>
  <c r="F39"/>
  <c r="F38"/>
  <c r="B65"/>
  <c r="B63"/>
  <c r="B62"/>
  <c r="B60"/>
  <c r="B59"/>
  <c r="B57"/>
  <c r="B55"/>
  <c r="B54"/>
  <c r="B52"/>
  <c r="B50"/>
  <c r="B49"/>
  <c r="B47"/>
  <c r="B46"/>
  <c r="B44"/>
  <c r="B42"/>
  <c r="B41"/>
  <c r="B39"/>
  <c r="B37"/>
  <c r="B36"/>
  <c r="B34"/>
  <c r="F40"/>
  <c r="G40"/>
  <c r="F37"/>
  <c r="G37"/>
  <c r="B66"/>
  <c r="C66"/>
  <c r="B64"/>
  <c r="C64"/>
  <c r="B61"/>
  <c r="C61"/>
  <c r="B58"/>
  <c r="C58"/>
  <c r="B56"/>
  <c r="C56"/>
  <c r="B53"/>
  <c r="C53"/>
  <c r="B51"/>
  <c r="C51"/>
  <c r="B48"/>
  <c r="C48"/>
  <c r="B45"/>
  <c r="C45"/>
  <c r="B43"/>
  <c r="C43"/>
  <c r="B40"/>
  <c r="C40"/>
  <c r="B38"/>
  <c r="C38"/>
  <c r="B35"/>
  <c r="C35"/>
  <c r="J37" i="8"/>
  <c r="J36"/>
  <c r="J35"/>
  <c r="J33"/>
  <c r="H6" i="12"/>
  <c r="C75" i="1"/>
  <c r="C70"/>
  <c r="K80"/>
  <c r="K75"/>
  <c r="K70"/>
  <c r="G80"/>
  <c r="G70"/>
  <c r="G75"/>
  <c r="R17" i="6"/>
  <c r="R15"/>
  <c r="R14"/>
  <c r="R12"/>
  <c r="R11"/>
  <c r="R9"/>
  <c r="R7"/>
  <c r="Q22"/>
  <c r="Q20"/>
  <c r="Q19"/>
  <c r="Q17"/>
  <c r="Q15"/>
  <c r="Q14"/>
  <c r="Q12"/>
  <c r="Q11"/>
  <c r="P30"/>
  <c r="P28"/>
  <c r="P27"/>
  <c r="P25"/>
  <c r="P24"/>
  <c r="P22"/>
  <c r="P20"/>
  <c r="P19"/>
  <c r="P17"/>
  <c r="P15"/>
  <c r="P14"/>
  <c r="P12"/>
  <c r="P11"/>
  <c r="O37"/>
  <c r="O36"/>
  <c r="O34"/>
  <c r="O33"/>
  <c r="O32"/>
  <c r="O30"/>
  <c r="O28"/>
  <c r="O27"/>
  <c r="O25"/>
  <c r="O24"/>
  <c r="O22"/>
  <c r="O20"/>
  <c r="O19"/>
  <c r="O17"/>
  <c r="O15"/>
  <c r="O14"/>
  <c r="N47"/>
  <c r="N45"/>
  <c r="N44"/>
  <c r="N42"/>
  <c r="N41"/>
  <c r="N39"/>
  <c r="N37"/>
  <c r="N36"/>
  <c r="N33"/>
  <c r="N32"/>
  <c r="N30"/>
  <c r="N28"/>
  <c r="N27"/>
  <c r="N25"/>
  <c r="N24"/>
  <c r="N22"/>
  <c r="N19"/>
  <c r="N20"/>
  <c r="J20"/>
  <c r="I20"/>
  <c r="H20"/>
  <c r="M60"/>
  <c r="M58"/>
  <c r="M57"/>
  <c r="M55"/>
  <c r="M54"/>
  <c r="M52"/>
  <c r="M50"/>
  <c r="M49"/>
  <c r="M47"/>
  <c r="M45"/>
  <c r="M44"/>
  <c r="M42"/>
  <c r="M41"/>
  <c r="M39"/>
  <c r="M37"/>
  <c r="M36"/>
  <c r="M33"/>
  <c r="M32"/>
  <c r="M30"/>
  <c r="M28"/>
  <c r="M27"/>
  <c r="M25"/>
  <c r="M24"/>
  <c r="J17"/>
  <c r="I17"/>
  <c r="H17"/>
  <c r="G20"/>
  <c r="G17"/>
  <c r="H36"/>
  <c r="H33"/>
  <c r="H32"/>
  <c r="H30"/>
  <c r="H28"/>
  <c r="H27"/>
  <c r="H25"/>
  <c r="H24"/>
  <c r="H22"/>
  <c r="H14"/>
  <c r="H15"/>
  <c r="H19"/>
  <c r="D7" i="11"/>
  <c r="F7" s="1"/>
  <c r="D9"/>
  <c r="F9" s="1"/>
  <c r="D12"/>
  <c r="F12" s="1"/>
  <c r="D14"/>
  <c r="F14" s="1"/>
  <c r="D15"/>
  <c r="F15" s="1"/>
  <c r="D17"/>
  <c r="F17" s="1"/>
  <c r="D19"/>
  <c r="F19" s="1"/>
  <c r="D21"/>
  <c r="F21" s="1"/>
  <c r="D26"/>
  <c r="F26" s="1"/>
  <c r="D27"/>
  <c r="F27" s="1"/>
  <c r="D31"/>
  <c r="F31" s="1"/>
  <c r="D33"/>
  <c r="F33" s="1"/>
  <c r="D36"/>
  <c r="F36" s="1"/>
  <c r="D38"/>
  <c r="F38" s="1"/>
  <c r="D40"/>
  <c r="F40" s="1"/>
  <c r="D43"/>
  <c r="F43" s="1"/>
  <c r="D45"/>
  <c r="F45" s="1"/>
  <c r="D49"/>
  <c r="F49" s="1"/>
  <c r="D50"/>
  <c r="F50" s="1"/>
  <c r="D54"/>
  <c r="F54" s="1"/>
  <c r="D56"/>
  <c r="F56" s="1"/>
  <c r="D57"/>
  <c r="F57" s="1"/>
  <c r="D58"/>
  <c r="F58" s="1"/>
  <c r="D59"/>
  <c r="F59" s="1"/>
  <c r="D62"/>
  <c r="F62" s="1"/>
  <c r="D64"/>
  <c r="F64" s="1"/>
  <c r="D66"/>
  <c r="F66" s="1"/>
  <c r="K10"/>
  <c r="M10" s="1"/>
  <c r="K12"/>
  <c r="M12" s="1"/>
  <c r="K13"/>
  <c r="M13" s="1"/>
  <c r="K14"/>
  <c r="M14" s="1"/>
  <c r="K16"/>
  <c r="M16" s="1"/>
  <c r="K18"/>
  <c r="M18" s="1"/>
  <c r="K22"/>
  <c r="M22" s="1"/>
  <c r="K23"/>
  <c r="M23" s="1"/>
  <c r="K26"/>
  <c r="M26" s="1"/>
  <c r="K28"/>
  <c r="M28" s="1"/>
  <c r="K30"/>
  <c r="M30" s="1"/>
  <c r="K32"/>
  <c r="M32" s="1"/>
  <c r="K33"/>
  <c r="M33" s="1"/>
  <c r="K34"/>
  <c r="M34" s="1"/>
  <c r="K36"/>
  <c r="M36" s="1"/>
  <c r="K38"/>
  <c r="M38" s="1"/>
  <c r="K40"/>
  <c r="M40" s="1"/>
  <c r="K42"/>
  <c r="M42" s="1"/>
  <c r="K46"/>
  <c r="M46" s="1"/>
  <c r="K48"/>
  <c r="M48" s="1"/>
  <c r="K49"/>
  <c r="M49" s="1"/>
  <c r="K50"/>
  <c r="M50" s="1"/>
  <c r="K52"/>
  <c r="M52" s="1"/>
  <c r="K54"/>
  <c r="M54" s="1"/>
  <c r="K58"/>
  <c r="M58" s="1"/>
  <c r="K60"/>
  <c r="M60" s="1"/>
  <c r="K61"/>
  <c r="M61" s="1"/>
  <c r="K62"/>
  <c r="M62" s="1"/>
  <c r="E7"/>
  <c r="E8"/>
  <c r="E10"/>
  <c r="E11"/>
  <c r="E12"/>
  <c r="E13"/>
  <c r="E15"/>
  <c r="E17"/>
  <c r="E18"/>
  <c r="E20"/>
  <c r="E21"/>
  <c r="E23"/>
  <c r="E25"/>
  <c r="E26"/>
  <c r="E28"/>
  <c r="E30"/>
  <c r="E31"/>
  <c r="E33"/>
  <c r="E34"/>
  <c r="E36"/>
  <c r="E38"/>
  <c r="E39"/>
  <c r="E41"/>
  <c r="E42"/>
  <c r="E43"/>
  <c r="E45"/>
  <c r="E47"/>
  <c r="E48"/>
  <c r="E50"/>
  <c r="E51"/>
  <c r="E53"/>
  <c r="E55"/>
  <c r="E56"/>
  <c r="E58"/>
  <c r="E60"/>
  <c r="E61"/>
  <c r="E63"/>
  <c r="E64"/>
  <c r="E66"/>
  <c r="L5"/>
  <c r="L7"/>
  <c r="L9"/>
  <c r="L10"/>
  <c r="L12"/>
  <c r="L13"/>
  <c r="L15"/>
  <c r="L17"/>
  <c r="L18"/>
  <c r="L20"/>
  <c r="L22"/>
  <c r="L23"/>
  <c r="L25"/>
  <c r="L26"/>
  <c r="L28"/>
  <c r="L30"/>
  <c r="L31"/>
  <c r="L33"/>
  <c r="L35"/>
  <c r="L36"/>
  <c r="L38"/>
  <c r="L39"/>
  <c r="L41"/>
  <c r="L43"/>
  <c r="L44"/>
  <c r="L46"/>
  <c r="L48"/>
  <c r="L49"/>
  <c r="L51"/>
  <c r="L53"/>
  <c r="L54"/>
  <c r="L56"/>
  <c r="L57"/>
  <c r="L59"/>
  <c r="L60"/>
  <c r="L61"/>
  <c r="L62"/>
  <c r="E5"/>
  <c r="G11" i="9"/>
  <c r="H11" s="1"/>
  <c r="G27"/>
  <c r="H27" s="1"/>
  <c r="G21"/>
  <c r="H21" s="1"/>
  <c r="G23"/>
  <c r="H23" s="1"/>
  <c r="G8"/>
  <c r="H8" s="1"/>
  <c r="F60" i="6"/>
  <c r="F58"/>
  <c r="F57"/>
  <c r="F55"/>
  <c r="F54"/>
  <c r="F52"/>
  <c r="F50"/>
  <c r="F49"/>
  <c r="F47"/>
  <c r="F45"/>
  <c r="F44"/>
  <c r="F42"/>
  <c r="F41"/>
  <c r="F39"/>
  <c r="F37"/>
  <c r="F36"/>
  <c r="F33"/>
  <c r="F32"/>
  <c r="F30"/>
  <c r="F28"/>
  <c r="F27"/>
  <c r="F25"/>
  <c r="F24"/>
  <c r="G45"/>
  <c r="G44"/>
  <c r="G42"/>
  <c r="G41"/>
  <c r="G39"/>
  <c r="G37"/>
  <c r="G36"/>
  <c r="G33"/>
  <c r="G32"/>
  <c r="G30"/>
  <c r="G28"/>
  <c r="G27"/>
  <c r="G25"/>
  <c r="G24"/>
  <c r="G22"/>
  <c r="G19"/>
  <c r="I33"/>
  <c r="I32"/>
  <c r="I30"/>
  <c r="I28"/>
  <c r="I27"/>
  <c r="I25"/>
  <c r="I24"/>
  <c r="I22"/>
  <c r="I19"/>
  <c r="I15"/>
  <c r="I14"/>
  <c r="I12"/>
  <c r="E73"/>
  <c r="E72"/>
  <c r="E70"/>
  <c r="E68"/>
  <c r="E67"/>
  <c r="E65"/>
  <c r="E63"/>
  <c r="E62"/>
  <c r="J25"/>
  <c r="J24"/>
  <c r="J22"/>
  <c r="J19"/>
  <c r="J15"/>
  <c r="J14"/>
  <c r="J12"/>
  <c r="J11"/>
  <c r="J9"/>
  <c r="E60"/>
  <c r="E58"/>
  <c r="E57"/>
  <c r="E55"/>
  <c r="E54"/>
  <c r="E52"/>
  <c r="E50"/>
  <c r="E49"/>
  <c r="E47"/>
  <c r="E45"/>
  <c r="E44"/>
  <c r="E42"/>
  <c r="E41"/>
  <c r="E39"/>
  <c r="E37"/>
  <c r="E36"/>
  <c r="E33"/>
  <c r="E32"/>
  <c r="E30"/>
  <c r="J8" i="11"/>
  <c r="L8" s="1"/>
  <c r="D75"/>
  <c r="F75" s="1"/>
  <c r="K85"/>
  <c r="M85" s="1"/>
  <c r="K75"/>
  <c r="M75" s="1"/>
  <c r="K65"/>
  <c r="M65" s="1"/>
  <c r="P29" i="6" l="1"/>
  <c r="F29"/>
  <c r="M29"/>
  <c r="O29"/>
  <c r="N29"/>
  <c r="N21"/>
  <c r="I21"/>
  <c r="J21"/>
  <c r="H21"/>
  <c r="P21"/>
  <c r="G21"/>
  <c r="K21"/>
  <c r="Q21"/>
  <c r="F38"/>
  <c r="E38"/>
  <c r="M38"/>
  <c r="G38"/>
  <c r="N38"/>
  <c r="D46"/>
  <c r="N46"/>
  <c r="E46"/>
  <c r="M46"/>
  <c r="R13"/>
  <c r="Q13"/>
  <c r="I13"/>
  <c r="F53"/>
  <c r="E53"/>
  <c r="D53"/>
  <c r="M53"/>
  <c r="P23"/>
  <c r="N23"/>
  <c r="H23"/>
  <c r="G23"/>
  <c r="J23"/>
  <c r="I23"/>
  <c r="Q18"/>
  <c r="N18"/>
  <c r="G18"/>
  <c r="R18"/>
  <c r="I18"/>
  <c r="O18"/>
  <c r="P18"/>
  <c r="K18"/>
  <c r="R10"/>
  <c r="J10"/>
  <c r="Q10"/>
  <c r="K10"/>
  <c r="N40"/>
  <c r="D40"/>
  <c r="F40"/>
  <c r="G40"/>
  <c r="E40"/>
  <c r="M40"/>
  <c r="D48"/>
  <c r="M48"/>
  <c r="F48"/>
  <c r="E48"/>
  <c r="D66"/>
  <c r="E66"/>
  <c r="G26"/>
  <c r="M26"/>
  <c r="F26"/>
  <c r="O26"/>
  <c r="N26"/>
  <c r="H26"/>
  <c r="P26"/>
  <c r="R8"/>
  <c r="Q8"/>
  <c r="K8"/>
  <c r="D43"/>
  <c r="F43"/>
  <c r="E43"/>
  <c r="G43"/>
  <c r="N43"/>
  <c r="M43"/>
  <c r="D51"/>
  <c r="F51"/>
  <c r="E51"/>
  <c r="M51"/>
  <c r="D69"/>
  <c r="D61"/>
  <c r="E34"/>
  <c r="F34"/>
  <c r="E64"/>
  <c r="N34"/>
  <c r="C24" i="11"/>
  <c r="E24" s="1"/>
  <c r="D22"/>
  <c r="F22" s="1"/>
  <c r="K24"/>
  <c r="M24" s="1"/>
  <c r="D52"/>
  <c r="F52" s="1"/>
  <c r="D29"/>
  <c r="F29" s="1"/>
  <c r="C32"/>
  <c r="E32" s="1"/>
  <c r="J19"/>
  <c r="L19" s="1"/>
  <c r="J45"/>
  <c r="L45" s="1"/>
  <c r="C83"/>
  <c r="E83" s="1"/>
  <c r="K72"/>
  <c r="M72" s="1"/>
  <c r="J63"/>
  <c r="L63" s="1"/>
  <c r="C16"/>
  <c r="E16" s="1"/>
  <c r="D72"/>
  <c r="F72" s="1"/>
  <c r="C80"/>
  <c r="E80" s="1"/>
  <c r="J80"/>
  <c r="L80" s="1"/>
  <c r="C35"/>
  <c r="E35" s="1"/>
  <c r="C65"/>
  <c r="E65" s="1"/>
  <c r="J11"/>
  <c r="L11" s="1"/>
  <c r="J21"/>
  <c r="L21" s="1"/>
  <c r="J27"/>
  <c r="L27" s="1"/>
  <c r="J29"/>
  <c r="L29" s="1"/>
  <c r="J47"/>
  <c r="L47" s="1"/>
  <c r="J37"/>
  <c r="L37" s="1"/>
  <c r="D6"/>
  <c r="F6" s="1"/>
  <c r="K6"/>
  <c r="M6" s="1"/>
  <c r="D46"/>
  <c r="F46" s="1"/>
  <c r="D44"/>
  <c r="F44" s="1"/>
  <c r="D37"/>
  <c r="F37" s="1"/>
  <c r="N31" i="6"/>
  <c r="G31"/>
  <c r="H31"/>
  <c r="F31"/>
  <c r="M31"/>
  <c r="I31"/>
  <c r="O31"/>
  <c r="E31"/>
  <c r="M56"/>
  <c r="D56"/>
  <c r="F56"/>
  <c r="E56"/>
  <c r="O35"/>
  <c r="G35"/>
  <c r="H35"/>
  <c r="M35"/>
  <c r="E35"/>
  <c r="N35"/>
  <c r="F35"/>
  <c r="F59"/>
  <c r="E59"/>
  <c r="D59"/>
  <c r="M59"/>
  <c r="Q16"/>
  <c r="J16"/>
  <c r="P16"/>
  <c r="R16"/>
  <c r="H16"/>
  <c r="I16"/>
  <c r="O16"/>
  <c r="K16"/>
  <c r="Q23"/>
  <c r="H29"/>
  <c r="I29"/>
  <c r="E74"/>
  <c r="K13"/>
  <c r="F46"/>
  <c r="I26"/>
  <c r="J18"/>
  <c r="H18"/>
  <c r="O23"/>
  <c r="O21"/>
  <c r="G29"/>
  <c r="E71"/>
  <c r="G34"/>
  <c r="H34"/>
  <c r="J13"/>
  <c r="P13"/>
</calcChain>
</file>

<file path=xl/sharedStrings.xml><?xml version="1.0" encoding="utf-8"?>
<sst xmlns="http://schemas.openxmlformats.org/spreadsheetml/2006/main" count="1192" uniqueCount="684">
  <si>
    <t>inches</t>
  </si>
  <si>
    <t>inches decimal</t>
  </si>
  <si>
    <t>inches fraction</t>
  </si>
  <si>
    <t>The Ring Lord's Forum</t>
  </si>
  <si>
    <t>http://www.theringlord.org/cgi-bin/ultimatebb.cgi</t>
  </si>
  <si>
    <t>Maille Websites</t>
  </si>
  <si>
    <t>http://www.bluebuddhaboutique.com/</t>
  </si>
  <si>
    <t>Blue Buddha Boutique</t>
  </si>
  <si>
    <t>http://www.dcwireworks.com/</t>
  </si>
  <si>
    <t>DeCordene WireWorks</t>
  </si>
  <si>
    <t>Maille Market</t>
  </si>
  <si>
    <t>Maille Mystique</t>
  </si>
  <si>
    <t>Maille of the Dreamseeker</t>
  </si>
  <si>
    <t>Phong Tutorials</t>
  </si>
  <si>
    <t>Silver Weaver</t>
  </si>
  <si>
    <t>Spider Chains</t>
  </si>
  <si>
    <t>Urban Maille</t>
  </si>
  <si>
    <t>Venom's Pit</t>
  </si>
  <si>
    <t>Wig Jig  </t>
  </si>
  <si>
    <t>http://www.mailleartisans.org/</t>
  </si>
  <si>
    <t>http://maillemarket.com/default.asp?</t>
  </si>
  <si>
    <t>http://www.maillemystique.com/</t>
  </si>
  <si>
    <t>http://www.maileofthedreamseeker.com/</t>
  </si>
  <si>
    <t>http://www.metaldesignz.com/</t>
  </si>
  <si>
    <t>http://www.theringlord.org/phong/</t>
  </si>
  <si>
    <t>http://www.spiderchain.com/</t>
  </si>
  <si>
    <t>http://www.silverweaver.com/</t>
  </si>
  <si>
    <t>http://www.theringlord.com/</t>
  </si>
  <si>
    <t>http://www.urbanmaille.com/</t>
  </si>
  <si>
    <t>http://www.venomspit.com/</t>
  </si>
  <si>
    <t>http://www.wigjig.net/</t>
  </si>
  <si>
    <t>Great forum</t>
  </si>
  <si>
    <t>Great general information about maille</t>
  </si>
  <si>
    <t>Emperor's Maille</t>
  </si>
  <si>
    <t>King's Maille</t>
  </si>
  <si>
    <t>(2.93)</t>
  </si>
  <si>
    <t>(4.69)</t>
  </si>
  <si>
    <t>(6.25)</t>
  </si>
  <si>
    <t>(4.88)</t>
  </si>
  <si>
    <t>(4)</t>
  </si>
  <si>
    <t>Roundmaille 4 in 1</t>
  </si>
  <si>
    <t>Roundmaille 6 in 1</t>
  </si>
  <si>
    <t>(3.12)</t>
  </si>
  <si>
    <t>(5.12)</t>
  </si>
  <si>
    <t>(3.91)</t>
  </si>
  <si>
    <t>Weave Sizes and Aspect Ratios</t>
  </si>
  <si>
    <t>Useful Links</t>
  </si>
  <si>
    <t>(1/4)</t>
  </si>
  <si>
    <t>(3/16)</t>
  </si>
  <si>
    <t>(1/8)</t>
  </si>
  <si>
    <t>(5/16)</t>
  </si>
  <si>
    <t>(3/32)</t>
  </si>
  <si>
    <t>(14 - 16, 5/16 - 7/16)</t>
  </si>
  <si>
    <t>(7/16 - 1/4)
(3/8 - 1/4)</t>
  </si>
  <si>
    <t>(9/32 - 3/16)</t>
  </si>
  <si>
    <t>(5/32)</t>
  </si>
  <si>
    <t>(3/8)</t>
  </si>
  <si>
    <t>(1/2)</t>
  </si>
  <si>
    <t>(9/32)</t>
  </si>
  <si>
    <t>(1/16)</t>
  </si>
  <si>
    <t>mm to inches</t>
  </si>
  <si>
    <t>inches to mm</t>
  </si>
  <si>
    <t>Find Aspect Ratio</t>
  </si>
  <si>
    <t>Find Ring Inner Diameter</t>
  </si>
  <si>
    <t>Preferred AR</t>
  </si>
  <si>
    <t>Doubled Half Persian 3 in 1 Chain</t>
  </si>
  <si>
    <t>Full Persian 6 in 1 Chain</t>
  </si>
  <si>
    <t>Half Persian 3 in 1 Chain</t>
  </si>
  <si>
    <t>Half Persian 4 in 1 Chain</t>
  </si>
  <si>
    <t>Half Persian 5 in 1 Chain</t>
  </si>
  <si>
    <t>One hour less sleep Chain</t>
  </si>
  <si>
    <t>Pheasible Chain</t>
  </si>
  <si>
    <t>Round Chain</t>
  </si>
  <si>
    <t>Round Persian Chain</t>
  </si>
  <si>
    <t>Trinity</t>
  </si>
  <si>
    <t>Turkish Round Chain</t>
  </si>
  <si>
    <t>Inner Diameter</t>
  </si>
  <si>
    <t>Wire Diameter</t>
  </si>
  <si>
    <t>AR</t>
  </si>
  <si>
    <t>Flower Chain</t>
  </si>
  <si>
    <t>Weave</t>
  </si>
  <si>
    <t>Persian 3 in 1</t>
  </si>
  <si>
    <t>Persian 3 in 1 - double</t>
  </si>
  <si>
    <t>Persian 4 in 1</t>
  </si>
  <si>
    <t>Persian 6 in 1</t>
  </si>
  <si>
    <t>EUROPEAN</t>
  </si>
  <si>
    <t>JAPANESE</t>
  </si>
  <si>
    <t>PERSIAN</t>
  </si>
  <si>
    <t>ORBITAL/CAPTIVE</t>
  </si>
  <si>
    <t>SPIRAL</t>
  </si>
  <si>
    <t>4 in 1 Flowers</t>
  </si>
  <si>
    <t>4 Leaf Clover</t>
  </si>
  <si>
    <t>Bastardized Weave</t>
  </si>
  <si>
    <t>Box Chain 4 in 1 (Square cross-section)</t>
  </si>
  <si>
    <t>Box Chain 6 in 1</t>
  </si>
  <si>
    <t>Elven Rope</t>
  </si>
  <si>
    <t>Trizantine</t>
  </si>
  <si>
    <t>Japanese Bullseye</t>
  </si>
  <si>
    <t>One hour less sleep backwards Chain</t>
  </si>
  <si>
    <t>Full Persian Grizzly 8 in 1</t>
  </si>
  <si>
    <t>Full Persian Grizzly 6 in 1</t>
  </si>
  <si>
    <t>Half Persian 3 in 1 Sheet 5</t>
  </si>
  <si>
    <t>Half Persian 3 in 1 Sheet 6</t>
  </si>
  <si>
    <t>Half Persian One and a Half 3 in 1</t>
  </si>
  <si>
    <t>Half Persian One and a Half 4 in 1</t>
  </si>
  <si>
    <t>Barrel Weave</t>
  </si>
  <si>
    <t>Celtic Weave</t>
  </si>
  <si>
    <t>Captive Inverted Round</t>
  </si>
  <si>
    <t>Captive Orbital Hex Cage</t>
  </si>
  <si>
    <t>Hourglass</t>
  </si>
  <si>
    <t>Orchid</t>
  </si>
  <si>
    <t>Tetra-Orb</t>
  </si>
  <si>
    <t>Triple Orbital</t>
  </si>
  <si>
    <t>Captive 4 in 1</t>
  </si>
  <si>
    <t>Captive Byzantine</t>
  </si>
  <si>
    <t>HooDoo</t>
  </si>
  <si>
    <t>Spiral 6 in 1 Chain</t>
  </si>
  <si>
    <t>Spiral 8 in 1 Chain</t>
  </si>
  <si>
    <t>Spiral 4 in 1 Chain</t>
  </si>
  <si>
    <t>VooDoo</t>
  </si>
  <si>
    <t>Orbital Chain</t>
  </si>
  <si>
    <t>Spiral Wrap</t>
  </si>
  <si>
    <t>Locked Spiral</t>
  </si>
  <si>
    <t>European 4 in 1</t>
  </si>
  <si>
    <t>European 6 in 1</t>
  </si>
  <si>
    <t>European 8 in 1</t>
  </si>
  <si>
    <t>Box Chain 4 in 1 (Rectangular cross-section)</t>
  </si>
  <si>
    <t>Byzantine Chain (1 connector)</t>
  </si>
  <si>
    <t>Byzantine Chain (2 connectors)</t>
  </si>
  <si>
    <t>Byzantine Chain (3 connectors)</t>
  </si>
  <si>
    <t>Byzantine Chain (4 connectors)</t>
  </si>
  <si>
    <t>Harvest Moon Chain</t>
  </si>
  <si>
    <t>Tomato Sandwich Chain</t>
  </si>
  <si>
    <t>Copper</t>
  </si>
  <si>
    <t>Brass</t>
  </si>
  <si>
    <t>Bronze</t>
  </si>
  <si>
    <t>Titanium</t>
  </si>
  <si>
    <t>Aluminum</t>
  </si>
  <si>
    <t>Preferred Size</t>
  </si>
  <si>
    <t>Thunderbolt 1 in 1</t>
  </si>
  <si>
    <t>HYBRID</t>
  </si>
  <si>
    <t>holds shape, very loose</t>
  </si>
  <si>
    <t>flexible, optimal weave</t>
  </si>
  <si>
    <t>tight, will bend slightly</t>
  </si>
  <si>
    <t>stiff, will not bend</t>
  </si>
  <si>
    <t>Silver, Sterling</t>
  </si>
  <si>
    <t>Steel, Galvanized</t>
  </si>
  <si>
    <t>Steel, Stainless</t>
  </si>
  <si>
    <t>Titanium, Anodized</t>
  </si>
  <si>
    <t>no form, no shape</t>
  </si>
  <si>
    <t>recognizable if manipulated</t>
  </si>
  <si>
    <t>Doubled Spiral 4 in 1</t>
  </si>
  <si>
    <t>One hour less sleep variant Chain</t>
  </si>
  <si>
    <t>Origami (Japanese 6 in 1 variant)</t>
  </si>
  <si>
    <t>Parallel Chain / Helm</t>
  </si>
  <si>
    <t>6 in 3 Chain</t>
  </si>
  <si>
    <t>4 in 2 Chain</t>
  </si>
  <si>
    <t xml:space="preserve">Japanese 3 in 1 Sheet </t>
  </si>
  <si>
    <t>Japanese 4 in 1 Sheet</t>
  </si>
  <si>
    <t>Japanese 4 in 1 Hexagon Sheet</t>
  </si>
  <si>
    <t>Japanese 6 in 1 Sheet</t>
  </si>
  <si>
    <t>Japanese 6 in 2 Sheet (Japanese 3 in 1 doubled)</t>
  </si>
  <si>
    <t>Japanese 8 in 1 / 4 in 1 Sheet</t>
  </si>
  <si>
    <t>Japanese 8 in 2 Sheet (Japanese 4 in 1 doubled)</t>
  </si>
  <si>
    <t>Japanese 8 in 2 Hexagon Sheet (Japanese 4 in 1 Hex doubled)</t>
  </si>
  <si>
    <t>Japanese 12 in 2 Sheet (Japanese 6 in 1 doubled)</t>
  </si>
  <si>
    <t>Jens Pind's Chain</t>
  </si>
  <si>
    <t xml:space="preserve">Aluminum, Anodized </t>
  </si>
  <si>
    <t xml:space="preserve">Aluminum, Bright </t>
  </si>
  <si>
    <t xml:space="preserve">Aluminum, Etched </t>
  </si>
  <si>
    <t>Gold, 10k</t>
  </si>
  <si>
    <t>Gold Fill, 14k</t>
  </si>
  <si>
    <t>Inconel</t>
  </si>
  <si>
    <t>Nickel Silver</t>
  </si>
  <si>
    <t>Niobium</t>
  </si>
  <si>
    <t>Niobium, Anodized</t>
  </si>
  <si>
    <t>Silver, Fine</t>
  </si>
  <si>
    <t>Steel, Mild</t>
  </si>
  <si>
    <t>Abbreviations</t>
  </si>
  <si>
    <t>AA</t>
  </si>
  <si>
    <t>BR</t>
  </si>
  <si>
    <t>BZ</t>
  </si>
  <si>
    <t>1/64</t>
  </si>
  <si>
    <t>1/32</t>
  </si>
  <si>
    <t>3/64</t>
  </si>
  <si>
    <t>1/16</t>
  </si>
  <si>
    <t>5/64</t>
  </si>
  <si>
    <t>3/32</t>
  </si>
  <si>
    <t>7/64</t>
  </si>
  <si>
    <t>1/8</t>
  </si>
  <si>
    <t>9/64</t>
  </si>
  <si>
    <t>5/32</t>
  </si>
  <si>
    <t>11/64</t>
  </si>
  <si>
    <t>3/16</t>
  </si>
  <si>
    <t>13/64</t>
  </si>
  <si>
    <t>7/32</t>
  </si>
  <si>
    <t>15/64</t>
  </si>
  <si>
    <t>1/4</t>
  </si>
  <si>
    <t>17/64</t>
  </si>
  <si>
    <t>9/32</t>
  </si>
  <si>
    <t>19/64</t>
  </si>
  <si>
    <t>5/16</t>
  </si>
  <si>
    <t>21/64</t>
  </si>
  <si>
    <t>11/32</t>
  </si>
  <si>
    <t>3/8</t>
  </si>
  <si>
    <t>7/16</t>
  </si>
  <si>
    <t>1/2</t>
  </si>
  <si>
    <t>33/64</t>
  </si>
  <si>
    <t>9/16</t>
  </si>
  <si>
    <t>39/64</t>
  </si>
  <si>
    <t>5/8</t>
  </si>
  <si>
    <t>43/64</t>
  </si>
  <si>
    <t>11/16</t>
  </si>
  <si>
    <t>3/4</t>
  </si>
  <si>
    <t>27/32</t>
  </si>
  <si>
    <t>7/8</t>
  </si>
  <si>
    <t>AB</t>
  </si>
  <si>
    <t>AE</t>
  </si>
  <si>
    <t>AL</t>
  </si>
  <si>
    <t>CU</t>
  </si>
  <si>
    <t>GA</t>
  </si>
  <si>
    <t>IN</t>
  </si>
  <si>
    <t>EC</t>
  </si>
  <si>
    <t>GF</t>
  </si>
  <si>
    <t>10K</t>
  </si>
  <si>
    <t>NS</t>
  </si>
  <si>
    <t>MS</t>
  </si>
  <si>
    <t>TA</t>
  </si>
  <si>
    <t>NA</t>
  </si>
  <si>
    <t>NO</t>
  </si>
  <si>
    <t>SS</t>
  </si>
  <si>
    <t>ST</t>
  </si>
  <si>
    <t>TI</t>
  </si>
  <si>
    <t>Rings per cm; use for chains.</t>
  </si>
  <si>
    <t>Rings per inch; use for chains.</t>
  </si>
  <si>
    <t>The Ring Lord</t>
  </si>
  <si>
    <t>Metal Designz</t>
  </si>
  <si>
    <t>Name</t>
  </si>
  <si>
    <t>Link</t>
  </si>
  <si>
    <t>Description</t>
  </si>
  <si>
    <t>Converters</t>
  </si>
  <si>
    <t>References</t>
  </si>
  <si>
    <t>M.A.I.L. (Maille Artisans International League)</t>
  </si>
  <si>
    <t>http://www.mailleartisans.org</t>
  </si>
  <si>
    <t>http://www.contenti.com/resources/convert.html?type=1</t>
  </si>
  <si>
    <t>Contenti Measurement Converter</t>
  </si>
  <si>
    <t>Copper, Enameled</t>
  </si>
  <si>
    <t>(16g 3/8", 18g 1/4")</t>
  </si>
  <si>
    <t>Finished Products</t>
  </si>
  <si>
    <t>Materials</t>
  </si>
  <si>
    <t>Material Cost</t>
  </si>
  <si>
    <t>Retail Cost</t>
  </si>
  <si>
    <t>Sold For</t>
  </si>
  <si>
    <t>Notes</t>
  </si>
  <si>
    <t>Accessories</t>
  </si>
  <si>
    <t>Art</t>
  </si>
  <si>
    <t>Clothes</t>
  </si>
  <si>
    <t>Jewelry</t>
  </si>
  <si>
    <t>20awg</t>
  </si>
  <si>
    <t>18awg</t>
  </si>
  <si>
    <t>16awg</t>
  </si>
  <si>
    <t>Item Number</t>
  </si>
  <si>
    <t>AA14716red</t>
  </si>
  <si>
    <t>AA1438violet</t>
  </si>
  <si>
    <t>AA14516orange</t>
  </si>
  <si>
    <t>AA1414pink</t>
  </si>
  <si>
    <t>AA1412dkpurple</t>
  </si>
  <si>
    <t>AA1638blue</t>
  </si>
  <si>
    <t>AA16516green</t>
  </si>
  <si>
    <t>AA16316turq</t>
  </si>
  <si>
    <t>AA1814orange</t>
  </si>
  <si>
    <t>AA18316violet</t>
  </si>
  <si>
    <t>Ounce</t>
  </si>
  <si>
    <t>5mm (BA - 2)</t>
  </si>
  <si>
    <t>4</t>
  </si>
  <si>
    <t>3.3</t>
  </si>
  <si>
    <t>3.75mm (BA - 3)</t>
  </si>
  <si>
    <t>5mm - 3.25mm (SS - 3)</t>
  </si>
  <si>
    <t>5.5 - 3.5</t>
  </si>
  <si>
    <t>4mm (BA - 2)</t>
  </si>
  <si>
    <t>6 - 3.3</t>
  </si>
  <si>
    <t>6.5 - 3.75 (BA - 3)</t>
  </si>
  <si>
    <t>5.5mm (BA - 3)</t>
  </si>
  <si>
    <t>4.5mm (BA - 3)</t>
  </si>
  <si>
    <t>Bikini Top - AA/BA - Japaneese 8 in 1 w/ 4 in 1 straps</t>
  </si>
  <si>
    <t>Time (hr)</t>
  </si>
  <si>
    <t>Whole Sale</t>
  </si>
  <si>
    <t>Retail Multiplier</t>
  </si>
  <si>
    <t>Cost per hour</t>
  </si>
  <si>
    <t>Unit</t>
  </si>
  <si>
    <t>AID</t>
  </si>
  <si>
    <t>Actual Inner Diameter</t>
  </si>
  <si>
    <t>http://www.onlineconversion.com</t>
  </si>
  <si>
    <t>OnlineConversion.com</t>
  </si>
  <si>
    <t>Ring Inner Diameter to Wire Length</t>
  </si>
  <si>
    <t>Rings per foot</t>
  </si>
  <si>
    <t>mm</t>
  </si>
  <si>
    <t>Estimated</t>
  </si>
  <si>
    <t>5.5mm (SS - 3 - 14rpi)</t>
  </si>
  <si>
    <t>4.5</t>
  </si>
  <si>
    <t>Estimated Wire Length</t>
  </si>
  <si>
    <t>SA</t>
  </si>
  <si>
    <t>Silver, Argentium</t>
  </si>
  <si>
    <t>Statistics and Conversions</t>
  </si>
  <si>
    <t>19SWG</t>
  </si>
  <si>
    <t>12SWG</t>
  </si>
  <si>
    <t>16SWG</t>
  </si>
  <si>
    <t>18SWG</t>
  </si>
  <si>
    <t>14swg</t>
  </si>
  <si>
    <t>14SWG</t>
  </si>
  <si>
    <t>24AWG</t>
  </si>
  <si>
    <t>22AWG</t>
  </si>
  <si>
    <t>20AWG</t>
  </si>
  <si>
    <t>27/64</t>
  </si>
  <si>
    <t>Gauge</t>
  </si>
  <si>
    <t>16swg</t>
  </si>
  <si>
    <t>18swg</t>
  </si>
  <si>
    <t>19swg</t>
  </si>
  <si>
    <t>20swg</t>
  </si>
  <si>
    <t>22swg</t>
  </si>
  <si>
    <t>24swg</t>
  </si>
  <si>
    <t>14awg</t>
  </si>
  <si>
    <t>22awg</t>
  </si>
  <si>
    <t>24awg</t>
  </si>
  <si>
    <t>Aspect Ratios</t>
  </si>
  <si>
    <t>Mandrel Sizes</t>
  </si>
  <si>
    <t>Stiffness Ratings</t>
  </si>
  <si>
    <t>Abbreviation</t>
  </si>
  <si>
    <t>Material</t>
  </si>
  <si>
    <t>Rating</t>
  </si>
  <si>
    <t>Descriptioin</t>
  </si>
  <si>
    <t>Find Wire Diameter</t>
  </si>
  <si>
    <t>WD</t>
  </si>
  <si>
    <t>ID</t>
  </si>
  <si>
    <t>Aspect Ratio</t>
  </si>
  <si>
    <t>Find Ring Inner Diameter using Mandrel</t>
  </si>
  <si>
    <t>Mandrel Diameter</t>
  </si>
  <si>
    <t>Springback</t>
  </si>
  <si>
    <t>Find Mandrel Diameter</t>
  </si>
  <si>
    <t>Find Springback</t>
  </si>
  <si>
    <t>Ring Inner Diameter</t>
  </si>
  <si>
    <t>MD</t>
  </si>
  <si>
    <t>S</t>
  </si>
  <si>
    <t>RPC</t>
  </si>
  <si>
    <t>RPI</t>
  </si>
  <si>
    <t>RPSI</t>
  </si>
  <si>
    <t>Rings per square inch; use for sheets</t>
  </si>
  <si>
    <t>Metal Types</t>
  </si>
  <si>
    <t>Size in inches</t>
  </si>
  <si>
    <t>16"</t>
  </si>
  <si>
    <t>Choker Necklace</t>
  </si>
  <si>
    <t>Collarbone Necklace</t>
  </si>
  <si>
    <t>Below Collarbone Necklace</t>
  </si>
  <si>
    <t>22"</t>
  </si>
  <si>
    <t>Above Neckline Necklace</t>
  </si>
  <si>
    <t>Below Neckline Necklace</t>
  </si>
  <si>
    <t>18"</t>
  </si>
  <si>
    <t>Base of Neck (small) Necklace</t>
  </si>
  <si>
    <t>20"</t>
  </si>
  <si>
    <t>Collarbone (Common) Necklace</t>
  </si>
  <si>
    <t>24"</t>
  </si>
  <si>
    <t>17" - 18"</t>
  </si>
  <si>
    <t>30"</t>
  </si>
  <si>
    <t>Drapes to the Chest</t>
  </si>
  <si>
    <t>Women Necklace Sizes</t>
  </si>
  <si>
    <t>Men Necklace Sizes</t>
  </si>
  <si>
    <t>Bracelet Sizes</t>
  </si>
  <si>
    <t>Adult Small</t>
  </si>
  <si>
    <t>Adult Medium</t>
  </si>
  <si>
    <t>Adult Large</t>
  </si>
  <si>
    <t>8" - 8.5"</t>
  </si>
  <si>
    <t>6.5" - 7"</t>
  </si>
  <si>
    <t>Above Sternum Necklace</t>
  </si>
  <si>
    <t>Child</t>
  </si>
  <si>
    <t>3.5" - 6.5"</t>
  </si>
  <si>
    <t>7" - 7.5"</t>
  </si>
  <si>
    <t>Shaggy Loops</t>
  </si>
  <si>
    <t>Jacob's Ladder</t>
  </si>
  <si>
    <t>Power Line</t>
  </si>
  <si>
    <t>Baelrog's Barb Wire</t>
  </si>
  <si>
    <t>Persain Dragonscale</t>
  </si>
  <si>
    <t>Dwarfmaille</t>
  </si>
  <si>
    <t>Elfweave</t>
  </si>
  <si>
    <t>Alienmaille</t>
  </si>
  <si>
    <t>Interwoven 4 in 1</t>
  </si>
  <si>
    <t>GSG</t>
  </si>
  <si>
    <t>Lobster Tail</t>
  </si>
  <si>
    <t>Inverted Round Maille</t>
  </si>
  <si>
    <t>This Is Not Food</t>
  </si>
  <si>
    <t>This iIs Not Water</t>
  </si>
  <si>
    <t>Dragon's Tail</t>
  </si>
  <si>
    <t>Dragonscale</t>
  </si>
  <si>
    <t>Wilbert Weave</t>
  </si>
  <si>
    <t>Beez to Butterflies</t>
  </si>
  <si>
    <t>Backbone</t>
  </si>
  <si>
    <t>Camelot</t>
  </si>
  <si>
    <t>Dragonback</t>
  </si>
  <si>
    <t>Rondo</t>
  </si>
  <si>
    <t>Ruffles</t>
  </si>
  <si>
    <t>Products</t>
  </si>
  <si>
    <t xml:space="preserve">Quantity </t>
  </si>
  <si>
    <t>Unit Price</t>
  </si>
  <si>
    <t>Total</t>
  </si>
  <si>
    <t>Product Cost</t>
  </si>
  <si>
    <t>Shipping Cost</t>
  </si>
  <si>
    <t>SXST16516</t>
  </si>
  <si>
    <t>SXST20332</t>
  </si>
  <si>
    <t>SXST20316</t>
  </si>
  <si>
    <t>Gift Certificate</t>
  </si>
  <si>
    <t>SXSFN20332</t>
  </si>
  <si>
    <t>RD-KIT-JWLRmetric
Basic Jewelers Metric Rod Kit - 10 Rods from 2 to 6.5mm</t>
  </si>
  <si>
    <t>RD-KIT-JWLRmetric025
Advanced Jewelers Metric Rod Kit - 10 Rods in 0.25mm</t>
  </si>
  <si>
    <t>RD-KIT-ARMmetric
Armorers Metric Rod Kit - 6 Rods from 7 to 12mm</t>
  </si>
  <si>
    <t>SXSFN20332
Saw Cut Fine Silver 20ga 3/32'' ID</t>
  </si>
  <si>
    <t>SXST20332
Saw Cut Sterling Silver 20ga 3/32'' ID</t>
  </si>
  <si>
    <t>JSZIPBAG
Zip lock bag - 3'' x 4'</t>
  </si>
  <si>
    <t xml:space="preserve">JSSFNH18
Fine Silver - 18ga - full hard </t>
  </si>
  <si>
    <t xml:space="preserve">SPOOLSMALL
Small Wire Spool </t>
  </si>
  <si>
    <t xml:space="preserve">JSSFNH20
Fine Silver - 20ga - full hard </t>
  </si>
  <si>
    <t xml:space="preserve">SPOOL
Medium Wire Spool </t>
  </si>
  <si>
    <t xml:space="preserve">WAB16
Bright Aluminum - 16ga (0.063'') </t>
  </si>
  <si>
    <t xml:space="preserve">WAB18
Bright Aluminum - 18ga (0.045'') </t>
  </si>
  <si>
    <t xml:space="preserve">WSS16
Stainless - 304 - 16ga (0.062'') </t>
  </si>
  <si>
    <t xml:space="preserve">WSQSS16
Square Stainless - 304 - 1/16''x 1/16'' </t>
  </si>
  <si>
    <t>WSQSS18
Square Stainless - 304 - 0.047''x 0.047''</t>
  </si>
  <si>
    <t xml:space="preserve">WSS18
Stainless - 304 - 18ga (0.048'') </t>
  </si>
  <si>
    <t xml:space="preserve">WNS16
Nickel Silver - 16ga (0.062'') </t>
  </si>
  <si>
    <t xml:space="preserve">WNS18
Nickel Silver - 18ga (0.048'') </t>
  </si>
  <si>
    <t>JSNS20
100' roll - 20ga - Nickel Silver</t>
  </si>
  <si>
    <t>SXST16516
Saw Cut Sterling Silver 16ga 5/16'' ID</t>
  </si>
  <si>
    <t>SXST20316
Saw Cut Sterling Silver 20ga 3/16'' ID</t>
  </si>
  <si>
    <t>NA2018(c12) bronze
Anodized Niobium - 20 ga 1/8'' ID - Bronze</t>
  </si>
  <si>
    <t>NA2018(c17) shimmerring brown
Anodized Niobium - 20 ga 1/8'' ID - Shimmerring Brown</t>
  </si>
  <si>
    <t>NA2018(c20) royal purple
Anodized Niobium - 20 ga 1/8'' ID - Royal Purple</t>
  </si>
  <si>
    <t>NA2018(c25) cobalt blue
Anodized Niobium - 20 ga 1/8'' ID - Cobalt Blue</t>
  </si>
  <si>
    <t>NA2018(c31) light blue
Anodized Niobium - 20 ga 1/8'' ID - Light Blue</t>
  </si>
  <si>
    <t>NA2018(c54) yellow
Anodized Niobium - 20 ga 1/8'' ID - Yellow</t>
  </si>
  <si>
    <t>NA2018(c60) rose gold
Anodized Niobium - 20 ga 1/8'' ID - Rose Gold</t>
  </si>
  <si>
    <t>NA2018(c64) electric salmon
Anodized Niobium - 20 ga 1/8'' ID - Electric Salmon</t>
  </si>
  <si>
    <t>NA2018(c67) dark rose
Anodized Niobium - 20 ga 1/8'' ID - Dark Rose</t>
  </si>
  <si>
    <t>NA2018(c73) violet
Anodized Niobium - 20 ga 1/8'' ID - Violet</t>
  </si>
  <si>
    <t>NA2018(c75) indigo
Anodized Niobium - 20 ga 1/8'' ID - Indigo</t>
  </si>
  <si>
    <t>NA2018(c80) peacock blue
Anodized Niobium - 20 ga 1/8'' ID - Peacock Blue</t>
  </si>
  <si>
    <t>NA2018(c89) teal
Anodized Niobium - 20 ga 1/8'' ID - Teal</t>
  </si>
  <si>
    <t>NA2018(c95) green
Anodized Niobium - 20 ga 1/8'' ID - Green</t>
  </si>
  <si>
    <t>SXAA18532darkpurple
Anodized Aluminum - Dark Purple 18ga 5/32'' ID - Saw Cut</t>
  </si>
  <si>
    <t xml:space="preserve">WAB12
Bright Aluminum - 12 ga (0.094'') </t>
  </si>
  <si>
    <t>WAB14
Bright Aluminum - 14ga (0.080'')</t>
  </si>
  <si>
    <t>AA1638blue
Anodized Aluminum - blue 16ga 3/8'' ID</t>
  </si>
  <si>
    <t>AA16516green
Anodized Aluminum - green 16ga 5/16'' ID</t>
  </si>
  <si>
    <t>AA1614pink
Anodized Aluminum - Pink 16ga 1/4'' ID</t>
  </si>
  <si>
    <t>AA16316turq
Anodized Aluminum - turquoise 16ga 3/16'' ID</t>
  </si>
  <si>
    <t>AA1814orange
Anodized Aluminum - orange 18ga 1/4'' ID</t>
  </si>
  <si>
    <t>AA18316violet
Anodized Aluminum - violet 18ga 3/16'' ID</t>
  </si>
  <si>
    <t>AA1412dkpurple
Anodized Aluminum - dark purple 14ga 1/2'' ID</t>
  </si>
  <si>
    <t>AA14716red
Anodized Aluminum - red 14ga 7/16'' ID</t>
  </si>
  <si>
    <t>AA1438violet
Anodized Aluminum - violet 14ga 3/8'' ID</t>
  </si>
  <si>
    <t>AA1414PINK
Anodized Aluminum - pink 14ga 1/4'' ID</t>
  </si>
  <si>
    <t>AA14516orange
Anodized Aluminum - orange 14ga 5/16'' ID</t>
  </si>
  <si>
    <t>ShotMagSS-DiscSmall
Magnetic Stainless Small Disc Shot</t>
  </si>
  <si>
    <t>KX7111200
Cobolt Cutter with Spring</t>
  </si>
  <si>
    <t xml:space="preserve">WAB20
Bright Aluminum - 20ga (0.030'') </t>
  </si>
  <si>
    <t xml:space="preserve">wss19
Stainless - 308 - 19ga (0.04'') </t>
  </si>
  <si>
    <t xml:space="preserve">WSS20
Stainless - 20ga (0.032'') </t>
  </si>
  <si>
    <t>SRA
Anodized Aluminum Ring Sampler</t>
  </si>
  <si>
    <t>SRC
Common Ring Sampler</t>
  </si>
  <si>
    <t>SRT
Anodized Titanium Sampler</t>
  </si>
  <si>
    <t>SRN
Anodized Niobium Sampler</t>
  </si>
  <si>
    <t>SRJ
Jewelry Ring Sampler</t>
  </si>
  <si>
    <t>SRS
Specialty Ring Sampler</t>
  </si>
  <si>
    <r>
      <t>Order Number 43640</t>
    </r>
    <r>
      <rPr>
        <sz val="11"/>
        <rFont val="Tahoma"/>
        <family val="2"/>
      </rPr>
      <t xml:space="preserve"> - Monday 8 January 2007 9:19:00 AM</t>
    </r>
  </si>
  <si>
    <r>
      <t>Order Number 43333</t>
    </r>
    <r>
      <rPr>
        <sz val="11"/>
        <rFont val="Tahoma"/>
        <family val="2"/>
      </rPr>
      <t xml:space="preserve"> - Tuesday 2 January 2007 10:24:00 AM - Shipped Thursday 4 January 2007</t>
    </r>
  </si>
  <si>
    <r>
      <t>Order Number 39263</t>
    </r>
    <r>
      <rPr>
        <sz val="11"/>
        <rFont val="Tahoma"/>
        <family val="2"/>
      </rPr>
      <t xml:space="preserve"> - Sunday 15 October 2006 2:17:00 PM - Shipped Thursday 19 October 2006</t>
    </r>
  </si>
  <si>
    <r>
      <t>Order Number 36976</t>
    </r>
    <r>
      <rPr>
        <sz val="11"/>
        <rFont val="Tahoma"/>
        <family val="2"/>
      </rPr>
      <t xml:space="preserve"> - Tuesday 5 September 2006 8:06:00 AM - Shipped Thursday 7 September 2006</t>
    </r>
  </si>
  <si>
    <r>
      <t>Order Number 36493</t>
    </r>
    <r>
      <rPr>
        <sz val="11"/>
        <rFont val="Tahoma"/>
        <family val="2"/>
      </rPr>
      <t xml:space="preserve"> - Friday 25 August 2006 7:09:00 AM - Shipped 25 August 2006</t>
    </r>
  </si>
  <si>
    <r>
      <t>Order Number 36398</t>
    </r>
    <r>
      <rPr>
        <sz val="11"/>
        <rFont val="Tahoma"/>
        <family val="2"/>
      </rPr>
      <t xml:space="preserve"> - Wednesday 23 August 2006 7:37:00 AM - Shipped Tuesday 24 August 2006</t>
    </r>
  </si>
  <si>
    <t>Total Product Cost</t>
  </si>
  <si>
    <t>Total Shipping Cost</t>
  </si>
  <si>
    <t>Grand Total</t>
  </si>
  <si>
    <t>Total Gift Certificate</t>
  </si>
  <si>
    <t>Makes a great Half Persian 4 in 1</t>
  </si>
  <si>
    <t>Dragon Scale and Full Persian</t>
  </si>
  <si>
    <t>Jen's Pind</t>
  </si>
  <si>
    <t>FN</t>
  </si>
  <si>
    <t>23/64</t>
  </si>
  <si>
    <t>25/64</t>
  </si>
  <si>
    <t>13/32</t>
  </si>
  <si>
    <t>29/64</t>
  </si>
  <si>
    <t>15/32</t>
  </si>
  <si>
    <t>31/64</t>
  </si>
  <si>
    <t>17/32</t>
  </si>
  <si>
    <t>35/64</t>
  </si>
  <si>
    <t>37/64</t>
  </si>
  <si>
    <t>19/32</t>
  </si>
  <si>
    <t>41/64</t>
  </si>
  <si>
    <t>31/32</t>
  </si>
  <si>
    <t>21/32</t>
  </si>
  <si>
    <t>45/64</t>
  </si>
  <si>
    <t>23/32</t>
  </si>
  <si>
    <t>47/64</t>
  </si>
  <si>
    <t>49/64</t>
  </si>
  <si>
    <t>25/32</t>
  </si>
  <si>
    <t>51/64</t>
  </si>
  <si>
    <t>13/16</t>
  </si>
  <si>
    <t>53/64</t>
  </si>
  <si>
    <t>55/64</t>
  </si>
  <si>
    <t>57/64</t>
  </si>
  <si>
    <t>29/32</t>
  </si>
  <si>
    <t>59/64</t>
  </si>
  <si>
    <t>15/16</t>
  </si>
  <si>
    <t>61/64</t>
  </si>
  <si>
    <t>63/64</t>
  </si>
  <si>
    <t>1</t>
  </si>
  <si>
    <t>knitting needle</t>
  </si>
  <si>
    <t>AWG Wire Diameter</t>
  </si>
  <si>
    <t>SWG Wire Diameter</t>
  </si>
  <si>
    <t>Ring Diameter</t>
  </si>
  <si>
    <t>inches
fraction</t>
  </si>
  <si>
    <t>inches
decimal</t>
  </si>
  <si>
    <t>Saw Thickness</t>
  </si>
  <si>
    <t>Estimated Feet</t>
  </si>
  <si>
    <t>ID in inches</t>
  </si>
  <si>
    <t>Estimated Rings</t>
  </si>
  <si>
    <t>Measurement Conversions</t>
  </si>
  <si>
    <t>mm / 25.4 = inches</t>
  </si>
  <si>
    <t>inches x 25.4 = mm</t>
  </si>
  <si>
    <t>Feet of wire required for given # rings</t>
  </si>
  <si>
    <t>Mandrel Dia.</t>
  </si>
  <si>
    <t>ID / WD = AR</t>
  </si>
  <si>
    <t>AR * WD = ID</t>
  </si>
  <si>
    <t>ID / AR = WD</t>
  </si>
  <si>
    <t># of Rings</t>
  </si>
  <si>
    <t># of Feet</t>
  </si>
  <si>
    <t>constant</t>
  </si>
  <si>
    <t>MD * (1 + S) = ID</t>
  </si>
  <si>
    <t>ID / (1 + S) = MD</t>
  </si>
  <si>
    <t>(ID / MD) - 1 = S</t>
  </si>
  <si>
    <t># of Rings / ( 12 / (( ID * 3.1416 ) + ST )) = Feet of Wire</t>
  </si>
  <si>
    <t>decimal</t>
  </si>
  <si>
    <t># of Feet * ( 12 / (( ID * 3.1416 ) + ST )) = Estimated Rings</t>
  </si>
  <si>
    <t>Rings produced for given # feet of wire</t>
  </si>
  <si>
    <t>Drape Top - BA - Japaneese 4 in 1</t>
  </si>
  <si>
    <t>BA 18s:7mm
BA 20a:2.75mm</t>
  </si>
  <si>
    <r>
      <t xml:space="preserve">Order Number 45906 </t>
    </r>
    <r>
      <rPr>
        <sz val="11"/>
        <rFont val="Tahoma"/>
        <family val="2"/>
      </rPr>
      <t>- Thursday 22 February 2007 10:04:00 AM</t>
    </r>
  </si>
  <si>
    <t>AA16316black
Anodized Aluminum - black 16ga 3/16'' ID</t>
  </si>
  <si>
    <t>BZ16316
Bronze 16ga 3/16'' ID</t>
  </si>
  <si>
    <t>SS16316
Stainless Steel 16ga 3/16'' ID</t>
  </si>
  <si>
    <r>
      <t xml:space="preserve">Order Number 46114 </t>
    </r>
    <r>
      <rPr>
        <sz val="11"/>
        <rFont val="Tahoma"/>
        <family val="2"/>
      </rPr>
      <t>- Monday 26 February 2007 9:32:00 AM</t>
    </r>
  </si>
  <si>
    <t>Gift Certificate
Gift-832570-46114</t>
  </si>
  <si>
    <r>
      <t xml:space="preserve">Order Number 46301 </t>
    </r>
    <r>
      <rPr>
        <sz val="11"/>
        <rFont val="Tahoma"/>
        <family val="2"/>
      </rPr>
      <t>- Thursday 1 March 2007 3:46:00 PM</t>
    </r>
  </si>
  <si>
    <t>AA16316red
Anodized Aluminum - red 16ga 3/16'' ID</t>
  </si>
  <si>
    <t>AB16316
Bright Aluminum 16ga 3/16'' ID</t>
  </si>
  <si>
    <t>SCALESM-NPMS
Scale - Nickel Plated Mild Steel - 1000pcs</t>
  </si>
  <si>
    <r>
      <t xml:space="preserve">Order Number 48978 </t>
    </r>
    <r>
      <rPr>
        <sz val="11"/>
        <rFont val="Tahoma"/>
        <family val="2"/>
      </rPr>
      <t>- Friday 20 April 2007 4:38:00 PM</t>
    </r>
  </si>
  <si>
    <t>JSSFNH18
Fine Silver - 18ga - full hard</t>
  </si>
  <si>
    <t>JSSFNH20
Fine Silver - 20ga - full hard</t>
  </si>
  <si>
    <t>JSSFNH22
Fine Silver - 22ga - full hard</t>
  </si>
  <si>
    <t>JSGF20-Yellow
Yellow Gold Fill - 20ga - 1 Oz roll</t>
  </si>
  <si>
    <t>NA20532(c25) cobalt blue
Anodized Niobium - 20 ga 5/32'' ID - Cobalt Blue</t>
  </si>
  <si>
    <t>NA20532(c60) rose gold
Anodized Niobium - 20 ga 5/32'' ID - Rose Gold</t>
  </si>
  <si>
    <t>NA20532(c67) dark rose
Anodized Niobium - 20 ga 5/32'' ID - Dark Rose</t>
  </si>
  <si>
    <t>NA20532(c73) violet
Anodized Niobium - 20 ga 5/32'' ID - Violet</t>
  </si>
  <si>
    <t>NA20532(c75) indigo
Anodized Niobium - 20 ga 5/32'' ID - Indigo</t>
  </si>
  <si>
    <t>NA20532(c89) teal
Anodized Niobium - 20 ga 5/32'' ID - Teal</t>
  </si>
  <si>
    <t>NA20532(c95) green
Anodized Niobium - 20 ga 5/32'' ID - Green</t>
  </si>
  <si>
    <t>NA20332(c25) cobalt blue
Anodized Niobium - 20 ga 3/32'' ID - Cobalt Blue</t>
  </si>
  <si>
    <t>NA20332(c60) rose gold
Anodized Niobium - 20 ga 3/32'' ID - Rose Gold</t>
  </si>
  <si>
    <t>NA20332(c67) dark rose
Anodized Niobium - 20 ga 3/32'' ID - Dark Rose</t>
  </si>
  <si>
    <t>NA20332(c73) violet
Anodized Niobium - 20 ga 3/32'' ID - Violet</t>
  </si>
  <si>
    <t>NA20332(c75) indigo
Anodized Niobium - 20 ga 3/32'' ID - Indigo</t>
  </si>
  <si>
    <t>NA20332(c89) teal
Anodized Niobium - 20 ga 3/32'' ID - Teal</t>
  </si>
  <si>
    <t>NA20332(c95) green
Anodized Niobium - 20 ga 3/32'' ID - Green</t>
  </si>
  <si>
    <r>
      <t xml:space="preserve">Order Number 58695 </t>
    </r>
    <r>
      <rPr>
        <sz val="11"/>
        <rFont val="Tahoma"/>
        <family val="2"/>
      </rPr>
      <t>- Wednesday 17 October 2007 12:22:00 PM</t>
    </r>
  </si>
  <si>
    <t>12swg</t>
  </si>
  <si>
    <t>AA1614pink</t>
  </si>
  <si>
    <t>AB16516</t>
  </si>
  <si>
    <t>AA16516pink</t>
  </si>
  <si>
    <t>AB16316</t>
  </si>
  <si>
    <t>EPDM16516black</t>
  </si>
  <si>
    <t>EPDM18316black</t>
  </si>
  <si>
    <t>EPDM16516blue</t>
  </si>
  <si>
    <t>GITD16516violet</t>
  </si>
  <si>
    <t>SXAA18532dkpurple</t>
  </si>
  <si>
    <t>EPDM18316red</t>
  </si>
  <si>
    <t>EPDM18316purple</t>
  </si>
  <si>
    <t>AA16316red</t>
  </si>
  <si>
    <t>SS16316</t>
  </si>
  <si>
    <t>AB18316</t>
  </si>
  <si>
    <t>AA16316black</t>
  </si>
  <si>
    <t>Lowes</t>
  </si>
  <si>
    <t>unit</t>
  </si>
  <si>
    <t>ring-s</t>
  </si>
  <si>
    <t>ring-m</t>
  </si>
  <si>
    <t>ring-l</t>
  </si>
  <si>
    <t>BZ16316</t>
  </si>
  <si>
    <t>Diameter</t>
  </si>
  <si>
    <t>5/16"</t>
  </si>
  <si>
    <t>3/16"</t>
  </si>
  <si>
    <t>Color</t>
  </si>
  <si>
    <t>1/2"</t>
  </si>
  <si>
    <t>7/16"</t>
  </si>
  <si>
    <t>3/8"</t>
  </si>
  <si>
    <t>1/4"</t>
  </si>
  <si>
    <t>Dark Purple</t>
  </si>
  <si>
    <t>Red</t>
  </si>
  <si>
    <t>Violet</t>
  </si>
  <si>
    <t>Orange</t>
  </si>
  <si>
    <t>Pink</t>
  </si>
  <si>
    <t>Blue</t>
  </si>
  <si>
    <t>Green</t>
  </si>
  <si>
    <t>Black</t>
  </si>
  <si>
    <t>Turquoise</t>
  </si>
  <si>
    <t>Cut</t>
  </si>
  <si>
    <t>Machine</t>
  </si>
  <si>
    <t>Price/Unit</t>
  </si>
  <si>
    <t>Est. #/Unit</t>
  </si>
  <si>
    <t>Est. Price/#</t>
  </si>
  <si>
    <t>Vendor</t>
  </si>
  <si>
    <t>5/32"</t>
  </si>
  <si>
    <t>Saw</t>
  </si>
  <si>
    <t>Bag</t>
  </si>
  <si>
    <t>Snip</t>
  </si>
  <si>
    <t>1/8"</t>
  </si>
  <si>
    <t>SXNA2018(c12) bronze</t>
  </si>
  <si>
    <t>Purple</t>
  </si>
  <si>
    <t>3/32"</t>
  </si>
  <si>
    <t>Solid</t>
  </si>
  <si>
    <t>AB - Bright Aluminum</t>
  </si>
  <si>
    <t>AA - Anodized Aluminum</t>
  </si>
  <si>
    <t>NA - Anodized Niobium</t>
  </si>
  <si>
    <t>BZ - Bronze</t>
  </si>
  <si>
    <t>EPDM - EPDM Rubber</t>
  </si>
  <si>
    <t>GITD - Glow-in-the-Dark Silicone Rubber</t>
  </si>
  <si>
    <t>SFN - Fine Silver</t>
  </si>
  <si>
    <t>ST - Sterling Silver</t>
  </si>
  <si>
    <t>RING - Solid Ring</t>
  </si>
  <si>
    <t>SS - Stainless Steel</t>
  </si>
  <si>
    <t>Japanese 8-1 (main)
Japanese 4-1 (strap)</t>
  </si>
  <si>
    <t>BA14s:8
AA18s:4mm Dark Purple</t>
  </si>
  <si>
    <t>SXCU1918</t>
  </si>
  <si>
    <t>CU - Copper</t>
  </si>
  <si>
    <t>SXCU1914</t>
  </si>
  <si>
    <t>Japanese 8-1 (main) 
Japanese 4-2 (strap/hem)</t>
  </si>
  <si>
    <t>SXCU1914 (664)
SXCU1918 (1150)</t>
  </si>
  <si>
    <t>European 4-1 (main) 
EuroSpine (strap)</t>
  </si>
  <si>
    <t>Japanese 8-2 (main)
Laddered 4-2 (straps)</t>
  </si>
  <si>
    <t>Shiny Purple Bikini Top</t>
  </si>
  <si>
    <t>Eurpoean 4-1 (main)
Interwoven 4-1 (straps)
Small Solid Ring</t>
  </si>
  <si>
    <t>BA18316 (est. 4200)
EPDM18316black (594)</t>
  </si>
  <si>
    <t>BA16516 (est. 2900)
AA16516pink (434)
ring-s</t>
  </si>
  <si>
    <t>AA1614pink (528)
AA18316violet (est. 2000)</t>
  </si>
  <si>
    <t>Pink Edged Ring Drape</t>
  </si>
  <si>
    <t>Black Striped Y-back Bikini</t>
  </si>
  <si>
    <t>Copper Bikini</t>
  </si>
  <si>
    <t>BA16316
AA16316red
AA16316black</t>
  </si>
  <si>
    <t>European 4-1</t>
  </si>
  <si>
    <t>Half Persian 4-1</t>
  </si>
  <si>
    <t>SXST16516 (230)</t>
  </si>
  <si>
    <t>Reduced Japanese 12-2</t>
  </si>
  <si>
    <t>SXSFN2018
SXSFN18532
SXSFN18316
SXSFN18732
Dicroic Pendant</t>
  </si>
  <si>
    <t>Fine Byzantine Earrings</t>
  </si>
  <si>
    <t>Fine Byzantine Necklace</t>
  </si>
  <si>
    <t>Fine Byzantine Bracelet</t>
  </si>
  <si>
    <t>Byzantine</t>
  </si>
  <si>
    <t>SXSFN22564</t>
  </si>
  <si>
    <t>20080305-3</t>
  </si>
  <si>
    <t>20080305-2</t>
  </si>
  <si>
    <t>20080305-1</t>
  </si>
  <si>
    <t>Lacy Jap Pendant Necklace</t>
  </si>
  <si>
    <t>Sterling Persian</t>
  </si>
  <si>
    <t>Beer Armor</t>
  </si>
  <si>
    <t>Eurpoean 6-1</t>
  </si>
  <si>
    <t>SS1638</t>
  </si>
  <si>
    <t>Purple Euro</t>
  </si>
  <si>
    <t>Eurpoean 4-1 (main)
European 6-1 (straps)</t>
  </si>
  <si>
    <t>SXAA18316lavender
SXAA18316black
SXAA1814black</t>
  </si>
  <si>
    <t>Glow Jap 8-2</t>
  </si>
  <si>
    <t>Jap 8-2 (main)
Jap 4-2(straps)</t>
  </si>
  <si>
    <t>GITD16516pink
SXAA16516ice
SXAA18316ice</t>
  </si>
  <si>
    <t>Pink &amp; Black Euro</t>
  </si>
  <si>
    <t>European 4-1 (main) 
European 6-1 (strap)</t>
  </si>
  <si>
    <t>A16516pink
EPDM16516black</t>
  </si>
  <si>
    <t>Black Ice Jap</t>
  </si>
  <si>
    <t>SXAA16516ice
SXAA20532black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</si>
</sst>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&quot;$&quot;#,##0.00"/>
    <numFmt numFmtId="166" formatCode="0.0"/>
    <numFmt numFmtId="167" formatCode="0.000"/>
  </numFmts>
  <fonts count="21">
    <font>
      <sz val="10"/>
      <name val="Arial"/>
    </font>
    <font>
      <u/>
      <sz val="10"/>
      <color indexed="12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10"/>
      <name val="Arial"/>
    </font>
    <font>
      <u/>
      <sz val="8"/>
      <color indexed="12"/>
      <name val="Arial"/>
    </font>
    <font>
      <sz val="8"/>
      <color indexed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4"/>
      <name val="Arial"/>
    </font>
    <font>
      <sz val="14"/>
      <name val="Arial"/>
      <family val="2"/>
    </font>
    <font>
      <sz val="14"/>
      <name val="Arial"/>
    </font>
    <font>
      <sz val="10"/>
      <name val="Tahoma"/>
      <family val="2"/>
    </font>
    <font>
      <sz val="10"/>
      <name val="Arial"/>
    </font>
    <font>
      <b/>
      <sz val="11"/>
      <name val="Tahoma"/>
      <family val="2"/>
    </font>
    <font>
      <sz val="11"/>
      <name val="Tahoma"/>
      <family val="2"/>
    </font>
    <font>
      <sz val="11"/>
      <name val="Arial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8"/>
      </bottom>
      <diagonal/>
    </border>
    <border>
      <left style="medium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23"/>
      </right>
      <top style="thin">
        <color indexed="23"/>
      </top>
      <bottom style="medium">
        <color indexed="8"/>
      </bottom>
      <diagonal/>
    </border>
    <border>
      <left style="medium">
        <color indexed="8"/>
      </left>
      <right style="thin">
        <color indexed="23"/>
      </right>
      <top style="medium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thin">
        <color indexed="23"/>
      </bottom>
      <diagonal/>
    </border>
    <border>
      <left style="thin">
        <color indexed="23"/>
      </left>
      <right style="medium">
        <color indexed="8"/>
      </right>
      <top style="medium">
        <color indexed="8"/>
      </top>
      <bottom style="thin">
        <color indexed="23"/>
      </bottom>
      <diagonal/>
    </border>
    <border>
      <left style="thin">
        <color indexed="23"/>
      </left>
      <right style="medium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8"/>
      </right>
      <top style="thin">
        <color indexed="23"/>
      </top>
      <bottom style="medium">
        <color indexed="8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medium">
        <color indexed="8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 style="thin">
        <color indexed="23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medium">
        <color indexed="8"/>
      </bottom>
      <diagonal/>
    </border>
    <border>
      <left/>
      <right style="medium">
        <color indexed="8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medium">
        <color indexed="8"/>
      </left>
      <right/>
      <top style="thin">
        <color indexed="23"/>
      </top>
      <bottom style="medium">
        <color indexed="8"/>
      </bottom>
      <diagonal/>
    </border>
    <border>
      <left/>
      <right/>
      <top style="thin">
        <color indexed="23"/>
      </top>
      <bottom style="medium">
        <color indexed="8"/>
      </bottom>
      <diagonal/>
    </border>
    <border>
      <left/>
      <right style="medium">
        <color indexed="8"/>
      </right>
      <top style="thin">
        <color indexed="23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23"/>
      </bottom>
      <diagonal/>
    </border>
    <border>
      <left/>
      <right/>
      <top style="medium">
        <color indexed="8"/>
      </top>
      <bottom style="thin">
        <color indexed="23"/>
      </bottom>
      <diagonal/>
    </border>
    <border>
      <left/>
      <right style="medium">
        <color indexed="8"/>
      </right>
      <top style="medium">
        <color indexed="8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8"/>
      </left>
      <right style="thin">
        <color theme="0" tint="-0.34998626667073579"/>
      </right>
      <top style="medium">
        <color indexed="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8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8"/>
      </right>
      <top style="medium">
        <color indexed="8"/>
      </top>
      <bottom style="thin">
        <color theme="0" tint="-0.34998626667073579"/>
      </bottom>
      <diagonal/>
    </border>
    <border>
      <left style="medium">
        <color indexed="8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8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8"/>
      </left>
      <right style="thin">
        <color theme="0" tint="-0.34998626667073579"/>
      </right>
      <top style="thin">
        <color theme="0" tint="-0.34998626667073579"/>
      </top>
      <bottom style="medium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8"/>
      </bottom>
      <diagonal/>
    </border>
    <border>
      <left style="thin">
        <color theme="0" tint="-0.34998626667073579"/>
      </left>
      <right style="medium">
        <color indexed="8"/>
      </right>
      <top style="thin">
        <color theme="0" tint="-0.34998626667073579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1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/>
    <xf numFmtId="0" fontId="8" fillId="0" borderId="1" xfId="1" applyFont="1" applyBorder="1" applyAlignment="1" applyProtection="1"/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7" fillId="3" borderId="5" xfId="0" applyNumberFormat="1" applyFont="1" applyFill="1" applyBorder="1" applyAlignment="1">
      <alignment horizontal="left" vertical="top"/>
    </xf>
    <xf numFmtId="49" fontId="7" fillId="3" borderId="6" xfId="0" applyNumberFormat="1" applyFont="1" applyFill="1" applyBorder="1" applyAlignment="1">
      <alignment horizontal="center" vertical="top"/>
    </xf>
    <xf numFmtId="49" fontId="7" fillId="3" borderId="7" xfId="0" applyNumberFormat="1" applyFont="1" applyFill="1" applyBorder="1" applyAlignment="1">
      <alignment horizontal="center" vertical="top"/>
    </xf>
    <xf numFmtId="49" fontId="4" fillId="0" borderId="3" xfId="0" applyNumberFormat="1" applyFont="1" applyFill="1" applyBorder="1" applyAlignment="1">
      <alignment horizontal="left" vertical="top" indent="1"/>
    </xf>
    <xf numFmtId="49" fontId="2" fillId="0" borderId="8" xfId="0" applyNumberFormat="1" applyFont="1" applyBorder="1" applyAlignment="1">
      <alignment horizontal="center" vertical="top"/>
    </xf>
    <xf numFmtId="49" fontId="2" fillId="0" borderId="3" xfId="0" applyNumberFormat="1" applyFont="1" applyFill="1" applyBorder="1" applyAlignment="1">
      <alignment horizontal="left" vertical="top" indent="1"/>
    </xf>
    <xf numFmtId="49" fontId="2" fillId="0" borderId="3" xfId="0" applyNumberFormat="1" applyFont="1" applyFill="1" applyBorder="1" applyAlignment="1">
      <alignment horizontal="left" vertical="top"/>
    </xf>
    <xf numFmtId="49" fontId="4" fillId="0" borderId="3" xfId="0" applyNumberFormat="1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indent="1"/>
    </xf>
    <xf numFmtId="49" fontId="2" fillId="0" borderId="2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" fillId="0" borderId="13" xfId="0" applyFont="1" applyBorder="1" applyAlignment="1">
      <alignment horizontal="left" indent="1"/>
    </xf>
    <xf numFmtId="0" fontId="2" fillId="0" borderId="14" xfId="0" applyFont="1" applyBorder="1"/>
    <xf numFmtId="0" fontId="9" fillId="0" borderId="13" xfId="0" applyFont="1" applyBorder="1" applyAlignment="1">
      <alignment horizontal="left" indent="1"/>
    </xf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49" fontId="10" fillId="0" borderId="0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0" fillId="0" borderId="0" xfId="0" applyNumberFormat="1"/>
    <xf numFmtId="0" fontId="13" fillId="0" borderId="0" xfId="0" applyFont="1" applyAlignment="1"/>
    <xf numFmtId="0" fontId="10" fillId="0" borderId="0" xfId="0" applyFont="1" applyAlignment="1">
      <alignment horizontal="center" vertical="top"/>
    </xf>
    <xf numFmtId="0" fontId="6" fillId="0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49" fontId="4" fillId="0" borderId="13" xfId="0" applyNumberFormat="1" applyFont="1" applyBorder="1" applyAlignment="1">
      <alignment horizontal="center" vertical="top"/>
    </xf>
    <xf numFmtId="49" fontId="4" fillId="0" borderId="15" xfId="0" applyNumberFormat="1" applyFont="1" applyBorder="1" applyAlignment="1">
      <alignment horizontal="center" vertical="top"/>
    </xf>
    <xf numFmtId="0" fontId="13" fillId="0" borderId="0" xfId="0" applyFont="1"/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vertical="top"/>
    </xf>
    <xf numFmtId="0" fontId="14" fillId="0" borderId="0" xfId="0" applyFont="1"/>
    <xf numFmtId="0" fontId="2" fillId="0" borderId="8" xfId="0" applyFont="1" applyBorder="1" applyAlignment="1">
      <alignment horizontal="center" vertical="top"/>
    </xf>
    <xf numFmtId="0" fontId="16" fillId="0" borderId="0" xfId="0" applyFont="1" applyFill="1" applyBorder="1"/>
    <xf numFmtId="0" fontId="0" fillId="0" borderId="0" xfId="0" applyBorder="1"/>
    <xf numFmtId="0" fontId="15" fillId="0" borderId="13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15" fillId="0" borderId="1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right" vertical="top" wrapText="1"/>
    </xf>
    <xf numFmtId="165" fontId="15" fillId="0" borderId="14" xfId="0" applyNumberFormat="1" applyFont="1" applyFill="1" applyBorder="1" applyAlignment="1">
      <alignment horizontal="right" vertical="top" wrapText="1"/>
    </xf>
    <xf numFmtId="165" fontId="15" fillId="0" borderId="17" xfId="0" applyNumberFormat="1" applyFont="1" applyFill="1" applyBorder="1" applyAlignment="1">
      <alignment horizontal="right" vertical="top" wrapText="1"/>
    </xf>
    <xf numFmtId="165" fontId="15" fillId="0" borderId="1" xfId="0" applyNumberFormat="1" applyFont="1" applyFill="1" applyBorder="1" applyAlignment="1">
      <alignment horizontal="right" vertical="top" wrapText="1"/>
    </xf>
    <xf numFmtId="165" fontId="15" fillId="0" borderId="1" xfId="0" applyNumberFormat="1" applyFont="1" applyFill="1" applyBorder="1" applyAlignment="1">
      <alignment horizontal="right" wrapText="1"/>
    </xf>
    <xf numFmtId="165" fontId="15" fillId="0" borderId="14" xfId="0" applyNumberFormat="1" applyFont="1" applyFill="1" applyBorder="1" applyAlignment="1">
      <alignment horizontal="right" wrapText="1"/>
    </xf>
    <xf numFmtId="165" fontId="15" fillId="0" borderId="17" xfId="0" applyNumberFormat="1" applyFont="1" applyFill="1" applyBorder="1" applyAlignment="1">
      <alignment horizontal="right" wrapText="1"/>
    </xf>
    <xf numFmtId="165" fontId="15" fillId="0" borderId="12" xfId="0" applyNumberFormat="1" applyFont="1" applyFill="1" applyBorder="1" applyAlignment="1">
      <alignment horizontal="right" vertical="top" wrapText="1"/>
    </xf>
    <xf numFmtId="165" fontId="15" fillId="0" borderId="18" xfId="0" applyNumberFormat="1" applyFont="1" applyFill="1" applyBorder="1" applyAlignment="1">
      <alignment horizontal="right" vertical="top" wrapText="1"/>
    </xf>
    <xf numFmtId="167" fontId="4" fillId="0" borderId="1" xfId="0" applyNumberFormat="1" applyFont="1" applyBorder="1" applyAlignment="1">
      <alignment horizontal="center" vertical="top"/>
    </xf>
    <xf numFmtId="167" fontId="4" fillId="0" borderId="8" xfId="0" applyNumberFormat="1" applyFont="1" applyBorder="1" applyAlignment="1">
      <alignment horizontal="center" vertical="top"/>
    </xf>
    <xf numFmtId="167" fontId="4" fillId="0" borderId="2" xfId="0" applyNumberFormat="1" applyFont="1" applyBorder="1" applyAlignment="1">
      <alignment horizontal="center" vertical="top"/>
    </xf>
    <xf numFmtId="167" fontId="4" fillId="0" borderId="9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top"/>
    </xf>
    <xf numFmtId="166" fontId="4" fillId="0" borderId="1" xfId="0" applyNumberFormat="1" applyFont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4" fillId="0" borderId="8" xfId="0" applyNumberFormat="1" applyFont="1" applyFill="1" applyBorder="1" applyAlignment="1">
      <alignment horizontal="center"/>
    </xf>
    <xf numFmtId="166" fontId="4" fillId="4" borderId="8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6" fontId="4" fillId="5" borderId="8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7" fontId="4" fillId="0" borderId="14" xfId="0" applyNumberFormat="1" applyFont="1" applyBorder="1" applyAlignment="1">
      <alignment horizontal="center" vertical="top"/>
    </xf>
    <xf numFmtId="167" fontId="4" fillId="0" borderId="16" xfId="0" applyNumberFormat="1" applyFont="1" applyBorder="1" applyAlignment="1">
      <alignment horizontal="center" vertical="top"/>
    </xf>
    <xf numFmtId="167" fontId="4" fillId="0" borderId="17" xfId="0" applyNumberFormat="1" applyFont="1" applyBorder="1" applyAlignment="1">
      <alignment horizontal="center" vertical="top"/>
    </xf>
    <xf numFmtId="0" fontId="6" fillId="3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167" fontId="4" fillId="0" borderId="15" xfId="0" applyNumberFormat="1" applyFont="1" applyBorder="1" applyAlignment="1">
      <alignment horizontal="center"/>
    </xf>
    <xf numFmtId="167" fontId="4" fillId="0" borderId="17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166" fontId="4" fillId="0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167" fontId="4" fillId="0" borderId="8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" fontId="4" fillId="5" borderId="3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5" borderId="8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center" vertical="center"/>
    </xf>
    <xf numFmtId="167" fontId="4" fillId="0" borderId="9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67" fontId="2" fillId="0" borderId="16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4" fillId="5" borderId="3" xfId="0" applyNumberFormat="1" applyFont="1" applyFill="1" applyBorder="1" applyAlignment="1">
      <alignment horizontal="center" vertical="center"/>
    </xf>
    <xf numFmtId="167" fontId="3" fillId="6" borderId="8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/>
    </xf>
    <xf numFmtId="0" fontId="0" fillId="0" borderId="0" xfId="0" applyAlignment="1"/>
    <xf numFmtId="166" fontId="4" fillId="0" borderId="23" xfId="0" applyNumberFormat="1" applyFont="1" applyBorder="1" applyAlignment="1">
      <alignment horizontal="center"/>
    </xf>
    <xf numFmtId="166" fontId="4" fillId="0" borderId="24" xfId="0" applyNumberFormat="1" applyFont="1" applyBorder="1" applyAlignment="1">
      <alignment horizontal="center"/>
    </xf>
    <xf numFmtId="166" fontId="4" fillId="0" borderId="25" xfId="0" applyNumberFormat="1" applyFont="1" applyBorder="1" applyAlignment="1">
      <alignment horizontal="center"/>
    </xf>
    <xf numFmtId="166" fontId="4" fillId="0" borderId="26" xfId="0" applyNumberFormat="1" applyFont="1" applyBorder="1" applyAlignment="1">
      <alignment horizontal="center"/>
    </xf>
    <xf numFmtId="166" fontId="4" fillId="0" borderId="25" xfId="0" applyNumberFormat="1" applyFont="1" applyFill="1" applyBorder="1" applyAlignment="1">
      <alignment horizontal="center"/>
    </xf>
    <xf numFmtId="166" fontId="4" fillId="0" borderId="26" xfId="0" applyNumberFormat="1" applyFont="1" applyFill="1" applyBorder="1" applyAlignment="1">
      <alignment horizontal="center"/>
    </xf>
    <xf numFmtId="166" fontId="4" fillId="4" borderId="25" xfId="0" applyNumberFormat="1" applyFont="1" applyFill="1" applyBorder="1" applyAlignment="1">
      <alignment horizontal="center"/>
    </xf>
    <xf numFmtId="166" fontId="4" fillId="4" borderId="26" xfId="0" applyNumberFormat="1" applyFont="1" applyFill="1" applyBorder="1" applyAlignment="1">
      <alignment horizontal="center"/>
    </xf>
    <xf numFmtId="166" fontId="4" fillId="5" borderId="25" xfId="0" applyNumberFormat="1" applyFont="1" applyFill="1" applyBorder="1" applyAlignment="1">
      <alignment horizontal="center"/>
    </xf>
    <xf numFmtId="166" fontId="4" fillId="5" borderId="26" xfId="0" applyNumberFormat="1" applyFont="1" applyFill="1" applyBorder="1" applyAlignment="1">
      <alignment horizontal="center"/>
    </xf>
    <xf numFmtId="166" fontId="4" fillId="4" borderId="27" xfId="0" applyNumberFormat="1" applyFont="1" applyFill="1" applyBorder="1" applyAlignment="1">
      <alignment horizontal="center"/>
    </xf>
    <xf numFmtId="166" fontId="4" fillId="0" borderId="28" xfId="0" applyNumberFormat="1" applyFont="1" applyFill="1" applyBorder="1" applyAlignment="1">
      <alignment horizontal="center"/>
    </xf>
    <xf numFmtId="0" fontId="6" fillId="7" borderId="46" xfId="0" applyFont="1" applyFill="1" applyBorder="1" applyAlignment="1"/>
    <xf numFmtId="0" fontId="6" fillId="7" borderId="47" xfId="0" applyFont="1" applyFill="1" applyBorder="1" applyAlignment="1"/>
    <xf numFmtId="0" fontId="6" fillId="7" borderId="48" xfId="0" applyFont="1" applyFill="1" applyBorder="1" applyAlignment="1">
      <alignment wrapText="1"/>
    </xf>
    <xf numFmtId="0" fontId="4" fillId="0" borderId="49" xfId="0" applyFont="1" applyBorder="1" applyAlignment="1">
      <alignment horizontal="left" vertical="top"/>
    </xf>
    <xf numFmtId="0" fontId="4" fillId="0" borderId="50" xfId="0" applyFont="1" applyBorder="1" applyAlignment="1">
      <alignment horizontal="left" vertical="top"/>
    </xf>
    <xf numFmtId="165" fontId="4" fillId="0" borderId="50" xfId="0" applyNumberFormat="1" applyFont="1" applyBorder="1" applyAlignment="1">
      <alignment horizontal="left" vertical="top"/>
    </xf>
    <xf numFmtId="0" fontId="4" fillId="0" borderId="51" xfId="0" applyFont="1" applyBorder="1" applyAlignment="1">
      <alignment horizontal="left" vertical="top" wrapText="1"/>
    </xf>
    <xf numFmtId="16" fontId="4" fillId="0" borderId="50" xfId="0" applyNumberFormat="1" applyFont="1" applyBorder="1" applyAlignment="1">
      <alignment horizontal="left" vertical="top"/>
    </xf>
    <xf numFmtId="0" fontId="0" fillId="0" borderId="52" xfId="0" applyBorder="1" applyAlignment="1"/>
    <xf numFmtId="0" fontId="0" fillId="0" borderId="53" xfId="0" applyBorder="1" applyAlignment="1"/>
    <xf numFmtId="0" fontId="0" fillId="0" borderId="54" xfId="0" applyBorder="1" applyAlignment="1">
      <alignment wrapText="1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165" fontId="4" fillId="0" borderId="15" xfId="0" applyNumberFormat="1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2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vertical="top"/>
    </xf>
    <xf numFmtId="0" fontId="6" fillId="3" borderId="46" xfId="0" applyFont="1" applyFill="1" applyBorder="1" applyAlignment="1">
      <alignment vertical="top"/>
    </xf>
    <xf numFmtId="0" fontId="6" fillId="3" borderId="47" xfId="0" applyFont="1" applyFill="1" applyBorder="1" applyAlignment="1">
      <alignment vertical="top"/>
    </xf>
    <xf numFmtId="0" fontId="6" fillId="3" borderId="48" xfId="0" applyFont="1" applyFill="1" applyBorder="1" applyAlignment="1">
      <alignment vertical="top"/>
    </xf>
    <xf numFmtId="0" fontId="5" fillId="2" borderId="49" xfId="0" applyFont="1" applyFill="1" applyBorder="1" applyAlignment="1">
      <alignment horizontal="left" vertical="top"/>
    </xf>
    <xf numFmtId="0" fontId="5" fillId="2" borderId="50" xfId="0" applyFont="1" applyFill="1" applyBorder="1" applyAlignment="1">
      <alignment horizontal="left" vertical="top"/>
    </xf>
    <xf numFmtId="0" fontId="0" fillId="2" borderId="50" xfId="0" applyFill="1" applyBorder="1" applyAlignment="1">
      <alignment horizontal="left" vertical="top"/>
    </xf>
    <xf numFmtId="0" fontId="0" fillId="2" borderId="51" xfId="0" applyFill="1" applyBorder="1" applyAlignment="1">
      <alignment horizontal="left" vertical="top"/>
    </xf>
    <xf numFmtId="0" fontId="2" fillId="0" borderId="49" xfId="0" applyFont="1" applyBorder="1" applyAlignment="1">
      <alignment horizontal="left" vertical="top"/>
    </xf>
    <xf numFmtId="0" fontId="2" fillId="0" borderId="50" xfId="0" applyFont="1" applyBorder="1" applyAlignment="1">
      <alignment horizontal="left" vertical="top"/>
    </xf>
    <xf numFmtId="165" fontId="2" fillId="0" borderId="50" xfId="0" applyNumberFormat="1" applyFont="1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165" fontId="0" fillId="0" borderId="50" xfId="0" applyNumberFormat="1" applyBorder="1" applyAlignment="1">
      <alignment horizontal="left" vertical="top"/>
    </xf>
    <xf numFmtId="0" fontId="0" fillId="0" borderId="51" xfId="0" applyBorder="1" applyAlignment="1">
      <alignment horizontal="left" vertical="top" wrapText="1"/>
    </xf>
    <xf numFmtId="0" fontId="9" fillId="0" borderId="49" xfId="0" applyFont="1" applyBorder="1" applyAlignment="1">
      <alignment horizontal="left" vertical="top"/>
    </xf>
    <xf numFmtId="0" fontId="9" fillId="0" borderId="50" xfId="0" applyFont="1" applyBorder="1" applyAlignment="1">
      <alignment horizontal="left" vertical="top"/>
    </xf>
    <xf numFmtId="0" fontId="2" fillId="0" borderId="52" xfId="0" applyFont="1" applyBorder="1" applyAlignment="1">
      <alignment horizontal="left" vertical="top"/>
    </xf>
    <xf numFmtId="0" fontId="2" fillId="0" borderId="53" xfId="0" applyFont="1" applyBorder="1" applyAlignment="1">
      <alignment horizontal="left" vertical="top"/>
    </xf>
    <xf numFmtId="165" fontId="2" fillId="0" borderId="53" xfId="0" applyNumberFormat="1" applyFont="1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165" fontId="0" fillId="0" borderId="53" xfId="0" applyNumberFormat="1" applyBorder="1" applyAlignment="1">
      <alignment horizontal="left" vertical="top"/>
    </xf>
    <xf numFmtId="0" fontId="0" fillId="0" borderId="54" xfId="0" applyBorder="1" applyAlignment="1">
      <alignment horizontal="left" vertical="top" wrapText="1"/>
    </xf>
    <xf numFmtId="0" fontId="9" fillId="8" borderId="49" xfId="0" applyFont="1" applyFill="1" applyBorder="1" applyAlignment="1">
      <alignment horizontal="left" vertical="top"/>
    </xf>
    <xf numFmtId="0" fontId="20" fillId="8" borderId="50" xfId="0" applyFont="1" applyFill="1" applyBorder="1" applyAlignment="1">
      <alignment horizontal="left" vertical="top"/>
    </xf>
    <xf numFmtId="0" fontId="20" fillId="8" borderId="50" xfId="0" applyFont="1" applyFill="1" applyBorder="1" applyAlignment="1">
      <alignment horizontal="left" vertical="top" wrapText="1"/>
    </xf>
    <xf numFmtId="165" fontId="2" fillId="8" borderId="50" xfId="0" applyNumberFormat="1" applyFont="1" applyFill="1" applyBorder="1" applyAlignment="1">
      <alignment horizontal="left" vertical="top"/>
    </xf>
    <xf numFmtId="0" fontId="2" fillId="8" borderId="50" xfId="0" applyFont="1" applyFill="1" applyBorder="1" applyAlignment="1">
      <alignment horizontal="left" vertical="top"/>
    </xf>
    <xf numFmtId="0" fontId="2" fillId="8" borderId="51" xfId="0" applyFont="1" applyFill="1" applyBorder="1" applyAlignment="1">
      <alignment horizontal="left" vertical="top" wrapText="1"/>
    </xf>
    <xf numFmtId="0" fontId="9" fillId="9" borderId="49" xfId="0" applyFont="1" applyFill="1" applyBorder="1" applyAlignment="1">
      <alignment horizontal="left" vertical="top"/>
    </xf>
    <xf numFmtId="0" fontId="9" fillId="9" borderId="50" xfId="0" applyFont="1" applyFill="1" applyBorder="1" applyAlignment="1">
      <alignment horizontal="left" vertical="top"/>
    </xf>
    <xf numFmtId="0" fontId="20" fillId="9" borderId="50" xfId="0" applyFont="1" applyFill="1" applyBorder="1" applyAlignment="1">
      <alignment horizontal="left" vertical="top" wrapText="1"/>
    </xf>
    <xf numFmtId="165" fontId="2" fillId="9" borderId="50" xfId="0" applyNumberFormat="1" applyFont="1" applyFill="1" applyBorder="1" applyAlignment="1">
      <alignment horizontal="left" vertical="top"/>
    </xf>
    <xf numFmtId="0" fontId="2" fillId="9" borderId="50" xfId="0" applyFont="1" applyFill="1" applyBorder="1" applyAlignment="1">
      <alignment horizontal="left" vertical="top"/>
    </xf>
    <xf numFmtId="0" fontId="2" fillId="9" borderId="51" xfId="0" applyFont="1" applyFill="1" applyBorder="1" applyAlignment="1">
      <alignment horizontal="left" vertical="top" wrapText="1"/>
    </xf>
    <xf numFmtId="0" fontId="9" fillId="9" borderId="50" xfId="0" applyFont="1" applyFill="1" applyBorder="1" applyAlignment="1">
      <alignment horizontal="left" vertical="top" wrapText="1"/>
    </xf>
    <xf numFmtId="0" fontId="9" fillId="8" borderId="50" xfId="0" applyFont="1" applyFill="1" applyBorder="1" applyAlignment="1">
      <alignment horizontal="left" vertical="top"/>
    </xf>
    <xf numFmtId="0" fontId="20" fillId="8" borderId="49" xfId="0" applyFont="1" applyFill="1" applyBorder="1" applyAlignment="1">
      <alignment horizontal="left" vertical="top" wrapText="1"/>
    </xf>
    <xf numFmtId="0" fontId="4" fillId="8" borderId="50" xfId="0" applyFont="1" applyFill="1" applyBorder="1" applyAlignment="1">
      <alignment horizontal="left" vertical="top"/>
    </xf>
    <xf numFmtId="0" fontId="4" fillId="8" borderId="50" xfId="0" applyFont="1" applyFill="1" applyBorder="1"/>
    <xf numFmtId="0" fontId="2" fillId="8" borderId="49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0" fillId="0" borderId="29" xfId="0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167" fontId="4" fillId="0" borderId="1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66" fontId="4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1" fontId="6" fillId="3" borderId="35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0" fillId="0" borderId="0" xfId="0" applyAlignment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10" fillId="3" borderId="5" xfId="0" applyFont="1" applyFill="1" applyBorder="1" applyAlignment="1">
      <alignment horizontal="center" vertical="top"/>
    </xf>
    <xf numFmtId="0" fontId="0" fillId="0" borderId="6" xfId="0" applyBorder="1" applyAlignment="1"/>
    <xf numFmtId="0" fontId="0" fillId="0" borderId="7" xfId="0" applyBorder="1" applyAlignment="1"/>
    <xf numFmtId="0" fontId="3" fillId="2" borderId="3" xfId="0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0" fillId="0" borderId="2" xfId="0" applyBorder="1" applyAlignment="1"/>
    <xf numFmtId="0" fontId="3" fillId="2" borderId="8" xfId="0" applyFont="1" applyFill="1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10" fillId="3" borderId="35" xfId="0" applyFont="1" applyFill="1" applyBorder="1" applyAlignment="1">
      <alignment horizontal="center"/>
    </xf>
    <xf numFmtId="0" fontId="0" fillId="0" borderId="36" xfId="0" applyBorder="1" applyAlignment="1"/>
    <xf numFmtId="0" fontId="0" fillId="0" borderId="37" xfId="0" applyBorder="1" applyAlignment="1"/>
    <xf numFmtId="0" fontId="6" fillId="3" borderId="10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6" fillId="3" borderId="11" xfId="0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left" vertical="top"/>
    </xf>
    <xf numFmtId="49" fontId="0" fillId="2" borderId="1" xfId="0" applyNumberFormat="1" applyFill="1" applyBorder="1" applyAlignment="1">
      <alignment vertical="top"/>
    </xf>
    <xf numFmtId="49" fontId="0" fillId="2" borderId="8" xfId="0" applyNumberFormat="1" applyFill="1" applyBorder="1" applyAlignment="1">
      <alignment vertical="top"/>
    </xf>
    <xf numFmtId="49" fontId="10" fillId="0" borderId="0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5" fillId="2" borderId="13" xfId="0" applyFont="1" applyFill="1" applyBorder="1" applyAlignment="1"/>
    <xf numFmtId="0" fontId="0" fillId="2" borderId="1" xfId="0" applyFill="1" applyBorder="1" applyAlignment="1"/>
    <xf numFmtId="0" fontId="0" fillId="2" borderId="14" xfId="0" applyFill="1" applyBorder="1" applyAlignment="1"/>
    <xf numFmtId="0" fontId="12" fillId="0" borderId="0" xfId="0" applyFont="1" applyBorder="1" applyAlignment="1">
      <alignment horizontal="center"/>
    </xf>
    <xf numFmtId="0" fontId="17" fillId="3" borderId="38" xfId="0" applyFont="1" applyFill="1" applyBorder="1" applyAlignment="1">
      <alignment horizontal="center" vertical="top"/>
    </xf>
    <xf numFmtId="0" fontId="17" fillId="3" borderId="39" xfId="0" applyFont="1" applyFill="1" applyBorder="1" applyAlignment="1">
      <alignment horizontal="center" vertical="top"/>
    </xf>
    <xf numFmtId="0" fontId="17" fillId="3" borderId="40" xfId="0" applyFont="1" applyFill="1" applyBorder="1" applyAlignment="1">
      <alignment horizontal="center" vertical="top"/>
    </xf>
    <xf numFmtId="0" fontId="16" fillId="0" borderId="41" xfId="0" applyFont="1" applyFill="1" applyBorder="1" applyAlignment="1">
      <alignment vertical="top" wrapText="1"/>
    </xf>
    <xf numFmtId="0" fontId="16" fillId="0" borderId="42" xfId="0" applyFont="1" applyFill="1" applyBorder="1" applyAlignment="1">
      <alignment vertical="top" wrapText="1"/>
    </xf>
    <xf numFmtId="0" fontId="16" fillId="0" borderId="43" xfId="0" applyFont="1" applyFill="1" applyBorder="1" applyAlignment="1">
      <alignment vertical="top" wrapText="1"/>
    </xf>
    <xf numFmtId="0" fontId="16" fillId="2" borderId="31" xfId="0" applyFont="1" applyFill="1" applyBorder="1" applyAlignment="1">
      <alignment vertical="top" wrapText="1"/>
    </xf>
    <xf numFmtId="0" fontId="16" fillId="2" borderId="30" xfId="0" applyFont="1" applyFill="1" applyBorder="1" applyAlignment="1">
      <alignment vertical="top" wrapText="1"/>
    </xf>
    <xf numFmtId="0" fontId="16" fillId="2" borderId="44" xfId="0" applyFont="1" applyFill="1" applyBorder="1" applyAlignment="1">
      <alignment vertical="top" wrapText="1"/>
    </xf>
    <xf numFmtId="0" fontId="16" fillId="2" borderId="45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16" xfId="0" applyFont="1" applyFill="1" applyBorder="1" applyAlignment="1">
      <alignment vertical="top" wrapText="1"/>
    </xf>
    <xf numFmtId="0" fontId="16" fillId="2" borderId="1" xfId="0" applyFont="1" applyFill="1" applyBorder="1" applyAlignment="1">
      <alignment wrapText="1"/>
    </xf>
    <xf numFmtId="0" fontId="16" fillId="2" borderId="16" xfId="0" applyFont="1" applyFill="1" applyBorder="1" applyAlignment="1">
      <alignment wrapText="1"/>
    </xf>
    <xf numFmtId="0" fontId="16" fillId="0" borderId="42" xfId="0" applyFont="1" applyBorder="1" applyAlignment="1">
      <alignment vertical="top" wrapText="1"/>
    </xf>
    <xf numFmtId="0" fontId="16" fillId="0" borderId="43" xfId="0" applyFont="1" applyBorder="1" applyAlignment="1">
      <alignment vertical="top" wrapText="1"/>
    </xf>
    <xf numFmtId="0" fontId="16" fillId="2" borderId="10" xfId="0" applyFont="1" applyFill="1" applyBorder="1" applyAlignment="1">
      <alignment vertical="top" wrapText="1"/>
    </xf>
    <xf numFmtId="0" fontId="16" fillId="2" borderId="11" xfId="0" applyFont="1" applyFill="1" applyBorder="1" applyAlignment="1">
      <alignment vertical="top" wrapText="1"/>
    </xf>
    <xf numFmtId="0" fontId="16" fillId="2" borderId="13" xfId="0" applyFont="1" applyFill="1" applyBorder="1" applyAlignment="1">
      <alignment vertical="top" wrapText="1"/>
    </xf>
    <xf numFmtId="0" fontId="16" fillId="2" borderId="15" xfId="0" applyFont="1" applyFill="1" applyBorder="1" applyAlignment="1">
      <alignment vertical="top" wrapText="1"/>
    </xf>
    <xf numFmtId="0" fontId="17" fillId="3" borderId="10" xfId="0" applyFont="1" applyFill="1" applyBorder="1" applyAlignment="1">
      <alignment horizontal="center"/>
    </xf>
    <xf numFmtId="0" fontId="19" fillId="3" borderId="11" xfId="0" applyFont="1" applyFill="1" applyBorder="1" applyAlignment="1"/>
    <xf numFmtId="0" fontId="19" fillId="3" borderId="12" xfId="0" applyFont="1" applyFill="1" applyBorder="1" applyAlignment="1"/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16" fillId="0" borderId="41" xfId="0" applyFont="1" applyFill="1" applyBorder="1" applyAlignment="1">
      <alignment wrapText="1"/>
    </xf>
    <xf numFmtId="0" fontId="16" fillId="0" borderId="42" xfId="0" applyFont="1" applyBorder="1" applyAlignment="1">
      <alignment wrapText="1"/>
    </xf>
    <xf numFmtId="0" fontId="16" fillId="0" borderId="4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111</xdr:row>
      <xdr:rowOff>19050</xdr:rowOff>
    </xdr:to>
    <xdr:sp macro="" textlink="">
      <xdr:nvSpPr>
        <xdr:cNvPr id="2061" name="AutoShape 3" descr="top level"/>
        <xdr:cNvSpPr>
          <a:spLocks noChangeAspect="1" noChangeArrowheads="1"/>
        </xdr:cNvSpPr>
      </xdr:nvSpPr>
      <xdr:spPr bwMode="auto">
        <a:xfrm>
          <a:off x="0" y="160305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cwireworks.com/" TargetMode="External"/><Relationship Id="rId13" Type="http://schemas.openxmlformats.org/officeDocument/2006/relationships/hyperlink" Target="http://www.metaldesignz.com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://www.urbanmaille.com/" TargetMode="External"/><Relationship Id="rId7" Type="http://schemas.openxmlformats.org/officeDocument/2006/relationships/hyperlink" Target="http://www.bluebuddhaboutique.com/" TargetMode="External"/><Relationship Id="rId12" Type="http://schemas.openxmlformats.org/officeDocument/2006/relationships/hyperlink" Target="http://www.maileofthedreamseeker.com/" TargetMode="External"/><Relationship Id="rId17" Type="http://schemas.openxmlformats.org/officeDocument/2006/relationships/hyperlink" Target="http://www.contenti.com/resources/convert.html?type=1" TargetMode="External"/><Relationship Id="rId2" Type="http://schemas.openxmlformats.org/officeDocument/2006/relationships/hyperlink" Target="http://www.theringlord.com/" TargetMode="External"/><Relationship Id="rId16" Type="http://schemas.openxmlformats.org/officeDocument/2006/relationships/hyperlink" Target="http://www.mailleartisans.org/" TargetMode="External"/><Relationship Id="rId1" Type="http://schemas.openxmlformats.org/officeDocument/2006/relationships/hyperlink" Target="http://www.spiderchain.com/" TargetMode="External"/><Relationship Id="rId6" Type="http://schemas.openxmlformats.org/officeDocument/2006/relationships/hyperlink" Target="http://www.silverweaver.com/" TargetMode="External"/><Relationship Id="rId11" Type="http://schemas.openxmlformats.org/officeDocument/2006/relationships/hyperlink" Target="http://www.maillemystique.com/" TargetMode="External"/><Relationship Id="rId5" Type="http://schemas.openxmlformats.org/officeDocument/2006/relationships/hyperlink" Target="http://www.wigjig.net/" TargetMode="External"/><Relationship Id="rId15" Type="http://schemas.openxmlformats.org/officeDocument/2006/relationships/hyperlink" Target="http://www.theringlord.org/cgi-bin/ultimatebb.cgi" TargetMode="External"/><Relationship Id="rId10" Type="http://schemas.openxmlformats.org/officeDocument/2006/relationships/hyperlink" Target="http://maillemarket.com/default.asp?" TargetMode="External"/><Relationship Id="rId4" Type="http://schemas.openxmlformats.org/officeDocument/2006/relationships/hyperlink" Target="http://www.venomspit.com/" TargetMode="External"/><Relationship Id="rId9" Type="http://schemas.openxmlformats.org/officeDocument/2006/relationships/hyperlink" Target="http://www.mailleartisans.org/" TargetMode="External"/><Relationship Id="rId14" Type="http://schemas.openxmlformats.org/officeDocument/2006/relationships/hyperlink" Target="http://www.theringlord.org/pho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90"/>
  <sheetViews>
    <sheetView topLeftCell="A40" zoomScale="81" workbookViewId="0">
      <selection activeCell="G70" sqref="G70"/>
    </sheetView>
  </sheetViews>
  <sheetFormatPr defaultRowHeight="12.95" customHeight="1"/>
  <cols>
    <col min="1" max="3" width="13.7109375" style="106" customWidth="1"/>
    <col min="4" max="4" width="2.7109375" style="106" customWidth="1"/>
    <col min="5" max="7" width="13.7109375" style="106" customWidth="1"/>
    <col min="8" max="8" width="2.7109375" style="106" customWidth="1"/>
    <col min="9" max="11" width="13.7109375" style="106" customWidth="1"/>
    <col min="12" max="12" width="2.7109375" style="106" customWidth="1"/>
    <col min="13" max="15" width="13.7109375" style="106" customWidth="1"/>
    <col min="16" max="16" width="2.7109375" style="106" customWidth="1"/>
    <col min="17" max="19" width="13.7109375" style="106" customWidth="1"/>
    <col min="20" max="16384" width="9.140625" style="106"/>
  </cols>
  <sheetData>
    <row r="1" spans="1:19" s="114" customFormat="1" ht="18" customHeight="1">
      <c r="A1" s="246" t="s">
        <v>303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  <c r="Q1" s="247"/>
      <c r="R1" s="247"/>
      <c r="S1" s="247"/>
    </row>
    <row r="2" spans="1:19" s="114" customFormat="1" ht="12.95" customHeight="1" thickBot="1"/>
    <row r="3" spans="1:19" s="114" customFormat="1" ht="12.95" customHeight="1">
      <c r="A3" s="236" t="s">
        <v>515</v>
      </c>
      <c r="B3" s="237"/>
      <c r="C3" s="238"/>
      <c r="E3" s="236" t="s">
        <v>325</v>
      </c>
      <c r="F3" s="237"/>
      <c r="G3" s="238"/>
      <c r="I3" s="236" t="s">
        <v>364</v>
      </c>
      <c r="J3" s="252"/>
      <c r="K3" s="253"/>
      <c r="M3" s="236" t="s">
        <v>347</v>
      </c>
      <c r="N3" s="237"/>
      <c r="O3" s="238"/>
      <c r="Q3" s="236" t="s">
        <v>326</v>
      </c>
      <c r="R3" s="237"/>
      <c r="S3" s="238"/>
    </row>
    <row r="4" spans="1:19" ht="12.95" customHeight="1">
      <c r="A4" s="115" t="s">
        <v>314</v>
      </c>
      <c r="B4" s="107" t="s">
        <v>0</v>
      </c>
      <c r="C4" s="116" t="s">
        <v>296</v>
      </c>
      <c r="E4" s="115" t="s">
        <v>513</v>
      </c>
      <c r="F4" s="107" t="s">
        <v>0</v>
      </c>
      <c r="G4" s="116" t="s">
        <v>296</v>
      </c>
      <c r="I4" s="117" t="s">
        <v>348</v>
      </c>
      <c r="J4" s="244" t="s">
        <v>239</v>
      </c>
      <c r="K4" s="235"/>
      <c r="M4" s="117" t="s">
        <v>327</v>
      </c>
      <c r="N4" s="244" t="s">
        <v>328</v>
      </c>
      <c r="O4" s="251"/>
      <c r="Q4" s="117" t="s">
        <v>329</v>
      </c>
      <c r="R4" s="244" t="s">
        <v>239</v>
      </c>
      <c r="S4" s="235"/>
    </row>
    <row r="5" spans="1:19" ht="12.95" customHeight="1">
      <c r="A5" s="118">
        <v>12</v>
      </c>
      <c r="B5" s="119">
        <v>0.104</v>
      </c>
      <c r="C5" s="120">
        <v>2.6415999999999999</v>
      </c>
      <c r="E5" s="121">
        <v>0</v>
      </c>
      <c r="F5" s="122">
        <f>G5/25.4</f>
        <v>7.874015748031496E-2</v>
      </c>
      <c r="G5" s="123">
        <v>2</v>
      </c>
      <c r="I5" s="124" t="s">
        <v>349</v>
      </c>
      <c r="J5" s="232" t="s">
        <v>350</v>
      </c>
      <c r="K5" s="233"/>
      <c r="M5" s="125" t="s">
        <v>218</v>
      </c>
      <c r="N5" s="243" t="s">
        <v>137</v>
      </c>
      <c r="O5" s="235"/>
      <c r="Q5" s="124">
        <v>0</v>
      </c>
      <c r="R5" s="232" t="s">
        <v>149</v>
      </c>
      <c r="S5" s="233"/>
    </row>
    <row r="6" spans="1:19" ht="12.95" customHeight="1">
      <c r="A6" s="118">
        <v>14</v>
      </c>
      <c r="B6" s="119">
        <v>0.08</v>
      </c>
      <c r="C6" s="120">
        <v>2.032</v>
      </c>
      <c r="E6" s="121">
        <v>1</v>
      </c>
      <c r="F6" s="122">
        <f t="shared" ref="F6:F30" si="0">G6/25.4</f>
        <v>8.858267716535434E-2</v>
      </c>
      <c r="G6" s="123">
        <v>2.25</v>
      </c>
      <c r="I6" s="125" t="s">
        <v>361</v>
      </c>
      <c r="J6" s="234" t="s">
        <v>351</v>
      </c>
      <c r="K6" s="235"/>
      <c r="M6" s="125" t="s">
        <v>179</v>
      </c>
      <c r="N6" s="243" t="s">
        <v>167</v>
      </c>
      <c r="O6" s="235"/>
      <c r="Q6" s="125">
        <v>1</v>
      </c>
      <c r="R6" s="234" t="s">
        <v>150</v>
      </c>
      <c r="S6" s="235"/>
    </row>
    <row r="7" spans="1:19" ht="12.95" customHeight="1">
      <c r="A7" s="126">
        <v>16</v>
      </c>
      <c r="B7" s="127">
        <v>6.4000000000000001E-2</v>
      </c>
      <c r="C7" s="128">
        <v>1.6255999999999999</v>
      </c>
      <c r="E7" s="121"/>
      <c r="F7" s="122">
        <f t="shared" si="0"/>
        <v>9.8425196850393706E-2</v>
      </c>
      <c r="G7" s="123">
        <v>2.5</v>
      </c>
      <c r="I7" s="125" t="s">
        <v>358</v>
      </c>
      <c r="J7" s="83" t="s">
        <v>352</v>
      </c>
      <c r="K7" s="84"/>
      <c r="M7" s="125" t="s">
        <v>216</v>
      </c>
      <c r="N7" s="243" t="s">
        <v>168</v>
      </c>
      <c r="O7" s="235"/>
      <c r="Q7" s="125">
        <v>2</v>
      </c>
      <c r="R7" s="234" t="s">
        <v>141</v>
      </c>
      <c r="S7" s="235"/>
    </row>
    <row r="8" spans="1:19" ht="12.95" customHeight="1">
      <c r="A8" s="126">
        <v>18</v>
      </c>
      <c r="B8" s="127">
        <v>4.8000000000000001E-2</v>
      </c>
      <c r="C8" s="128">
        <v>1.2192000000000001</v>
      </c>
      <c r="E8" s="121">
        <v>2</v>
      </c>
      <c r="F8" s="122">
        <f t="shared" si="0"/>
        <v>0.10826771653543307</v>
      </c>
      <c r="G8" s="123">
        <v>2.75</v>
      </c>
      <c r="I8" s="125" t="s">
        <v>353</v>
      </c>
      <c r="J8" s="83" t="s">
        <v>354</v>
      </c>
      <c r="K8" s="84"/>
      <c r="M8" s="125" t="s">
        <v>217</v>
      </c>
      <c r="N8" s="243" t="s">
        <v>169</v>
      </c>
      <c r="O8" s="235"/>
      <c r="Q8" s="125">
        <v>3</v>
      </c>
      <c r="R8" s="234" t="s">
        <v>142</v>
      </c>
      <c r="S8" s="235"/>
    </row>
    <row r="9" spans="1:19" ht="12.95" customHeight="1">
      <c r="A9" s="126">
        <v>20</v>
      </c>
      <c r="B9" s="127">
        <v>3.5999999999999997E-2</v>
      </c>
      <c r="C9" s="128">
        <v>0.91439999999999999</v>
      </c>
      <c r="E9" s="121"/>
      <c r="F9" s="122">
        <f t="shared" si="0"/>
        <v>0.11811023622047245</v>
      </c>
      <c r="G9" s="123">
        <v>3</v>
      </c>
      <c r="I9" s="125" t="s">
        <v>360</v>
      </c>
      <c r="J9" s="234" t="s">
        <v>355</v>
      </c>
      <c r="K9" s="235"/>
      <c r="M9" s="125" t="s">
        <v>180</v>
      </c>
      <c r="N9" s="243" t="s">
        <v>134</v>
      </c>
      <c r="O9" s="235"/>
      <c r="Q9" s="125">
        <v>4</v>
      </c>
      <c r="R9" s="234" t="s">
        <v>143</v>
      </c>
      <c r="S9" s="235"/>
    </row>
    <row r="10" spans="1:19" ht="12.95" customHeight="1" thickBot="1">
      <c r="A10" s="126">
        <v>22</v>
      </c>
      <c r="B10" s="127">
        <v>2.8000000000000001E-2</v>
      </c>
      <c r="C10" s="128">
        <v>0.71120000000000005</v>
      </c>
      <c r="E10" s="121">
        <v>3</v>
      </c>
      <c r="F10" s="122">
        <f t="shared" si="0"/>
        <v>0.12795275590551181</v>
      </c>
      <c r="G10" s="123">
        <v>3.25</v>
      </c>
      <c r="I10" s="129" t="s">
        <v>362</v>
      </c>
      <c r="J10" s="239" t="s">
        <v>363</v>
      </c>
      <c r="K10" s="240"/>
      <c r="M10" s="125" t="s">
        <v>181</v>
      </c>
      <c r="N10" s="243" t="s">
        <v>135</v>
      </c>
      <c r="O10" s="235"/>
      <c r="Q10" s="129">
        <v>5</v>
      </c>
      <c r="R10" s="239" t="s">
        <v>144</v>
      </c>
      <c r="S10" s="240"/>
    </row>
    <row r="11" spans="1:19" ht="12.95" customHeight="1" thickBot="1">
      <c r="A11" s="118">
        <v>24</v>
      </c>
      <c r="B11" s="119">
        <v>2.1999999999999999E-2</v>
      </c>
      <c r="C11" s="120">
        <v>0.55879999999999996</v>
      </c>
      <c r="E11" s="121">
        <v>4</v>
      </c>
      <c r="F11" s="122">
        <f t="shared" si="0"/>
        <v>0.13779527559055119</v>
      </c>
      <c r="G11" s="123">
        <v>3.5</v>
      </c>
      <c r="I11" s="130"/>
      <c r="J11" s="130"/>
      <c r="K11" s="131"/>
      <c r="M11" s="125" t="s">
        <v>219</v>
      </c>
      <c r="N11" s="243" t="s">
        <v>133</v>
      </c>
      <c r="O11" s="235"/>
      <c r="S11" s="132"/>
    </row>
    <row r="12" spans="1:19" ht="12.95" customHeight="1" thickBot="1">
      <c r="A12" s="133">
        <v>26</v>
      </c>
      <c r="B12" s="134">
        <v>1.7999999999999999E-2</v>
      </c>
      <c r="C12" s="135">
        <v>0.4572</v>
      </c>
      <c r="E12" s="121">
        <v>5</v>
      </c>
      <c r="F12" s="122">
        <f t="shared" si="0"/>
        <v>0.14763779527559057</v>
      </c>
      <c r="G12" s="123">
        <v>3.75</v>
      </c>
      <c r="I12" s="236" t="s">
        <v>365</v>
      </c>
      <c r="J12" s="252"/>
      <c r="K12" s="253"/>
      <c r="M12" s="125" t="s">
        <v>222</v>
      </c>
      <c r="N12" s="243" t="s">
        <v>246</v>
      </c>
      <c r="O12" s="235"/>
      <c r="Q12" s="236" t="s">
        <v>178</v>
      </c>
      <c r="R12" s="237"/>
      <c r="S12" s="238"/>
    </row>
    <row r="13" spans="1:19" ht="12.95" customHeight="1" thickBot="1">
      <c r="A13" s="136"/>
      <c r="B13" s="137"/>
      <c r="C13" s="137"/>
      <c r="E13" s="121">
        <v>6</v>
      </c>
      <c r="F13" s="122">
        <f t="shared" si="0"/>
        <v>0.15748031496062992</v>
      </c>
      <c r="G13" s="123">
        <v>4</v>
      </c>
      <c r="I13" s="117" t="s">
        <v>348</v>
      </c>
      <c r="J13" s="244" t="s">
        <v>239</v>
      </c>
      <c r="K13" s="235"/>
      <c r="M13" s="125" t="s">
        <v>224</v>
      </c>
      <c r="N13" s="243" t="s">
        <v>170</v>
      </c>
      <c r="O13" s="235"/>
      <c r="Q13" s="117" t="s">
        <v>178</v>
      </c>
      <c r="R13" s="244" t="s">
        <v>330</v>
      </c>
      <c r="S13" s="235"/>
    </row>
    <row r="14" spans="1:19" ht="12.95" customHeight="1">
      <c r="A14" s="236" t="s">
        <v>514</v>
      </c>
      <c r="B14" s="237"/>
      <c r="C14" s="238"/>
      <c r="E14" s="121"/>
      <c r="F14" s="122">
        <f t="shared" si="0"/>
        <v>0.1673228346456693</v>
      </c>
      <c r="G14" s="123">
        <v>4.25</v>
      </c>
      <c r="I14" s="124" t="s">
        <v>356</v>
      </c>
      <c r="J14" s="232" t="s">
        <v>357</v>
      </c>
      <c r="K14" s="233"/>
      <c r="M14" s="125" t="s">
        <v>223</v>
      </c>
      <c r="N14" s="243" t="s">
        <v>171</v>
      </c>
      <c r="O14" s="235"/>
      <c r="Q14" s="125" t="s">
        <v>290</v>
      </c>
      <c r="R14" s="234" t="s">
        <v>291</v>
      </c>
      <c r="S14" s="235"/>
    </row>
    <row r="15" spans="1:19" ht="12.95" customHeight="1">
      <c r="A15" s="115" t="s">
        <v>314</v>
      </c>
      <c r="B15" s="107" t="s">
        <v>0</v>
      </c>
      <c r="C15" s="116" t="s">
        <v>296</v>
      </c>
      <c r="E15" s="121">
        <v>7</v>
      </c>
      <c r="F15" s="122">
        <f t="shared" si="0"/>
        <v>0.17716535433070868</v>
      </c>
      <c r="G15" s="123">
        <v>4.5</v>
      </c>
      <c r="I15" s="125" t="s">
        <v>358</v>
      </c>
      <c r="J15" s="234" t="s">
        <v>359</v>
      </c>
      <c r="K15" s="235"/>
      <c r="M15" s="125" t="s">
        <v>221</v>
      </c>
      <c r="N15" s="243" t="s">
        <v>172</v>
      </c>
      <c r="O15" s="235"/>
      <c r="Q15" s="125" t="s">
        <v>78</v>
      </c>
      <c r="R15" s="234" t="s">
        <v>334</v>
      </c>
      <c r="S15" s="235"/>
    </row>
    <row r="16" spans="1:19" ht="12.95" customHeight="1">
      <c r="A16" s="118">
        <v>12</v>
      </c>
      <c r="B16" s="119">
        <v>8.0799999999999997E-2</v>
      </c>
      <c r="C16" s="120">
        <v>2.0523199999999999</v>
      </c>
      <c r="E16" s="121"/>
      <c r="F16" s="122">
        <f t="shared" si="0"/>
        <v>0.18700787401574803</v>
      </c>
      <c r="G16" s="123">
        <v>4.75</v>
      </c>
      <c r="I16" s="125" t="s">
        <v>353</v>
      </c>
      <c r="J16" s="83" t="s">
        <v>352</v>
      </c>
      <c r="K16" s="84"/>
      <c r="M16" s="125" t="s">
        <v>225</v>
      </c>
      <c r="N16" s="243" t="s">
        <v>173</v>
      </c>
      <c r="O16" s="235"/>
      <c r="Q16" s="125" t="s">
        <v>333</v>
      </c>
      <c r="R16" s="234" t="s">
        <v>340</v>
      </c>
      <c r="S16" s="235"/>
    </row>
    <row r="17" spans="1:19" ht="12.95" customHeight="1" thickBot="1">
      <c r="A17" s="118">
        <v>14</v>
      </c>
      <c r="B17" s="119">
        <v>6.4100000000000004E-2</v>
      </c>
      <c r="C17" s="120">
        <v>1.6281399999999999</v>
      </c>
      <c r="E17" s="121">
        <v>8</v>
      </c>
      <c r="F17" s="122">
        <f t="shared" si="0"/>
        <v>0.19685039370078741</v>
      </c>
      <c r="G17" s="123">
        <v>5</v>
      </c>
      <c r="I17" s="129" t="s">
        <v>360</v>
      </c>
      <c r="J17" s="239" t="s">
        <v>372</v>
      </c>
      <c r="K17" s="240"/>
      <c r="M17" s="125" t="s">
        <v>229</v>
      </c>
      <c r="N17" s="243" t="s">
        <v>174</v>
      </c>
      <c r="O17" s="235"/>
      <c r="Q17" s="125" t="s">
        <v>341</v>
      </c>
      <c r="R17" s="234" t="s">
        <v>336</v>
      </c>
      <c r="S17" s="235"/>
    </row>
    <row r="18" spans="1:19" ht="12.95" customHeight="1" thickBot="1">
      <c r="A18" s="126">
        <v>16</v>
      </c>
      <c r="B18" s="127">
        <v>5.0799999999999998E-2</v>
      </c>
      <c r="C18" s="128">
        <v>1.2903199999999999</v>
      </c>
      <c r="E18" s="121"/>
      <c r="F18" s="122">
        <f t="shared" si="0"/>
        <v>0.20669291338582679</v>
      </c>
      <c r="G18" s="123">
        <v>5.25</v>
      </c>
      <c r="M18" s="125" t="s">
        <v>228</v>
      </c>
      <c r="N18" s="243" t="s">
        <v>175</v>
      </c>
      <c r="O18" s="235"/>
      <c r="Q18" s="124" t="s">
        <v>343</v>
      </c>
      <c r="R18" s="243" t="s">
        <v>233</v>
      </c>
      <c r="S18" s="256"/>
    </row>
    <row r="19" spans="1:19" ht="12.95" customHeight="1">
      <c r="A19" s="126">
        <v>18</v>
      </c>
      <c r="B19" s="127">
        <v>4.0300000000000002E-2</v>
      </c>
      <c r="C19" s="128">
        <v>1.02362</v>
      </c>
      <c r="E19" s="121">
        <v>9</v>
      </c>
      <c r="F19" s="122">
        <f t="shared" si="0"/>
        <v>0.21653543307086615</v>
      </c>
      <c r="G19" s="123">
        <v>5.5</v>
      </c>
      <c r="I19" s="236" t="s">
        <v>366</v>
      </c>
      <c r="J19" s="252"/>
      <c r="K19" s="253"/>
      <c r="M19" s="125" t="s">
        <v>301</v>
      </c>
      <c r="N19" s="243" t="s">
        <v>302</v>
      </c>
      <c r="O19" s="235"/>
      <c r="Q19" s="125" t="s">
        <v>344</v>
      </c>
      <c r="R19" s="234" t="s">
        <v>234</v>
      </c>
      <c r="S19" s="235"/>
    </row>
    <row r="20" spans="1:19" ht="12.95" customHeight="1">
      <c r="A20" s="126">
        <v>20</v>
      </c>
      <c r="B20" s="127">
        <v>3.2000000000000001E-2</v>
      </c>
      <c r="C20" s="128">
        <v>0.81279999999999997</v>
      </c>
      <c r="E20" s="121"/>
      <c r="F20" s="122">
        <f t="shared" si="0"/>
        <v>0.22637795275590553</v>
      </c>
      <c r="G20" s="123">
        <v>5.75</v>
      </c>
      <c r="I20" s="117" t="s">
        <v>348</v>
      </c>
      <c r="J20" s="244" t="s">
        <v>239</v>
      </c>
      <c r="K20" s="235"/>
      <c r="M20" s="124" t="s">
        <v>483</v>
      </c>
      <c r="N20" s="243" t="s">
        <v>176</v>
      </c>
      <c r="O20" s="256"/>
      <c r="Q20" s="125" t="s">
        <v>345</v>
      </c>
      <c r="R20" s="234" t="s">
        <v>346</v>
      </c>
      <c r="S20" s="235"/>
    </row>
    <row r="21" spans="1:19" ht="12.95" customHeight="1">
      <c r="A21" s="126">
        <v>22</v>
      </c>
      <c r="B21" s="127">
        <v>2.5399999999999999E-2</v>
      </c>
      <c r="C21" s="128">
        <v>0.64515999999999996</v>
      </c>
      <c r="E21" s="121">
        <v>10</v>
      </c>
      <c r="F21" s="122">
        <f t="shared" si="0"/>
        <v>0.23622047244094491</v>
      </c>
      <c r="G21" s="123">
        <v>6</v>
      </c>
      <c r="I21" s="124" t="s">
        <v>374</v>
      </c>
      <c r="J21" s="232" t="s">
        <v>373</v>
      </c>
      <c r="K21" s="233"/>
      <c r="M21" s="124" t="s">
        <v>231</v>
      </c>
      <c r="N21" s="243" t="s">
        <v>145</v>
      </c>
      <c r="O21" s="235"/>
      <c r="Q21" s="125" t="s">
        <v>342</v>
      </c>
      <c r="R21" s="234" t="s">
        <v>337</v>
      </c>
      <c r="S21" s="235"/>
    </row>
    <row r="22" spans="1:19" ht="12.95" customHeight="1">
      <c r="A22" s="118">
        <v>24</v>
      </c>
      <c r="B22" s="119">
        <v>2.01E-2</v>
      </c>
      <c r="C22" s="120">
        <v>0.51053999999999999</v>
      </c>
      <c r="E22" s="121"/>
      <c r="F22" s="122">
        <f t="shared" si="0"/>
        <v>0.24606299212598426</v>
      </c>
      <c r="G22" s="123">
        <v>6.25</v>
      </c>
      <c r="I22" s="124" t="s">
        <v>371</v>
      </c>
      <c r="J22" s="232" t="s">
        <v>367</v>
      </c>
      <c r="K22" s="233"/>
      <c r="M22" s="124" t="s">
        <v>220</v>
      </c>
      <c r="N22" s="243" t="s">
        <v>146</v>
      </c>
      <c r="O22" s="235"/>
      <c r="Q22" s="138" t="s">
        <v>231</v>
      </c>
      <c r="R22" s="241" t="s">
        <v>519</v>
      </c>
      <c r="S22" s="242"/>
    </row>
    <row r="23" spans="1:19" ht="12.95" customHeight="1" thickBot="1">
      <c r="A23" s="133">
        <v>26</v>
      </c>
      <c r="B23" s="134">
        <v>1.5900000000000001E-2</v>
      </c>
      <c r="C23" s="135">
        <v>0.40386</v>
      </c>
      <c r="E23" s="121">
        <v>10.5</v>
      </c>
      <c r="F23" s="122">
        <f t="shared" si="0"/>
        <v>0.25590551181102361</v>
      </c>
      <c r="G23" s="123">
        <v>6.5</v>
      </c>
      <c r="I23" s="125" t="s">
        <v>375</v>
      </c>
      <c r="J23" s="234" t="s">
        <v>368</v>
      </c>
      <c r="K23" s="235"/>
      <c r="M23" s="124" t="s">
        <v>226</v>
      </c>
      <c r="N23" s="243" t="s">
        <v>177</v>
      </c>
      <c r="O23" s="235"/>
      <c r="Q23" s="129" t="s">
        <v>332</v>
      </c>
      <c r="R23" s="239" t="s">
        <v>77</v>
      </c>
      <c r="S23" s="240"/>
    </row>
    <row r="24" spans="1:19" ht="12.95" customHeight="1" thickBot="1">
      <c r="A24" s="136"/>
      <c r="B24" s="137"/>
      <c r="C24" s="137"/>
      <c r="E24" s="139"/>
      <c r="F24" s="122">
        <f t="shared" si="0"/>
        <v>0.26574803149606302</v>
      </c>
      <c r="G24" s="123">
        <v>6.75</v>
      </c>
      <c r="I24" s="129" t="s">
        <v>370</v>
      </c>
      <c r="J24" s="239" t="s">
        <v>369</v>
      </c>
      <c r="K24" s="240"/>
      <c r="M24" s="124" t="s">
        <v>230</v>
      </c>
      <c r="N24" s="243" t="s">
        <v>147</v>
      </c>
      <c r="O24" s="235"/>
    </row>
    <row r="25" spans="1:19" ht="12.95" customHeight="1">
      <c r="A25" s="136"/>
      <c r="B25" s="137"/>
      <c r="C25" s="137"/>
      <c r="E25" s="140"/>
      <c r="F25" s="122">
        <f t="shared" si="0"/>
        <v>0.27559055118110237</v>
      </c>
      <c r="G25" s="123">
        <v>7</v>
      </c>
      <c r="M25" s="124" t="s">
        <v>232</v>
      </c>
      <c r="N25" s="243" t="s">
        <v>136</v>
      </c>
      <c r="O25" s="235"/>
    </row>
    <row r="26" spans="1:19" ht="12.95" customHeight="1" thickBot="1">
      <c r="A26" s="136"/>
      <c r="B26" s="137"/>
      <c r="C26" s="137"/>
      <c r="E26" s="140">
        <v>11</v>
      </c>
      <c r="F26" s="122">
        <f t="shared" si="0"/>
        <v>0.31496062992125984</v>
      </c>
      <c r="G26" s="123">
        <v>8</v>
      </c>
      <c r="M26" s="141" t="s">
        <v>227</v>
      </c>
      <c r="N26" s="245" t="s">
        <v>148</v>
      </c>
      <c r="O26" s="240"/>
    </row>
    <row r="27" spans="1:19" ht="12.95" customHeight="1">
      <c r="A27" s="136"/>
      <c r="B27" s="137"/>
      <c r="C27" s="137"/>
      <c r="E27" s="140">
        <v>13</v>
      </c>
      <c r="F27" s="122">
        <f t="shared" si="0"/>
        <v>0.35433070866141736</v>
      </c>
      <c r="G27" s="123">
        <v>9</v>
      </c>
    </row>
    <row r="28" spans="1:19" ht="12.95" customHeight="1">
      <c r="A28" s="136"/>
      <c r="B28" s="137"/>
      <c r="C28" s="137"/>
      <c r="E28" s="140">
        <v>15</v>
      </c>
      <c r="F28" s="122">
        <f t="shared" si="0"/>
        <v>0.39370078740157483</v>
      </c>
      <c r="G28" s="123">
        <v>10</v>
      </c>
    </row>
    <row r="29" spans="1:19" ht="12.95" customHeight="1">
      <c r="A29" s="136"/>
      <c r="B29" s="137"/>
      <c r="C29" s="137"/>
      <c r="E29" s="140"/>
      <c r="F29" s="122">
        <f t="shared" si="0"/>
        <v>0.43307086614173229</v>
      </c>
      <c r="G29" s="123">
        <v>11</v>
      </c>
    </row>
    <row r="30" spans="1:19" ht="12.95" customHeight="1" thickBot="1">
      <c r="A30" s="136"/>
      <c r="B30" s="137"/>
      <c r="C30" s="137"/>
      <c r="E30" s="142">
        <v>17</v>
      </c>
      <c r="F30" s="143">
        <f t="shared" si="0"/>
        <v>0.47244094488188981</v>
      </c>
      <c r="G30" s="144">
        <v>12</v>
      </c>
    </row>
    <row r="31" spans="1:19" ht="12.95" customHeight="1" thickBot="1">
      <c r="A31" s="136"/>
      <c r="B31" s="137"/>
      <c r="C31" s="137"/>
      <c r="E31" s="132"/>
      <c r="F31" s="145"/>
      <c r="G31" s="146"/>
    </row>
    <row r="32" spans="1:19" ht="12.95" customHeight="1">
      <c r="A32" s="257" t="s">
        <v>523</v>
      </c>
      <c r="B32" s="237"/>
      <c r="C32" s="238"/>
      <c r="E32" s="257" t="s">
        <v>523</v>
      </c>
      <c r="F32" s="237"/>
      <c r="G32" s="238"/>
      <c r="I32" s="257" t="s">
        <v>523</v>
      </c>
      <c r="J32" s="237"/>
      <c r="K32" s="238"/>
      <c r="L32" s="147"/>
      <c r="M32" s="257" t="s">
        <v>523</v>
      </c>
      <c r="N32" s="237"/>
      <c r="O32" s="238"/>
      <c r="Q32" s="275" t="s">
        <v>523</v>
      </c>
      <c r="R32" s="276"/>
      <c r="S32" s="277"/>
    </row>
    <row r="33" spans="1:19" ht="12.95" customHeight="1">
      <c r="A33" s="115" t="s">
        <v>0</v>
      </c>
      <c r="B33" s="107" t="s">
        <v>538</v>
      </c>
      <c r="C33" s="116" t="s">
        <v>296</v>
      </c>
      <c r="E33" s="115" t="s">
        <v>0</v>
      </c>
      <c r="F33" s="107" t="s">
        <v>538</v>
      </c>
      <c r="G33" s="116" t="s">
        <v>296</v>
      </c>
      <c r="I33" s="115" t="s">
        <v>0</v>
      </c>
      <c r="J33" s="107" t="s">
        <v>538</v>
      </c>
      <c r="K33" s="116" t="s">
        <v>296</v>
      </c>
      <c r="L33" s="147"/>
      <c r="M33" s="115" t="s">
        <v>0</v>
      </c>
      <c r="N33" s="107" t="s">
        <v>538</v>
      </c>
      <c r="O33" s="116" t="s">
        <v>296</v>
      </c>
      <c r="Q33" s="115" t="s">
        <v>0</v>
      </c>
      <c r="R33" s="107" t="s">
        <v>538</v>
      </c>
      <c r="S33" s="116" t="s">
        <v>296</v>
      </c>
    </row>
    <row r="34" spans="1:19" ht="12.95" customHeight="1">
      <c r="A34" s="148"/>
      <c r="B34" s="149">
        <f>C34/25.4</f>
        <v>9.8425196850393699E-3</v>
      </c>
      <c r="C34" s="123">
        <v>0.25</v>
      </c>
      <c r="E34" s="148"/>
      <c r="F34" s="149">
        <f>G34/25.4</f>
        <v>0.20669291338582679</v>
      </c>
      <c r="G34" s="123">
        <v>5.25</v>
      </c>
      <c r="I34" s="148"/>
      <c r="J34" s="149">
        <f>K34/25.4</f>
        <v>0.41338582677165359</v>
      </c>
      <c r="K34" s="123">
        <v>10.5</v>
      </c>
      <c r="M34" s="148"/>
      <c r="N34" s="149">
        <f>O34/25.4</f>
        <v>0.61023622047244097</v>
      </c>
      <c r="O34" s="123">
        <v>15.5</v>
      </c>
      <c r="Q34" s="148" t="s">
        <v>503</v>
      </c>
      <c r="R34" s="149">
        <f>13/16</f>
        <v>0.8125</v>
      </c>
      <c r="S34" s="123">
        <f>R34*25.4</f>
        <v>20.637499999999999</v>
      </c>
    </row>
    <row r="35" spans="1:19" ht="12.95" customHeight="1">
      <c r="A35" s="148" t="s">
        <v>182</v>
      </c>
      <c r="B35" s="149">
        <f>1/64</f>
        <v>1.5625E-2</v>
      </c>
      <c r="C35" s="123">
        <f>B35*25.4</f>
        <v>0.39687499999999998</v>
      </c>
      <c r="E35" s="148"/>
      <c r="F35" s="149">
        <f>G35/25.4</f>
        <v>0.21653543307086615</v>
      </c>
      <c r="G35" s="123">
        <v>5.5</v>
      </c>
      <c r="I35" s="148" t="s">
        <v>313</v>
      </c>
      <c r="J35" s="149">
        <f>27/64</f>
        <v>0.421875</v>
      </c>
      <c r="K35" s="123">
        <f>J35*25.4</f>
        <v>10.715624999999999</v>
      </c>
      <c r="M35" s="148"/>
      <c r="N35" s="149">
        <f>O35/25.4</f>
        <v>0.62007874015748032</v>
      </c>
      <c r="O35" s="123">
        <v>15.75</v>
      </c>
      <c r="Q35" s="148"/>
      <c r="R35" s="149">
        <f>S35/25.4</f>
        <v>0.81692913385826771</v>
      </c>
      <c r="S35" s="123">
        <v>20.75</v>
      </c>
    </row>
    <row r="36" spans="1:19" ht="12.95" customHeight="1">
      <c r="A36" s="148"/>
      <c r="B36" s="149">
        <f>C36/25.4</f>
        <v>1.968503937007874E-2</v>
      </c>
      <c r="C36" s="123">
        <v>0.5</v>
      </c>
      <c r="E36" s="148" t="s">
        <v>195</v>
      </c>
      <c r="F36" s="149">
        <f>7/32</f>
        <v>0.21875</v>
      </c>
      <c r="G36" s="123">
        <f>F36*25.4</f>
        <v>5.5562499999999995</v>
      </c>
      <c r="I36" s="148"/>
      <c r="J36" s="149">
        <f>K36/25.4</f>
        <v>0.42322834645669294</v>
      </c>
      <c r="K36" s="123">
        <v>10.75</v>
      </c>
      <c r="M36" s="148" t="s">
        <v>210</v>
      </c>
      <c r="N36" s="149">
        <f>5/8</f>
        <v>0.625</v>
      </c>
      <c r="O36" s="123">
        <f>N36*25.4</f>
        <v>15.875</v>
      </c>
      <c r="Q36" s="148"/>
      <c r="R36" s="149">
        <f>S36/25.4</f>
        <v>0.82677165354330717</v>
      </c>
      <c r="S36" s="123">
        <v>21</v>
      </c>
    </row>
    <row r="37" spans="1:19" ht="12.95" customHeight="1">
      <c r="A37" s="148"/>
      <c r="B37" s="149">
        <f>C37/25.4</f>
        <v>2.9527559055118113E-2</v>
      </c>
      <c r="C37" s="123">
        <v>0.75</v>
      </c>
      <c r="E37" s="148" t="s">
        <v>196</v>
      </c>
      <c r="F37" s="149">
        <f>15/64</f>
        <v>0.234375</v>
      </c>
      <c r="G37" s="123">
        <f>F37*25.4</f>
        <v>5.953125</v>
      </c>
      <c r="I37" s="148"/>
      <c r="J37" s="149">
        <f>K37/25.4</f>
        <v>0.43307086614173229</v>
      </c>
      <c r="K37" s="123">
        <v>11</v>
      </c>
      <c r="M37" s="148"/>
      <c r="N37" s="149">
        <f>O37/25.4</f>
        <v>0.62992125984251968</v>
      </c>
      <c r="O37" s="123">
        <v>16</v>
      </c>
      <c r="Q37" s="148" t="s">
        <v>504</v>
      </c>
      <c r="R37" s="149">
        <f>53/64</f>
        <v>0.828125</v>
      </c>
      <c r="S37" s="123">
        <f>R37*25.4</f>
        <v>21.034374999999997</v>
      </c>
    </row>
    <row r="38" spans="1:19" ht="12.95" customHeight="1">
      <c r="A38" s="148" t="s">
        <v>183</v>
      </c>
      <c r="B38" s="149">
        <f>1/32</f>
        <v>3.125E-2</v>
      </c>
      <c r="C38" s="123">
        <f>B38*25.4</f>
        <v>0.79374999999999996</v>
      </c>
      <c r="E38" s="148"/>
      <c r="F38" s="149">
        <f>G38/25.4</f>
        <v>0.23622047244094491</v>
      </c>
      <c r="G38" s="123">
        <v>6</v>
      </c>
      <c r="I38" s="148" t="s">
        <v>205</v>
      </c>
      <c r="J38" s="149">
        <f>7/16</f>
        <v>0.4375</v>
      </c>
      <c r="K38" s="123">
        <f>J38*25.4</f>
        <v>11.112499999999999</v>
      </c>
      <c r="M38" s="148"/>
      <c r="N38" s="149">
        <f>O38/25.4</f>
        <v>0.63976377952755914</v>
      </c>
      <c r="O38" s="123">
        <v>16.25</v>
      </c>
      <c r="Q38" s="148"/>
      <c r="R38" s="149">
        <f>S38/25.4</f>
        <v>0.83661417322834652</v>
      </c>
      <c r="S38" s="123">
        <v>21.25</v>
      </c>
    </row>
    <row r="39" spans="1:19" ht="12.95" customHeight="1">
      <c r="A39" s="148"/>
      <c r="B39" s="149">
        <f>C39/25.4</f>
        <v>3.937007874015748E-2</v>
      </c>
      <c r="C39" s="123">
        <v>1</v>
      </c>
      <c r="E39" s="148"/>
      <c r="F39" s="149">
        <f>G39/25.4</f>
        <v>0.24606299212598426</v>
      </c>
      <c r="G39" s="123">
        <v>6.25</v>
      </c>
      <c r="I39" s="148"/>
      <c r="J39" s="149">
        <f>K39/25.4</f>
        <v>0.4429133858267717</v>
      </c>
      <c r="K39" s="123">
        <v>11.25</v>
      </c>
      <c r="M39" s="148" t="s">
        <v>494</v>
      </c>
      <c r="N39" s="149">
        <f>41/64</f>
        <v>0.640625</v>
      </c>
      <c r="O39" s="123">
        <f>N39*25.4</f>
        <v>16.271874999999998</v>
      </c>
      <c r="Q39" s="148" t="s">
        <v>214</v>
      </c>
      <c r="R39" s="149">
        <f>27/32</f>
        <v>0.84375</v>
      </c>
      <c r="S39" s="123">
        <f>R39*25.4</f>
        <v>21.431249999999999</v>
      </c>
    </row>
    <row r="40" spans="1:19" ht="12.95" customHeight="1">
      <c r="A40" s="148" t="s">
        <v>184</v>
      </c>
      <c r="B40" s="149">
        <f>3/64</f>
        <v>4.6875E-2</v>
      </c>
      <c r="C40" s="123">
        <f>B40*25.4</f>
        <v>1.1906249999999998</v>
      </c>
      <c r="E40" s="148" t="s">
        <v>197</v>
      </c>
      <c r="F40" s="149">
        <f>1/4</f>
        <v>0.25</v>
      </c>
      <c r="G40" s="123">
        <f>F40*25.4</f>
        <v>6.35</v>
      </c>
      <c r="I40" s="148" t="s">
        <v>487</v>
      </c>
      <c r="J40" s="149">
        <f>29/64</f>
        <v>0.453125</v>
      </c>
      <c r="K40" s="123">
        <f>J40*25.4</f>
        <v>11.509374999999999</v>
      </c>
      <c r="M40" s="148"/>
      <c r="N40" s="149">
        <f>O40/25.4</f>
        <v>0.64960629921259849</v>
      </c>
      <c r="O40" s="123">
        <v>16.5</v>
      </c>
      <c r="Q40" s="148"/>
      <c r="R40" s="149">
        <f>S40/25.4</f>
        <v>0.84645669291338588</v>
      </c>
      <c r="S40" s="123">
        <v>21.5</v>
      </c>
    </row>
    <row r="41" spans="1:19" ht="12.95" customHeight="1">
      <c r="A41" s="148"/>
      <c r="B41" s="149">
        <f>C41/25.4</f>
        <v>4.9212598425196853E-2</v>
      </c>
      <c r="C41" s="123">
        <v>1.25</v>
      </c>
      <c r="E41" s="148"/>
      <c r="F41" s="149">
        <f>G41/25.4</f>
        <v>0.25590551181102361</v>
      </c>
      <c r="G41" s="123">
        <v>6.5</v>
      </c>
      <c r="I41" s="148"/>
      <c r="J41" s="149">
        <f>K41/25.4</f>
        <v>0.45275590551181105</v>
      </c>
      <c r="K41" s="123">
        <v>11.5</v>
      </c>
      <c r="M41" s="148" t="s">
        <v>496</v>
      </c>
      <c r="N41" s="149">
        <f>21/32</f>
        <v>0.65625</v>
      </c>
      <c r="O41" s="123">
        <f>N41*25.4</f>
        <v>16.668749999999999</v>
      </c>
      <c r="Q41" s="148"/>
      <c r="R41" s="149">
        <f>S41/25.4</f>
        <v>0.85629921259842523</v>
      </c>
      <c r="S41" s="123">
        <v>21.75</v>
      </c>
    </row>
    <row r="42" spans="1:19" ht="12.95" customHeight="1">
      <c r="A42" s="148"/>
      <c r="B42" s="149">
        <f>C42/25.4</f>
        <v>5.9055118110236227E-2</v>
      </c>
      <c r="C42" s="123">
        <v>1.5</v>
      </c>
      <c r="E42" s="148" t="s">
        <v>198</v>
      </c>
      <c r="F42" s="149">
        <f>17/64</f>
        <v>0.265625</v>
      </c>
      <c r="G42" s="123">
        <f>F42*25.4</f>
        <v>6.7468749999999993</v>
      </c>
      <c r="I42" s="148"/>
      <c r="J42" s="149">
        <f>K42/25.4</f>
        <v>0.4625984251968504</v>
      </c>
      <c r="K42" s="123">
        <v>11.75</v>
      </c>
      <c r="M42" s="148"/>
      <c r="N42" s="149">
        <f>O42/25.4</f>
        <v>0.65944881889763785</v>
      </c>
      <c r="O42" s="123">
        <v>16.75</v>
      </c>
      <c r="Q42" s="148" t="s">
        <v>505</v>
      </c>
      <c r="R42" s="149">
        <f>55/64</f>
        <v>0.859375</v>
      </c>
      <c r="S42" s="123">
        <f>R42*25.4</f>
        <v>21.828125</v>
      </c>
    </row>
    <row r="43" spans="1:19" ht="12.95" customHeight="1">
      <c r="A43" s="148" t="s">
        <v>185</v>
      </c>
      <c r="B43" s="149">
        <f>1/16</f>
        <v>6.25E-2</v>
      </c>
      <c r="C43" s="123">
        <f>B43*25.4</f>
        <v>1.5874999999999999</v>
      </c>
      <c r="E43" s="148"/>
      <c r="F43" s="149">
        <f>G43/25.4</f>
        <v>0.26574803149606302</v>
      </c>
      <c r="G43" s="123">
        <v>6.75</v>
      </c>
      <c r="I43" s="148" t="s">
        <v>488</v>
      </c>
      <c r="J43" s="149">
        <f>15/32</f>
        <v>0.46875</v>
      </c>
      <c r="K43" s="123">
        <f>J43*25.4</f>
        <v>11.90625</v>
      </c>
      <c r="M43" s="148"/>
      <c r="N43" s="149">
        <f>O43/25.4</f>
        <v>0.6692913385826772</v>
      </c>
      <c r="O43" s="123">
        <v>17</v>
      </c>
      <c r="Q43" s="148"/>
      <c r="R43" s="149">
        <f>S43/25.4</f>
        <v>0.86614173228346458</v>
      </c>
      <c r="S43" s="123">
        <v>22</v>
      </c>
    </row>
    <row r="44" spans="1:19" ht="12.95" customHeight="1">
      <c r="A44" s="148"/>
      <c r="B44" s="149">
        <f>C44/25.4</f>
        <v>6.8897637795275593E-2</v>
      </c>
      <c r="C44" s="123">
        <v>1.75</v>
      </c>
      <c r="E44" s="148"/>
      <c r="F44" s="149">
        <f>G44/25.4</f>
        <v>0.27559055118110237</v>
      </c>
      <c r="G44" s="123">
        <v>7</v>
      </c>
      <c r="I44" s="148"/>
      <c r="J44" s="149">
        <f>K44/25.4</f>
        <v>0.47244094488188981</v>
      </c>
      <c r="K44" s="123">
        <v>12</v>
      </c>
      <c r="M44" s="148" t="s">
        <v>211</v>
      </c>
      <c r="N44" s="149">
        <f>43/64</f>
        <v>0.671875</v>
      </c>
      <c r="O44" s="123">
        <f>N44*25.4</f>
        <v>17.065625000000001</v>
      </c>
      <c r="Q44" s="148" t="s">
        <v>215</v>
      </c>
      <c r="R44" s="149">
        <f>7/8</f>
        <v>0.875</v>
      </c>
      <c r="S44" s="123">
        <f>R44*25.4</f>
        <v>22.224999999999998</v>
      </c>
    </row>
    <row r="45" spans="1:19" ht="12.95" customHeight="1">
      <c r="A45" s="148" t="s">
        <v>186</v>
      </c>
      <c r="B45" s="149">
        <f>5/64</f>
        <v>7.8125E-2</v>
      </c>
      <c r="C45" s="123">
        <f>B45*25.4</f>
        <v>1.984375</v>
      </c>
      <c r="E45" s="148" t="s">
        <v>199</v>
      </c>
      <c r="F45" s="149">
        <f>9/32</f>
        <v>0.28125</v>
      </c>
      <c r="G45" s="123">
        <f>F45*25.4</f>
        <v>7.1437499999999998</v>
      </c>
      <c r="I45" s="148"/>
      <c r="J45" s="149">
        <f>K45/25.4</f>
        <v>0.48228346456692917</v>
      </c>
      <c r="K45" s="123">
        <v>12.25</v>
      </c>
      <c r="M45" s="148"/>
      <c r="N45" s="149">
        <f>O45/25.4</f>
        <v>0.67913385826771655</v>
      </c>
      <c r="O45" s="123">
        <v>17.25</v>
      </c>
      <c r="Q45" s="148"/>
      <c r="R45" s="149">
        <f>S45/25.4</f>
        <v>0.8858267716535434</v>
      </c>
      <c r="S45" s="123">
        <v>22.5</v>
      </c>
    </row>
    <row r="46" spans="1:19" ht="12.95" customHeight="1">
      <c r="A46" s="148"/>
      <c r="B46" s="149">
        <f>C46/25.4</f>
        <v>7.874015748031496E-2</v>
      </c>
      <c r="C46" s="123">
        <v>2</v>
      </c>
      <c r="E46" s="148"/>
      <c r="F46" s="149">
        <f>G46/25.4</f>
        <v>0.28543307086614172</v>
      </c>
      <c r="G46" s="123">
        <v>7.25</v>
      </c>
      <c r="I46" s="148" t="s">
        <v>489</v>
      </c>
      <c r="J46" s="149">
        <f>31/64</f>
        <v>0.484375</v>
      </c>
      <c r="K46" s="123">
        <f>J46*25.4</f>
        <v>12.303125</v>
      </c>
      <c r="M46" s="148" t="s">
        <v>212</v>
      </c>
      <c r="N46" s="149">
        <f>11/16</f>
        <v>0.6875</v>
      </c>
      <c r="O46" s="123">
        <f>N46*25.4</f>
        <v>17.462499999999999</v>
      </c>
      <c r="Q46" s="148" t="s">
        <v>506</v>
      </c>
      <c r="R46" s="149">
        <f>57/64</f>
        <v>0.890625</v>
      </c>
      <c r="S46" s="123">
        <f>R46*25.4</f>
        <v>22.621874999999999</v>
      </c>
    </row>
    <row r="47" spans="1:19" ht="12.95" customHeight="1">
      <c r="A47" s="148"/>
      <c r="B47" s="149">
        <f>C47/25.4</f>
        <v>8.858267716535434E-2</v>
      </c>
      <c r="C47" s="123">
        <v>2.25</v>
      </c>
      <c r="E47" s="148"/>
      <c r="F47" s="149">
        <f>G47/25.4</f>
        <v>0.29527559055118113</v>
      </c>
      <c r="G47" s="123">
        <v>7.5</v>
      </c>
      <c r="I47" s="148"/>
      <c r="J47" s="149">
        <f>K47/25.4</f>
        <v>0.49212598425196852</v>
      </c>
      <c r="K47" s="123">
        <v>12.5</v>
      </c>
      <c r="M47" s="148"/>
      <c r="N47" s="149">
        <f>O47/25.4</f>
        <v>0.6889763779527559</v>
      </c>
      <c r="O47" s="123">
        <v>17.5</v>
      </c>
      <c r="Q47" s="148"/>
      <c r="R47" s="149">
        <f>S47/25.4</f>
        <v>0.89566929133858275</v>
      </c>
      <c r="S47" s="123">
        <v>22.75</v>
      </c>
    </row>
    <row r="48" spans="1:19" ht="12.95" customHeight="1">
      <c r="A48" s="148" t="s">
        <v>187</v>
      </c>
      <c r="B48" s="149">
        <f>3/32</f>
        <v>9.375E-2</v>
      </c>
      <c r="C48" s="123">
        <f>B48*25.4</f>
        <v>2.3812499999999996</v>
      </c>
      <c r="E48" s="148" t="s">
        <v>200</v>
      </c>
      <c r="F48" s="149">
        <f>19/64</f>
        <v>0.296875</v>
      </c>
      <c r="G48" s="123">
        <f>F48*25.4</f>
        <v>7.5406249999999995</v>
      </c>
      <c r="I48" s="148" t="s">
        <v>206</v>
      </c>
      <c r="J48" s="149">
        <f>1/2</f>
        <v>0.5</v>
      </c>
      <c r="K48" s="123">
        <f>J48*25.4</f>
        <v>12.7</v>
      </c>
      <c r="M48" s="148"/>
      <c r="N48" s="149">
        <f>O48/25.4</f>
        <v>0.69881889763779537</v>
      </c>
      <c r="O48" s="123">
        <v>17.75</v>
      </c>
      <c r="Q48" s="148"/>
      <c r="R48" s="149">
        <f>S48/25.4</f>
        <v>0.9055118110236221</v>
      </c>
      <c r="S48" s="123">
        <v>23</v>
      </c>
    </row>
    <row r="49" spans="1:19" ht="12.95" customHeight="1">
      <c r="A49" s="148"/>
      <c r="B49" s="149">
        <f>C49/25.4</f>
        <v>9.8425196850393706E-2</v>
      </c>
      <c r="C49" s="123">
        <v>2.5</v>
      </c>
      <c r="E49" s="148"/>
      <c r="F49" s="149">
        <f>G49/25.4</f>
        <v>0.30511811023622049</v>
      </c>
      <c r="G49" s="123">
        <v>7.75</v>
      </c>
      <c r="I49" s="148"/>
      <c r="J49" s="149">
        <f>K49/25.4</f>
        <v>0.50196850393700787</v>
      </c>
      <c r="K49" s="123">
        <v>12.75</v>
      </c>
      <c r="M49" s="148" t="s">
        <v>497</v>
      </c>
      <c r="N49" s="149">
        <f>45/64</f>
        <v>0.703125</v>
      </c>
      <c r="O49" s="123">
        <f>N49*25.4</f>
        <v>17.859375</v>
      </c>
      <c r="Q49" s="148" t="s">
        <v>507</v>
      </c>
      <c r="R49" s="149">
        <f>29/32</f>
        <v>0.90625</v>
      </c>
      <c r="S49" s="123">
        <f>R49*25.4</f>
        <v>23.018749999999997</v>
      </c>
    </row>
    <row r="50" spans="1:19" ht="12.95" customHeight="1">
      <c r="A50" s="148"/>
      <c r="B50" s="149">
        <f>C50/25.4</f>
        <v>0.10826771653543307</v>
      </c>
      <c r="C50" s="123">
        <v>2.75</v>
      </c>
      <c r="E50" s="148" t="s">
        <v>201</v>
      </c>
      <c r="F50" s="149">
        <f>5/16</f>
        <v>0.3125</v>
      </c>
      <c r="G50" s="123">
        <f>F50*25.4</f>
        <v>7.9375</v>
      </c>
      <c r="I50" s="148"/>
      <c r="J50" s="149">
        <f>K50/25.4</f>
        <v>0.51181102362204722</v>
      </c>
      <c r="K50" s="123">
        <v>13</v>
      </c>
      <c r="M50" s="148"/>
      <c r="N50" s="149">
        <f>O50/25.4</f>
        <v>0.70866141732283472</v>
      </c>
      <c r="O50" s="123">
        <v>18</v>
      </c>
      <c r="Q50" s="148"/>
      <c r="R50" s="149">
        <f>S50/25.4</f>
        <v>0.91535433070866146</v>
      </c>
      <c r="S50" s="123">
        <v>23.25</v>
      </c>
    </row>
    <row r="51" spans="1:19" ht="12.95" customHeight="1">
      <c r="A51" s="148" t="s">
        <v>188</v>
      </c>
      <c r="B51" s="149">
        <f>7/64</f>
        <v>0.109375</v>
      </c>
      <c r="C51" s="123">
        <f>B51*25.4</f>
        <v>2.7781249999999997</v>
      </c>
      <c r="E51" s="148"/>
      <c r="F51" s="149">
        <f>G51/25.4</f>
        <v>0.31496062992125984</v>
      </c>
      <c r="G51" s="123">
        <v>8</v>
      </c>
      <c r="I51" s="148" t="s">
        <v>207</v>
      </c>
      <c r="J51" s="149">
        <f>33/64</f>
        <v>0.515625</v>
      </c>
      <c r="K51" s="123">
        <f>J51*25.4</f>
        <v>13.096874999999999</v>
      </c>
      <c r="M51" s="148"/>
      <c r="N51" s="149">
        <f>O51/25.4</f>
        <v>0.71850393700787407</v>
      </c>
      <c r="O51" s="123">
        <v>18.25</v>
      </c>
      <c r="Q51" s="148" t="s">
        <v>508</v>
      </c>
      <c r="R51" s="149">
        <f>59/64</f>
        <v>0.921875</v>
      </c>
      <c r="S51" s="123">
        <f>R51*25.4</f>
        <v>23.415624999999999</v>
      </c>
    </row>
    <row r="52" spans="1:19" ht="12.95" customHeight="1">
      <c r="A52" s="148"/>
      <c r="B52" s="149">
        <f>C52/25.4</f>
        <v>0.11811023622047245</v>
      </c>
      <c r="C52" s="123">
        <v>3</v>
      </c>
      <c r="E52" s="148"/>
      <c r="F52" s="149">
        <f>G52/25.4</f>
        <v>0.32480314960629925</v>
      </c>
      <c r="G52" s="123">
        <v>8.25</v>
      </c>
      <c r="I52" s="148"/>
      <c r="J52" s="149">
        <f>K52/25.4</f>
        <v>0.52165354330708669</v>
      </c>
      <c r="K52" s="123">
        <v>13.25</v>
      </c>
      <c r="M52" s="148" t="s">
        <v>498</v>
      </c>
      <c r="N52" s="149">
        <f>23/32</f>
        <v>0.71875</v>
      </c>
      <c r="O52" s="123">
        <f>N52*25.4</f>
        <v>18.256249999999998</v>
      </c>
      <c r="Q52" s="148"/>
      <c r="R52" s="149">
        <f>S52/25.4</f>
        <v>0.92519685039370081</v>
      </c>
      <c r="S52" s="123">
        <v>23.5</v>
      </c>
    </row>
    <row r="53" spans="1:19" ht="12.95" customHeight="1">
      <c r="A53" s="148" t="s">
        <v>189</v>
      </c>
      <c r="B53" s="149">
        <f>1/8</f>
        <v>0.125</v>
      </c>
      <c r="C53" s="123">
        <f>B53*25.4</f>
        <v>3.1749999999999998</v>
      </c>
      <c r="E53" s="148" t="s">
        <v>202</v>
      </c>
      <c r="F53" s="149">
        <f>21/64</f>
        <v>0.328125</v>
      </c>
      <c r="G53" s="123">
        <f>F53*25.4</f>
        <v>8.3343749999999996</v>
      </c>
      <c r="I53" s="148" t="s">
        <v>490</v>
      </c>
      <c r="J53" s="149">
        <f>17/32</f>
        <v>0.53125</v>
      </c>
      <c r="K53" s="123">
        <f>J53*25.4</f>
        <v>13.493749999999999</v>
      </c>
      <c r="M53" s="148"/>
      <c r="N53" s="149">
        <f>O53/25.4</f>
        <v>0.72834645669291342</v>
      </c>
      <c r="O53" s="123">
        <v>18.5</v>
      </c>
      <c r="Q53" s="148"/>
      <c r="R53" s="149">
        <f>S53/25.4</f>
        <v>0.93503937007874016</v>
      </c>
      <c r="S53" s="123">
        <v>23.75</v>
      </c>
    </row>
    <row r="54" spans="1:19" ht="12.95" customHeight="1">
      <c r="A54" s="148"/>
      <c r="B54" s="149">
        <f>C54/25.4</f>
        <v>0.12795275590551181</v>
      </c>
      <c r="C54" s="123">
        <v>3.25</v>
      </c>
      <c r="E54" s="148"/>
      <c r="F54" s="149">
        <f>G54/25.4</f>
        <v>0.3346456692913386</v>
      </c>
      <c r="G54" s="123">
        <v>8.5</v>
      </c>
      <c r="I54" s="148"/>
      <c r="J54" s="149">
        <f>K54/25.4</f>
        <v>0.53149606299212604</v>
      </c>
      <c r="K54" s="123">
        <v>13.5</v>
      </c>
      <c r="M54" s="148" t="s">
        <v>499</v>
      </c>
      <c r="N54" s="149">
        <f>47/64</f>
        <v>0.734375</v>
      </c>
      <c r="O54" s="123">
        <f>N54*25.4</f>
        <v>18.653124999999999</v>
      </c>
      <c r="Q54" s="148" t="s">
        <v>509</v>
      </c>
      <c r="R54" s="149">
        <f>15/16</f>
        <v>0.9375</v>
      </c>
      <c r="S54" s="123">
        <f>R54*25.4</f>
        <v>23.8125</v>
      </c>
    </row>
    <row r="55" spans="1:19" ht="12.95" customHeight="1">
      <c r="A55" s="148"/>
      <c r="B55" s="149">
        <f>C55/25.4</f>
        <v>0.13779527559055119</v>
      </c>
      <c r="C55" s="123">
        <v>3.5</v>
      </c>
      <c r="E55" s="148" t="s">
        <v>203</v>
      </c>
      <c r="F55" s="149">
        <f>11/32</f>
        <v>0.34375</v>
      </c>
      <c r="G55" s="123">
        <f>F55*25.4</f>
        <v>8.7312499999999993</v>
      </c>
      <c r="I55" s="148"/>
      <c r="J55" s="149">
        <f>K55/25.4</f>
        <v>0.54133858267716539</v>
      </c>
      <c r="K55" s="123">
        <v>13.75</v>
      </c>
      <c r="M55" s="148"/>
      <c r="N55" s="149">
        <f>O55/25.4</f>
        <v>0.73818897637795278</v>
      </c>
      <c r="O55" s="123">
        <v>18.75</v>
      </c>
      <c r="Q55" s="148"/>
      <c r="R55" s="149">
        <f>S55/25.4</f>
        <v>0.94488188976377963</v>
      </c>
      <c r="S55" s="123">
        <v>24</v>
      </c>
    </row>
    <row r="56" spans="1:19" ht="12.95" customHeight="1">
      <c r="A56" s="148" t="s">
        <v>190</v>
      </c>
      <c r="B56" s="149">
        <f>9/64</f>
        <v>0.140625</v>
      </c>
      <c r="C56" s="123">
        <f>B56*25.4</f>
        <v>3.5718749999999999</v>
      </c>
      <c r="E56" s="148"/>
      <c r="F56" s="149">
        <f>G56/25.4</f>
        <v>0.34448818897637795</v>
      </c>
      <c r="G56" s="123">
        <v>8.75</v>
      </c>
      <c r="I56" s="148" t="s">
        <v>491</v>
      </c>
      <c r="J56" s="149">
        <f>35/64</f>
        <v>0.546875</v>
      </c>
      <c r="K56" s="123">
        <f>J56*25.4</f>
        <v>13.890625</v>
      </c>
      <c r="M56" s="148"/>
      <c r="N56" s="149">
        <f>O56/25.4</f>
        <v>0.74803149606299213</v>
      </c>
      <c r="O56" s="123">
        <v>19</v>
      </c>
      <c r="Q56" s="148" t="s">
        <v>510</v>
      </c>
      <c r="R56" s="149">
        <f>61/64</f>
        <v>0.953125</v>
      </c>
      <c r="S56" s="123">
        <f>R56*25.4</f>
        <v>24.209374999999998</v>
      </c>
    </row>
    <row r="57" spans="1:19" ht="12.95" customHeight="1">
      <c r="A57" s="148"/>
      <c r="B57" s="149">
        <f>C57/25.4</f>
        <v>0.14763779527559057</v>
      </c>
      <c r="C57" s="123">
        <v>3.75</v>
      </c>
      <c r="E57" s="148"/>
      <c r="F57" s="149">
        <f>G57/25.4</f>
        <v>0.35433070866141736</v>
      </c>
      <c r="G57" s="123">
        <v>9</v>
      </c>
      <c r="I57" s="148"/>
      <c r="J57" s="149">
        <f>K57/25.4</f>
        <v>0.55118110236220474</v>
      </c>
      <c r="K57" s="123">
        <v>14</v>
      </c>
      <c r="M57" s="148" t="s">
        <v>213</v>
      </c>
      <c r="N57" s="149">
        <f>3/4</f>
        <v>0.75</v>
      </c>
      <c r="O57" s="123">
        <f>N57*25.4</f>
        <v>19.049999999999997</v>
      </c>
      <c r="Q57" s="148"/>
      <c r="R57" s="149">
        <f>S57/25.4</f>
        <v>0.95472440944881898</v>
      </c>
      <c r="S57" s="123">
        <v>24.25</v>
      </c>
    </row>
    <row r="58" spans="1:19" ht="12.95" customHeight="1">
      <c r="A58" s="148" t="s">
        <v>191</v>
      </c>
      <c r="B58" s="149">
        <f>5/32</f>
        <v>0.15625</v>
      </c>
      <c r="C58" s="123">
        <f>B58*25.4</f>
        <v>3.96875</v>
      </c>
      <c r="E58" s="148" t="s">
        <v>484</v>
      </c>
      <c r="F58" s="149">
        <f>23/64</f>
        <v>0.359375</v>
      </c>
      <c r="G58" s="123">
        <f>F58*25.4</f>
        <v>9.1281249999999989</v>
      </c>
      <c r="I58" s="148"/>
      <c r="J58" s="149">
        <f>K58/25.4</f>
        <v>0.5610236220472441</v>
      </c>
      <c r="K58" s="123">
        <v>14.25</v>
      </c>
      <c r="M58" s="148"/>
      <c r="N58" s="149">
        <f>O58/25.4</f>
        <v>0.75787401574803159</v>
      </c>
      <c r="O58" s="123">
        <v>19.25</v>
      </c>
      <c r="Q58" s="148"/>
      <c r="R58" s="149">
        <f>S58/25.4</f>
        <v>0.96456692913385833</v>
      </c>
      <c r="S58" s="123">
        <v>24.5</v>
      </c>
    </row>
    <row r="59" spans="1:19" ht="12.95" customHeight="1">
      <c r="A59" s="148"/>
      <c r="B59" s="149">
        <f>C59/25.4</f>
        <v>0.15748031496062992</v>
      </c>
      <c r="C59" s="123">
        <v>4</v>
      </c>
      <c r="E59" s="148"/>
      <c r="F59" s="149">
        <f>G59/25.4</f>
        <v>0.36417322834645671</v>
      </c>
      <c r="G59" s="123">
        <v>9.25</v>
      </c>
      <c r="I59" s="148" t="s">
        <v>208</v>
      </c>
      <c r="J59" s="149">
        <f>9/16</f>
        <v>0.5625</v>
      </c>
      <c r="K59" s="123">
        <f>J59*25.4</f>
        <v>14.2875</v>
      </c>
      <c r="M59" s="148" t="s">
        <v>500</v>
      </c>
      <c r="N59" s="149">
        <f>49/64</f>
        <v>0.765625</v>
      </c>
      <c r="O59" s="123">
        <f>N59*25.4</f>
        <v>19.446874999999999</v>
      </c>
      <c r="Q59" s="148" t="s">
        <v>495</v>
      </c>
      <c r="R59" s="149">
        <f>31/32</f>
        <v>0.96875</v>
      </c>
      <c r="S59" s="123">
        <f>R59*25.4</f>
        <v>24.606249999999999</v>
      </c>
    </row>
    <row r="60" spans="1:19" ht="12.95" customHeight="1">
      <c r="A60" s="148"/>
      <c r="B60" s="149">
        <f>C60/25.4</f>
        <v>0.1673228346456693</v>
      </c>
      <c r="C60" s="123">
        <v>4.25</v>
      </c>
      <c r="E60" s="148"/>
      <c r="F60" s="149">
        <f>G60/25.4</f>
        <v>0.37401574803149606</v>
      </c>
      <c r="G60" s="123">
        <v>9.5</v>
      </c>
      <c r="I60" s="148"/>
      <c r="J60" s="149">
        <f>K60/25.4</f>
        <v>0.57086614173228345</v>
      </c>
      <c r="K60" s="123">
        <v>14.5</v>
      </c>
      <c r="M60" s="148"/>
      <c r="N60" s="149">
        <f>O60/25.4</f>
        <v>0.76771653543307095</v>
      </c>
      <c r="O60" s="123">
        <v>19.5</v>
      </c>
      <c r="Q60" s="148"/>
      <c r="R60" s="149">
        <f>S60/25.4</f>
        <v>0.97440944881889768</v>
      </c>
      <c r="S60" s="123">
        <v>24.75</v>
      </c>
    </row>
    <row r="61" spans="1:19" ht="12.95" customHeight="1">
      <c r="A61" s="148" t="s">
        <v>192</v>
      </c>
      <c r="B61" s="149">
        <f>11/64</f>
        <v>0.171875</v>
      </c>
      <c r="C61" s="123">
        <f>B61*25.4</f>
        <v>4.3656249999999996</v>
      </c>
      <c r="E61" s="148" t="s">
        <v>204</v>
      </c>
      <c r="F61" s="149">
        <f>3/8</f>
        <v>0.375</v>
      </c>
      <c r="G61" s="123">
        <f>F61*25.4</f>
        <v>9.5249999999999986</v>
      </c>
      <c r="I61" s="148" t="s">
        <v>492</v>
      </c>
      <c r="J61" s="149">
        <f>37/64</f>
        <v>0.578125</v>
      </c>
      <c r="K61" s="123">
        <f>J61*25.4</f>
        <v>14.684374999999999</v>
      </c>
      <c r="M61" s="148"/>
      <c r="N61" s="149">
        <f>O61/25.4</f>
        <v>0.7775590551181103</v>
      </c>
      <c r="O61" s="123">
        <v>19.75</v>
      </c>
      <c r="Q61" s="148"/>
      <c r="R61" s="149">
        <f>S61/25.4</f>
        <v>0.98425196850393704</v>
      </c>
      <c r="S61" s="123">
        <v>25</v>
      </c>
    </row>
    <row r="62" spans="1:19" ht="12.95" customHeight="1">
      <c r="A62" s="148"/>
      <c r="B62" s="149">
        <f>C62/25.4</f>
        <v>0.17716535433070868</v>
      </c>
      <c r="C62" s="123">
        <v>4.5</v>
      </c>
      <c r="E62" s="148"/>
      <c r="F62" s="149">
        <f>G62/25.4</f>
        <v>0.38385826771653547</v>
      </c>
      <c r="G62" s="123">
        <v>9.75</v>
      </c>
      <c r="I62" s="148"/>
      <c r="J62" s="149">
        <f>K62/25.4</f>
        <v>0.58070866141732291</v>
      </c>
      <c r="K62" s="123">
        <v>14.75</v>
      </c>
      <c r="M62" s="148" t="s">
        <v>501</v>
      </c>
      <c r="N62" s="149">
        <f>25/32</f>
        <v>0.78125</v>
      </c>
      <c r="O62" s="123">
        <f>N62*25.4</f>
        <v>19.84375</v>
      </c>
      <c r="Q62" s="148" t="s">
        <v>511</v>
      </c>
      <c r="R62" s="149">
        <f>63/64</f>
        <v>0.984375</v>
      </c>
      <c r="S62" s="123">
        <f>R62*25.4</f>
        <v>25.003124999999997</v>
      </c>
    </row>
    <row r="63" spans="1:19" ht="12.95" customHeight="1">
      <c r="A63" s="148"/>
      <c r="B63" s="149">
        <f>C63/25.4</f>
        <v>0.18700787401574803</v>
      </c>
      <c r="C63" s="123">
        <v>4.75</v>
      </c>
      <c r="E63" s="148" t="s">
        <v>485</v>
      </c>
      <c r="F63" s="149">
        <f>25/64</f>
        <v>0.390625</v>
      </c>
      <c r="G63" s="123">
        <f>F63*25.4</f>
        <v>9.921875</v>
      </c>
      <c r="I63" s="148"/>
      <c r="J63" s="149">
        <f>K63/25.4</f>
        <v>0.59055118110236227</v>
      </c>
      <c r="K63" s="123">
        <v>15</v>
      </c>
      <c r="M63" s="148"/>
      <c r="N63" s="149">
        <f>O63/25.4</f>
        <v>0.78740157480314965</v>
      </c>
      <c r="O63" s="123">
        <v>20</v>
      </c>
      <c r="Q63" s="148"/>
      <c r="R63" s="149">
        <f>S63/25.4</f>
        <v>0.99409448818897639</v>
      </c>
      <c r="S63" s="123">
        <v>25.25</v>
      </c>
    </row>
    <row r="64" spans="1:19" ht="12.95" customHeight="1" thickBot="1">
      <c r="A64" s="148" t="s">
        <v>193</v>
      </c>
      <c r="B64" s="149">
        <f>3/16</f>
        <v>0.1875</v>
      </c>
      <c r="C64" s="123">
        <f>B64*25.4</f>
        <v>4.7624999999999993</v>
      </c>
      <c r="E64" s="148"/>
      <c r="F64" s="149">
        <f>G64/25.4</f>
        <v>0.39370078740157483</v>
      </c>
      <c r="G64" s="123">
        <v>10</v>
      </c>
      <c r="I64" s="148" t="s">
        <v>493</v>
      </c>
      <c r="J64" s="149">
        <f>19/32</f>
        <v>0.59375</v>
      </c>
      <c r="K64" s="123">
        <f>J64*25.4</f>
        <v>15.081249999999999</v>
      </c>
      <c r="M64" s="148" t="s">
        <v>502</v>
      </c>
      <c r="N64" s="149">
        <f>51/64</f>
        <v>0.796875</v>
      </c>
      <c r="O64" s="123">
        <f>N64*25.4</f>
        <v>20.240624999999998</v>
      </c>
      <c r="Q64" s="150" t="s">
        <v>512</v>
      </c>
      <c r="R64" s="151">
        <f>1/1</f>
        <v>1</v>
      </c>
      <c r="S64" s="144">
        <f>R64*25.4</f>
        <v>25.4</v>
      </c>
    </row>
    <row r="65" spans="1:16" ht="12.95" customHeight="1">
      <c r="A65" s="148"/>
      <c r="B65" s="149">
        <f>C65/25.4</f>
        <v>0.19685039370078741</v>
      </c>
      <c r="C65" s="123">
        <v>5</v>
      </c>
      <c r="E65" s="148"/>
      <c r="F65" s="149">
        <f>G65/25.4</f>
        <v>0.40354330708661418</v>
      </c>
      <c r="G65" s="123">
        <v>10.25</v>
      </c>
      <c r="I65" s="148"/>
      <c r="J65" s="149">
        <f>K65/25.4</f>
        <v>0.60039370078740162</v>
      </c>
      <c r="K65" s="123">
        <v>15.25</v>
      </c>
      <c r="M65" s="148"/>
      <c r="N65" s="149">
        <f>O65/25.4</f>
        <v>0.797244094488189</v>
      </c>
      <c r="O65" s="123">
        <v>20.25</v>
      </c>
    </row>
    <row r="66" spans="1:16" ht="12.95" customHeight="1" thickBot="1">
      <c r="A66" s="150" t="s">
        <v>194</v>
      </c>
      <c r="B66" s="151">
        <f>13/64</f>
        <v>0.203125</v>
      </c>
      <c r="C66" s="144">
        <f>B66*25.4</f>
        <v>5.1593749999999998</v>
      </c>
      <c r="E66" s="150" t="s">
        <v>486</v>
      </c>
      <c r="F66" s="151">
        <f>13/32</f>
        <v>0.40625</v>
      </c>
      <c r="G66" s="144">
        <f>F66*25.4</f>
        <v>10.31875</v>
      </c>
      <c r="I66" s="150" t="s">
        <v>209</v>
      </c>
      <c r="J66" s="151">
        <f>39/64</f>
        <v>0.609375</v>
      </c>
      <c r="K66" s="144">
        <f>J66*25.4</f>
        <v>15.478124999999999</v>
      </c>
      <c r="M66" s="150"/>
      <c r="N66" s="151">
        <f>O66/25.4</f>
        <v>0.80708661417322836</v>
      </c>
      <c r="O66" s="144">
        <v>20.5</v>
      </c>
    </row>
    <row r="67" spans="1:16" ht="12.95" customHeight="1" thickBot="1">
      <c r="H67" s="152"/>
      <c r="P67" s="147"/>
    </row>
    <row r="68" spans="1:16" ht="12.95" customHeight="1">
      <c r="A68" s="236" t="s">
        <v>60</v>
      </c>
      <c r="B68" s="254"/>
      <c r="C68" s="255"/>
      <c r="D68" s="153"/>
      <c r="E68" s="261" t="s">
        <v>62</v>
      </c>
      <c r="F68" s="273"/>
      <c r="G68" s="274"/>
      <c r="H68" s="153"/>
      <c r="I68" s="261" t="s">
        <v>335</v>
      </c>
      <c r="J68" s="273"/>
      <c r="K68" s="274"/>
      <c r="L68" s="153"/>
      <c r="M68" s="267" t="s">
        <v>526</v>
      </c>
      <c r="N68" s="268"/>
      <c r="O68" s="269"/>
    </row>
    <row r="69" spans="1:16" ht="12.95" customHeight="1">
      <c r="A69" s="115" t="s">
        <v>296</v>
      </c>
      <c r="B69" s="107" t="s">
        <v>533</v>
      </c>
      <c r="C69" s="116" t="s">
        <v>0</v>
      </c>
      <c r="D69" s="153"/>
      <c r="E69" s="115" t="s">
        <v>76</v>
      </c>
      <c r="F69" s="107" t="s">
        <v>77</v>
      </c>
      <c r="G69" s="116" t="s">
        <v>334</v>
      </c>
      <c r="H69" s="147"/>
      <c r="I69" s="115" t="s">
        <v>527</v>
      </c>
      <c r="J69" s="107" t="s">
        <v>337</v>
      </c>
      <c r="K69" s="116" t="s">
        <v>76</v>
      </c>
      <c r="L69" s="147"/>
      <c r="M69" s="85" t="s">
        <v>531</v>
      </c>
      <c r="N69" s="107" t="s">
        <v>521</v>
      </c>
      <c r="O69" s="108" t="s">
        <v>519</v>
      </c>
    </row>
    <row r="70" spans="1:16" ht="12.95" customHeight="1">
      <c r="A70" s="154">
        <v>0.81299999999999994</v>
      </c>
      <c r="B70" s="127">
        <v>25.4</v>
      </c>
      <c r="C70" s="155">
        <f>A70/B70</f>
        <v>3.2007874015748033E-2</v>
      </c>
      <c r="D70" s="153"/>
      <c r="E70" s="154">
        <v>6.6</v>
      </c>
      <c r="F70" s="127">
        <v>2</v>
      </c>
      <c r="G70" s="155">
        <f>E70/F70</f>
        <v>3.3</v>
      </c>
      <c r="H70" s="153"/>
      <c r="I70" s="154">
        <v>8</v>
      </c>
      <c r="J70" s="127">
        <v>6.25E-2</v>
      </c>
      <c r="K70" s="155">
        <f>I70*(1+J70)</f>
        <v>8.5</v>
      </c>
      <c r="L70" s="147"/>
      <c r="M70" s="111">
        <v>1000</v>
      </c>
      <c r="N70" s="112">
        <v>0.25</v>
      </c>
      <c r="O70" s="113">
        <v>1.34E-2</v>
      </c>
    </row>
    <row r="71" spans="1:16" ht="12.95" customHeight="1" thickBot="1">
      <c r="A71" s="248" t="s">
        <v>524</v>
      </c>
      <c r="B71" s="249"/>
      <c r="C71" s="250"/>
      <c r="D71" s="153"/>
      <c r="E71" s="258" t="s">
        <v>528</v>
      </c>
      <c r="F71" s="259"/>
      <c r="G71" s="260"/>
      <c r="H71" s="153"/>
      <c r="I71" s="258" t="s">
        <v>534</v>
      </c>
      <c r="J71" s="259"/>
      <c r="K71" s="260"/>
      <c r="L71" s="153"/>
      <c r="M71" s="278" t="s">
        <v>520</v>
      </c>
      <c r="N71" s="271"/>
      <c r="O71" s="272"/>
    </row>
    <row r="72" spans="1:16" ht="12.95" customHeight="1" thickBot="1">
      <c r="A72" s="132"/>
      <c r="B72" s="132"/>
      <c r="C72" s="147"/>
      <c r="D72" s="153"/>
      <c r="E72" s="147"/>
      <c r="F72" s="153"/>
      <c r="G72" s="153"/>
      <c r="H72" s="153"/>
      <c r="I72" s="137"/>
      <c r="J72" s="137"/>
      <c r="K72" s="156"/>
      <c r="L72" s="147"/>
      <c r="M72" s="270">
        <f>M70/(12/((N70*3.1416)+O70))</f>
        <v>66.566666666666663</v>
      </c>
      <c r="N72" s="271"/>
      <c r="O72" s="272"/>
    </row>
    <row r="73" spans="1:16" ht="12.95" customHeight="1" thickBot="1">
      <c r="A73" s="261" t="s">
        <v>61</v>
      </c>
      <c r="B73" s="262"/>
      <c r="C73" s="263"/>
      <c r="D73" s="153"/>
      <c r="E73" s="261" t="s">
        <v>63</v>
      </c>
      <c r="F73" s="273"/>
      <c r="G73" s="274"/>
      <c r="H73" s="153"/>
      <c r="I73" s="261" t="s">
        <v>338</v>
      </c>
      <c r="J73" s="273"/>
      <c r="K73" s="274"/>
      <c r="L73" s="153"/>
      <c r="M73" s="264" t="s">
        <v>537</v>
      </c>
      <c r="N73" s="265"/>
      <c r="O73" s="266"/>
    </row>
    <row r="74" spans="1:16" ht="12.95" customHeight="1" thickBot="1">
      <c r="A74" s="115" t="s">
        <v>0</v>
      </c>
      <c r="B74" s="107" t="s">
        <v>533</v>
      </c>
      <c r="C74" s="116" t="s">
        <v>296</v>
      </c>
      <c r="D74" s="147"/>
      <c r="E74" s="115" t="s">
        <v>334</v>
      </c>
      <c r="F74" s="107" t="s">
        <v>77</v>
      </c>
      <c r="G74" s="116" t="s">
        <v>76</v>
      </c>
      <c r="H74" s="147"/>
      <c r="I74" s="115" t="s">
        <v>76</v>
      </c>
      <c r="J74" s="107" t="s">
        <v>337</v>
      </c>
      <c r="K74" s="116" t="s">
        <v>527</v>
      </c>
      <c r="L74" s="147"/>
      <c r="M74" s="132"/>
      <c r="N74" s="157"/>
      <c r="O74" s="157"/>
    </row>
    <row r="75" spans="1:16" ht="12.95" customHeight="1">
      <c r="A75" s="154">
        <v>3.2000000000000001E-2</v>
      </c>
      <c r="B75" s="127">
        <v>25.4</v>
      </c>
      <c r="C75" s="155">
        <f>A75*B75</f>
        <v>0.81279999999999997</v>
      </c>
      <c r="D75" s="153"/>
      <c r="E75" s="154">
        <v>2.9</v>
      </c>
      <c r="F75" s="127">
        <v>0.81299999999999994</v>
      </c>
      <c r="G75" s="155">
        <f>E75*F75</f>
        <v>2.3576999999999999</v>
      </c>
      <c r="H75" s="153"/>
      <c r="I75" s="154">
        <v>8.5</v>
      </c>
      <c r="J75" s="127">
        <v>6.25E-2</v>
      </c>
      <c r="K75" s="155">
        <f>I75/(1+J75)</f>
        <v>8</v>
      </c>
      <c r="L75" s="147"/>
      <c r="M75" s="267" t="s">
        <v>540</v>
      </c>
      <c r="N75" s="268"/>
      <c r="O75" s="269"/>
    </row>
    <row r="76" spans="1:16" ht="12.95" customHeight="1" thickBot="1">
      <c r="A76" s="258" t="s">
        <v>525</v>
      </c>
      <c r="B76" s="259"/>
      <c r="C76" s="260"/>
      <c r="D76" s="153"/>
      <c r="E76" s="258" t="s">
        <v>529</v>
      </c>
      <c r="F76" s="259"/>
      <c r="G76" s="260"/>
      <c r="H76" s="153"/>
      <c r="I76" s="258" t="s">
        <v>535</v>
      </c>
      <c r="J76" s="259"/>
      <c r="K76" s="260"/>
      <c r="L76" s="153"/>
      <c r="M76" s="85" t="s">
        <v>532</v>
      </c>
      <c r="N76" s="107" t="s">
        <v>521</v>
      </c>
      <c r="O76" s="108" t="s">
        <v>519</v>
      </c>
    </row>
    <row r="77" spans="1:16" ht="12.95" customHeight="1" thickBot="1">
      <c r="A77" s="132"/>
      <c r="B77" s="157"/>
      <c r="C77" s="153"/>
      <c r="D77" s="153"/>
      <c r="H77" s="147"/>
      <c r="I77" s="137"/>
      <c r="J77" s="137"/>
      <c r="K77" s="156"/>
      <c r="L77" s="147"/>
      <c r="M77" s="111">
        <v>66.599999999999994</v>
      </c>
      <c r="N77" s="112">
        <v>0.25</v>
      </c>
      <c r="O77" s="113">
        <v>1.34E-2</v>
      </c>
    </row>
    <row r="78" spans="1:16" ht="12.95" customHeight="1">
      <c r="A78" s="132"/>
      <c r="B78" s="157"/>
      <c r="C78" s="153"/>
      <c r="D78" s="153"/>
      <c r="E78" s="261" t="s">
        <v>331</v>
      </c>
      <c r="F78" s="273"/>
      <c r="G78" s="274"/>
      <c r="H78" s="153"/>
      <c r="I78" s="261" t="s">
        <v>339</v>
      </c>
      <c r="J78" s="273"/>
      <c r="K78" s="274"/>
      <c r="L78" s="153"/>
      <c r="M78" s="278" t="s">
        <v>522</v>
      </c>
      <c r="N78" s="271"/>
      <c r="O78" s="272"/>
    </row>
    <row r="79" spans="1:16" ht="12.95" customHeight="1">
      <c r="A79" s="132"/>
      <c r="B79" s="157"/>
      <c r="C79" s="153"/>
      <c r="D79" s="153"/>
      <c r="E79" s="115" t="s">
        <v>76</v>
      </c>
      <c r="F79" s="107" t="s">
        <v>334</v>
      </c>
      <c r="G79" s="116" t="s">
        <v>77</v>
      </c>
      <c r="H79" s="153"/>
      <c r="I79" s="115" t="s">
        <v>76</v>
      </c>
      <c r="J79" s="107" t="s">
        <v>527</v>
      </c>
      <c r="K79" s="116" t="s">
        <v>337</v>
      </c>
      <c r="L79" s="147"/>
      <c r="M79" s="270">
        <f>M77*(12/((N77*3.1416)+O77))</f>
        <v>1000.50075112669</v>
      </c>
      <c r="N79" s="271"/>
      <c r="O79" s="272"/>
    </row>
    <row r="80" spans="1:16" ht="12.95" customHeight="1" thickBot="1">
      <c r="E80" s="154">
        <v>4</v>
      </c>
      <c r="F80" s="127">
        <v>5</v>
      </c>
      <c r="G80" s="155">
        <f>E80/F80</f>
        <v>0.8</v>
      </c>
      <c r="H80" s="147"/>
      <c r="I80" s="154">
        <v>8.5</v>
      </c>
      <c r="J80" s="127">
        <v>8</v>
      </c>
      <c r="K80" s="155">
        <f>(I80/J80)-1</f>
        <v>6.25E-2</v>
      </c>
      <c r="L80" s="147"/>
      <c r="M80" s="264" t="s">
        <v>539</v>
      </c>
      <c r="N80" s="265"/>
      <c r="O80" s="266"/>
    </row>
    <row r="81" spans="4:16" ht="12.95" customHeight="1" thickBot="1">
      <c r="E81" s="258" t="s">
        <v>530</v>
      </c>
      <c r="F81" s="259"/>
      <c r="G81" s="260"/>
      <c r="H81" s="153"/>
      <c r="I81" s="258" t="s">
        <v>536</v>
      </c>
      <c r="J81" s="259"/>
      <c r="K81" s="260"/>
      <c r="L81" s="153"/>
    </row>
    <row r="82" spans="4:16" ht="12.95" customHeight="1">
      <c r="D82" s="110"/>
      <c r="L82" s="147"/>
      <c r="P82" s="147"/>
    </row>
    <row r="84" spans="4:16" ht="12.95" customHeight="1">
      <c r="M84" s="158"/>
      <c r="N84" s="158"/>
      <c r="O84" s="159"/>
    </row>
    <row r="87" spans="4:16" ht="12.95" customHeight="1">
      <c r="I87" s="132"/>
      <c r="J87" s="157"/>
      <c r="K87" s="157"/>
      <c r="L87" s="147"/>
    </row>
    <row r="90" spans="4:16" ht="12.95" customHeight="1">
      <c r="L90" s="147"/>
      <c r="M90" s="132"/>
      <c r="N90" s="157"/>
      <c r="O90" s="157"/>
    </row>
  </sheetData>
  <mergeCells count="94">
    <mergeCell ref="Q32:S32"/>
    <mergeCell ref="E68:G68"/>
    <mergeCell ref="E73:G73"/>
    <mergeCell ref="E78:G78"/>
    <mergeCell ref="E71:G71"/>
    <mergeCell ref="E76:G76"/>
    <mergeCell ref="M78:O78"/>
    <mergeCell ref="M68:O68"/>
    <mergeCell ref="M71:O71"/>
    <mergeCell ref="M72:O72"/>
    <mergeCell ref="J23:K23"/>
    <mergeCell ref="E81:G81"/>
    <mergeCell ref="A73:C73"/>
    <mergeCell ref="A76:C76"/>
    <mergeCell ref="M80:O80"/>
    <mergeCell ref="M75:O75"/>
    <mergeCell ref="M79:O79"/>
    <mergeCell ref="I81:K81"/>
    <mergeCell ref="I78:K78"/>
    <mergeCell ref="M73:O73"/>
    <mergeCell ref="I71:K71"/>
    <mergeCell ref="I68:K68"/>
    <mergeCell ref="I73:K73"/>
    <mergeCell ref="I76:K76"/>
    <mergeCell ref="J24:K24"/>
    <mergeCell ref="N24:O24"/>
    <mergeCell ref="J6:K6"/>
    <mergeCell ref="J10:K10"/>
    <mergeCell ref="J13:K13"/>
    <mergeCell ref="J9:K9"/>
    <mergeCell ref="I12:K12"/>
    <mergeCell ref="R18:S18"/>
    <mergeCell ref="N15:O15"/>
    <mergeCell ref="J17:K17"/>
    <mergeCell ref="J20:K20"/>
    <mergeCell ref="J14:K14"/>
    <mergeCell ref="J15:K15"/>
    <mergeCell ref="I19:K19"/>
    <mergeCell ref="J5:K5"/>
    <mergeCell ref="E3:G3"/>
    <mergeCell ref="R4:S4"/>
    <mergeCell ref="J4:K4"/>
    <mergeCell ref="A32:C32"/>
    <mergeCell ref="E32:G32"/>
    <mergeCell ref="I32:K32"/>
    <mergeCell ref="M32:O32"/>
    <mergeCell ref="A3:C3"/>
    <mergeCell ref="N5:O5"/>
    <mergeCell ref="J21:K21"/>
    <mergeCell ref="J22:K22"/>
    <mergeCell ref="R19:S19"/>
    <mergeCell ref="R8:S8"/>
    <mergeCell ref="R9:S9"/>
    <mergeCell ref="R20:S20"/>
    <mergeCell ref="A1:S1"/>
    <mergeCell ref="A71:C71"/>
    <mergeCell ref="N10:O10"/>
    <mergeCell ref="N11:O11"/>
    <mergeCell ref="N12:O12"/>
    <mergeCell ref="N13:O13"/>
    <mergeCell ref="N6:O6"/>
    <mergeCell ref="N4:O4"/>
    <mergeCell ref="N16:O16"/>
    <mergeCell ref="I3:K3"/>
    <mergeCell ref="A68:C68"/>
    <mergeCell ref="N7:O7"/>
    <mergeCell ref="N8:O8"/>
    <mergeCell ref="A14:C14"/>
    <mergeCell ref="N20:O20"/>
    <mergeCell ref="N21:O21"/>
    <mergeCell ref="N26:O26"/>
    <mergeCell ref="N25:O25"/>
    <mergeCell ref="N18:O18"/>
    <mergeCell ref="N9:O9"/>
    <mergeCell ref="N22:O22"/>
    <mergeCell ref="N19:O19"/>
    <mergeCell ref="N23:O23"/>
    <mergeCell ref="N14:O14"/>
    <mergeCell ref="R5:S5"/>
    <mergeCell ref="R6:S6"/>
    <mergeCell ref="R7:S7"/>
    <mergeCell ref="M3:O3"/>
    <mergeCell ref="R23:S23"/>
    <mergeCell ref="R21:S21"/>
    <mergeCell ref="R17:S17"/>
    <mergeCell ref="R10:S10"/>
    <mergeCell ref="R22:S22"/>
    <mergeCell ref="N17:O17"/>
    <mergeCell ref="Q3:S3"/>
    <mergeCell ref="Q12:S12"/>
    <mergeCell ref="R13:S13"/>
    <mergeCell ref="R15:S15"/>
    <mergeCell ref="R16:S16"/>
    <mergeCell ref="R14:S14"/>
  </mergeCells>
  <phoneticPr fontId="2" type="noConversion"/>
  <printOptions horizontalCentered="1"/>
  <pageMargins left="0.2" right="0.2" top="0.2" bottom="0.2" header="0" footer="0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1"/>
  <sheetViews>
    <sheetView workbookViewId="0">
      <pane ySplit="1875" topLeftCell="A7" activePane="bottomLeft"/>
      <selection activeCell="A2" sqref="A2:IV2"/>
      <selection pane="bottomLeft" activeCell="U7" sqref="U7"/>
    </sheetView>
  </sheetViews>
  <sheetFormatPr defaultRowHeight="11.25" customHeight="1"/>
  <cols>
    <col min="1" max="3" width="7.7109375" customWidth="1"/>
    <col min="4" max="11" width="5.7109375" customWidth="1"/>
    <col min="12" max="12" width="7.7109375" customWidth="1"/>
    <col min="13" max="18" width="5.7109375" customWidth="1"/>
  </cols>
  <sheetData>
    <row r="1" spans="1:18" s="52" customFormat="1" ht="18">
      <c r="A1" s="279" t="s">
        <v>324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80"/>
      <c r="N1" s="280"/>
      <c r="O1" s="280"/>
      <c r="P1" s="280"/>
      <c r="Q1" s="280"/>
      <c r="R1" s="280"/>
    </row>
    <row r="2" spans="1:18" s="52" customFormat="1" ht="11.2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8" ht="18">
      <c r="A3" s="283" t="s">
        <v>516</v>
      </c>
      <c r="B3" s="284"/>
      <c r="C3" s="285"/>
      <c r="D3" s="295" t="s">
        <v>77</v>
      </c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7"/>
    </row>
    <row r="4" spans="1:18" ht="11.25" customHeight="1">
      <c r="A4" s="286" t="s">
        <v>517</v>
      </c>
      <c r="B4" s="289" t="s">
        <v>518</v>
      </c>
      <c r="C4" s="292" t="s">
        <v>296</v>
      </c>
      <c r="D4" s="2" t="s">
        <v>573</v>
      </c>
      <c r="E4" s="2" t="s">
        <v>308</v>
      </c>
      <c r="F4" s="2" t="s">
        <v>315</v>
      </c>
      <c r="G4" s="2" t="s">
        <v>316</v>
      </c>
      <c r="H4" s="2" t="s">
        <v>317</v>
      </c>
      <c r="I4" s="2" t="s">
        <v>318</v>
      </c>
      <c r="J4" s="2" t="s">
        <v>319</v>
      </c>
      <c r="K4" s="2" t="s">
        <v>320</v>
      </c>
      <c r="L4" s="48" t="s">
        <v>314</v>
      </c>
      <c r="M4" s="2" t="s">
        <v>321</v>
      </c>
      <c r="N4" s="2" t="s">
        <v>260</v>
      </c>
      <c r="O4" s="2" t="s">
        <v>259</v>
      </c>
      <c r="P4" s="2" t="s">
        <v>258</v>
      </c>
      <c r="Q4" s="2" t="s">
        <v>322</v>
      </c>
      <c r="R4" s="56" t="s">
        <v>323</v>
      </c>
    </row>
    <row r="5" spans="1:18" s="1" customFormat="1" ht="11.25" customHeight="1">
      <c r="A5" s="287"/>
      <c r="B5" s="290"/>
      <c r="C5" s="293"/>
      <c r="D5" s="86">
        <v>0.104</v>
      </c>
      <c r="E5" s="86">
        <v>0.08</v>
      </c>
      <c r="F5" s="86">
        <v>6.4000000000000001E-2</v>
      </c>
      <c r="G5" s="86">
        <v>4.8000000000000001E-2</v>
      </c>
      <c r="H5" s="86">
        <v>0.04</v>
      </c>
      <c r="I5" s="86">
        <v>3.5999999999999997E-2</v>
      </c>
      <c r="J5" s="86">
        <v>2.8000000000000001E-2</v>
      </c>
      <c r="K5" s="86">
        <v>2.1999999999999999E-2</v>
      </c>
      <c r="L5" s="48" t="s">
        <v>0</v>
      </c>
      <c r="M5" s="79">
        <v>6.4100000000000004E-2</v>
      </c>
      <c r="N5" s="79">
        <v>5.0799999999999998E-2</v>
      </c>
      <c r="O5" s="79">
        <v>4.0300000000000002E-2</v>
      </c>
      <c r="P5" s="79">
        <v>3.1899999999999998E-2</v>
      </c>
      <c r="Q5" s="79">
        <v>2.53E-2</v>
      </c>
      <c r="R5" s="80">
        <v>2.01E-2</v>
      </c>
    </row>
    <row r="6" spans="1:18" ht="11.25" customHeight="1" thickBot="1">
      <c r="A6" s="288"/>
      <c r="B6" s="291"/>
      <c r="C6" s="294"/>
      <c r="D6" s="81">
        <v>2.6419999999999999</v>
      </c>
      <c r="E6" s="81">
        <v>2.032</v>
      </c>
      <c r="F6" s="81">
        <v>1.6259999999999999</v>
      </c>
      <c r="G6" s="81">
        <v>1.2190000000000001</v>
      </c>
      <c r="H6" s="81">
        <v>1</v>
      </c>
      <c r="I6" s="81">
        <v>0.91400000000000003</v>
      </c>
      <c r="J6" s="81">
        <v>0.71099999999999997</v>
      </c>
      <c r="K6" s="81">
        <v>0.59899999999999998</v>
      </c>
      <c r="L6" s="3" t="s">
        <v>296</v>
      </c>
      <c r="M6" s="81">
        <v>1.6255999999999999</v>
      </c>
      <c r="N6" s="81">
        <v>1.2903</v>
      </c>
      <c r="O6" s="81">
        <v>1.0236000000000001</v>
      </c>
      <c r="P6" s="81">
        <v>0.81030000000000002</v>
      </c>
      <c r="Q6" s="81">
        <v>0.64259999999999995</v>
      </c>
      <c r="R6" s="82">
        <v>0.51049999999999995</v>
      </c>
    </row>
    <row r="7" spans="1:18" ht="11.25" customHeight="1">
      <c r="A7" s="13"/>
      <c r="B7" s="79">
        <f>C7/25.4</f>
        <v>5.9055118110236227E-2</v>
      </c>
      <c r="C7" s="80">
        <v>1.5</v>
      </c>
      <c r="D7" s="162"/>
      <c r="E7" s="163"/>
      <c r="F7" s="87"/>
      <c r="G7" s="87"/>
      <c r="H7" s="87"/>
      <c r="I7" s="87"/>
      <c r="J7" s="88"/>
      <c r="K7" s="91">
        <f>C7/K6</f>
        <v>2.5041736227045077</v>
      </c>
      <c r="L7" s="281"/>
      <c r="M7" s="88"/>
      <c r="N7" s="88"/>
      <c r="O7" s="88"/>
      <c r="P7" s="88"/>
      <c r="Q7" s="88"/>
      <c r="R7" s="92">
        <f>C7/R6</f>
        <v>2.9382957884427037</v>
      </c>
    </row>
    <row r="8" spans="1:18" ht="11.25" customHeight="1">
      <c r="A8" s="13" t="s">
        <v>185</v>
      </c>
      <c r="B8" s="79">
        <f>1/16</f>
        <v>6.25E-2</v>
      </c>
      <c r="C8" s="80">
        <f>B8*25.4</f>
        <v>1.5874999999999999</v>
      </c>
      <c r="D8" s="164"/>
      <c r="E8" s="165"/>
      <c r="F8" s="87"/>
      <c r="G8" s="87"/>
      <c r="H8" s="87"/>
      <c r="I8" s="87"/>
      <c r="J8" s="88"/>
      <c r="K8" s="91">
        <f>C8/K6</f>
        <v>2.6502504173622703</v>
      </c>
      <c r="L8" s="281"/>
      <c r="M8" s="88"/>
      <c r="N8" s="88"/>
      <c r="O8" s="88"/>
      <c r="P8" s="88"/>
      <c r="Q8" s="91">
        <f>C8/Q6</f>
        <v>2.4704326174914413</v>
      </c>
      <c r="R8" s="92">
        <f>C8/R6</f>
        <v>3.1096963761018612</v>
      </c>
    </row>
    <row r="9" spans="1:18" ht="11.25" customHeight="1">
      <c r="A9" s="13"/>
      <c r="B9" s="79">
        <f>C9/25.4</f>
        <v>6.8897637795275593E-2</v>
      </c>
      <c r="C9" s="80">
        <v>1.75</v>
      </c>
      <c r="D9" s="164"/>
      <c r="E9" s="165"/>
      <c r="F9" s="87"/>
      <c r="G9" s="87"/>
      <c r="H9" s="87"/>
      <c r="I9" s="88"/>
      <c r="J9" s="91">
        <f>C9/J6</f>
        <v>2.4613220815752461</v>
      </c>
      <c r="K9" s="93">
        <f>C9/K6</f>
        <v>2.9215358931552591</v>
      </c>
      <c r="L9" s="281"/>
      <c r="M9" s="88"/>
      <c r="N9" s="88"/>
      <c r="O9" s="88"/>
      <c r="P9" s="88"/>
      <c r="Q9" s="91">
        <f>C9/Q6</f>
        <v>2.723311546840959</v>
      </c>
      <c r="R9" s="92">
        <f>C9/R6</f>
        <v>3.4280117531831542</v>
      </c>
    </row>
    <row r="10" spans="1:18" ht="11.25" customHeight="1">
      <c r="A10" s="13" t="s">
        <v>186</v>
      </c>
      <c r="B10" s="79">
        <f>5/64</f>
        <v>7.8125E-2</v>
      </c>
      <c r="C10" s="80">
        <f>B10*25.4</f>
        <v>1.984375</v>
      </c>
      <c r="D10" s="164"/>
      <c r="E10" s="165"/>
      <c r="F10" s="87"/>
      <c r="G10" s="87"/>
      <c r="H10" s="87"/>
      <c r="I10" s="88"/>
      <c r="J10" s="91">
        <f>C10/J6</f>
        <v>2.7909634317862166</v>
      </c>
      <c r="K10" s="93">
        <f>C10/K6</f>
        <v>3.312813021702838</v>
      </c>
      <c r="L10" s="281"/>
      <c r="M10" s="88"/>
      <c r="N10" s="88"/>
      <c r="O10" s="88"/>
      <c r="P10" s="88"/>
      <c r="Q10" s="93">
        <f>C10/Q6</f>
        <v>3.0880407718643017</v>
      </c>
      <c r="R10" s="92">
        <f>C10/R6</f>
        <v>3.8871204701273263</v>
      </c>
    </row>
    <row r="11" spans="1:18" ht="11.25" customHeight="1">
      <c r="A11" s="13"/>
      <c r="B11" s="79">
        <f>C11/25.4</f>
        <v>7.874015748031496E-2</v>
      </c>
      <c r="C11" s="80">
        <v>2</v>
      </c>
      <c r="D11" s="164"/>
      <c r="E11" s="165"/>
      <c r="F11" s="87"/>
      <c r="G11" s="87"/>
      <c r="H11" s="88"/>
      <c r="I11" s="88"/>
      <c r="J11" s="91">
        <f>C11/J6</f>
        <v>2.8129395218002813</v>
      </c>
      <c r="K11" s="93">
        <f>C11/K6</f>
        <v>3.33889816360601</v>
      </c>
      <c r="L11" s="281"/>
      <c r="M11" s="88"/>
      <c r="N11" s="88"/>
      <c r="O11" s="88"/>
      <c r="P11" s="91">
        <f>C11/P6</f>
        <v>2.4682216463038382</v>
      </c>
      <c r="Q11" s="93">
        <f>C11/Q6</f>
        <v>3.1123560535325243</v>
      </c>
      <c r="R11" s="92">
        <f>C11/R6</f>
        <v>3.9177277179236047</v>
      </c>
    </row>
    <row r="12" spans="1:18" ht="11.25" customHeight="1">
      <c r="A12" s="13"/>
      <c r="B12" s="79">
        <f>C12/25.4</f>
        <v>8.858267716535434E-2</v>
      </c>
      <c r="C12" s="80">
        <v>2.25</v>
      </c>
      <c r="D12" s="164"/>
      <c r="E12" s="165"/>
      <c r="F12" s="87"/>
      <c r="G12" s="87"/>
      <c r="H12" s="88"/>
      <c r="I12" s="91">
        <f>C12/I6</f>
        <v>2.4617067833698028</v>
      </c>
      <c r="J12" s="93">
        <f>C12/J6</f>
        <v>3.1645569620253164</v>
      </c>
      <c r="K12" s="93">
        <f>C12/K6</f>
        <v>3.7562604340567614</v>
      </c>
      <c r="L12" s="281"/>
      <c r="M12" s="88"/>
      <c r="N12" s="88"/>
      <c r="O12" s="88"/>
      <c r="P12" s="91">
        <f>C12/P6</f>
        <v>2.7767493520918176</v>
      </c>
      <c r="Q12" s="93">
        <f>C12/Q6</f>
        <v>3.5014005602240901</v>
      </c>
      <c r="R12" s="92">
        <f>C12/R6</f>
        <v>4.4074436826640548</v>
      </c>
    </row>
    <row r="13" spans="1:18" ht="11.25" customHeight="1">
      <c r="A13" s="13" t="s">
        <v>187</v>
      </c>
      <c r="B13" s="79">
        <f>3/32</f>
        <v>9.375E-2</v>
      </c>
      <c r="C13" s="80">
        <f>B13*25.4</f>
        <v>2.3812499999999996</v>
      </c>
      <c r="D13" s="164"/>
      <c r="E13" s="165"/>
      <c r="F13" s="87"/>
      <c r="G13" s="87"/>
      <c r="H13" s="88"/>
      <c r="I13" s="91">
        <f>C13/I6</f>
        <v>2.605306345733041</v>
      </c>
      <c r="J13" s="93">
        <f>C13/J6</f>
        <v>3.3491561181434597</v>
      </c>
      <c r="K13" s="93">
        <f>C13/K6</f>
        <v>3.9753756260434052</v>
      </c>
      <c r="L13" s="281"/>
      <c r="M13" s="88"/>
      <c r="N13" s="88"/>
      <c r="O13" s="88"/>
      <c r="P13" s="93">
        <f>C13/P6</f>
        <v>2.9387263976305067</v>
      </c>
      <c r="Q13" s="93">
        <f>C13/Q6</f>
        <v>3.7056489262371612</v>
      </c>
      <c r="R13" s="92">
        <f>C13/R6</f>
        <v>4.6645445641527914</v>
      </c>
    </row>
    <row r="14" spans="1:18" ht="11.25" customHeight="1">
      <c r="A14" s="13"/>
      <c r="B14" s="79">
        <f>C14/25.4</f>
        <v>9.8425196850393706E-2</v>
      </c>
      <c r="C14" s="80">
        <v>2.5</v>
      </c>
      <c r="D14" s="164"/>
      <c r="E14" s="165"/>
      <c r="F14" s="87"/>
      <c r="G14" s="87"/>
      <c r="H14" s="91">
        <f>C14/H6</f>
        <v>2.5</v>
      </c>
      <c r="I14" s="91">
        <f>C14/I6</f>
        <v>2.7352297592997812</v>
      </c>
      <c r="J14" s="93">
        <f>C14/J6</f>
        <v>3.5161744022503516</v>
      </c>
      <c r="K14" s="93">
        <f>C14/K6</f>
        <v>4.1736227045075127</v>
      </c>
      <c r="L14" s="281"/>
      <c r="M14" s="88"/>
      <c r="N14" s="88"/>
      <c r="O14" s="91">
        <f>C14/O6</f>
        <v>2.4423602969910121</v>
      </c>
      <c r="P14" s="93">
        <f>C14/P6</f>
        <v>3.0852770578797974</v>
      </c>
      <c r="Q14" s="93">
        <f>C14/Q6</f>
        <v>3.8904450669156554</v>
      </c>
      <c r="R14" s="92">
        <f>C14/R6</f>
        <v>4.8971596474045063</v>
      </c>
    </row>
    <row r="15" spans="1:18" ht="11.25" customHeight="1">
      <c r="A15" s="13"/>
      <c r="B15" s="79">
        <f>C15/25.4</f>
        <v>0.10826771653543307</v>
      </c>
      <c r="C15" s="80">
        <v>2.75</v>
      </c>
      <c r="D15" s="164"/>
      <c r="E15" s="165"/>
      <c r="F15" s="87"/>
      <c r="G15" s="88"/>
      <c r="H15" s="91">
        <f>C15/H6</f>
        <v>2.75</v>
      </c>
      <c r="I15" s="93">
        <f>C15/I6</f>
        <v>3.0087527352297592</v>
      </c>
      <c r="J15" s="93">
        <f>C15/J6</f>
        <v>3.8677918424753868</v>
      </c>
      <c r="K15" s="93">
        <f>C15/K6</f>
        <v>4.5909849749582641</v>
      </c>
      <c r="L15" s="281"/>
      <c r="M15" s="88"/>
      <c r="N15" s="88"/>
      <c r="O15" s="91">
        <f>C15/O6</f>
        <v>2.6865963266901129</v>
      </c>
      <c r="P15" s="93">
        <f>C15/P6</f>
        <v>3.3938047636677773</v>
      </c>
      <c r="Q15" s="93">
        <f>C15/Q6</f>
        <v>4.2794895736072212</v>
      </c>
      <c r="R15" s="92">
        <f>C15/R6</f>
        <v>5.3868756121449568</v>
      </c>
    </row>
    <row r="16" spans="1:18" ht="11.25" customHeight="1">
      <c r="A16" s="13" t="s">
        <v>188</v>
      </c>
      <c r="B16" s="79">
        <f>7/64</f>
        <v>0.109375</v>
      </c>
      <c r="C16" s="80">
        <f>B16*25.4</f>
        <v>2.7781249999999997</v>
      </c>
      <c r="D16" s="164"/>
      <c r="E16" s="165"/>
      <c r="F16" s="87"/>
      <c r="G16" s="88"/>
      <c r="H16" s="91">
        <f>C16/H6</f>
        <v>2.7781249999999997</v>
      </c>
      <c r="I16" s="93">
        <f>C16/I6</f>
        <v>3.0395240700218813</v>
      </c>
      <c r="J16" s="93">
        <f>C16/J6</f>
        <v>3.9073488045007032</v>
      </c>
      <c r="K16" s="93">
        <f>C16/K6</f>
        <v>4.6379382303839733</v>
      </c>
      <c r="L16" s="281"/>
      <c r="M16" s="88"/>
      <c r="N16" s="88"/>
      <c r="O16" s="91">
        <f>C16/O6</f>
        <v>2.7140728800312619</v>
      </c>
      <c r="P16" s="93">
        <f>C16/P6</f>
        <v>3.4285141305689248</v>
      </c>
      <c r="Q16" s="93">
        <f>C16/Q6</f>
        <v>4.3232570806100217</v>
      </c>
      <c r="R16" s="92">
        <f>C16/R6</f>
        <v>5.4419686581782569</v>
      </c>
    </row>
    <row r="17" spans="1:18" ht="11.25" customHeight="1">
      <c r="A17" s="13"/>
      <c r="B17" s="79">
        <f>C17/25.4</f>
        <v>0.11811023622047245</v>
      </c>
      <c r="C17" s="80">
        <v>3</v>
      </c>
      <c r="D17" s="164"/>
      <c r="E17" s="165"/>
      <c r="F17" s="87"/>
      <c r="G17" s="91">
        <f>C17/G6</f>
        <v>2.4610336341263328</v>
      </c>
      <c r="H17" s="93">
        <f>C17/H6</f>
        <v>3</v>
      </c>
      <c r="I17" s="93">
        <f>C17/I6</f>
        <v>3.2822757111597372</v>
      </c>
      <c r="J17" s="93">
        <f>C17/J6</f>
        <v>4.2194092827004219</v>
      </c>
      <c r="K17" s="93">
        <f>C17/K6</f>
        <v>5.0083472454090154</v>
      </c>
      <c r="L17" s="281"/>
      <c r="M17" s="88"/>
      <c r="N17" s="88"/>
      <c r="O17" s="93">
        <f>C17/O6</f>
        <v>2.9308323563892142</v>
      </c>
      <c r="P17" s="93">
        <f>C17/P6</f>
        <v>3.7023324694557571</v>
      </c>
      <c r="Q17" s="93">
        <f>C17/Q6</f>
        <v>4.6685340802987865</v>
      </c>
      <c r="R17" s="90">
        <f>C17/R6</f>
        <v>5.8765915768854073</v>
      </c>
    </row>
    <row r="18" spans="1:18" ht="11.25" customHeight="1">
      <c r="A18" s="13" t="s">
        <v>189</v>
      </c>
      <c r="B18" s="79">
        <f>1/8</f>
        <v>0.125</v>
      </c>
      <c r="C18" s="80">
        <f>B18*25.4</f>
        <v>3.1749999999999998</v>
      </c>
      <c r="D18" s="164"/>
      <c r="E18" s="165"/>
      <c r="F18" s="87"/>
      <c r="G18" s="91">
        <f>C18/G6</f>
        <v>2.604593929450369</v>
      </c>
      <c r="H18" s="93">
        <f>C18/H6</f>
        <v>3.1749999999999998</v>
      </c>
      <c r="I18" s="93">
        <f>C18/I6</f>
        <v>3.4737417943107216</v>
      </c>
      <c r="J18" s="93">
        <f>C18/J6</f>
        <v>4.4655414908579463</v>
      </c>
      <c r="K18" s="93">
        <f>C18/K6</f>
        <v>5.3005008347245406</v>
      </c>
      <c r="L18" s="281"/>
      <c r="M18" s="88"/>
      <c r="N18" s="91">
        <f>C18/N6</f>
        <v>2.4606680616910794</v>
      </c>
      <c r="O18" s="93">
        <f>C18/O6</f>
        <v>3.1017975771785848</v>
      </c>
      <c r="P18" s="93">
        <f>C18/P6</f>
        <v>3.9183018635073426</v>
      </c>
      <c r="Q18" s="93">
        <f>C18/Q6</f>
        <v>4.9408652349828825</v>
      </c>
      <c r="R18" s="90">
        <f>C18/R6</f>
        <v>6.2193927522037225</v>
      </c>
    </row>
    <row r="19" spans="1:18" ht="11.25" customHeight="1">
      <c r="A19" s="13"/>
      <c r="B19" s="79">
        <f>C19/25.4</f>
        <v>0.12795275590551181</v>
      </c>
      <c r="C19" s="80">
        <v>3.25</v>
      </c>
      <c r="D19" s="164"/>
      <c r="E19" s="165"/>
      <c r="F19" s="87"/>
      <c r="G19" s="91">
        <f>C19/G6</f>
        <v>2.6661197703035273</v>
      </c>
      <c r="H19" s="93">
        <f>C19/H6</f>
        <v>3.25</v>
      </c>
      <c r="I19" s="93">
        <f>C19/I6</f>
        <v>3.5557986870897156</v>
      </c>
      <c r="J19" s="93">
        <f>C19/J6</f>
        <v>4.5710267229254571</v>
      </c>
      <c r="K19" s="93">
        <f>C19/K6</f>
        <v>5.4257095158597668</v>
      </c>
      <c r="L19" s="281"/>
      <c r="M19" s="88"/>
      <c r="N19" s="91">
        <f>C19/N6</f>
        <v>2.5187940788963807</v>
      </c>
      <c r="O19" s="93">
        <f>C19/O6</f>
        <v>3.1750683860883155</v>
      </c>
      <c r="P19" s="93">
        <f>C19/P6</f>
        <v>4.0108601752437369</v>
      </c>
      <c r="Q19" s="93">
        <f>C19/Q6</f>
        <v>5.0575785869903518</v>
      </c>
      <c r="R19" s="89"/>
    </row>
    <row r="20" spans="1:18" ht="11.25" customHeight="1">
      <c r="A20" s="13"/>
      <c r="B20" s="79">
        <f>C20/25.4</f>
        <v>0.13779527559055119</v>
      </c>
      <c r="C20" s="80">
        <v>3.5</v>
      </c>
      <c r="D20" s="164"/>
      <c r="E20" s="165"/>
      <c r="F20" s="87"/>
      <c r="G20" s="93">
        <f>C20/G6</f>
        <v>2.8712059064807218</v>
      </c>
      <c r="H20" s="93">
        <f>C20/H6</f>
        <v>3.5</v>
      </c>
      <c r="I20" s="93">
        <f>C20/I6</f>
        <v>3.8293216630196936</v>
      </c>
      <c r="J20" s="93">
        <f>C20/J6</f>
        <v>4.9226441631504922</v>
      </c>
      <c r="K20" s="91">
        <f>C20/K6</f>
        <v>5.8430717863105182</v>
      </c>
      <c r="L20" s="281"/>
      <c r="M20" s="88"/>
      <c r="N20" s="91">
        <f>C20/N6</f>
        <v>2.7125474695807177</v>
      </c>
      <c r="O20" s="93">
        <f>C20/O6</f>
        <v>3.4193044157874168</v>
      </c>
      <c r="P20" s="93">
        <f>C20/P6</f>
        <v>4.3193878810317168</v>
      </c>
      <c r="Q20" s="93">
        <f>C20/Q6</f>
        <v>5.446623093681918</v>
      </c>
      <c r="R20" s="89"/>
    </row>
    <row r="21" spans="1:18" ht="11.25" customHeight="1">
      <c r="A21" s="13" t="s">
        <v>190</v>
      </c>
      <c r="B21" s="79">
        <f>9/64</f>
        <v>0.140625</v>
      </c>
      <c r="C21" s="80">
        <f>B21*25.4</f>
        <v>3.5718749999999999</v>
      </c>
      <c r="D21" s="164"/>
      <c r="E21" s="165"/>
      <c r="F21" s="87"/>
      <c r="G21" s="93">
        <f>C21/G6</f>
        <v>2.9301681706316649</v>
      </c>
      <c r="H21" s="93">
        <f>C21/H6</f>
        <v>3.5718749999999999</v>
      </c>
      <c r="I21" s="93">
        <f>C21/I6</f>
        <v>3.9079595185995619</v>
      </c>
      <c r="J21" s="93">
        <f>C21/J6</f>
        <v>5.0237341772151902</v>
      </c>
      <c r="K21" s="91">
        <f>C21/K6</f>
        <v>5.9630634390651087</v>
      </c>
      <c r="L21" s="281"/>
      <c r="M21" s="88"/>
      <c r="N21" s="91">
        <f>C21/N6</f>
        <v>2.7682515694024645</v>
      </c>
      <c r="O21" s="93">
        <f>C21/O6</f>
        <v>3.4895222743259082</v>
      </c>
      <c r="P21" s="93">
        <f>C21/P6</f>
        <v>4.4080895964457607</v>
      </c>
      <c r="Q21" s="91">
        <f>C21/Q6</f>
        <v>5.5584733893557425</v>
      </c>
      <c r="R21" s="89"/>
    </row>
    <row r="22" spans="1:18" ht="11.25" customHeight="1">
      <c r="A22" s="13"/>
      <c r="B22" s="79">
        <f>C22/25.4</f>
        <v>0.14763779527559057</v>
      </c>
      <c r="C22" s="80">
        <v>3.75</v>
      </c>
      <c r="D22" s="164"/>
      <c r="E22" s="165"/>
      <c r="F22" s="88"/>
      <c r="G22" s="93">
        <f>C22/G6</f>
        <v>3.0762920426579159</v>
      </c>
      <c r="H22" s="93">
        <f>C22/H6</f>
        <v>3.75</v>
      </c>
      <c r="I22" s="93">
        <f>C22/I6</f>
        <v>4.102844638949672</v>
      </c>
      <c r="J22" s="93">
        <f>C22/J6</f>
        <v>5.2742616033755274</v>
      </c>
      <c r="K22" s="88"/>
      <c r="L22" s="281"/>
      <c r="M22" s="88"/>
      <c r="N22" s="93">
        <f>C22/N6</f>
        <v>2.9063008602650546</v>
      </c>
      <c r="O22" s="93">
        <f>C22/O6</f>
        <v>3.6635404454865181</v>
      </c>
      <c r="P22" s="93">
        <f>C22/P6</f>
        <v>4.6279155868196966</v>
      </c>
      <c r="Q22" s="91">
        <f>C22/Q6</f>
        <v>5.8356676003734833</v>
      </c>
      <c r="R22" s="89"/>
    </row>
    <row r="23" spans="1:18" ht="11.25" customHeight="1">
      <c r="A23" s="13" t="s">
        <v>191</v>
      </c>
      <c r="B23" s="79">
        <f>5/32</f>
        <v>0.15625</v>
      </c>
      <c r="C23" s="80">
        <f>B23*25.4</f>
        <v>3.96875</v>
      </c>
      <c r="D23" s="164"/>
      <c r="E23" s="165"/>
      <c r="F23" s="88"/>
      <c r="G23" s="93">
        <f>C23/G6</f>
        <v>3.2557424118129612</v>
      </c>
      <c r="H23" s="93">
        <f>C23/H6</f>
        <v>3.96875</v>
      </c>
      <c r="I23" s="93">
        <f>C23/I6</f>
        <v>4.3421772428884022</v>
      </c>
      <c r="J23" s="91">
        <f>C23/J6</f>
        <v>5.5819268635724333</v>
      </c>
      <c r="K23" s="88"/>
      <c r="L23" s="281"/>
      <c r="M23" s="88"/>
      <c r="N23" s="93">
        <f>C23/N6</f>
        <v>3.0758350771138496</v>
      </c>
      <c r="O23" s="93">
        <f>C23/O6</f>
        <v>3.8772469714732316</v>
      </c>
      <c r="P23" s="93">
        <f>C23/P6</f>
        <v>4.8978773293841789</v>
      </c>
      <c r="Q23" s="91">
        <f>C23/Q6</f>
        <v>6.1760815437286034</v>
      </c>
      <c r="R23" s="89"/>
    </row>
    <row r="24" spans="1:18" ht="11.25" customHeight="1">
      <c r="A24" s="13"/>
      <c r="B24" s="79">
        <f>C24/25.4</f>
        <v>0.15748031496062992</v>
      </c>
      <c r="C24" s="80">
        <v>4</v>
      </c>
      <c r="D24" s="164"/>
      <c r="E24" s="165"/>
      <c r="F24" s="91">
        <f>C24/F6</f>
        <v>2.4600246002460024</v>
      </c>
      <c r="G24" s="93">
        <f>C24/G6</f>
        <v>3.2813781788351104</v>
      </c>
      <c r="H24" s="93">
        <f>C24/H6</f>
        <v>4</v>
      </c>
      <c r="I24" s="93">
        <f>C24/I6</f>
        <v>4.3763676148796495</v>
      </c>
      <c r="J24" s="91">
        <f>C24/J6</f>
        <v>5.6258790436005626</v>
      </c>
      <c r="K24" s="88"/>
      <c r="L24" s="281"/>
      <c r="M24" s="91">
        <f>C24/M6</f>
        <v>2.4606299212598426</v>
      </c>
      <c r="N24" s="93">
        <f>C24/N6</f>
        <v>3.1000542509493916</v>
      </c>
      <c r="O24" s="93">
        <f>C24/O6</f>
        <v>3.907776475185619</v>
      </c>
      <c r="P24" s="93">
        <f>C24/P6</f>
        <v>4.9364432926076764</v>
      </c>
      <c r="Q24" s="88"/>
      <c r="R24" s="89"/>
    </row>
    <row r="25" spans="1:18" ht="11.25" customHeight="1">
      <c r="A25" s="13"/>
      <c r="B25" s="79">
        <f>C25/25.4</f>
        <v>0.1673228346456693</v>
      </c>
      <c r="C25" s="80">
        <v>4.25</v>
      </c>
      <c r="D25" s="164"/>
      <c r="E25" s="165"/>
      <c r="F25" s="91">
        <f>C25/F6</f>
        <v>2.613776137761378</v>
      </c>
      <c r="G25" s="93">
        <f>C25/G6</f>
        <v>3.4864643150123049</v>
      </c>
      <c r="H25" s="93">
        <f>C25/H6</f>
        <v>4.25</v>
      </c>
      <c r="I25" s="93">
        <f>C25/I6</f>
        <v>4.649890590809628</v>
      </c>
      <c r="J25" s="91">
        <f>C25/J6</f>
        <v>5.9774964838255977</v>
      </c>
      <c r="K25" s="88"/>
      <c r="L25" s="281"/>
      <c r="M25" s="91">
        <f>C25/M6</f>
        <v>2.6144192913385829</v>
      </c>
      <c r="N25" s="93">
        <f>C25/N6</f>
        <v>3.2938076416337285</v>
      </c>
      <c r="O25" s="93">
        <f>C25/O6</f>
        <v>4.1520125048847207</v>
      </c>
      <c r="P25" s="93">
        <f>C25/P6</f>
        <v>5.2449709983956554</v>
      </c>
      <c r="Q25" s="88"/>
      <c r="R25" s="89"/>
    </row>
    <row r="26" spans="1:18" ht="11.25" customHeight="1">
      <c r="A26" s="13" t="s">
        <v>192</v>
      </c>
      <c r="B26" s="79">
        <f>11/64</f>
        <v>0.171875</v>
      </c>
      <c r="C26" s="80">
        <f>B26*25.4</f>
        <v>4.3656249999999996</v>
      </c>
      <c r="D26" s="164"/>
      <c r="E26" s="165"/>
      <c r="F26" s="91">
        <f>C26/F6</f>
        <v>2.6848862238622386</v>
      </c>
      <c r="G26" s="93">
        <f>C26/G6</f>
        <v>3.5813166529942571</v>
      </c>
      <c r="H26" s="93">
        <f>C26/H6</f>
        <v>4.3656249999999996</v>
      </c>
      <c r="I26" s="93">
        <f>C26/I6</f>
        <v>4.7763949671772421</v>
      </c>
      <c r="J26" s="88"/>
      <c r="K26" s="88"/>
      <c r="L26" s="281"/>
      <c r="M26" s="91">
        <f>C26/M6</f>
        <v>2.685546875</v>
      </c>
      <c r="N26" s="93">
        <f>C26/N6</f>
        <v>3.3834185848252343</v>
      </c>
      <c r="O26" s="93">
        <f>C26/O6</f>
        <v>4.2649716686205545</v>
      </c>
      <c r="P26" s="93">
        <f>C26/P6</f>
        <v>5.3876650623225961</v>
      </c>
      <c r="Q26" s="88"/>
      <c r="R26" s="89"/>
    </row>
    <row r="27" spans="1:18" ht="11.25" customHeight="1">
      <c r="A27" s="13"/>
      <c r="B27" s="79">
        <f>C27/25.4</f>
        <v>0.17716535433070868</v>
      </c>
      <c r="C27" s="80">
        <v>4.5</v>
      </c>
      <c r="D27" s="166"/>
      <c r="E27" s="167"/>
      <c r="F27" s="91">
        <f>C27/F6</f>
        <v>2.767527675276753</v>
      </c>
      <c r="G27" s="93">
        <f>C27/G6</f>
        <v>3.6915504511894994</v>
      </c>
      <c r="H27" s="93">
        <f>C27/H6</f>
        <v>4.5</v>
      </c>
      <c r="I27" s="93">
        <f>C27/I6</f>
        <v>4.9234135667396055</v>
      </c>
      <c r="J27" s="88"/>
      <c r="K27" s="87"/>
      <c r="L27" s="281"/>
      <c r="M27" s="91">
        <f>C27/M6</f>
        <v>2.7682086614173231</v>
      </c>
      <c r="N27" s="93">
        <f>C27/N6</f>
        <v>3.4875610323180655</v>
      </c>
      <c r="O27" s="93">
        <f>C27/O6</f>
        <v>4.3962485345838216</v>
      </c>
      <c r="P27" s="91">
        <f>C27/P6</f>
        <v>5.5534987041836352</v>
      </c>
      <c r="Q27" s="88"/>
      <c r="R27" s="89"/>
    </row>
    <row r="28" spans="1:18" ht="11.25" customHeight="1">
      <c r="A28" s="13"/>
      <c r="B28" s="79">
        <f>C28/25.4</f>
        <v>0.18700787401574803</v>
      </c>
      <c r="C28" s="80">
        <v>4.75</v>
      </c>
      <c r="D28" s="166"/>
      <c r="E28" s="167"/>
      <c r="F28" s="93">
        <f>C28/F6</f>
        <v>2.9212792127921281</v>
      </c>
      <c r="G28" s="93">
        <f>C28/G6</f>
        <v>3.8966365873666939</v>
      </c>
      <c r="H28" s="93">
        <f>C28/H6</f>
        <v>4.75</v>
      </c>
      <c r="I28" s="93">
        <f>C28/I6</f>
        <v>5.1969365426695839</v>
      </c>
      <c r="J28" s="88"/>
      <c r="K28" s="87"/>
      <c r="L28" s="281"/>
      <c r="M28" s="93">
        <f>C28/M6</f>
        <v>2.921998031496063</v>
      </c>
      <c r="N28" s="93">
        <f>C28/N6</f>
        <v>3.6813144230024024</v>
      </c>
      <c r="O28" s="93">
        <f>C28/O6</f>
        <v>4.6404845642829224</v>
      </c>
      <c r="P28" s="91">
        <f>C28/P6</f>
        <v>5.8620264099716151</v>
      </c>
      <c r="Q28" s="88"/>
      <c r="R28" s="89"/>
    </row>
    <row r="29" spans="1:18" ht="11.25" customHeight="1">
      <c r="A29" s="13" t="s">
        <v>193</v>
      </c>
      <c r="B29" s="79">
        <f>3/16</f>
        <v>0.1875</v>
      </c>
      <c r="C29" s="80">
        <f>B29*25.4</f>
        <v>4.7624999999999993</v>
      </c>
      <c r="D29" s="166"/>
      <c r="E29" s="167"/>
      <c r="F29" s="93">
        <f>C29/F6</f>
        <v>2.9289667896678964</v>
      </c>
      <c r="G29" s="93">
        <f>C29/G6</f>
        <v>3.9068908941755529</v>
      </c>
      <c r="H29" s="93">
        <f>C29/H6</f>
        <v>4.7624999999999993</v>
      </c>
      <c r="I29" s="93">
        <f>C29/I6</f>
        <v>5.210612691466082</v>
      </c>
      <c r="J29" s="88"/>
      <c r="K29" s="87"/>
      <c r="L29" s="281"/>
      <c r="M29" s="93">
        <f>C29/M6</f>
        <v>2.9296874999999996</v>
      </c>
      <c r="N29" s="93">
        <f>C29/N6</f>
        <v>3.6910020925366189</v>
      </c>
      <c r="O29" s="93">
        <f>C29/O6</f>
        <v>4.652696365767877</v>
      </c>
      <c r="P29" s="91">
        <f>C29/P6</f>
        <v>5.8774527952610134</v>
      </c>
      <c r="Q29" s="88"/>
      <c r="R29" s="89"/>
    </row>
    <row r="30" spans="1:18" ht="11.25" customHeight="1">
      <c r="A30" s="13"/>
      <c r="B30" s="79">
        <f>C30/25.4</f>
        <v>0.19685039370078741</v>
      </c>
      <c r="C30" s="80">
        <v>5</v>
      </c>
      <c r="D30" s="166"/>
      <c r="E30" s="169">
        <f>C30/E6</f>
        <v>2.4606299212598426</v>
      </c>
      <c r="F30" s="93">
        <f>C30/F6</f>
        <v>3.0750307503075032</v>
      </c>
      <c r="G30" s="93">
        <f>C30/G6</f>
        <v>4.1017227235438884</v>
      </c>
      <c r="H30" s="93">
        <f>C30/H6</f>
        <v>5</v>
      </c>
      <c r="I30" s="93">
        <f>C30/I6</f>
        <v>5.4704595185995624</v>
      </c>
      <c r="J30" s="88"/>
      <c r="K30" s="87"/>
      <c r="L30" s="281"/>
      <c r="M30" s="93">
        <f>C30/M6</f>
        <v>3.0757874015748032</v>
      </c>
      <c r="N30" s="93">
        <f>C30/N6</f>
        <v>3.8750678136867394</v>
      </c>
      <c r="O30" s="93">
        <f>C30/O6</f>
        <v>4.8847205939820242</v>
      </c>
      <c r="P30" s="91">
        <f>C30/P6</f>
        <v>6.1705541157595949</v>
      </c>
      <c r="Q30" s="88"/>
      <c r="R30" s="89"/>
    </row>
    <row r="31" spans="1:18" ht="11.25" customHeight="1">
      <c r="A31" s="13" t="s">
        <v>194</v>
      </c>
      <c r="B31" s="79">
        <f>13/64</f>
        <v>0.203125</v>
      </c>
      <c r="C31" s="80">
        <f>B31*25.4</f>
        <v>5.1593749999999998</v>
      </c>
      <c r="D31" s="166"/>
      <c r="E31" s="169">
        <f>C31/E6</f>
        <v>2.5390625</v>
      </c>
      <c r="F31" s="93">
        <f>C31/F6</f>
        <v>3.173047355473555</v>
      </c>
      <c r="G31" s="93">
        <f>C31/G6</f>
        <v>4.2324651353568497</v>
      </c>
      <c r="H31" s="93">
        <f>C31/H6</f>
        <v>5.1593749999999998</v>
      </c>
      <c r="I31" s="91">
        <f>C31/I6</f>
        <v>5.6448304157549227</v>
      </c>
      <c r="J31" s="87"/>
      <c r="K31" s="87"/>
      <c r="L31" s="281"/>
      <c r="M31" s="93">
        <f>C31/M6</f>
        <v>3.173828125</v>
      </c>
      <c r="N31" s="93">
        <f>C31/N6</f>
        <v>3.998585600248004</v>
      </c>
      <c r="O31" s="93">
        <f>C31/O6</f>
        <v>5.0404210629152004</v>
      </c>
      <c r="P31" s="88"/>
      <c r="Q31" s="88"/>
      <c r="R31" s="89"/>
    </row>
    <row r="32" spans="1:18" ht="11.25" customHeight="1">
      <c r="A32" s="13"/>
      <c r="B32" s="79">
        <f>C32/25.4</f>
        <v>0.20669291338582679</v>
      </c>
      <c r="C32" s="80">
        <v>5.25</v>
      </c>
      <c r="D32" s="166"/>
      <c r="E32" s="169">
        <f>C32/E6</f>
        <v>2.5836614173228347</v>
      </c>
      <c r="F32" s="93">
        <f>C32/F6</f>
        <v>3.2287822878228782</v>
      </c>
      <c r="G32" s="93">
        <f>C32/G6</f>
        <v>4.306808859721083</v>
      </c>
      <c r="H32" s="93">
        <f>C32/H6</f>
        <v>5.25</v>
      </c>
      <c r="I32" s="91">
        <f>C32/I6</f>
        <v>5.7439824945295399</v>
      </c>
      <c r="J32" s="87"/>
      <c r="K32" s="87"/>
      <c r="L32" s="281"/>
      <c r="M32" s="93">
        <f>C32/M6</f>
        <v>3.2295767716535435</v>
      </c>
      <c r="N32" s="93">
        <f>C32/N6</f>
        <v>4.0688212043710763</v>
      </c>
      <c r="O32" s="93">
        <f>C32/O6</f>
        <v>5.128956623681125</v>
      </c>
      <c r="P32" s="88"/>
      <c r="Q32" s="88"/>
      <c r="R32" s="89"/>
    </row>
    <row r="33" spans="1:18" ht="11.25" customHeight="1">
      <c r="A33" s="13"/>
      <c r="B33" s="79">
        <f>C33/25.4</f>
        <v>0.21653543307086615</v>
      </c>
      <c r="C33" s="80">
        <v>5.5</v>
      </c>
      <c r="D33" s="166"/>
      <c r="E33" s="169">
        <f>C33/E6</f>
        <v>2.7066929133858268</v>
      </c>
      <c r="F33" s="93">
        <f>C33/F6</f>
        <v>3.3825338253382538</v>
      </c>
      <c r="G33" s="93">
        <f>C33/G6</f>
        <v>4.5118949958982766</v>
      </c>
      <c r="H33" s="93">
        <f>C33/H6</f>
        <v>5.5</v>
      </c>
      <c r="I33" s="91">
        <f>C33/I6</f>
        <v>6.0175054704595183</v>
      </c>
      <c r="J33" s="87"/>
      <c r="K33" s="87"/>
      <c r="L33" s="281"/>
      <c r="M33" s="93">
        <f>C33/M6</f>
        <v>3.3833661417322838</v>
      </c>
      <c r="N33" s="93">
        <f>C33/N6</f>
        <v>4.2625745950554137</v>
      </c>
      <c r="O33" s="93">
        <f>C33/O6</f>
        <v>5.3731926533802259</v>
      </c>
      <c r="P33" s="88"/>
      <c r="Q33" s="88"/>
      <c r="R33" s="89"/>
    </row>
    <row r="34" spans="1:18" ht="11.25" customHeight="1">
      <c r="A34" s="13" t="s">
        <v>195</v>
      </c>
      <c r="B34" s="79">
        <f>7/32</f>
        <v>0.21875</v>
      </c>
      <c r="C34" s="80">
        <f>B34*25.4</f>
        <v>5.5562499999999995</v>
      </c>
      <c r="D34" s="166"/>
      <c r="E34" s="169">
        <f>C34/E6</f>
        <v>2.7343749999999996</v>
      </c>
      <c r="F34" s="93">
        <f>C34/F6</f>
        <v>3.4171279212792127</v>
      </c>
      <c r="G34" s="93">
        <f>C34/G6</f>
        <v>4.5580393765381455</v>
      </c>
      <c r="H34" s="91">
        <f>C34/H6</f>
        <v>5.5562499999999995</v>
      </c>
      <c r="I34" s="88"/>
      <c r="J34" s="87"/>
      <c r="K34" s="87"/>
      <c r="L34" s="281"/>
      <c r="M34" s="93">
        <f>C34/M6</f>
        <v>3.41796875</v>
      </c>
      <c r="N34" s="93">
        <f>C34/N6</f>
        <v>4.3061691079593887</v>
      </c>
      <c r="O34" s="93">
        <f>C34/O6</f>
        <v>5.4281457600625238</v>
      </c>
      <c r="P34" s="88"/>
      <c r="Q34" s="88"/>
      <c r="R34" s="89"/>
    </row>
    <row r="35" spans="1:18" ht="11.25" customHeight="1">
      <c r="A35" s="13" t="s">
        <v>196</v>
      </c>
      <c r="B35" s="79">
        <f>15/64</f>
        <v>0.234375</v>
      </c>
      <c r="C35" s="80">
        <f>B35*25.4</f>
        <v>5.953125</v>
      </c>
      <c r="D35" s="166"/>
      <c r="E35" s="171">
        <f>C35/E6</f>
        <v>2.9296875</v>
      </c>
      <c r="F35" s="93">
        <f>C35/F6</f>
        <v>3.6612084870848709</v>
      </c>
      <c r="G35" s="93">
        <f>C35/G6</f>
        <v>4.8836136177194422</v>
      </c>
      <c r="H35" s="91">
        <f>C35/H6</f>
        <v>5.953125</v>
      </c>
      <c r="I35" s="88"/>
      <c r="J35" s="87"/>
      <c r="K35" s="87"/>
      <c r="L35" s="281"/>
      <c r="M35" s="93">
        <f>C35/M6</f>
        <v>3.662109375</v>
      </c>
      <c r="N35" s="93">
        <f>C35/N6</f>
        <v>4.6137526156707747</v>
      </c>
      <c r="O35" s="91">
        <f>C35/O6</f>
        <v>5.8158704572098472</v>
      </c>
      <c r="P35" s="88"/>
      <c r="Q35" s="88"/>
      <c r="R35" s="89"/>
    </row>
    <row r="36" spans="1:18" ht="11.25" customHeight="1">
      <c r="A36" s="13"/>
      <c r="B36" s="79">
        <f>C36/25.4</f>
        <v>0.23622047244094491</v>
      </c>
      <c r="C36" s="80">
        <v>6</v>
      </c>
      <c r="D36" s="166"/>
      <c r="E36" s="171">
        <f>C36/E6</f>
        <v>2.9527559055118111</v>
      </c>
      <c r="F36" s="93">
        <f>C36/F6</f>
        <v>3.6900369003690039</v>
      </c>
      <c r="G36" s="93">
        <f>C36/G6</f>
        <v>4.9220672682526656</v>
      </c>
      <c r="H36" s="91">
        <f>C36/H6</f>
        <v>6</v>
      </c>
      <c r="I36" s="88"/>
      <c r="J36" s="87"/>
      <c r="K36" s="87"/>
      <c r="L36" s="281"/>
      <c r="M36" s="93">
        <f>C36/M6</f>
        <v>3.6909448818897639</v>
      </c>
      <c r="N36" s="93">
        <f>C36/N6</f>
        <v>4.6500813764240876</v>
      </c>
      <c r="O36" s="91">
        <f>C36/O6</f>
        <v>5.8616647127784285</v>
      </c>
      <c r="P36" s="88"/>
      <c r="Q36" s="88"/>
      <c r="R36" s="89"/>
    </row>
    <row r="37" spans="1:18" ht="11.25" customHeight="1">
      <c r="A37" s="13"/>
      <c r="B37" s="79">
        <f>C37/25.4</f>
        <v>0.24606299212598426</v>
      </c>
      <c r="C37" s="80">
        <v>6.25</v>
      </c>
      <c r="D37" s="166"/>
      <c r="E37" s="171">
        <f>C37/E6</f>
        <v>3.0757874015748032</v>
      </c>
      <c r="F37" s="93">
        <f>C37/F6</f>
        <v>3.843788437884379</v>
      </c>
      <c r="G37" s="93">
        <f>C37/G6</f>
        <v>5.1271534044298601</v>
      </c>
      <c r="H37" s="88"/>
      <c r="I37" s="88"/>
      <c r="J37" s="87"/>
      <c r="K37" s="87"/>
      <c r="L37" s="281"/>
      <c r="M37" s="93">
        <f>C37/M6</f>
        <v>3.8447342519685042</v>
      </c>
      <c r="N37" s="93">
        <f>C37/N6</f>
        <v>4.8438347671084241</v>
      </c>
      <c r="O37" s="91">
        <f>C37/O6</f>
        <v>6.1059007424775302</v>
      </c>
      <c r="P37" s="88"/>
      <c r="Q37" s="88"/>
      <c r="R37" s="89"/>
    </row>
    <row r="38" spans="1:18" ht="11.25" customHeight="1">
      <c r="A38" s="13" t="s">
        <v>197</v>
      </c>
      <c r="B38" s="79">
        <f>1/4</f>
        <v>0.25</v>
      </c>
      <c r="C38" s="80">
        <f>B38*25.4</f>
        <v>6.35</v>
      </c>
      <c r="D38" s="166"/>
      <c r="E38" s="171">
        <f>C38/E6</f>
        <v>3.125</v>
      </c>
      <c r="F38" s="93">
        <f>C38/F6</f>
        <v>3.9052890528905291</v>
      </c>
      <c r="G38" s="93">
        <f>C38/G6</f>
        <v>5.2091878589007381</v>
      </c>
      <c r="H38" s="88"/>
      <c r="I38" s="87"/>
      <c r="J38" s="87"/>
      <c r="K38" s="87"/>
      <c r="L38" s="281"/>
      <c r="M38" s="93">
        <f>C38/M6</f>
        <v>3.90625</v>
      </c>
      <c r="N38" s="93">
        <f>C38/N6</f>
        <v>4.9213361233821589</v>
      </c>
      <c r="O38" s="88"/>
      <c r="P38" s="88"/>
      <c r="Q38" s="88"/>
      <c r="R38" s="89"/>
    </row>
    <row r="39" spans="1:18" ht="11.25" customHeight="1">
      <c r="A39" s="13"/>
      <c r="B39" s="79">
        <f>C39/25.4</f>
        <v>0.25590551181102361</v>
      </c>
      <c r="C39" s="80">
        <v>6.5</v>
      </c>
      <c r="D39" s="168">
        <f>C39/D6</f>
        <v>2.4602573807721426</v>
      </c>
      <c r="E39" s="171">
        <f>C39/E6</f>
        <v>3.1988188976377954</v>
      </c>
      <c r="F39" s="93">
        <f>C39/F6</f>
        <v>3.9975399753997545</v>
      </c>
      <c r="G39" s="93">
        <f>C39/G6</f>
        <v>5.3322395406070546</v>
      </c>
      <c r="H39" s="88"/>
      <c r="I39" s="87"/>
      <c r="J39" s="87"/>
      <c r="K39" s="87"/>
      <c r="L39" s="281"/>
      <c r="M39" s="93">
        <f>C39/M6</f>
        <v>3.9985236220472444</v>
      </c>
      <c r="N39" s="93">
        <f>C39/N6</f>
        <v>5.0375881577927615</v>
      </c>
      <c r="O39" s="88"/>
      <c r="P39" s="88"/>
      <c r="Q39" s="88"/>
      <c r="R39" s="89"/>
    </row>
    <row r="40" spans="1:18" ht="11.25" customHeight="1">
      <c r="A40" s="13" t="s">
        <v>198</v>
      </c>
      <c r="B40" s="79">
        <f>17/64</f>
        <v>0.265625</v>
      </c>
      <c r="C40" s="80">
        <f>B40*25.4</f>
        <v>6.7468749999999993</v>
      </c>
      <c r="D40" s="168">
        <f>C40/D6</f>
        <v>2.5536998485995457</v>
      </c>
      <c r="E40" s="171">
        <f>C40/E6</f>
        <v>3.3203124999999996</v>
      </c>
      <c r="F40" s="93">
        <f>C40/F6</f>
        <v>4.1493696186961868</v>
      </c>
      <c r="G40" s="93">
        <f>C40/G6</f>
        <v>5.5347621000820331</v>
      </c>
      <c r="H40" s="88"/>
      <c r="I40" s="87"/>
      <c r="J40" s="87"/>
      <c r="K40" s="87"/>
      <c r="L40" s="281"/>
      <c r="M40" s="93">
        <f>C40/M6</f>
        <v>4.150390625</v>
      </c>
      <c r="N40" s="93">
        <f>C40/N6</f>
        <v>5.228919631093544</v>
      </c>
      <c r="O40" s="88"/>
      <c r="P40" s="88"/>
      <c r="Q40" s="88"/>
      <c r="R40" s="89"/>
    </row>
    <row r="41" spans="1:18" ht="11.25" customHeight="1">
      <c r="A41" s="13"/>
      <c r="B41" s="79">
        <f>C41/25.4</f>
        <v>0.26574803149606302</v>
      </c>
      <c r="C41" s="80">
        <v>6.75</v>
      </c>
      <c r="D41" s="168">
        <f>C41/D6</f>
        <v>2.5548826646479941</v>
      </c>
      <c r="E41" s="171">
        <f>C41/E6</f>
        <v>3.3218503937007875</v>
      </c>
      <c r="F41" s="93">
        <f>C41/F6</f>
        <v>4.1512915129151295</v>
      </c>
      <c r="G41" s="93">
        <f>C41/G6</f>
        <v>5.5373256767842491</v>
      </c>
      <c r="H41" s="88"/>
      <c r="I41" s="87"/>
      <c r="J41" s="87"/>
      <c r="K41" s="87"/>
      <c r="L41" s="281"/>
      <c r="M41" s="93">
        <f>C41/M6</f>
        <v>4.1523129921259843</v>
      </c>
      <c r="N41" s="93">
        <f>C41/N6</f>
        <v>5.231341548477098</v>
      </c>
      <c r="O41" s="88"/>
      <c r="P41" s="88"/>
      <c r="Q41" s="88"/>
      <c r="R41" s="89"/>
    </row>
    <row r="42" spans="1:18" ht="11.25" customHeight="1">
      <c r="A42" s="13"/>
      <c r="B42" s="79">
        <f>C42/25.4</f>
        <v>0.27559055118110237</v>
      </c>
      <c r="C42" s="80">
        <v>7</v>
      </c>
      <c r="D42" s="168">
        <f>C42/D6</f>
        <v>2.6495079485238455</v>
      </c>
      <c r="E42" s="171">
        <f>C42/E6</f>
        <v>3.4448818897637796</v>
      </c>
      <c r="F42" s="93">
        <f>C42/F6</f>
        <v>4.3050430504305046</v>
      </c>
      <c r="G42" s="91">
        <f>C42/G6</f>
        <v>5.7424118129614437</v>
      </c>
      <c r="H42" s="88"/>
      <c r="I42" s="87"/>
      <c r="J42" s="87"/>
      <c r="K42" s="87"/>
      <c r="L42" s="281"/>
      <c r="M42" s="93">
        <f>C42/M6</f>
        <v>4.306102362204725</v>
      </c>
      <c r="N42" s="93">
        <f>C42/N6</f>
        <v>5.4250949391614354</v>
      </c>
      <c r="O42" s="88"/>
      <c r="P42" s="88"/>
      <c r="Q42" s="88"/>
      <c r="R42" s="89"/>
    </row>
    <row r="43" spans="1:18" ht="11.25" customHeight="1">
      <c r="A43" s="13" t="s">
        <v>199</v>
      </c>
      <c r="B43" s="79">
        <f>9/32</f>
        <v>0.28125</v>
      </c>
      <c r="C43" s="80">
        <f>B43*25.4</f>
        <v>7.1437499999999998</v>
      </c>
      <c r="D43" s="168">
        <f>C43/D6</f>
        <v>2.7039174867524602</v>
      </c>
      <c r="E43" s="171">
        <f>C43/E6</f>
        <v>3.515625</v>
      </c>
      <c r="F43" s="93">
        <f>C43/F6</f>
        <v>4.3934501845018454</v>
      </c>
      <c r="G43" s="91">
        <f>C43/G6</f>
        <v>5.8603363412633298</v>
      </c>
      <c r="H43" s="88"/>
      <c r="I43" s="87"/>
      <c r="J43" s="87"/>
      <c r="K43" s="87"/>
      <c r="L43" s="281"/>
      <c r="M43" s="93">
        <f>C43/M6</f>
        <v>4.39453125</v>
      </c>
      <c r="N43" s="93">
        <f>C43/N6</f>
        <v>5.5365031388049291</v>
      </c>
      <c r="O43" s="88"/>
      <c r="P43" s="88"/>
      <c r="Q43" s="88"/>
      <c r="R43" s="89"/>
    </row>
    <row r="44" spans="1:18" ht="11.25" customHeight="1">
      <c r="A44" s="13"/>
      <c r="B44" s="79">
        <f>C44/25.4</f>
        <v>0.28543307086614172</v>
      </c>
      <c r="C44" s="80">
        <v>7.25</v>
      </c>
      <c r="D44" s="168">
        <f>C44/D6</f>
        <v>2.7441332323996974</v>
      </c>
      <c r="E44" s="171">
        <f>C44/E6</f>
        <v>3.5679133858267718</v>
      </c>
      <c r="F44" s="93">
        <f>C44/F6</f>
        <v>4.4587945879458797</v>
      </c>
      <c r="G44" s="91">
        <f>C44/G6</f>
        <v>5.9474979491386382</v>
      </c>
      <c r="H44" s="88"/>
      <c r="I44" s="87"/>
      <c r="J44" s="87"/>
      <c r="K44" s="87"/>
      <c r="L44" s="281"/>
      <c r="M44" s="93">
        <f>C44/M6</f>
        <v>4.4598917322834648</v>
      </c>
      <c r="N44" s="91">
        <f>C44/N6</f>
        <v>5.6188483298457719</v>
      </c>
      <c r="O44" s="88"/>
      <c r="P44" s="88"/>
      <c r="Q44" s="88"/>
      <c r="R44" s="89"/>
    </row>
    <row r="45" spans="1:18" ht="11.25" customHeight="1">
      <c r="A45" s="13"/>
      <c r="B45" s="79">
        <f>C45/25.4</f>
        <v>0.29527559055118113</v>
      </c>
      <c r="C45" s="80">
        <v>7.5</v>
      </c>
      <c r="D45" s="168">
        <f>C45/D6</f>
        <v>2.8387585162755489</v>
      </c>
      <c r="E45" s="171">
        <f>C45/E6</f>
        <v>3.6909448818897639</v>
      </c>
      <c r="F45" s="93">
        <f>C45/F6</f>
        <v>4.6125461254612548</v>
      </c>
      <c r="G45" s="91">
        <f>C45/G6</f>
        <v>6.1525840853158318</v>
      </c>
      <c r="H45" s="88"/>
      <c r="I45" s="87"/>
      <c r="J45" s="87"/>
      <c r="K45" s="87"/>
      <c r="L45" s="281"/>
      <c r="M45" s="93">
        <f>C45/M6</f>
        <v>4.6136811023622046</v>
      </c>
      <c r="N45" s="91">
        <f>C45/N6</f>
        <v>5.8126017205301093</v>
      </c>
      <c r="O45" s="88"/>
      <c r="P45" s="88"/>
      <c r="Q45" s="88"/>
      <c r="R45" s="89"/>
    </row>
    <row r="46" spans="1:18" ht="11.25" customHeight="1">
      <c r="A46" s="13" t="s">
        <v>200</v>
      </c>
      <c r="B46" s="79">
        <f>19/64</f>
        <v>0.296875</v>
      </c>
      <c r="C46" s="80">
        <f>B46*25.4</f>
        <v>7.5406249999999995</v>
      </c>
      <c r="D46" s="168">
        <f>C46/D6</f>
        <v>2.8541351249053748</v>
      </c>
      <c r="E46" s="171">
        <f>C46/E6</f>
        <v>3.7109374999999996</v>
      </c>
      <c r="F46" s="93">
        <f>C46/F6</f>
        <v>4.6375307503075032</v>
      </c>
      <c r="G46" s="88"/>
      <c r="H46" s="88"/>
      <c r="I46" s="87"/>
      <c r="J46" s="87"/>
      <c r="K46" s="87"/>
      <c r="L46" s="281"/>
      <c r="M46" s="93">
        <f>C46/M6</f>
        <v>4.638671875</v>
      </c>
      <c r="N46" s="91">
        <f>C46/N6</f>
        <v>5.8440866465163133</v>
      </c>
      <c r="O46" s="88"/>
      <c r="P46" s="88"/>
      <c r="Q46" s="88"/>
      <c r="R46" s="89"/>
    </row>
    <row r="47" spans="1:18" ht="11.25" customHeight="1">
      <c r="A47" s="13"/>
      <c r="B47" s="79">
        <f>C47/25.4</f>
        <v>0.30511811023622049</v>
      </c>
      <c r="C47" s="80">
        <v>7.75</v>
      </c>
      <c r="D47" s="168">
        <f>C47/D6</f>
        <v>2.9333838001514008</v>
      </c>
      <c r="E47" s="171">
        <f>C47/E6</f>
        <v>3.813976377952756</v>
      </c>
      <c r="F47" s="93">
        <f>C47/F6</f>
        <v>4.7662976629766298</v>
      </c>
      <c r="G47" s="88"/>
      <c r="H47" s="88"/>
      <c r="I47" s="87"/>
      <c r="J47" s="87"/>
      <c r="K47" s="87"/>
      <c r="L47" s="281"/>
      <c r="M47" s="93">
        <f>C47/M6</f>
        <v>4.7674704724409454</v>
      </c>
      <c r="N47" s="91">
        <f>C47/N6</f>
        <v>6.0063551112144467</v>
      </c>
      <c r="O47" s="88"/>
      <c r="P47" s="88"/>
      <c r="Q47" s="88"/>
      <c r="R47" s="89"/>
    </row>
    <row r="48" spans="1:18" ht="11.25" customHeight="1">
      <c r="A48" s="13" t="s">
        <v>201</v>
      </c>
      <c r="B48" s="79">
        <f>5/16</f>
        <v>0.3125</v>
      </c>
      <c r="C48" s="80">
        <f>B48*25.4</f>
        <v>7.9375</v>
      </c>
      <c r="D48" s="170">
        <f>C48/D6</f>
        <v>3.0043527630582894</v>
      </c>
      <c r="E48" s="171">
        <f>C48/E6</f>
        <v>3.90625</v>
      </c>
      <c r="F48" s="93">
        <f>C48/F6</f>
        <v>4.8816113161131618</v>
      </c>
      <c r="G48" s="88"/>
      <c r="H48" s="88"/>
      <c r="I48" s="87"/>
      <c r="J48" s="87"/>
      <c r="K48" s="87"/>
      <c r="L48" s="281"/>
      <c r="M48" s="93">
        <f>C48/M6</f>
        <v>4.8828125</v>
      </c>
      <c r="N48" s="88"/>
      <c r="O48" s="88"/>
      <c r="P48" s="88"/>
      <c r="Q48" s="88"/>
      <c r="R48" s="89"/>
    </row>
    <row r="49" spans="1:18" ht="11.25" customHeight="1">
      <c r="A49" s="13"/>
      <c r="B49" s="79">
        <f>C49/25.4</f>
        <v>0.31496062992125984</v>
      </c>
      <c r="C49" s="80">
        <v>8</v>
      </c>
      <c r="D49" s="170">
        <f>C49/D6</f>
        <v>3.0280090840272522</v>
      </c>
      <c r="E49" s="171">
        <f>C49/E6</f>
        <v>3.9370078740157481</v>
      </c>
      <c r="F49" s="93">
        <f>C49/F6</f>
        <v>4.9200492004920049</v>
      </c>
      <c r="G49" s="87"/>
      <c r="H49" s="87"/>
      <c r="I49" s="87"/>
      <c r="J49" s="87"/>
      <c r="K49" s="87"/>
      <c r="L49" s="281"/>
      <c r="M49" s="93">
        <f>C49/M6</f>
        <v>4.9212598425196852</v>
      </c>
      <c r="N49" s="88"/>
      <c r="O49" s="88"/>
      <c r="P49" s="88"/>
      <c r="Q49" s="88"/>
      <c r="R49" s="89"/>
    </row>
    <row r="50" spans="1:18" ht="11.25" customHeight="1">
      <c r="A50" s="13"/>
      <c r="B50" s="79">
        <f>C50/25.4</f>
        <v>0.32480314960629925</v>
      </c>
      <c r="C50" s="80">
        <v>8.25</v>
      </c>
      <c r="D50" s="170">
        <f>C50/D6</f>
        <v>3.1226343679031037</v>
      </c>
      <c r="E50" s="171">
        <f>C50/E6</f>
        <v>4.0600393700787398</v>
      </c>
      <c r="F50" s="93">
        <f>C50/F6</f>
        <v>5.0738007380073809</v>
      </c>
      <c r="G50" s="87"/>
      <c r="H50" s="87"/>
      <c r="I50" s="87"/>
      <c r="J50" s="87"/>
      <c r="K50" s="87"/>
      <c r="L50" s="281"/>
      <c r="M50" s="93">
        <f>C50/M6</f>
        <v>5.075049212598425</v>
      </c>
      <c r="N50" s="88"/>
      <c r="O50" s="88"/>
      <c r="P50" s="88"/>
      <c r="Q50" s="88"/>
      <c r="R50" s="89"/>
    </row>
    <row r="51" spans="1:18" ht="11.25" customHeight="1">
      <c r="A51" s="13" t="s">
        <v>202</v>
      </c>
      <c r="B51" s="79">
        <f>21/64</f>
        <v>0.328125</v>
      </c>
      <c r="C51" s="80">
        <f>B51*25.4</f>
        <v>8.3343749999999996</v>
      </c>
      <c r="D51" s="170">
        <f>C51/D6</f>
        <v>3.1545704012112035</v>
      </c>
      <c r="E51" s="171">
        <f>C51/E6</f>
        <v>4.1015625</v>
      </c>
      <c r="F51" s="93">
        <f>C51/F6</f>
        <v>5.1256918819188195</v>
      </c>
      <c r="G51" s="87"/>
      <c r="H51" s="87"/>
      <c r="I51" s="87"/>
      <c r="J51" s="87"/>
      <c r="K51" s="87"/>
      <c r="L51" s="281"/>
      <c r="M51" s="93">
        <f>C51/M6</f>
        <v>5.126953125</v>
      </c>
      <c r="N51" s="88"/>
      <c r="O51" s="88"/>
      <c r="P51" s="88"/>
      <c r="Q51" s="88"/>
      <c r="R51" s="89"/>
    </row>
    <row r="52" spans="1:18" ht="11.25" customHeight="1">
      <c r="A52" s="13"/>
      <c r="B52" s="79">
        <f>C52/25.4</f>
        <v>0.3346456692913386</v>
      </c>
      <c r="C52" s="80">
        <v>8.5</v>
      </c>
      <c r="D52" s="170">
        <f>C52/D6</f>
        <v>3.2172596517789556</v>
      </c>
      <c r="E52" s="171">
        <f>C52/E6</f>
        <v>4.1830708661417324</v>
      </c>
      <c r="F52" s="93">
        <f>C52/F6</f>
        <v>5.2275522755227559</v>
      </c>
      <c r="G52" s="87"/>
      <c r="H52" s="87"/>
      <c r="I52" s="87"/>
      <c r="J52" s="87"/>
      <c r="K52" s="87"/>
      <c r="L52" s="281"/>
      <c r="M52" s="93">
        <f>C52/M6</f>
        <v>5.2288385826771657</v>
      </c>
      <c r="N52" s="88"/>
      <c r="O52" s="88"/>
      <c r="P52" s="88"/>
      <c r="Q52" s="88"/>
      <c r="R52" s="89"/>
    </row>
    <row r="53" spans="1:18" ht="11.25" customHeight="1">
      <c r="A53" s="13" t="s">
        <v>203</v>
      </c>
      <c r="B53" s="79">
        <f>11/32</f>
        <v>0.34375</v>
      </c>
      <c r="C53" s="80">
        <f>B53*25.4</f>
        <v>8.7312499999999993</v>
      </c>
      <c r="D53" s="170">
        <f>C53/D6</f>
        <v>3.304788039364118</v>
      </c>
      <c r="E53" s="171">
        <f>C53/E6</f>
        <v>4.296875</v>
      </c>
      <c r="F53" s="93">
        <f>C53/F6</f>
        <v>5.3697724477244773</v>
      </c>
      <c r="G53" s="87"/>
      <c r="H53" s="87"/>
      <c r="I53" s="87"/>
      <c r="J53" s="87"/>
      <c r="K53" s="87"/>
      <c r="L53" s="281"/>
      <c r="M53" s="93">
        <f>C53/M6</f>
        <v>5.37109375</v>
      </c>
      <c r="N53" s="88"/>
      <c r="O53" s="88"/>
      <c r="P53" s="88"/>
      <c r="Q53" s="88"/>
      <c r="R53" s="89"/>
    </row>
    <row r="54" spans="1:18" ht="11.25" customHeight="1">
      <c r="A54" s="13"/>
      <c r="B54" s="79">
        <f>C54/25.4</f>
        <v>0.34448818897637795</v>
      </c>
      <c r="C54" s="80">
        <v>8.75</v>
      </c>
      <c r="D54" s="170">
        <f>C54/D6</f>
        <v>3.311884935654807</v>
      </c>
      <c r="E54" s="171">
        <f>C54/E6</f>
        <v>4.3061023622047241</v>
      </c>
      <c r="F54" s="93">
        <f>C54/F6</f>
        <v>5.381303813038131</v>
      </c>
      <c r="G54" s="87"/>
      <c r="H54" s="87"/>
      <c r="I54" s="87"/>
      <c r="J54" s="87"/>
      <c r="K54" s="87"/>
      <c r="L54" s="281"/>
      <c r="M54" s="93">
        <f>C54/M6</f>
        <v>5.3826279527559056</v>
      </c>
      <c r="N54" s="88"/>
      <c r="O54" s="88"/>
      <c r="P54" s="88"/>
      <c r="Q54" s="88"/>
      <c r="R54" s="89"/>
    </row>
    <row r="55" spans="1:18" ht="11.25" customHeight="1">
      <c r="A55" s="13"/>
      <c r="B55" s="79">
        <f>C55/25.4</f>
        <v>0.35433070866141736</v>
      </c>
      <c r="C55" s="80">
        <v>9</v>
      </c>
      <c r="D55" s="170">
        <f>C55/D6</f>
        <v>3.4065102195306589</v>
      </c>
      <c r="E55" s="171">
        <f>C55/E6</f>
        <v>4.4291338582677167</v>
      </c>
      <c r="F55" s="93">
        <f>C55/F6</f>
        <v>5.5350553505535061</v>
      </c>
      <c r="G55" s="87"/>
      <c r="H55" s="87"/>
      <c r="I55" s="87"/>
      <c r="J55" s="87"/>
      <c r="K55" s="87"/>
      <c r="L55" s="281"/>
      <c r="M55" s="93">
        <f>C55/M6</f>
        <v>5.5364173228346463</v>
      </c>
      <c r="N55" s="88"/>
      <c r="O55" s="88"/>
      <c r="P55" s="88"/>
      <c r="Q55" s="88"/>
      <c r="R55" s="89"/>
    </row>
    <row r="56" spans="1:18" ht="11.25" customHeight="1">
      <c r="A56" s="13" t="s">
        <v>484</v>
      </c>
      <c r="B56" s="79">
        <f>23/64</f>
        <v>0.359375</v>
      </c>
      <c r="C56" s="80">
        <f>B56*25.4</f>
        <v>9.1281249999999989</v>
      </c>
      <c r="D56" s="170">
        <f>C56/D6</f>
        <v>3.4550056775170321</v>
      </c>
      <c r="E56" s="171">
        <f>C56/E6</f>
        <v>4.4921874999999991</v>
      </c>
      <c r="F56" s="91">
        <f>C56/F6</f>
        <v>5.613853013530135</v>
      </c>
      <c r="G56" s="87"/>
      <c r="H56" s="87"/>
      <c r="I56" s="87"/>
      <c r="J56" s="87"/>
      <c r="K56" s="87"/>
      <c r="L56" s="281"/>
      <c r="M56" s="91">
        <f>C56/M6</f>
        <v>5.615234375</v>
      </c>
      <c r="N56" s="88"/>
      <c r="O56" s="88"/>
      <c r="P56" s="88"/>
      <c r="Q56" s="88"/>
      <c r="R56" s="89"/>
    </row>
    <row r="57" spans="1:18" ht="11.25" customHeight="1">
      <c r="A57" s="13"/>
      <c r="B57" s="79">
        <f>C57/25.4</f>
        <v>0.36417322834645671</v>
      </c>
      <c r="C57" s="80">
        <v>9.25</v>
      </c>
      <c r="D57" s="170">
        <f>C57/D6</f>
        <v>3.5011355034065104</v>
      </c>
      <c r="E57" s="171">
        <f>C57/E6</f>
        <v>4.5521653543307083</v>
      </c>
      <c r="F57" s="91">
        <f>C57/F6</f>
        <v>5.6888068880688811</v>
      </c>
      <c r="G57" s="87"/>
      <c r="H57" s="87"/>
      <c r="I57" s="87"/>
      <c r="J57" s="87"/>
      <c r="K57" s="87"/>
      <c r="L57" s="281"/>
      <c r="M57" s="91">
        <f>C57/M6</f>
        <v>5.6902066929133861</v>
      </c>
      <c r="N57" s="88"/>
      <c r="O57" s="88"/>
      <c r="P57" s="88"/>
      <c r="Q57" s="88"/>
      <c r="R57" s="89"/>
    </row>
    <row r="58" spans="1:18" ht="11.25" customHeight="1">
      <c r="A58" s="13"/>
      <c r="B58" s="79">
        <f>C58/25.4</f>
        <v>0.37401574803149606</v>
      </c>
      <c r="C58" s="80">
        <v>9.5</v>
      </c>
      <c r="D58" s="170">
        <f>C58/D6</f>
        <v>3.5957607872823618</v>
      </c>
      <c r="E58" s="171">
        <f>C58/E6</f>
        <v>4.6751968503937009</v>
      </c>
      <c r="F58" s="91">
        <f>C58/F6</f>
        <v>5.8425584255842562</v>
      </c>
      <c r="G58" s="87"/>
      <c r="H58" s="87"/>
      <c r="I58" s="87"/>
      <c r="J58" s="87"/>
      <c r="K58" s="87"/>
      <c r="L58" s="281"/>
      <c r="M58" s="91">
        <f>C58/M6</f>
        <v>5.8439960629921259</v>
      </c>
      <c r="N58" s="88"/>
      <c r="O58" s="88"/>
      <c r="P58" s="88"/>
      <c r="Q58" s="88"/>
      <c r="R58" s="89"/>
    </row>
    <row r="59" spans="1:18" ht="11.25" customHeight="1">
      <c r="A59" s="13" t="s">
        <v>204</v>
      </c>
      <c r="B59" s="79">
        <f>3/8</f>
        <v>0.375</v>
      </c>
      <c r="C59" s="80">
        <f>B59*25.4</f>
        <v>9.5249999999999986</v>
      </c>
      <c r="D59" s="170">
        <f>C59/D6</f>
        <v>3.6052233156699467</v>
      </c>
      <c r="E59" s="171">
        <f>C59/E6</f>
        <v>4.6874999999999991</v>
      </c>
      <c r="F59" s="91">
        <f>C59/F6</f>
        <v>5.8579335793357927</v>
      </c>
      <c r="G59" s="87"/>
      <c r="H59" s="87"/>
      <c r="I59" s="87"/>
      <c r="J59" s="87"/>
      <c r="K59" s="87"/>
      <c r="L59" s="281"/>
      <c r="M59" s="91">
        <f>C59/M6</f>
        <v>5.8593749999999991</v>
      </c>
      <c r="N59" s="88"/>
      <c r="O59" s="88"/>
      <c r="P59" s="88"/>
      <c r="Q59" s="88"/>
      <c r="R59" s="89"/>
    </row>
    <row r="60" spans="1:18" ht="11.25" customHeight="1">
      <c r="A60" s="13"/>
      <c r="B60" s="79">
        <f>C60/25.4</f>
        <v>0.38385826771653547</v>
      </c>
      <c r="C60" s="80">
        <v>9.75</v>
      </c>
      <c r="D60" s="170">
        <f>C60/D6</f>
        <v>3.6903860711582137</v>
      </c>
      <c r="E60" s="171">
        <f>C60/E6</f>
        <v>4.7982283464566926</v>
      </c>
      <c r="F60" s="91">
        <f>C60/F6</f>
        <v>5.9963099630996313</v>
      </c>
      <c r="G60" s="87"/>
      <c r="H60" s="87"/>
      <c r="I60" s="87"/>
      <c r="J60" s="87"/>
      <c r="K60" s="87"/>
      <c r="L60" s="281"/>
      <c r="M60" s="91">
        <f>C60/M6</f>
        <v>5.9977854330708666</v>
      </c>
      <c r="N60" s="88"/>
      <c r="O60" s="88"/>
      <c r="P60" s="88"/>
      <c r="Q60" s="88"/>
      <c r="R60" s="89"/>
    </row>
    <row r="61" spans="1:18" ht="11.25" customHeight="1">
      <c r="A61" s="13" t="s">
        <v>485</v>
      </c>
      <c r="B61" s="79">
        <f>25/64</f>
        <v>0.390625</v>
      </c>
      <c r="C61" s="80">
        <f>B61*25.4</f>
        <v>9.921875</v>
      </c>
      <c r="D61" s="170">
        <f>C61/D6</f>
        <v>3.7554409538228617</v>
      </c>
      <c r="E61" s="171">
        <f>C61/E6</f>
        <v>4.8828125</v>
      </c>
      <c r="F61" s="88"/>
      <c r="G61" s="87"/>
      <c r="H61" s="87"/>
      <c r="I61" s="87"/>
      <c r="J61" s="87"/>
      <c r="K61" s="87"/>
      <c r="L61" s="281"/>
      <c r="M61" s="88"/>
      <c r="N61" s="88"/>
      <c r="O61" s="88"/>
      <c r="P61" s="88"/>
      <c r="Q61" s="88"/>
      <c r="R61" s="89"/>
    </row>
    <row r="62" spans="1:18" ht="11.25" customHeight="1">
      <c r="A62" s="13"/>
      <c r="B62" s="79">
        <f>C62/25.4</f>
        <v>0.39370078740157483</v>
      </c>
      <c r="C62" s="80">
        <v>10</v>
      </c>
      <c r="D62" s="170">
        <f>C62/D6</f>
        <v>3.7850113550340652</v>
      </c>
      <c r="E62" s="171">
        <f>C62/E6</f>
        <v>4.9212598425196852</v>
      </c>
      <c r="F62" s="88"/>
      <c r="G62" s="87"/>
      <c r="H62" s="87"/>
      <c r="I62" s="87"/>
      <c r="J62" s="87"/>
      <c r="K62" s="87"/>
      <c r="L62" s="281"/>
      <c r="M62" s="88"/>
      <c r="N62" s="88"/>
      <c r="O62" s="88"/>
      <c r="P62" s="88"/>
      <c r="Q62" s="88"/>
      <c r="R62" s="89"/>
    </row>
    <row r="63" spans="1:18" ht="11.25" customHeight="1">
      <c r="A63" s="13"/>
      <c r="B63" s="79">
        <f>C63/25.4</f>
        <v>0.40354330708661418</v>
      </c>
      <c r="C63" s="80">
        <v>10.25</v>
      </c>
      <c r="D63" s="170">
        <f>C63/D6</f>
        <v>3.8796366389099171</v>
      </c>
      <c r="E63" s="171">
        <f>C63/E6</f>
        <v>5.0442913385826769</v>
      </c>
      <c r="F63" s="88"/>
      <c r="G63" s="87"/>
      <c r="H63" s="87"/>
      <c r="I63" s="87"/>
      <c r="J63" s="87"/>
      <c r="K63" s="87"/>
      <c r="L63" s="281"/>
      <c r="M63" s="88"/>
      <c r="N63" s="88"/>
      <c r="O63" s="88"/>
      <c r="P63" s="88"/>
      <c r="Q63" s="88"/>
      <c r="R63" s="89"/>
    </row>
    <row r="64" spans="1:18" ht="11.25" customHeight="1">
      <c r="A64" s="13" t="s">
        <v>486</v>
      </c>
      <c r="B64" s="79">
        <f>13/32</f>
        <v>0.40625</v>
      </c>
      <c r="C64" s="80">
        <f>B64*25.4</f>
        <v>10.31875</v>
      </c>
      <c r="D64" s="170">
        <f>C64/D6</f>
        <v>3.9056585919757758</v>
      </c>
      <c r="E64" s="171">
        <f>C64/E6</f>
        <v>5.078125</v>
      </c>
      <c r="F64" s="87"/>
      <c r="G64" s="87"/>
      <c r="H64" s="87"/>
      <c r="I64" s="87"/>
      <c r="J64" s="87"/>
      <c r="K64" s="87"/>
      <c r="L64" s="281"/>
      <c r="M64" s="88"/>
      <c r="N64" s="88"/>
      <c r="O64" s="88"/>
      <c r="P64" s="88"/>
      <c r="Q64" s="88"/>
      <c r="R64" s="89"/>
    </row>
    <row r="65" spans="1:18" ht="11.25" customHeight="1">
      <c r="A65" s="13"/>
      <c r="B65" s="79">
        <f>C65/25.4</f>
        <v>0.41338582677165359</v>
      </c>
      <c r="C65" s="80">
        <v>10.5</v>
      </c>
      <c r="D65" s="170">
        <f>C65/D6</f>
        <v>3.9742619227857685</v>
      </c>
      <c r="E65" s="171">
        <f>C65/E6</f>
        <v>5.1673228346456694</v>
      </c>
      <c r="F65" s="87"/>
      <c r="G65" s="87"/>
      <c r="H65" s="87"/>
      <c r="I65" s="87"/>
      <c r="J65" s="87"/>
      <c r="K65" s="87"/>
      <c r="L65" s="281"/>
      <c r="M65" s="88"/>
      <c r="N65" s="88"/>
      <c r="O65" s="88"/>
      <c r="P65" s="88"/>
      <c r="Q65" s="88"/>
      <c r="R65" s="89"/>
    </row>
    <row r="66" spans="1:18" ht="11.25" customHeight="1">
      <c r="A66" s="13" t="s">
        <v>313</v>
      </c>
      <c r="B66" s="79">
        <f>27/64</f>
        <v>0.421875</v>
      </c>
      <c r="C66" s="80">
        <f>B66*25.4</f>
        <v>10.715624999999999</v>
      </c>
      <c r="D66" s="170">
        <f>C66/D6</f>
        <v>4.0558762301286899</v>
      </c>
      <c r="E66" s="171">
        <f>C66/E6</f>
        <v>5.2734375</v>
      </c>
      <c r="F66" s="87"/>
      <c r="G66" s="87"/>
      <c r="H66" s="87"/>
      <c r="I66" s="87"/>
      <c r="J66" s="87"/>
      <c r="K66" s="87"/>
      <c r="L66" s="281"/>
      <c r="M66" s="88"/>
      <c r="N66" s="88"/>
      <c r="O66" s="88"/>
      <c r="P66" s="88"/>
      <c r="Q66" s="88"/>
      <c r="R66" s="89"/>
    </row>
    <row r="67" spans="1:18" ht="11.25" customHeight="1">
      <c r="A67" s="13"/>
      <c r="B67" s="79">
        <f>C67/25.4</f>
        <v>0.42322834645669294</v>
      </c>
      <c r="C67" s="80">
        <v>10.75</v>
      </c>
      <c r="D67" s="170">
        <f>C67/D6</f>
        <v>4.0688872066616204</v>
      </c>
      <c r="E67" s="171">
        <f>C67/E6</f>
        <v>5.2903543307086611</v>
      </c>
      <c r="F67" s="87"/>
      <c r="G67" s="87"/>
      <c r="H67" s="87"/>
      <c r="I67" s="87"/>
      <c r="J67" s="87"/>
      <c r="K67" s="87"/>
      <c r="L67" s="281"/>
      <c r="M67" s="88"/>
      <c r="N67" s="88"/>
      <c r="O67" s="88"/>
      <c r="P67" s="88"/>
      <c r="Q67" s="88"/>
      <c r="R67" s="89"/>
    </row>
    <row r="68" spans="1:18" ht="11.25" customHeight="1">
      <c r="A68" s="13"/>
      <c r="B68" s="79">
        <f>C68/25.4</f>
        <v>0.43307086614173229</v>
      </c>
      <c r="C68" s="80">
        <v>11</v>
      </c>
      <c r="D68" s="170">
        <f>C68/D6</f>
        <v>4.1635124905374719</v>
      </c>
      <c r="E68" s="171">
        <f>C68/E6</f>
        <v>5.4133858267716537</v>
      </c>
      <c r="F68" s="87"/>
      <c r="G68" s="87"/>
      <c r="H68" s="87"/>
      <c r="I68" s="87"/>
      <c r="J68" s="87"/>
      <c r="K68" s="87"/>
      <c r="L68" s="281"/>
      <c r="M68" s="88"/>
      <c r="N68" s="88"/>
      <c r="O68" s="88"/>
      <c r="P68" s="88"/>
      <c r="Q68" s="88"/>
      <c r="R68" s="89"/>
    </row>
    <row r="69" spans="1:18" ht="11.25" customHeight="1">
      <c r="A69" s="13" t="s">
        <v>205</v>
      </c>
      <c r="B69" s="79">
        <f>7/16</f>
        <v>0.4375</v>
      </c>
      <c r="C69" s="80">
        <f>B69*25.4</f>
        <v>11.112499999999999</v>
      </c>
      <c r="D69" s="170">
        <f>C69/D6</f>
        <v>4.2060938682816049</v>
      </c>
      <c r="E69" s="171">
        <f>C69/E6</f>
        <v>5.4687499999999991</v>
      </c>
      <c r="F69" s="87"/>
      <c r="G69" s="87"/>
      <c r="H69" s="87"/>
      <c r="I69" s="87"/>
      <c r="J69" s="87"/>
      <c r="K69" s="87"/>
      <c r="L69" s="281"/>
      <c r="M69" s="88"/>
      <c r="N69" s="88"/>
      <c r="O69" s="88"/>
      <c r="P69" s="88"/>
      <c r="Q69" s="88"/>
      <c r="R69" s="89"/>
    </row>
    <row r="70" spans="1:18" ht="11.25" customHeight="1">
      <c r="A70" s="13"/>
      <c r="B70" s="79">
        <f>C70/25.4</f>
        <v>0.4429133858267717</v>
      </c>
      <c r="C70" s="80">
        <v>11.25</v>
      </c>
      <c r="D70" s="170">
        <f>C70/D6</f>
        <v>4.2581377744133233</v>
      </c>
      <c r="E70" s="171">
        <f>C70/E6</f>
        <v>5.5364173228346454</v>
      </c>
      <c r="F70" s="87"/>
      <c r="G70" s="87"/>
      <c r="H70" s="87"/>
      <c r="I70" s="87"/>
      <c r="J70" s="87"/>
      <c r="K70" s="87"/>
      <c r="L70" s="281"/>
      <c r="M70" s="88"/>
      <c r="N70" s="88"/>
      <c r="O70" s="88"/>
      <c r="P70" s="88"/>
      <c r="Q70" s="88"/>
      <c r="R70" s="89"/>
    </row>
    <row r="71" spans="1:18" ht="11.25" customHeight="1">
      <c r="A71" s="13" t="s">
        <v>487</v>
      </c>
      <c r="B71" s="79">
        <f>29/64</f>
        <v>0.453125</v>
      </c>
      <c r="C71" s="80">
        <f>B71*25.4</f>
        <v>11.509374999999999</v>
      </c>
      <c r="D71" s="170">
        <f>C71/D6</f>
        <v>4.356311506434519</v>
      </c>
      <c r="E71" s="169">
        <f>C71/E6</f>
        <v>5.6640624999999991</v>
      </c>
      <c r="F71" s="87"/>
      <c r="G71" s="87"/>
      <c r="H71" s="87"/>
      <c r="I71" s="87"/>
      <c r="J71" s="87"/>
      <c r="K71" s="87"/>
      <c r="L71" s="281"/>
      <c r="M71" s="88"/>
      <c r="N71" s="88"/>
      <c r="O71" s="88"/>
      <c r="P71" s="88"/>
      <c r="Q71" s="88"/>
      <c r="R71" s="89"/>
    </row>
    <row r="72" spans="1:18" ht="11.25" customHeight="1">
      <c r="A72" s="13"/>
      <c r="B72" s="79">
        <f>C72/25.4</f>
        <v>0.45275590551181105</v>
      </c>
      <c r="C72" s="80">
        <v>11.5</v>
      </c>
      <c r="D72" s="170">
        <f>C72/D6</f>
        <v>4.3527630582891748</v>
      </c>
      <c r="E72" s="169">
        <f>C72/E6</f>
        <v>5.659448818897638</v>
      </c>
      <c r="F72" s="87"/>
      <c r="G72" s="87"/>
      <c r="H72" s="87"/>
      <c r="I72" s="87"/>
      <c r="J72" s="87"/>
      <c r="K72" s="87"/>
      <c r="L72" s="281"/>
      <c r="M72" s="88"/>
      <c r="N72" s="88"/>
      <c r="O72" s="88"/>
      <c r="P72" s="88"/>
      <c r="Q72" s="88"/>
      <c r="R72" s="89"/>
    </row>
    <row r="73" spans="1:18" ht="11.25" customHeight="1">
      <c r="A73" s="13"/>
      <c r="B73" s="79">
        <f>C73/25.4</f>
        <v>0.4625984251968504</v>
      </c>
      <c r="C73" s="80">
        <v>11.75</v>
      </c>
      <c r="D73" s="170">
        <f>C73/D6</f>
        <v>4.4473883421650271</v>
      </c>
      <c r="E73" s="169">
        <f>C73/E6</f>
        <v>5.7824803149606296</v>
      </c>
      <c r="F73" s="87"/>
      <c r="G73" s="87"/>
      <c r="H73" s="87"/>
      <c r="I73" s="87"/>
      <c r="J73" s="87"/>
      <c r="K73" s="87"/>
      <c r="L73" s="281"/>
      <c r="M73" s="88"/>
      <c r="N73" s="88"/>
      <c r="O73" s="88"/>
      <c r="P73" s="88"/>
      <c r="Q73" s="88"/>
      <c r="R73" s="89"/>
    </row>
    <row r="74" spans="1:18" ht="11.25" customHeight="1">
      <c r="A74" s="13" t="s">
        <v>488</v>
      </c>
      <c r="B74" s="79">
        <f>15/32</f>
        <v>0.46875</v>
      </c>
      <c r="C74" s="80">
        <f>B74*25.4</f>
        <v>11.90625</v>
      </c>
      <c r="D74" s="170">
        <f>C74/D6</f>
        <v>4.506529144587434</v>
      </c>
      <c r="E74" s="169">
        <f>C74/E6</f>
        <v>5.859375</v>
      </c>
      <c r="F74" s="87"/>
      <c r="G74" s="87"/>
      <c r="H74" s="87"/>
      <c r="I74" s="87"/>
      <c r="J74" s="87"/>
      <c r="K74" s="87"/>
      <c r="L74" s="281"/>
      <c r="M74" s="88"/>
      <c r="N74" s="88"/>
      <c r="O74" s="88"/>
      <c r="P74" s="88"/>
      <c r="Q74" s="88"/>
      <c r="R74" s="89"/>
    </row>
    <row r="75" spans="1:18" ht="11.25" customHeight="1">
      <c r="A75" s="13"/>
      <c r="B75" s="79">
        <v>0.47199999999999998</v>
      </c>
      <c r="C75" s="80">
        <v>12</v>
      </c>
      <c r="D75" s="170">
        <f>C75/D6</f>
        <v>4.5420136260408785</v>
      </c>
      <c r="E75" s="169">
        <f>C75/E6</f>
        <v>5.9055118110236222</v>
      </c>
      <c r="F75" s="87"/>
      <c r="G75" s="87"/>
      <c r="H75" s="87"/>
      <c r="I75" s="87"/>
      <c r="J75" s="87"/>
      <c r="K75" s="87"/>
      <c r="L75" s="281"/>
      <c r="M75" s="88"/>
      <c r="N75" s="88"/>
      <c r="O75" s="88"/>
      <c r="P75" s="88"/>
      <c r="Q75" s="88"/>
      <c r="R75" s="89"/>
    </row>
    <row r="76" spans="1:18" ht="11.25" customHeight="1">
      <c r="A76" s="13" t="s">
        <v>206</v>
      </c>
      <c r="B76" s="79">
        <v>0.5</v>
      </c>
      <c r="C76" s="80">
        <v>12.7</v>
      </c>
      <c r="D76" s="170">
        <f>C76/D6</f>
        <v>4.8069644208932623</v>
      </c>
      <c r="E76" s="169">
        <f>C76/E6</f>
        <v>6.25</v>
      </c>
      <c r="F76" s="87"/>
      <c r="G76" s="87"/>
      <c r="H76" s="87"/>
      <c r="I76" s="87"/>
      <c r="J76" s="87"/>
      <c r="K76" s="87"/>
      <c r="L76" s="281"/>
      <c r="M76" s="88"/>
      <c r="N76" s="88"/>
      <c r="O76" s="88"/>
      <c r="P76" s="88"/>
      <c r="Q76" s="88"/>
      <c r="R76" s="89"/>
    </row>
    <row r="77" spans="1:18" ht="11.25" customHeight="1">
      <c r="A77" s="13"/>
      <c r="B77" s="79">
        <v>0.59099999999999997</v>
      </c>
      <c r="C77" s="80">
        <v>15</v>
      </c>
      <c r="D77" s="168">
        <f>C77/D6</f>
        <v>5.6775170325510977</v>
      </c>
      <c r="E77" s="167"/>
      <c r="F77" s="87"/>
      <c r="G77" s="87"/>
      <c r="H77" s="87"/>
      <c r="I77" s="87"/>
      <c r="J77" s="87"/>
      <c r="K77" s="87"/>
      <c r="L77" s="281"/>
      <c r="M77" s="88"/>
      <c r="N77" s="88"/>
      <c r="O77" s="88"/>
      <c r="P77" s="88"/>
      <c r="Q77" s="88"/>
      <c r="R77" s="89"/>
    </row>
    <row r="78" spans="1:18" ht="11.25" customHeight="1">
      <c r="A78" s="13" t="s">
        <v>210</v>
      </c>
      <c r="B78" s="79">
        <v>0.625</v>
      </c>
      <c r="C78" s="80">
        <v>15.875</v>
      </c>
      <c r="D78" s="168">
        <f>C78/D6</f>
        <v>6.0087055261165787</v>
      </c>
      <c r="E78" s="167"/>
      <c r="F78" s="87"/>
      <c r="G78" s="87"/>
      <c r="H78" s="87"/>
      <c r="I78" s="87"/>
      <c r="J78" s="87"/>
      <c r="K78" s="87"/>
      <c r="L78" s="281"/>
      <c r="M78" s="88"/>
      <c r="N78" s="88"/>
      <c r="O78" s="88"/>
      <c r="P78" s="88"/>
      <c r="Q78" s="88"/>
      <c r="R78" s="89"/>
    </row>
    <row r="79" spans="1:18" ht="11.25" customHeight="1">
      <c r="A79" s="13"/>
      <c r="B79" s="79">
        <v>0.75</v>
      </c>
      <c r="C79" s="80">
        <v>19.05</v>
      </c>
      <c r="D79" s="168">
        <f>C79/D6</f>
        <v>7.2104466313398943</v>
      </c>
      <c r="E79" s="167"/>
      <c r="F79" s="87"/>
      <c r="G79" s="87"/>
      <c r="H79" s="87"/>
      <c r="I79" s="87"/>
      <c r="J79" s="87"/>
      <c r="K79" s="87"/>
      <c r="L79" s="281"/>
      <c r="M79" s="88"/>
      <c r="N79" s="88"/>
      <c r="O79" s="88"/>
      <c r="P79" s="88"/>
      <c r="Q79" s="88"/>
      <c r="R79" s="89"/>
    </row>
    <row r="80" spans="1:18" ht="11.25" customHeight="1">
      <c r="A80" s="13"/>
      <c r="B80" s="79">
        <v>0.78700000000000003</v>
      </c>
      <c r="C80" s="80">
        <v>20</v>
      </c>
      <c r="D80" s="168">
        <f>C80/D6</f>
        <v>7.5700227100681303</v>
      </c>
      <c r="E80" s="167"/>
      <c r="F80" s="87"/>
      <c r="G80" s="87"/>
      <c r="H80" s="87"/>
      <c r="I80" s="87"/>
      <c r="J80" s="87"/>
      <c r="K80" s="87"/>
      <c r="L80" s="281"/>
      <c r="M80" s="88"/>
      <c r="N80" s="88"/>
      <c r="O80" s="88"/>
      <c r="P80" s="88"/>
      <c r="Q80" s="88"/>
      <c r="R80" s="89"/>
    </row>
    <row r="81" spans="1:18" ht="11.25" customHeight="1" thickBot="1">
      <c r="A81" s="14"/>
      <c r="B81" s="81">
        <v>1</v>
      </c>
      <c r="C81" s="82">
        <v>25.4</v>
      </c>
      <c r="D81" s="172">
        <f>C81/D6</f>
        <v>9.6139288417865245</v>
      </c>
      <c r="E81" s="173"/>
      <c r="F81" s="103"/>
      <c r="G81" s="103"/>
      <c r="H81" s="103"/>
      <c r="I81" s="103"/>
      <c r="J81" s="103"/>
      <c r="K81" s="103"/>
      <c r="L81" s="282"/>
      <c r="M81" s="104"/>
      <c r="N81" s="104"/>
      <c r="O81" s="104"/>
      <c r="P81" s="104"/>
      <c r="Q81" s="104"/>
      <c r="R81" s="105"/>
    </row>
  </sheetData>
  <mergeCells count="7">
    <mergeCell ref="A1:R1"/>
    <mergeCell ref="L7:L81"/>
    <mergeCell ref="A3:C3"/>
    <mergeCell ref="A4:A6"/>
    <mergeCell ref="B4:B6"/>
    <mergeCell ref="C4:C6"/>
    <mergeCell ref="D3:R3"/>
  </mergeCells>
  <phoneticPr fontId="2" type="noConversion"/>
  <printOptions horizontalCentered="1"/>
  <pageMargins left="0.2" right="0.2" top="0.2" bottom="0.2" header="0" footer="0"/>
  <pageSetup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24"/>
  <sheetViews>
    <sheetView workbookViewId="0">
      <pane ySplit="1500" topLeftCell="A5"/>
      <selection sqref="A1:M1"/>
      <selection pane="bottomLeft" activeCell="A2" sqref="A2:IV2"/>
    </sheetView>
  </sheetViews>
  <sheetFormatPr defaultRowHeight="12.75"/>
  <cols>
    <col min="1" max="6" width="13.7109375" customWidth="1"/>
    <col min="7" max="7" width="2.7109375" customWidth="1"/>
    <col min="8" max="13" width="13.7109375" customWidth="1"/>
  </cols>
  <sheetData>
    <row r="1" spans="1:13" s="52" customFormat="1" ht="18">
      <c r="A1" s="300" t="s">
        <v>294</v>
      </c>
      <c r="B1" s="301"/>
      <c r="C1" s="301"/>
      <c r="D1" s="301"/>
      <c r="E1" s="301"/>
      <c r="F1" s="301"/>
      <c r="G1" s="302"/>
      <c r="H1" s="302"/>
      <c r="I1" s="302"/>
      <c r="J1" s="302"/>
      <c r="K1" s="302"/>
      <c r="L1" s="302"/>
      <c r="M1" s="302"/>
    </row>
    <row r="2" spans="1:13" s="52" customFormat="1" ht="18.75" thickBot="1">
      <c r="A2" s="45"/>
      <c r="B2" s="53"/>
      <c r="C2" s="53"/>
      <c r="D2" s="53"/>
      <c r="E2" s="53"/>
      <c r="F2" s="53"/>
      <c r="G2" s="44"/>
      <c r="H2" s="44"/>
      <c r="I2" s="44"/>
      <c r="J2" s="44"/>
      <c r="K2" s="44"/>
      <c r="L2" s="44"/>
      <c r="M2" s="44"/>
    </row>
    <row r="3" spans="1:13">
      <c r="A3" s="298" t="s">
        <v>76</v>
      </c>
      <c r="B3" s="303"/>
      <c r="C3" s="299"/>
      <c r="D3" s="298" t="s">
        <v>300</v>
      </c>
      <c r="E3" s="299"/>
      <c r="F3" s="97" t="s">
        <v>297</v>
      </c>
      <c r="G3" s="46"/>
      <c r="H3" s="298" t="s">
        <v>76</v>
      </c>
      <c r="I3" s="303"/>
      <c r="J3" s="299"/>
      <c r="K3" s="298" t="s">
        <v>300</v>
      </c>
      <c r="L3" s="299"/>
      <c r="M3" s="97" t="s">
        <v>297</v>
      </c>
    </row>
    <row r="4" spans="1:13">
      <c r="A4" s="47" t="s">
        <v>2</v>
      </c>
      <c r="B4" s="48" t="s">
        <v>1</v>
      </c>
      <c r="C4" s="49" t="s">
        <v>296</v>
      </c>
      <c r="D4" s="47" t="s">
        <v>0</v>
      </c>
      <c r="E4" s="49" t="s">
        <v>296</v>
      </c>
      <c r="F4" s="98" t="s">
        <v>295</v>
      </c>
      <c r="H4" s="47" t="s">
        <v>2</v>
      </c>
      <c r="I4" s="48" t="s">
        <v>1</v>
      </c>
      <c r="J4" s="49" t="s">
        <v>296</v>
      </c>
      <c r="K4" s="47" t="s">
        <v>0</v>
      </c>
      <c r="L4" s="49" t="s">
        <v>296</v>
      </c>
      <c r="M4" s="98" t="s">
        <v>295</v>
      </c>
    </row>
    <row r="5" spans="1:13">
      <c r="A5" s="50"/>
      <c r="B5" s="79">
        <f>C5/25.4</f>
        <v>9.8425196850393699E-3</v>
      </c>
      <c r="C5" s="94">
        <v>0.25</v>
      </c>
      <c r="D5" s="99">
        <f>B5*3.1416</f>
        <v>3.0921259842519686E-2</v>
      </c>
      <c r="E5" s="100">
        <f>C5*3.1416</f>
        <v>0.78539999999999999</v>
      </c>
      <c r="F5" s="109">
        <f>12/(D5+0.0134)</f>
        <v>270.75042637862418</v>
      </c>
      <c r="G5" s="43"/>
      <c r="H5" s="50"/>
      <c r="I5" s="79">
        <f>J5/25.4</f>
        <v>0.51181102362204722</v>
      </c>
      <c r="J5" s="94">
        <v>13</v>
      </c>
      <c r="K5" s="99">
        <f t="shared" ref="K5:K37" si="0">I5*3.1416</f>
        <v>1.6079055118110235</v>
      </c>
      <c r="L5" s="100">
        <f t="shared" ref="L5:L37" si="1">J5*3.1416</f>
        <v>40.840800000000002</v>
      </c>
      <c r="M5" s="109">
        <f>12/(K5+0.0134)</f>
        <v>7.401442795686183</v>
      </c>
    </row>
    <row r="6" spans="1:13">
      <c r="A6" s="50" t="s">
        <v>182</v>
      </c>
      <c r="B6" s="79">
        <f>1/64</f>
        <v>1.5625E-2</v>
      </c>
      <c r="C6" s="94">
        <f>B6*25.4</f>
        <v>0.39687499999999998</v>
      </c>
      <c r="D6" s="99">
        <f t="shared" ref="D6:D66" si="2">B6*3.1416</f>
        <v>4.9087499999999999E-2</v>
      </c>
      <c r="E6" s="100">
        <f t="shared" ref="E6:E66" si="3">C6*3.1416</f>
        <v>1.2468224999999999</v>
      </c>
      <c r="F6" s="109">
        <f>12/(D6+0.0134)</f>
        <v>192.03840768153631</v>
      </c>
      <c r="G6" s="43"/>
      <c r="H6" s="50" t="s">
        <v>207</v>
      </c>
      <c r="I6" s="79">
        <f>33/64</f>
        <v>0.515625</v>
      </c>
      <c r="J6" s="94">
        <f>I6*25.4</f>
        <v>13.096874999999999</v>
      </c>
      <c r="K6" s="99">
        <f t="shared" si="0"/>
        <v>1.6198874999999999</v>
      </c>
      <c r="L6" s="100">
        <f t="shared" si="1"/>
        <v>41.145142499999999</v>
      </c>
      <c r="M6" s="109">
        <f>12/(K6+0.0134)</f>
        <v>7.3471449453938762</v>
      </c>
    </row>
    <row r="7" spans="1:13">
      <c r="A7" s="50"/>
      <c r="B7" s="79">
        <f>C7/25.4</f>
        <v>1.968503937007874E-2</v>
      </c>
      <c r="C7" s="94">
        <v>0.5</v>
      </c>
      <c r="D7" s="99">
        <f t="shared" si="2"/>
        <v>6.1842519685039371E-2</v>
      </c>
      <c r="E7" s="100">
        <f t="shared" si="3"/>
        <v>1.5708</v>
      </c>
      <c r="F7" s="109">
        <f t="shared" ref="F7:F66" si="4">12/(D7+0.0134)</f>
        <v>159.48429226229098</v>
      </c>
      <c r="G7" s="43"/>
      <c r="H7" s="50"/>
      <c r="I7" s="79">
        <f>J7/25.4</f>
        <v>0.52165354330708669</v>
      </c>
      <c r="J7" s="94">
        <v>13.25</v>
      </c>
      <c r="K7" s="99">
        <f t="shared" si="0"/>
        <v>1.6388267716535434</v>
      </c>
      <c r="L7" s="100">
        <f t="shared" si="1"/>
        <v>41.626199999999997</v>
      </c>
      <c r="M7" s="109">
        <f>12/(K7+0.0134)</f>
        <v>7.2629255292785491</v>
      </c>
    </row>
    <row r="8" spans="1:13">
      <c r="A8" s="50"/>
      <c r="B8" s="79">
        <f>C8/25.4</f>
        <v>2.9527559055118113E-2</v>
      </c>
      <c r="C8" s="94">
        <v>0.75</v>
      </c>
      <c r="D8" s="99">
        <f t="shared" si="2"/>
        <v>9.2763779527559057E-2</v>
      </c>
      <c r="E8" s="100">
        <f t="shared" si="3"/>
        <v>2.3561999999999999</v>
      </c>
      <c r="F8" s="109">
        <f t="shared" si="4"/>
        <v>113.0329011777969</v>
      </c>
      <c r="G8" s="43"/>
      <c r="H8" s="50" t="s">
        <v>490</v>
      </c>
      <c r="I8" s="79">
        <f>17/32</f>
        <v>0.53125</v>
      </c>
      <c r="J8" s="94">
        <f>I8*25.4</f>
        <v>13.493749999999999</v>
      </c>
      <c r="K8" s="99">
        <f t="shared" si="0"/>
        <v>1.6689749999999999</v>
      </c>
      <c r="L8" s="100">
        <f t="shared" si="1"/>
        <v>42.391964999999992</v>
      </c>
      <c r="M8" s="109">
        <f>12/(K8+0.0134)</f>
        <v>7.1327736087376481</v>
      </c>
    </row>
    <row r="9" spans="1:13">
      <c r="A9" s="50" t="s">
        <v>183</v>
      </c>
      <c r="B9" s="79">
        <f>1/32</f>
        <v>3.125E-2</v>
      </c>
      <c r="C9" s="94">
        <f>B9*25.4</f>
        <v>0.79374999999999996</v>
      </c>
      <c r="D9" s="99">
        <f t="shared" si="2"/>
        <v>9.8174999999999998E-2</v>
      </c>
      <c r="E9" s="100">
        <f t="shared" si="3"/>
        <v>2.4936449999999999</v>
      </c>
      <c r="F9" s="109">
        <f t="shared" si="4"/>
        <v>107.55097468070805</v>
      </c>
      <c r="G9" s="43"/>
      <c r="H9" s="50"/>
      <c r="I9" s="79">
        <f>J9/25.4</f>
        <v>0.53149606299212604</v>
      </c>
      <c r="J9" s="94">
        <v>13.5</v>
      </c>
      <c r="K9" s="99">
        <f t="shared" si="0"/>
        <v>1.6697480314960631</v>
      </c>
      <c r="L9" s="100">
        <f t="shared" si="1"/>
        <v>42.4116</v>
      </c>
      <c r="M9" s="109">
        <f t="shared" ref="M9:M62" si="5">12/(K9+0.0134)</f>
        <v>7.129497688527028</v>
      </c>
    </row>
    <row r="10" spans="1:13">
      <c r="A10" s="50"/>
      <c r="B10" s="79">
        <f>C10/25.4</f>
        <v>3.937007874015748E-2</v>
      </c>
      <c r="C10" s="94">
        <v>1</v>
      </c>
      <c r="D10" s="99">
        <f t="shared" si="2"/>
        <v>0.12368503937007874</v>
      </c>
      <c r="E10" s="100">
        <f t="shared" si="3"/>
        <v>3.1415999999999999</v>
      </c>
      <c r="F10" s="109">
        <f t="shared" si="4"/>
        <v>87.536904502062058</v>
      </c>
      <c r="G10" s="43"/>
      <c r="H10" s="50"/>
      <c r="I10" s="79">
        <f>J10/25.4</f>
        <v>0.54133858267716539</v>
      </c>
      <c r="J10" s="94">
        <v>13.75</v>
      </c>
      <c r="K10" s="99">
        <f t="shared" si="0"/>
        <v>1.7006692913385828</v>
      </c>
      <c r="L10" s="100">
        <f t="shared" si="1"/>
        <v>43.197000000000003</v>
      </c>
      <c r="M10" s="109">
        <f t="shared" si="5"/>
        <v>7.0008838386158452</v>
      </c>
    </row>
    <row r="11" spans="1:13">
      <c r="A11" s="50" t="s">
        <v>184</v>
      </c>
      <c r="B11" s="79">
        <f>3/64</f>
        <v>4.6875E-2</v>
      </c>
      <c r="C11" s="94">
        <f>B11*25.4</f>
        <v>1.1906249999999998</v>
      </c>
      <c r="D11" s="99">
        <f t="shared" si="2"/>
        <v>0.14726249999999999</v>
      </c>
      <c r="E11" s="100">
        <f t="shared" si="3"/>
        <v>3.7404674999999994</v>
      </c>
      <c r="F11" s="109">
        <f t="shared" si="4"/>
        <v>74.69073368085273</v>
      </c>
      <c r="G11" s="43"/>
      <c r="H11" s="50" t="s">
        <v>491</v>
      </c>
      <c r="I11" s="79">
        <f>35/64</f>
        <v>0.546875</v>
      </c>
      <c r="J11" s="94">
        <f>I11*25.4</f>
        <v>13.890625</v>
      </c>
      <c r="K11" s="99">
        <f t="shared" si="0"/>
        <v>1.7180625</v>
      </c>
      <c r="L11" s="100">
        <f t="shared" si="1"/>
        <v>43.638787499999999</v>
      </c>
      <c r="M11" s="109">
        <f t="shared" si="5"/>
        <v>6.9305572601196959</v>
      </c>
    </row>
    <row r="12" spans="1:13">
      <c r="A12" s="50"/>
      <c r="B12" s="79">
        <f>C12/25.4</f>
        <v>4.9212598425196853E-2</v>
      </c>
      <c r="C12" s="94">
        <v>1.25</v>
      </c>
      <c r="D12" s="99">
        <f t="shared" si="2"/>
        <v>0.15460629921259844</v>
      </c>
      <c r="E12" s="100">
        <f t="shared" si="3"/>
        <v>3.927</v>
      </c>
      <c r="F12" s="109">
        <f t="shared" si="4"/>
        <v>71.425893292339993</v>
      </c>
      <c r="G12" s="43"/>
      <c r="H12" s="50"/>
      <c r="I12" s="79">
        <f>J12/25.4</f>
        <v>0.55118110236220474</v>
      </c>
      <c r="J12" s="94">
        <v>14</v>
      </c>
      <c r="K12" s="99">
        <f t="shared" si="0"/>
        <v>1.7315905511811025</v>
      </c>
      <c r="L12" s="100">
        <f t="shared" si="1"/>
        <v>43.982399999999998</v>
      </c>
      <c r="M12" s="109">
        <f t="shared" si="5"/>
        <v>6.8768280675661888</v>
      </c>
    </row>
    <row r="13" spans="1:13">
      <c r="A13" s="50"/>
      <c r="B13" s="79">
        <f>C13/25.4</f>
        <v>5.9055118110236227E-2</v>
      </c>
      <c r="C13" s="94">
        <v>1.5</v>
      </c>
      <c r="D13" s="99">
        <f t="shared" si="2"/>
        <v>0.18552755905511811</v>
      </c>
      <c r="E13" s="100">
        <f t="shared" si="3"/>
        <v>4.7123999999999997</v>
      </c>
      <c r="F13" s="109">
        <f t="shared" si="4"/>
        <v>60.323466778552714</v>
      </c>
      <c r="G13" s="43"/>
      <c r="H13" s="50"/>
      <c r="I13" s="79">
        <f>J13/25.4</f>
        <v>0.5610236220472441</v>
      </c>
      <c r="J13" s="94">
        <v>14.25</v>
      </c>
      <c r="K13" s="99">
        <f t="shared" si="0"/>
        <v>1.762511811023622</v>
      </c>
      <c r="L13" s="100">
        <f t="shared" si="1"/>
        <v>44.767800000000001</v>
      </c>
      <c r="M13" s="109">
        <f t="shared" si="5"/>
        <v>6.7570922866284064</v>
      </c>
    </row>
    <row r="14" spans="1:13">
      <c r="A14" s="50" t="s">
        <v>185</v>
      </c>
      <c r="B14" s="79">
        <f>1/16</f>
        <v>6.25E-2</v>
      </c>
      <c r="C14" s="94">
        <f>B14*25.4</f>
        <v>1.5874999999999999</v>
      </c>
      <c r="D14" s="99">
        <f t="shared" si="2"/>
        <v>0.19635</v>
      </c>
      <c r="E14" s="100">
        <f t="shared" si="3"/>
        <v>4.9872899999999998</v>
      </c>
      <c r="F14" s="109">
        <f t="shared" si="4"/>
        <v>57.210965435041722</v>
      </c>
      <c r="G14" s="43"/>
      <c r="H14" s="50" t="s">
        <v>208</v>
      </c>
      <c r="I14" s="79">
        <f>9/16</f>
        <v>0.5625</v>
      </c>
      <c r="J14" s="94">
        <f>I14*25.4</f>
        <v>14.2875</v>
      </c>
      <c r="K14" s="99">
        <f t="shared" si="0"/>
        <v>1.76715</v>
      </c>
      <c r="L14" s="100">
        <f t="shared" si="1"/>
        <v>44.88561</v>
      </c>
      <c r="M14" s="109">
        <f t="shared" si="5"/>
        <v>6.7394906068349663</v>
      </c>
    </row>
    <row r="15" spans="1:13">
      <c r="A15" s="50"/>
      <c r="B15" s="79">
        <f>C15/25.4</f>
        <v>6.8897637795275593E-2</v>
      </c>
      <c r="C15" s="94">
        <v>1.75</v>
      </c>
      <c r="D15" s="99">
        <f t="shared" si="2"/>
        <v>0.21644881889763781</v>
      </c>
      <c r="E15" s="100">
        <f t="shared" si="3"/>
        <v>5.4977999999999998</v>
      </c>
      <c r="F15" s="109">
        <f t="shared" si="4"/>
        <v>52.208229990270901</v>
      </c>
      <c r="G15" s="43"/>
      <c r="H15" s="50"/>
      <c r="I15" s="79">
        <f>J15/25.4</f>
        <v>0.57086614173228345</v>
      </c>
      <c r="J15" s="94">
        <v>14.5</v>
      </c>
      <c r="K15" s="99">
        <f t="shared" si="0"/>
        <v>1.7934330708661417</v>
      </c>
      <c r="L15" s="100">
        <f t="shared" si="1"/>
        <v>45.553199999999997</v>
      </c>
      <c r="M15" s="109">
        <f t="shared" si="5"/>
        <v>6.6414547051917525</v>
      </c>
    </row>
    <row r="16" spans="1:13">
      <c r="A16" s="50" t="s">
        <v>186</v>
      </c>
      <c r="B16" s="79">
        <f>5/64</f>
        <v>7.8125E-2</v>
      </c>
      <c r="C16" s="94">
        <f>B16*25.4</f>
        <v>1.984375</v>
      </c>
      <c r="D16" s="99">
        <f t="shared" si="2"/>
        <v>0.2454375</v>
      </c>
      <c r="E16" s="100">
        <f t="shared" si="3"/>
        <v>6.2341125000000002</v>
      </c>
      <c r="F16" s="109">
        <f t="shared" si="4"/>
        <v>46.361133916067033</v>
      </c>
      <c r="G16" s="43"/>
      <c r="H16" s="50" t="s">
        <v>492</v>
      </c>
      <c r="I16" s="79">
        <f>37/64</f>
        <v>0.578125</v>
      </c>
      <c r="J16" s="94">
        <f>I16*25.4</f>
        <v>14.684374999999999</v>
      </c>
      <c r="K16" s="99">
        <f t="shared" si="0"/>
        <v>1.8162374999999999</v>
      </c>
      <c r="L16" s="100">
        <f t="shared" si="1"/>
        <v>46.1324325</v>
      </c>
      <c r="M16" s="109">
        <f t="shared" si="5"/>
        <v>6.5586762405121233</v>
      </c>
    </row>
    <row r="17" spans="1:13">
      <c r="A17" s="50"/>
      <c r="B17" s="79">
        <f>C17/25.4</f>
        <v>7.874015748031496E-2</v>
      </c>
      <c r="C17" s="94">
        <v>2</v>
      </c>
      <c r="D17" s="99">
        <f t="shared" si="2"/>
        <v>0.24737007874015748</v>
      </c>
      <c r="E17" s="100">
        <f t="shared" si="3"/>
        <v>6.2831999999999999</v>
      </c>
      <c r="F17" s="109">
        <f t="shared" si="4"/>
        <v>46.017549474904726</v>
      </c>
      <c r="G17" s="43"/>
      <c r="H17" s="50"/>
      <c r="I17" s="79">
        <f>J17/25.4</f>
        <v>0.58070866141732291</v>
      </c>
      <c r="J17" s="94">
        <v>14.75</v>
      </c>
      <c r="K17" s="99">
        <f t="shared" si="0"/>
        <v>1.8243543307086616</v>
      </c>
      <c r="L17" s="100">
        <f t="shared" si="1"/>
        <v>46.3386</v>
      </c>
      <c r="M17" s="109">
        <f t="shared" si="5"/>
        <v>6.5297084596571979</v>
      </c>
    </row>
    <row r="18" spans="1:13">
      <c r="A18" s="50"/>
      <c r="B18" s="79">
        <f>C18/25.4</f>
        <v>8.858267716535434E-2</v>
      </c>
      <c r="C18" s="94">
        <v>2.25</v>
      </c>
      <c r="D18" s="99">
        <f t="shared" si="2"/>
        <v>0.27829133858267718</v>
      </c>
      <c r="E18" s="100">
        <f t="shared" si="3"/>
        <v>7.0686</v>
      </c>
      <c r="F18" s="109">
        <f t="shared" si="4"/>
        <v>41.139377186541694</v>
      </c>
      <c r="G18" s="43"/>
      <c r="H18" s="50"/>
      <c r="I18" s="79">
        <f>J18/25.4</f>
        <v>0.59055118110236227</v>
      </c>
      <c r="J18" s="94">
        <v>15</v>
      </c>
      <c r="K18" s="99">
        <f t="shared" si="0"/>
        <v>1.8552755905511813</v>
      </c>
      <c r="L18" s="100">
        <f t="shared" si="1"/>
        <v>47.124000000000002</v>
      </c>
      <c r="M18" s="109">
        <f t="shared" si="5"/>
        <v>6.4216603784397375</v>
      </c>
    </row>
    <row r="19" spans="1:13">
      <c r="A19" s="50" t="s">
        <v>187</v>
      </c>
      <c r="B19" s="79">
        <f>3/32</f>
        <v>9.375E-2</v>
      </c>
      <c r="C19" s="94">
        <f>B19*25.4</f>
        <v>2.3812499999999996</v>
      </c>
      <c r="D19" s="99">
        <f t="shared" si="2"/>
        <v>0.29452499999999998</v>
      </c>
      <c r="E19" s="100">
        <f t="shared" si="3"/>
        <v>7.4809349999999988</v>
      </c>
      <c r="F19" s="109">
        <f t="shared" si="4"/>
        <v>38.970528537793292</v>
      </c>
      <c r="G19" s="43"/>
      <c r="H19" s="50" t="s">
        <v>493</v>
      </c>
      <c r="I19" s="79">
        <f>19/32</f>
        <v>0.59375</v>
      </c>
      <c r="J19" s="94">
        <f>I19*25.4</f>
        <v>15.081249999999999</v>
      </c>
      <c r="K19" s="99">
        <f t="shared" si="0"/>
        <v>1.8653249999999999</v>
      </c>
      <c r="L19" s="100">
        <f t="shared" si="1"/>
        <v>47.379254999999993</v>
      </c>
      <c r="M19" s="109">
        <f t="shared" si="5"/>
        <v>6.3873105430544648</v>
      </c>
    </row>
    <row r="20" spans="1:13">
      <c r="A20" s="50"/>
      <c r="B20" s="79">
        <f>C20/25.4</f>
        <v>9.8425196850393706E-2</v>
      </c>
      <c r="C20" s="94">
        <v>2.5</v>
      </c>
      <c r="D20" s="99">
        <f t="shared" si="2"/>
        <v>0.30921259842519688</v>
      </c>
      <c r="E20" s="100">
        <f t="shared" si="3"/>
        <v>7.8540000000000001</v>
      </c>
      <c r="F20" s="109">
        <f t="shared" si="4"/>
        <v>37.196315514573435</v>
      </c>
      <c r="G20" s="43"/>
      <c r="H20" s="50"/>
      <c r="I20" s="79">
        <f>J20/25.4</f>
        <v>0.60039370078740162</v>
      </c>
      <c r="J20" s="94">
        <v>15.25</v>
      </c>
      <c r="K20" s="99">
        <f t="shared" si="0"/>
        <v>1.886196850393701</v>
      </c>
      <c r="L20" s="100">
        <f t="shared" si="1"/>
        <v>47.909399999999998</v>
      </c>
      <c r="M20" s="109">
        <f t="shared" si="5"/>
        <v>6.317129867588978</v>
      </c>
    </row>
    <row r="21" spans="1:13">
      <c r="A21" s="50"/>
      <c r="B21" s="79">
        <f>C21/25.4</f>
        <v>0.10826771653543307</v>
      </c>
      <c r="C21" s="94">
        <v>2.75</v>
      </c>
      <c r="D21" s="99">
        <f t="shared" si="2"/>
        <v>0.34013385826771653</v>
      </c>
      <c r="E21" s="100">
        <f t="shared" si="3"/>
        <v>8.6394000000000002</v>
      </c>
      <c r="F21" s="109">
        <f t="shared" si="4"/>
        <v>33.943000703804998</v>
      </c>
      <c r="G21" s="43"/>
      <c r="H21" s="50" t="s">
        <v>209</v>
      </c>
      <c r="I21" s="79">
        <f>39/64</f>
        <v>0.609375</v>
      </c>
      <c r="J21" s="94">
        <f>I21*25.4</f>
        <v>15.478124999999999</v>
      </c>
      <c r="K21" s="99">
        <f t="shared" si="0"/>
        <v>1.9144125000000001</v>
      </c>
      <c r="L21" s="100">
        <f t="shared" si="1"/>
        <v>48.626077499999994</v>
      </c>
      <c r="M21" s="109">
        <f t="shared" si="5"/>
        <v>6.2246717458259031</v>
      </c>
    </row>
    <row r="22" spans="1:13">
      <c r="A22" s="50" t="s">
        <v>188</v>
      </c>
      <c r="B22" s="79">
        <f>7/64</f>
        <v>0.109375</v>
      </c>
      <c r="C22" s="94">
        <f>B22*25.4</f>
        <v>2.7781249999999997</v>
      </c>
      <c r="D22" s="99">
        <f t="shared" si="2"/>
        <v>0.34361249999999999</v>
      </c>
      <c r="E22" s="100">
        <f t="shared" si="3"/>
        <v>8.7277574999999992</v>
      </c>
      <c r="F22" s="109">
        <f t="shared" si="4"/>
        <v>33.612268477994469</v>
      </c>
      <c r="G22" s="43"/>
      <c r="H22" s="50"/>
      <c r="I22" s="79">
        <f>J22/25.4</f>
        <v>0.61023622047244097</v>
      </c>
      <c r="J22" s="94">
        <v>15.5</v>
      </c>
      <c r="K22" s="99">
        <f t="shared" si="0"/>
        <v>1.9171181102362205</v>
      </c>
      <c r="L22" s="100">
        <f t="shared" si="1"/>
        <v>48.694800000000001</v>
      </c>
      <c r="M22" s="109">
        <f t="shared" si="5"/>
        <v>6.2159479035043423</v>
      </c>
    </row>
    <row r="23" spans="1:13">
      <c r="A23" s="50"/>
      <c r="B23" s="79">
        <f>C23/25.4</f>
        <v>0.11811023622047245</v>
      </c>
      <c r="C23" s="94">
        <v>3</v>
      </c>
      <c r="D23" s="99">
        <f t="shared" si="2"/>
        <v>0.37105511811023623</v>
      </c>
      <c r="E23" s="100">
        <f t="shared" si="3"/>
        <v>9.4247999999999994</v>
      </c>
      <c r="F23" s="109">
        <f t="shared" si="4"/>
        <v>31.213006238505049</v>
      </c>
      <c r="G23" s="43"/>
      <c r="H23" s="50"/>
      <c r="I23" s="79">
        <f>J23/25.4</f>
        <v>0.62007874015748032</v>
      </c>
      <c r="J23" s="94">
        <v>15.75</v>
      </c>
      <c r="K23" s="99">
        <f t="shared" si="0"/>
        <v>1.9480393700787402</v>
      </c>
      <c r="L23" s="100">
        <f t="shared" si="1"/>
        <v>49.480199999999996</v>
      </c>
      <c r="M23" s="109">
        <f t="shared" si="5"/>
        <v>6.1179561209267819</v>
      </c>
    </row>
    <row r="24" spans="1:13">
      <c r="A24" s="50" t="s">
        <v>189</v>
      </c>
      <c r="B24" s="79">
        <f>1/8</f>
        <v>0.125</v>
      </c>
      <c r="C24" s="94">
        <f>B24*25.4</f>
        <v>3.1749999999999998</v>
      </c>
      <c r="D24" s="99">
        <f t="shared" si="2"/>
        <v>0.39269999999999999</v>
      </c>
      <c r="E24" s="100">
        <f t="shared" si="3"/>
        <v>9.9745799999999996</v>
      </c>
      <c r="F24" s="109">
        <f t="shared" si="4"/>
        <v>29.549372075843387</v>
      </c>
      <c r="G24" s="43"/>
      <c r="H24" s="50" t="s">
        <v>210</v>
      </c>
      <c r="I24" s="79">
        <f>5/8</f>
        <v>0.625</v>
      </c>
      <c r="J24" s="94">
        <f>I24*25.4</f>
        <v>15.875</v>
      </c>
      <c r="K24" s="99">
        <f t="shared" si="0"/>
        <v>1.9635</v>
      </c>
      <c r="L24" s="100">
        <f t="shared" si="1"/>
        <v>49.872900000000001</v>
      </c>
      <c r="M24" s="109">
        <f t="shared" si="5"/>
        <v>6.0701097678183009</v>
      </c>
    </row>
    <row r="25" spans="1:13">
      <c r="A25" s="50"/>
      <c r="B25" s="79">
        <f>C25/25.4</f>
        <v>0.12795275590551181</v>
      </c>
      <c r="C25" s="94">
        <v>3.25</v>
      </c>
      <c r="D25" s="99">
        <f t="shared" si="2"/>
        <v>0.40197637795275587</v>
      </c>
      <c r="E25" s="100">
        <f t="shared" si="3"/>
        <v>10.2102</v>
      </c>
      <c r="F25" s="109">
        <f t="shared" si="4"/>
        <v>28.889461791601583</v>
      </c>
      <c r="G25" s="43"/>
      <c r="H25" s="50"/>
      <c r="I25" s="79">
        <f>J25/25.4</f>
        <v>0.62992125984251968</v>
      </c>
      <c r="J25" s="94">
        <v>16</v>
      </c>
      <c r="K25" s="99">
        <f t="shared" si="0"/>
        <v>1.9789606299212599</v>
      </c>
      <c r="L25" s="100">
        <f t="shared" si="1"/>
        <v>50.265599999999999</v>
      </c>
      <c r="M25" s="109">
        <f t="shared" si="5"/>
        <v>6.0230059858562113</v>
      </c>
    </row>
    <row r="26" spans="1:13">
      <c r="A26" s="50"/>
      <c r="B26" s="79">
        <f>C26/25.4</f>
        <v>0.13779527559055119</v>
      </c>
      <c r="C26" s="94">
        <v>3.5</v>
      </c>
      <c r="D26" s="99">
        <f t="shared" si="2"/>
        <v>0.43289763779527562</v>
      </c>
      <c r="E26" s="100">
        <f t="shared" si="3"/>
        <v>10.9956</v>
      </c>
      <c r="F26" s="109">
        <f t="shared" si="4"/>
        <v>26.887885984071925</v>
      </c>
      <c r="G26" s="43"/>
      <c r="H26" s="50"/>
      <c r="I26" s="79">
        <f>J26/25.4</f>
        <v>0.63976377952755914</v>
      </c>
      <c r="J26" s="94">
        <v>16.25</v>
      </c>
      <c r="K26" s="99">
        <f t="shared" si="0"/>
        <v>2.0098818897637796</v>
      </c>
      <c r="L26" s="100">
        <f t="shared" si="1"/>
        <v>51.051000000000002</v>
      </c>
      <c r="M26" s="109">
        <f t="shared" si="5"/>
        <v>5.9309580443093939</v>
      </c>
    </row>
    <row r="27" spans="1:13">
      <c r="A27" s="50" t="s">
        <v>190</v>
      </c>
      <c r="B27" s="79">
        <f>9/64</f>
        <v>0.140625</v>
      </c>
      <c r="C27" s="94">
        <f>B27*25.4</f>
        <v>3.5718749999999999</v>
      </c>
      <c r="D27" s="99">
        <f t="shared" si="2"/>
        <v>0.4417875</v>
      </c>
      <c r="E27" s="100">
        <f t="shared" si="3"/>
        <v>11.2214025</v>
      </c>
      <c r="F27" s="109">
        <f t="shared" si="4"/>
        <v>26.362762597830564</v>
      </c>
      <c r="G27" s="43"/>
      <c r="H27" s="50" t="s">
        <v>494</v>
      </c>
      <c r="I27" s="79">
        <f>41/64</f>
        <v>0.640625</v>
      </c>
      <c r="J27" s="94">
        <f>I27*25.4</f>
        <v>16.271874999999998</v>
      </c>
      <c r="K27" s="99">
        <f t="shared" si="0"/>
        <v>2.0125875</v>
      </c>
      <c r="L27" s="100">
        <f t="shared" si="1"/>
        <v>51.119722499999995</v>
      </c>
      <c r="M27" s="109">
        <f t="shared" si="5"/>
        <v>5.9230375310805226</v>
      </c>
    </row>
    <row r="28" spans="1:13">
      <c r="A28" s="50"/>
      <c r="B28" s="79">
        <f>C28/25.4</f>
        <v>0.14763779527559057</v>
      </c>
      <c r="C28" s="94">
        <v>3.75</v>
      </c>
      <c r="D28" s="99">
        <f t="shared" si="2"/>
        <v>0.46381889763779532</v>
      </c>
      <c r="E28" s="100">
        <f t="shared" si="3"/>
        <v>11.781000000000001</v>
      </c>
      <c r="F28" s="109">
        <f t="shared" si="4"/>
        <v>25.145693222542683</v>
      </c>
      <c r="G28" s="43"/>
      <c r="H28" s="50"/>
      <c r="I28" s="79">
        <f>J28/25.4</f>
        <v>0.64960629921259849</v>
      </c>
      <c r="J28" s="94">
        <v>16.5</v>
      </c>
      <c r="K28" s="99">
        <f t="shared" si="0"/>
        <v>2.0408031496062993</v>
      </c>
      <c r="L28" s="100">
        <f t="shared" si="1"/>
        <v>51.836399999999998</v>
      </c>
      <c r="M28" s="109">
        <f t="shared" si="5"/>
        <v>5.8416812389270625</v>
      </c>
    </row>
    <row r="29" spans="1:13">
      <c r="A29" s="50" t="s">
        <v>191</v>
      </c>
      <c r="B29" s="79">
        <f>5/32</f>
        <v>0.15625</v>
      </c>
      <c r="C29" s="94">
        <f>B29*25.4</f>
        <v>3.96875</v>
      </c>
      <c r="D29" s="99">
        <f t="shared" si="2"/>
        <v>0.49087500000000001</v>
      </c>
      <c r="E29" s="100">
        <f t="shared" si="3"/>
        <v>12.468225</v>
      </c>
      <c r="F29" s="109">
        <f t="shared" si="4"/>
        <v>23.796539586535122</v>
      </c>
      <c r="G29" s="43"/>
      <c r="H29" s="50" t="s">
        <v>496</v>
      </c>
      <c r="I29" s="79">
        <f>21/32</f>
        <v>0.65625</v>
      </c>
      <c r="J29" s="94">
        <f>I29*25.4</f>
        <v>16.668749999999999</v>
      </c>
      <c r="K29" s="99">
        <f t="shared" si="0"/>
        <v>2.0616750000000001</v>
      </c>
      <c r="L29" s="100">
        <f t="shared" si="1"/>
        <v>52.366544999999995</v>
      </c>
      <c r="M29" s="109">
        <f t="shared" si="5"/>
        <v>5.7829235087888389</v>
      </c>
    </row>
    <row r="30" spans="1:13">
      <c r="A30" s="50"/>
      <c r="B30" s="79">
        <f>C30/25.4</f>
        <v>0.15748031496062992</v>
      </c>
      <c r="C30" s="94">
        <v>4</v>
      </c>
      <c r="D30" s="99">
        <f t="shared" si="2"/>
        <v>0.49474015748031497</v>
      </c>
      <c r="E30" s="100">
        <f t="shared" si="3"/>
        <v>12.5664</v>
      </c>
      <c r="F30" s="109">
        <f t="shared" si="4"/>
        <v>23.615531705865763</v>
      </c>
      <c r="G30" s="43"/>
      <c r="H30" s="50"/>
      <c r="I30" s="79">
        <f>J30/25.4</f>
        <v>0.65944881889763785</v>
      </c>
      <c r="J30" s="94">
        <v>16.75</v>
      </c>
      <c r="K30" s="99">
        <f t="shared" si="0"/>
        <v>2.071724409448819</v>
      </c>
      <c r="L30" s="100">
        <f t="shared" si="1"/>
        <v>52.6218</v>
      </c>
      <c r="M30" s="109">
        <f t="shared" si="5"/>
        <v>5.7550522863871114</v>
      </c>
    </row>
    <row r="31" spans="1:13">
      <c r="A31" s="50"/>
      <c r="B31" s="79">
        <f>C31/25.4</f>
        <v>0.1673228346456693</v>
      </c>
      <c r="C31" s="94">
        <v>4.25</v>
      </c>
      <c r="D31" s="99">
        <f t="shared" si="2"/>
        <v>0.52566141732283467</v>
      </c>
      <c r="E31" s="100">
        <f t="shared" si="3"/>
        <v>13.351799999999999</v>
      </c>
      <c r="F31" s="109">
        <f t="shared" si="4"/>
        <v>22.260914275030384</v>
      </c>
      <c r="G31" s="43"/>
      <c r="H31" s="50"/>
      <c r="I31" s="79">
        <f>J31/25.4</f>
        <v>0.6692913385826772</v>
      </c>
      <c r="J31" s="94">
        <v>17</v>
      </c>
      <c r="K31" s="99">
        <f t="shared" si="0"/>
        <v>2.1026456692913387</v>
      </c>
      <c r="L31" s="100">
        <f t="shared" si="1"/>
        <v>53.407199999999996</v>
      </c>
      <c r="M31" s="109">
        <f t="shared" si="5"/>
        <v>5.6709551094040362</v>
      </c>
    </row>
    <row r="32" spans="1:13">
      <c r="A32" s="50" t="s">
        <v>192</v>
      </c>
      <c r="B32" s="79">
        <f>11/64</f>
        <v>0.171875</v>
      </c>
      <c r="C32" s="94">
        <f>B32*25.4</f>
        <v>4.3656249999999996</v>
      </c>
      <c r="D32" s="99">
        <f t="shared" si="2"/>
        <v>0.53996250000000001</v>
      </c>
      <c r="E32" s="100">
        <f t="shared" si="3"/>
        <v>13.715047499999999</v>
      </c>
      <c r="F32" s="109">
        <f t="shared" si="4"/>
        <v>21.685603921480045</v>
      </c>
      <c r="G32" s="43"/>
      <c r="H32" s="50" t="s">
        <v>211</v>
      </c>
      <c r="I32" s="79">
        <f>43/64</f>
        <v>0.671875</v>
      </c>
      <c r="J32" s="94">
        <f>I32*25.4</f>
        <v>17.065625000000001</v>
      </c>
      <c r="K32" s="99">
        <f t="shared" si="0"/>
        <v>2.1107624999999999</v>
      </c>
      <c r="L32" s="100">
        <f t="shared" si="1"/>
        <v>53.613367500000003</v>
      </c>
      <c r="M32" s="109">
        <f t="shared" si="5"/>
        <v>5.6492853065619988</v>
      </c>
    </row>
    <row r="33" spans="1:13">
      <c r="A33" s="50"/>
      <c r="B33" s="79">
        <f>C33/25.4</f>
        <v>0.17716535433070868</v>
      </c>
      <c r="C33" s="94">
        <v>4.5</v>
      </c>
      <c r="D33" s="99">
        <f t="shared" si="2"/>
        <v>0.55658267716535437</v>
      </c>
      <c r="E33" s="100">
        <f t="shared" si="3"/>
        <v>14.1372</v>
      </c>
      <c r="F33" s="109">
        <f t="shared" si="4"/>
        <v>21.053271407612886</v>
      </c>
      <c r="G33" s="43"/>
      <c r="H33" s="50"/>
      <c r="I33" s="79">
        <f>J33/25.4</f>
        <v>0.67913385826771655</v>
      </c>
      <c r="J33" s="94">
        <v>17.25</v>
      </c>
      <c r="K33" s="99">
        <f t="shared" si="0"/>
        <v>2.1335669291338584</v>
      </c>
      <c r="L33" s="100">
        <f t="shared" si="1"/>
        <v>54.192599999999999</v>
      </c>
      <c r="M33" s="109">
        <f t="shared" si="5"/>
        <v>5.5892803178114665</v>
      </c>
    </row>
    <row r="34" spans="1:13">
      <c r="A34" s="50"/>
      <c r="B34" s="79">
        <f>C34/25.4</f>
        <v>0.18700787401574803</v>
      </c>
      <c r="C34" s="94">
        <v>4.75</v>
      </c>
      <c r="D34" s="99">
        <f t="shared" si="2"/>
        <v>0.58750393700787396</v>
      </c>
      <c r="E34" s="100">
        <f t="shared" si="3"/>
        <v>14.922599999999999</v>
      </c>
      <c r="F34" s="109">
        <f t="shared" si="4"/>
        <v>19.969914092679275</v>
      </c>
      <c r="G34" s="43"/>
      <c r="H34" s="50" t="s">
        <v>212</v>
      </c>
      <c r="I34" s="79">
        <f>11/16</f>
        <v>0.6875</v>
      </c>
      <c r="J34" s="94">
        <f>I34*25.4</f>
        <v>17.462499999999999</v>
      </c>
      <c r="K34" s="99">
        <f t="shared" si="0"/>
        <v>2.15985</v>
      </c>
      <c r="L34" s="100">
        <f t="shared" si="1"/>
        <v>54.860189999999996</v>
      </c>
      <c r="M34" s="109">
        <f t="shared" si="5"/>
        <v>5.5216841136546648</v>
      </c>
    </row>
    <row r="35" spans="1:13">
      <c r="A35" s="50" t="s">
        <v>193</v>
      </c>
      <c r="B35" s="79">
        <f>3/16</f>
        <v>0.1875</v>
      </c>
      <c r="C35" s="94">
        <f>B35*25.4</f>
        <v>4.7624999999999993</v>
      </c>
      <c r="D35" s="99">
        <f t="shared" si="2"/>
        <v>0.58904999999999996</v>
      </c>
      <c r="E35" s="100">
        <f t="shared" si="3"/>
        <v>14.961869999999998</v>
      </c>
      <c r="F35" s="109">
        <f t="shared" si="4"/>
        <v>19.918665449414892</v>
      </c>
      <c r="G35" s="43"/>
      <c r="H35" s="50"/>
      <c r="I35" s="79">
        <f>J35/25.4</f>
        <v>0.6889763779527559</v>
      </c>
      <c r="J35" s="94">
        <v>17.5</v>
      </c>
      <c r="K35" s="99">
        <f t="shared" si="0"/>
        <v>2.1644881889763781</v>
      </c>
      <c r="L35" s="100">
        <f t="shared" si="1"/>
        <v>54.978000000000002</v>
      </c>
      <c r="M35" s="109">
        <f t="shared" si="5"/>
        <v>5.5099247338496662</v>
      </c>
    </row>
    <row r="36" spans="1:13">
      <c r="A36" s="50"/>
      <c r="B36" s="79">
        <f>C36/25.4</f>
        <v>0.19685039370078741</v>
      </c>
      <c r="C36" s="94">
        <v>5</v>
      </c>
      <c r="D36" s="99">
        <f t="shared" si="2"/>
        <v>0.61842519685039377</v>
      </c>
      <c r="E36" s="100">
        <f t="shared" si="3"/>
        <v>15.708</v>
      </c>
      <c r="F36" s="109">
        <f t="shared" si="4"/>
        <v>18.992594881969247</v>
      </c>
      <c r="G36" s="43"/>
      <c r="H36" s="50"/>
      <c r="I36" s="79">
        <f>J36/25.4</f>
        <v>0.69881889763779537</v>
      </c>
      <c r="J36" s="94">
        <v>17.75</v>
      </c>
      <c r="K36" s="99">
        <f t="shared" si="0"/>
        <v>2.1954094488188978</v>
      </c>
      <c r="L36" s="100">
        <f t="shared" si="1"/>
        <v>55.763399999999997</v>
      </c>
      <c r="M36" s="109">
        <f t="shared" si="5"/>
        <v>5.432790957326211</v>
      </c>
    </row>
    <row r="37" spans="1:13">
      <c r="A37" s="50" t="s">
        <v>194</v>
      </c>
      <c r="B37" s="79">
        <f>13/64</f>
        <v>0.203125</v>
      </c>
      <c r="C37" s="94">
        <f>B37*25.4</f>
        <v>5.1593749999999998</v>
      </c>
      <c r="D37" s="99">
        <f t="shared" si="2"/>
        <v>0.63813750000000002</v>
      </c>
      <c r="E37" s="100">
        <f t="shared" si="3"/>
        <v>16.208692499999998</v>
      </c>
      <c r="F37" s="109">
        <f t="shared" si="4"/>
        <v>18.41797287186079</v>
      </c>
      <c r="G37" s="43"/>
      <c r="H37" s="50" t="s">
        <v>497</v>
      </c>
      <c r="I37" s="79">
        <f>45/64</f>
        <v>0.703125</v>
      </c>
      <c r="J37" s="94">
        <f>I37*25.4</f>
        <v>17.859375</v>
      </c>
      <c r="K37" s="99">
        <f t="shared" si="0"/>
        <v>2.2089374999999998</v>
      </c>
      <c r="L37" s="100">
        <f t="shared" si="1"/>
        <v>56.107012499999996</v>
      </c>
      <c r="M37" s="109">
        <f t="shared" si="5"/>
        <v>5.3997198895307319</v>
      </c>
    </row>
    <row r="38" spans="1:13">
      <c r="A38" s="50"/>
      <c r="B38" s="79">
        <f>C38/25.4</f>
        <v>0.20669291338582679</v>
      </c>
      <c r="C38" s="94">
        <v>5.25</v>
      </c>
      <c r="D38" s="99">
        <f t="shared" si="2"/>
        <v>0.64934645669291347</v>
      </c>
      <c r="E38" s="100">
        <f t="shared" si="3"/>
        <v>16.493400000000001</v>
      </c>
      <c r="F38" s="109">
        <f t="shared" si="4"/>
        <v>18.106471756755472</v>
      </c>
      <c r="G38" s="43"/>
      <c r="H38" s="50"/>
      <c r="I38" s="79">
        <f>J38/25.4</f>
        <v>0.70866141732283472</v>
      </c>
      <c r="J38" s="94">
        <v>18</v>
      </c>
      <c r="K38" s="99">
        <f t="shared" ref="K38:K62" si="6">I38*3.1416</f>
        <v>2.2263307086614175</v>
      </c>
      <c r="L38" s="100">
        <f t="shared" ref="L38:L62" si="7">J38*3.1416</f>
        <v>56.5488</v>
      </c>
      <c r="M38" s="109">
        <f t="shared" si="5"/>
        <v>5.3577869667964864</v>
      </c>
    </row>
    <row r="39" spans="1:13">
      <c r="A39" s="50"/>
      <c r="B39" s="79">
        <f>C39/25.4</f>
        <v>0.21653543307086615</v>
      </c>
      <c r="C39" s="94">
        <v>5.5</v>
      </c>
      <c r="D39" s="99">
        <f t="shared" si="2"/>
        <v>0.68026771653543305</v>
      </c>
      <c r="E39" s="100">
        <f t="shared" si="3"/>
        <v>17.2788</v>
      </c>
      <c r="F39" s="109">
        <f t="shared" si="4"/>
        <v>17.299349117665088</v>
      </c>
      <c r="G39" s="43"/>
      <c r="H39" s="50"/>
      <c r="I39" s="79">
        <f>J39/25.4</f>
        <v>0.71850393700787407</v>
      </c>
      <c r="J39" s="94">
        <v>18.25</v>
      </c>
      <c r="K39" s="99">
        <f t="shared" si="6"/>
        <v>2.2572519685039372</v>
      </c>
      <c r="L39" s="100">
        <f t="shared" si="7"/>
        <v>57.334199999999996</v>
      </c>
      <c r="M39" s="109">
        <f t="shared" si="5"/>
        <v>5.284825753330411</v>
      </c>
    </row>
    <row r="40" spans="1:13">
      <c r="A40" s="50" t="s">
        <v>195</v>
      </c>
      <c r="B40" s="79">
        <f>7/32</f>
        <v>0.21875</v>
      </c>
      <c r="C40" s="94">
        <f>B40*25.4</f>
        <v>5.5562499999999995</v>
      </c>
      <c r="D40" s="99">
        <f t="shared" si="2"/>
        <v>0.68722499999999997</v>
      </c>
      <c r="E40" s="100">
        <f t="shared" si="3"/>
        <v>17.455514999999998</v>
      </c>
      <c r="F40" s="109">
        <f t="shared" si="4"/>
        <v>17.12756467439786</v>
      </c>
      <c r="G40" s="43"/>
      <c r="H40" s="50" t="s">
        <v>498</v>
      </c>
      <c r="I40" s="79">
        <f>23/32</f>
        <v>0.71875</v>
      </c>
      <c r="J40" s="94">
        <f>I40*25.4</f>
        <v>18.256249999999998</v>
      </c>
      <c r="K40" s="99">
        <f t="shared" si="6"/>
        <v>2.2580249999999999</v>
      </c>
      <c r="L40" s="100">
        <f t="shared" si="7"/>
        <v>57.353834999999989</v>
      </c>
      <c r="M40" s="109">
        <f t="shared" si="5"/>
        <v>5.2830271745710293</v>
      </c>
    </row>
    <row r="41" spans="1:13">
      <c r="A41" s="50" t="s">
        <v>196</v>
      </c>
      <c r="B41" s="79">
        <f>15/64</f>
        <v>0.234375</v>
      </c>
      <c r="C41" s="94">
        <f>B41*25.4</f>
        <v>5.953125</v>
      </c>
      <c r="D41" s="99">
        <f t="shared" si="2"/>
        <v>0.73631250000000004</v>
      </c>
      <c r="E41" s="100">
        <f t="shared" si="3"/>
        <v>18.702337499999999</v>
      </c>
      <c r="F41" s="109">
        <f t="shared" si="4"/>
        <v>16.006135685346049</v>
      </c>
      <c r="G41" s="43"/>
      <c r="H41" s="50"/>
      <c r="I41" s="79">
        <f>J41/25.4</f>
        <v>0.72834645669291342</v>
      </c>
      <c r="J41" s="94">
        <v>18.5</v>
      </c>
      <c r="K41" s="99">
        <f t="shared" si="6"/>
        <v>2.2881732283464569</v>
      </c>
      <c r="L41" s="100">
        <f t="shared" si="7"/>
        <v>58.119599999999998</v>
      </c>
      <c r="M41" s="109">
        <f t="shared" si="5"/>
        <v>5.2138249838008788</v>
      </c>
    </row>
    <row r="42" spans="1:13">
      <c r="A42" s="50"/>
      <c r="B42" s="79">
        <f>C42/25.4</f>
        <v>0.23622047244094491</v>
      </c>
      <c r="C42" s="94">
        <v>6</v>
      </c>
      <c r="D42" s="99">
        <f t="shared" si="2"/>
        <v>0.74211023622047245</v>
      </c>
      <c r="E42" s="100">
        <f t="shared" si="3"/>
        <v>18.849599999999999</v>
      </c>
      <c r="F42" s="109">
        <f t="shared" si="4"/>
        <v>15.883305645243659</v>
      </c>
      <c r="G42" s="43"/>
      <c r="H42" s="50" t="s">
        <v>499</v>
      </c>
      <c r="I42" s="79">
        <f>47/64</f>
        <v>0.734375</v>
      </c>
      <c r="J42" s="94">
        <f>I42*25.4</f>
        <v>18.653124999999999</v>
      </c>
      <c r="K42" s="99">
        <f t="shared" si="6"/>
        <v>2.3071125000000001</v>
      </c>
      <c r="L42" s="100">
        <f t="shared" si="7"/>
        <v>58.600657499999997</v>
      </c>
      <c r="M42" s="109">
        <f t="shared" si="5"/>
        <v>5.171271432496054</v>
      </c>
    </row>
    <row r="43" spans="1:13">
      <c r="A43" s="50"/>
      <c r="B43" s="79">
        <f>C43/25.4</f>
        <v>0.24606299212598426</v>
      </c>
      <c r="C43" s="94">
        <v>6.25</v>
      </c>
      <c r="D43" s="99">
        <f t="shared" si="2"/>
        <v>0.77303149606299215</v>
      </c>
      <c r="E43" s="100">
        <f t="shared" si="3"/>
        <v>19.634999999999998</v>
      </c>
      <c r="F43" s="109">
        <f t="shared" si="4"/>
        <v>15.258798840171091</v>
      </c>
      <c r="G43" s="43"/>
      <c r="H43" s="50"/>
      <c r="I43" s="79">
        <f>J43/25.4</f>
        <v>0.73818897637795278</v>
      </c>
      <c r="J43" s="94">
        <v>18.75</v>
      </c>
      <c r="K43" s="99">
        <f t="shared" si="6"/>
        <v>2.3190944881889766</v>
      </c>
      <c r="L43" s="100">
        <f t="shared" si="7"/>
        <v>58.905000000000001</v>
      </c>
      <c r="M43" s="109">
        <f t="shared" si="5"/>
        <v>5.1447066909543633</v>
      </c>
    </row>
    <row r="44" spans="1:13">
      <c r="A44" s="50" t="s">
        <v>197</v>
      </c>
      <c r="B44" s="79">
        <f>1/4</f>
        <v>0.25</v>
      </c>
      <c r="C44" s="94">
        <f>B44*25.4</f>
        <v>6.35</v>
      </c>
      <c r="D44" s="99">
        <f t="shared" si="2"/>
        <v>0.78539999999999999</v>
      </c>
      <c r="E44" s="100">
        <f t="shared" si="3"/>
        <v>19.949159999999999</v>
      </c>
      <c r="F44" s="109">
        <f t="shared" si="4"/>
        <v>15.022533800701053</v>
      </c>
      <c r="G44" s="43"/>
      <c r="H44" s="50"/>
      <c r="I44" s="79">
        <f>J44/25.4</f>
        <v>0.74803149606299213</v>
      </c>
      <c r="J44" s="94">
        <v>19</v>
      </c>
      <c r="K44" s="99">
        <f t="shared" si="6"/>
        <v>2.3500157480314958</v>
      </c>
      <c r="L44" s="100">
        <f t="shared" si="7"/>
        <v>59.690399999999997</v>
      </c>
      <c r="M44" s="109">
        <f t="shared" si="5"/>
        <v>5.0773969878109169</v>
      </c>
    </row>
    <row r="45" spans="1:13">
      <c r="A45" s="50"/>
      <c r="B45" s="79">
        <f>C45/25.4</f>
        <v>0.25590551181102361</v>
      </c>
      <c r="C45" s="94">
        <v>6.5</v>
      </c>
      <c r="D45" s="99">
        <f t="shared" si="2"/>
        <v>0.80395275590551174</v>
      </c>
      <c r="E45" s="100">
        <f t="shared" si="3"/>
        <v>20.420400000000001</v>
      </c>
      <c r="F45" s="109">
        <f t="shared" si="4"/>
        <v>14.681543450239781</v>
      </c>
      <c r="G45" s="43"/>
      <c r="H45" s="50" t="s">
        <v>213</v>
      </c>
      <c r="I45" s="79">
        <f>3/4</f>
        <v>0.75</v>
      </c>
      <c r="J45" s="94">
        <f>I45*25.4</f>
        <v>19.049999999999997</v>
      </c>
      <c r="K45" s="99">
        <f t="shared" si="6"/>
        <v>2.3561999999999999</v>
      </c>
      <c r="L45" s="100">
        <f t="shared" si="7"/>
        <v>59.84747999999999</v>
      </c>
      <c r="M45" s="109">
        <f t="shared" si="5"/>
        <v>5.0641458474004057</v>
      </c>
    </row>
    <row r="46" spans="1:13">
      <c r="A46" s="50" t="s">
        <v>198</v>
      </c>
      <c r="B46" s="79">
        <f>17/64</f>
        <v>0.265625</v>
      </c>
      <c r="C46" s="94">
        <f>B46*25.4</f>
        <v>6.7468749999999993</v>
      </c>
      <c r="D46" s="99">
        <f t="shared" si="2"/>
        <v>0.83448749999999994</v>
      </c>
      <c r="E46" s="100">
        <f t="shared" si="3"/>
        <v>21.195982499999996</v>
      </c>
      <c r="F46" s="109">
        <f t="shared" si="4"/>
        <v>14.152820981557106</v>
      </c>
      <c r="G46" s="43"/>
      <c r="H46" s="50"/>
      <c r="I46" s="79">
        <f>J46/25.4</f>
        <v>0.75787401574803159</v>
      </c>
      <c r="J46" s="94">
        <v>19.25</v>
      </c>
      <c r="K46" s="99">
        <f t="shared" si="6"/>
        <v>2.380937007874016</v>
      </c>
      <c r="L46" s="100">
        <f t="shared" si="7"/>
        <v>60.4758</v>
      </c>
      <c r="M46" s="109">
        <f t="shared" si="5"/>
        <v>5.0118258041941486</v>
      </c>
    </row>
    <row r="47" spans="1:13">
      <c r="A47" s="50"/>
      <c r="B47" s="79">
        <f>C47/25.4</f>
        <v>0.26574803149606302</v>
      </c>
      <c r="C47" s="94">
        <v>6.75</v>
      </c>
      <c r="D47" s="99">
        <f t="shared" si="2"/>
        <v>0.83487401574803155</v>
      </c>
      <c r="E47" s="100">
        <f t="shared" si="3"/>
        <v>21.2058</v>
      </c>
      <c r="F47" s="109">
        <f t="shared" si="4"/>
        <v>14.146372253802998</v>
      </c>
      <c r="G47" s="43"/>
      <c r="H47" s="50" t="s">
        <v>500</v>
      </c>
      <c r="I47" s="79">
        <f>49/64</f>
        <v>0.765625</v>
      </c>
      <c r="J47" s="94">
        <f>I47*25.4</f>
        <v>19.446874999999999</v>
      </c>
      <c r="K47" s="99">
        <f t="shared" si="6"/>
        <v>2.4052875</v>
      </c>
      <c r="L47" s="100">
        <f t="shared" si="7"/>
        <v>61.094302499999998</v>
      </c>
      <c r="M47" s="109">
        <f t="shared" si="5"/>
        <v>4.9613685108142329</v>
      </c>
    </row>
    <row r="48" spans="1:13">
      <c r="A48" s="50"/>
      <c r="B48" s="79">
        <f>C48/25.4</f>
        <v>0.27559055118110237</v>
      </c>
      <c r="C48" s="94">
        <v>7</v>
      </c>
      <c r="D48" s="99">
        <f t="shared" si="2"/>
        <v>0.86579527559055125</v>
      </c>
      <c r="E48" s="100">
        <f t="shared" si="3"/>
        <v>21.991199999999999</v>
      </c>
      <c r="F48" s="109">
        <f t="shared" si="4"/>
        <v>13.648844953061944</v>
      </c>
      <c r="G48" s="43"/>
      <c r="H48" s="50"/>
      <c r="I48" s="79">
        <f>J48/25.4</f>
        <v>0.76771653543307095</v>
      </c>
      <c r="J48" s="94">
        <v>19.5</v>
      </c>
      <c r="K48" s="99">
        <f t="shared" si="6"/>
        <v>2.4118582677165357</v>
      </c>
      <c r="L48" s="100">
        <f t="shared" si="7"/>
        <v>61.261200000000002</v>
      </c>
      <c r="M48" s="109">
        <f t="shared" si="5"/>
        <v>4.9479266434161726</v>
      </c>
    </row>
    <row r="49" spans="1:13">
      <c r="A49" s="50" t="s">
        <v>199</v>
      </c>
      <c r="B49" s="79">
        <f>9/32</f>
        <v>0.28125</v>
      </c>
      <c r="C49" s="94">
        <f>B49*25.4</f>
        <v>7.1437499999999998</v>
      </c>
      <c r="D49" s="99">
        <f t="shared" si="2"/>
        <v>0.883575</v>
      </c>
      <c r="E49" s="100">
        <f t="shared" si="3"/>
        <v>22.442805</v>
      </c>
      <c r="F49" s="109">
        <f t="shared" si="4"/>
        <v>13.37829928370356</v>
      </c>
      <c r="G49" s="43"/>
      <c r="H49" s="50"/>
      <c r="I49" s="79">
        <f>J49/25.4</f>
        <v>0.7775590551181103</v>
      </c>
      <c r="J49" s="94">
        <v>19.75</v>
      </c>
      <c r="K49" s="99">
        <f t="shared" si="6"/>
        <v>2.4427795275590554</v>
      </c>
      <c r="L49" s="100">
        <f t="shared" si="7"/>
        <v>62.046599999999998</v>
      </c>
      <c r="M49" s="109">
        <f t="shared" si="5"/>
        <v>4.8856363573413413</v>
      </c>
    </row>
    <row r="50" spans="1:13">
      <c r="A50" s="50"/>
      <c r="B50" s="79">
        <f>C50/25.4</f>
        <v>0.28543307086614172</v>
      </c>
      <c r="C50" s="94">
        <v>7.25</v>
      </c>
      <c r="D50" s="99">
        <f t="shared" si="2"/>
        <v>0.89671653543307084</v>
      </c>
      <c r="E50" s="100">
        <f t="shared" si="3"/>
        <v>22.776599999999998</v>
      </c>
      <c r="F50" s="109">
        <f t="shared" si="4"/>
        <v>13.185124687675197</v>
      </c>
      <c r="G50" s="43"/>
      <c r="H50" s="50" t="s">
        <v>501</v>
      </c>
      <c r="I50" s="79">
        <f>25/32</f>
        <v>0.78125</v>
      </c>
      <c r="J50" s="94">
        <f>I50*25.4</f>
        <v>19.84375</v>
      </c>
      <c r="K50" s="99">
        <f t="shared" si="6"/>
        <v>2.4543749999999998</v>
      </c>
      <c r="L50" s="100">
        <f t="shared" si="7"/>
        <v>62.341124999999998</v>
      </c>
      <c r="M50" s="109">
        <f t="shared" si="5"/>
        <v>4.8626799444844044</v>
      </c>
    </row>
    <row r="51" spans="1:13">
      <c r="A51" s="50"/>
      <c r="B51" s="79">
        <f>C51/25.4</f>
        <v>0.29527559055118113</v>
      </c>
      <c r="C51" s="94">
        <v>7.5</v>
      </c>
      <c r="D51" s="99">
        <f t="shared" si="2"/>
        <v>0.92763779527559065</v>
      </c>
      <c r="E51" s="100">
        <f t="shared" si="3"/>
        <v>23.562000000000001</v>
      </c>
      <c r="F51" s="109">
        <f t="shared" si="4"/>
        <v>12.751878893966955</v>
      </c>
      <c r="G51" s="43"/>
      <c r="H51" s="50"/>
      <c r="I51" s="79">
        <f>J51/25.4</f>
        <v>0.78740157480314965</v>
      </c>
      <c r="J51" s="94">
        <v>20</v>
      </c>
      <c r="K51" s="99">
        <f t="shared" si="6"/>
        <v>2.4737007874015751</v>
      </c>
      <c r="L51" s="100">
        <f t="shared" si="7"/>
        <v>62.832000000000001</v>
      </c>
      <c r="M51" s="109">
        <f t="shared" si="5"/>
        <v>4.8248949382293143</v>
      </c>
    </row>
    <row r="52" spans="1:13">
      <c r="A52" s="50" t="s">
        <v>200</v>
      </c>
      <c r="B52" s="79">
        <f>19/64</f>
        <v>0.296875</v>
      </c>
      <c r="C52" s="94">
        <f>B52*25.4</f>
        <v>7.5406249999999995</v>
      </c>
      <c r="D52" s="99">
        <f t="shared" si="2"/>
        <v>0.93266249999999995</v>
      </c>
      <c r="E52" s="100">
        <f t="shared" si="3"/>
        <v>23.689627499999997</v>
      </c>
      <c r="F52" s="109">
        <f t="shared" si="4"/>
        <v>12.684151417057542</v>
      </c>
      <c r="G52" s="43"/>
      <c r="H52" s="50" t="s">
        <v>502</v>
      </c>
      <c r="I52" s="79">
        <f>51/64</f>
        <v>0.796875</v>
      </c>
      <c r="J52" s="94">
        <f>I52*25.4</f>
        <v>20.240624999999998</v>
      </c>
      <c r="K52" s="99">
        <f t="shared" si="6"/>
        <v>2.5034624999999999</v>
      </c>
      <c r="L52" s="100">
        <f t="shared" si="7"/>
        <v>63.587947499999991</v>
      </c>
      <c r="M52" s="109">
        <f t="shared" si="5"/>
        <v>4.7678409130415353</v>
      </c>
    </row>
    <row r="53" spans="1:13">
      <c r="A53" s="50"/>
      <c r="B53" s="79">
        <f>C53/25.4</f>
        <v>0.30511811023622049</v>
      </c>
      <c r="C53" s="94">
        <v>7.75</v>
      </c>
      <c r="D53" s="99">
        <f t="shared" si="2"/>
        <v>0.95855905511811024</v>
      </c>
      <c r="E53" s="100">
        <f t="shared" si="3"/>
        <v>24.3474</v>
      </c>
      <c r="F53" s="109">
        <f t="shared" si="4"/>
        <v>12.346199088131122</v>
      </c>
      <c r="G53" s="43"/>
      <c r="H53" s="50"/>
      <c r="I53" s="79">
        <f>J53/25.4</f>
        <v>0.797244094488189</v>
      </c>
      <c r="J53" s="94">
        <v>20.25</v>
      </c>
      <c r="K53" s="99">
        <f t="shared" si="6"/>
        <v>2.5046220472440943</v>
      </c>
      <c r="L53" s="100">
        <f t="shared" si="7"/>
        <v>63.617399999999996</v>
      </c>
      <c r="M53" s="109">
        <f t="shared" si="5"/>
        <v>4.7656453259151048</v>
      </c>
    </row>
    <row r="54" spans="1:13">
      <c r="A54" s="50" t="s">
        <v>201</v>
      </c>
      <c r="B54" s="79">
        <f>5/16</f>
        <v>0.3125</v>
      </c>
      <c r="C54" s="94">
        <f>B54*25.4</f>
        <v>7.9375</v>
      </c>
      <c r="D54" s="99">
        <f t="shared" si="2"/>
        <v>0.98175000000000001</v>
      </c>
      <c r="E54" s="100">
        <f t="shared" si="3"/>
        <v>24.936450000000001</v>
      </c>
      <c r="F54" s="109">
        <f t="shared" si="4"/>
        <v>12.058483645681555</v>
      </c>
      <c r="G54" s="43"/>
      <c r="H54" s="50"/>
      <c r="I54" s="79">
        <f>J54/25.4</f>
        <v>0.80708661417322836</v>
      </c>
      <c r="J54" s="94">
        <v>20.5</v>
      </c>
      <c r="K54" s="99">
        <f t="shared" si="6"/>
        <v>2.535543307086614</v>
      </c>
      <c r="L54" s="100">
        <f t="shared" si="7"/>
        <v>64.402799999999999</v>
      </c>
      <c r="M54" s="109">
        <f t="shared" si="5"/>
        <v>4.7078332290237306</v>
      </c>
    </row>
    <row r="55" spans="1:13">
      <c r="A55" s="50"/>
      <c r="B55" s="79">
        <f>C55/25.4</f>
        <v>0.31496062992125984</v>
      </c>
      <c r="C55" s="94">
        <v>8</v>
      </c>
      <c r="D55" s="99">
        <f t="shared" si="2"/>
        <v>0.98948031496062994</v>
      </c>
      <c r="E55" s="100">
        <f t="shared" si="3"/>
        <v>25.1328</v>
      </c>
      <c r="F55" s="109">
        <f t="shared" si="4"/>
        <v>11.965535489118741</v>
      </c>
      <c r="G55" s="43"/>
      <c r="H55" s="50" t="s">
        <v>503</v>
      </c>
      <c r="I55" s="79">
        <f>13/16</f>
        <v>0.8125</v>
      </c>
      <c r="J55" s="94">
        <f>I55*25.4</f>
        <v>20.637499999999999</v>
      </c>
      <c r="K55" s="99">
        <f t="shared" si="6"/>
        <v>2.5525500000000001</v>
      </c>
      <c r="L55" s="100">
        <f t="shared" si="7"/>
        <v>64.834769999999992</v>
      </c>
      <c r="M55" s="109">
        <f t="shared" si="5"/>
        <v>4.676630487733588</v>
      </c>
    </row>
    <row r="56" spans="1:13">
      <c r="A56" s="50"/>
      <c r="B56" s="79">
        <f>C56/25.4</f>
        <v>0.32480314960629925</v>
      </c>
      <c r="C56" s="94">
        <v>8.25</v>
      </c>
      <c r="D56" s="99">
        <f t="shared" si="2"/>
        <v>1.0204015748031496</v>
      </c>
      <c r="E56" s="100">
        <f t="shared" si="3"/>
        <v>25.918199999999999</v>
      </c>
      <c r="F56" s="109">
        <f t="shared" si="4"/>
        <v>11.607643374198735</v>
      </c>
      <c r="G56" s="43"/>
      <c r="H56" s="50"/>
      <c r="I56" s="79">
        <f>J56/25.4</f>
        <v>0.81692913385826771</v>
      </c>
      <c r="J56" s="94">
        <v>20.75</v>
      </c>
      <c r="K56" s="99">
        <f t="shared" si="6"/>
        <v>2.5664645669291337</v>
      </c>
      <c r="L56" s="100">
        <f t="shared" si="7"/>
        <v>65.188199999999995</v>
      </c>
      <c r="M56" s="109">
        <f t="shared" si="5"/>
        <v>4.6514069590419815</v>
      </c>
    </row>
    <row r="57" spans="1:13">
      <c r="A57" s="50" t="s">
        <v>202</v>
      </c>
      <c r="B57" s="79">
        <f>21/64</f>
        <v>0.328125</v>
      </c>
      <c r="C57" s="94">
        <f>B57*25.4</f>
        <v>8.3343749999999996</v>
      </c>
      <c r="D57" s="99">
        <f t="shared" si="2"/>
        <v>1.0308375000000001</v>
      </c>
      <c r="E57" s="100">
        <f t="shared" si="3"/>
        <v>26.183272499999998</v>
      </c>
      <c r="F57" s="109">
        <f t="shared" si="4"/>
        <v>11.491638635846728</v>
      </c>
      <c r="G57" s="43"/>
      <c r="H57" s="50"/>
      <c r="I57" s="79">
        <f>J57/25.4</f>
        <v>0.82677165354330717</v>
      </c>
      <c r="J57" s="94">
        <v>21</v>
      </c>
      <c r="K57" s="99">
        <f t="shared" si="6"/>
        <v>2.5973858267716539</v>
      </c>
      <c r="L57" s="100">
        <f t="shared" si="7"/>
        <v>65.973600000000005</v>
      </c>
      <c r="M57" s="109">
        <f t="shared" si="5"/>
        <v>4.5963172761813649</v>
      </c>
    </row>
    <row r="58" spans="1:13">
      <c r="A58" s="50"/>
      <c r="B58" s="79">
        <f>C58/25.4</f>
        <v>0.3346456692913386</v>
      </c>
      <c r="C58" s="94">
        <v>8.5</v>
      </c>
      <c r="D58" s="99">
        <f t="shared" si="2"/>
        <v>1.0513228346456693</v>
      </c>
      <c r="E58" s="100">
        <f t="shared" si="3"/>
        <v>26.703599999999998</v>
      </c>
      <c r="F58" s="109">
        <f t="shared" si="4"/>
        <v>11.270538782042273</v>
      </c>
      <c r="G58" s="43"/>
      <c r="H58" s="50" t="s">
        <v>504</v>
      </c>
      <c r="I58" s="79">
        <f>53/64</f>
        <v>0.828125</v>
      </c>
      <c r="J58" s="94">
        <f>I58*25.4</f>
        <v>21.034374999999997</v>
      </c>
      <c r="K58" s="99">
        <f t="shared" si="6"/>
        <v>2.6016374999999998</v>
      </c>
      <c r="L58" s="100">
        <f t="shared" si="7"/>
        <v>66.081592499999985</v>
      </c>
      <c r="M58" s="109">
        <f t="shared" si="5"/>
        <v>4.5888443282362115</v>
      </c>
    </row>
    <row r="59" spans="1:13">
      <c r="A59" s="50" t="s">
        <v>203</v>
      </c>
      <c r="B59" s="79">
        <f>11/32</f>
        <v>0.34375</v>
      </c>
      <c r="C59" s="94">
        <f>B59*25.4</f>
        <v>8.7312499999999993</v>
      </c>
      <c r="D59" s="99">
        <f t="shared" si="2"/>
        <v>1.079925</v>
      </c>
      <c r="E59" s="100">
        <f t="shared" si="3"/>
        <v>27.430094999999998</v>
      </c>
      <c r="F59" s="109">
        <f t="shared" si="4"/>
        <v>10.975693412297348</v>
      </c>
      <c r="G59" s="43"/>
      <c r="H59" s="50"/>
      <c r="I59" s="79">
        <f>J59/25.4</f>
        <v>0.83661417322834652</v>
      </c>
      <c r="J59" s="94">
        <v>21.25</v>
      </c>
      <c r="K59" s="99">
        <f t="shared" si="6"/>
        <v>2.6283070866141736</v>
      </c>
      <c r="L59" s="100">
        <f t="shared" si="7"/>
        <v>66.759</v>
      </c>
      <c r="M59" s="109">
        <f t="shared" si="5"/>
        <v>4.5425172460661321</v>
      </c>
    </row>
    <row r="60" spans="1:13">
      <c r="A60" s="50"/>
      <c r="B60" s="79">
        <f>C60/25.4</f>
        <v>0.34448818897637795</v>
      </c>
      <c r="C60" s="94">
        <v>8.75</v>
      </c>
      <c r="D60" s="99">
        <f t="shared" si="2"/>
        <v>1.082244094488189</v>
      </c>
      <c r="E60" s="100">
        <f t="shared" si="3"/>
        <v>27.489000000000001</v>
      </c>
      <c r="F60" s="109">
        <f t="shared" si="4"/>
        <v>10.952461716690573</v>
      </c>
      <c r="G60" s="43"/>
      <c r="H60" s="50" t="s">
        <v>214</v>
      </c>
      <c r="I60" s="79">
        <f>27/32</f>
        <v>0.84375</v>
      </c>
      <c r="J60" s="94">
        <f>I60*25.4</f>
        <v>21.431249999999999</v>
      </c>
      <c r="K60" s="99">
        <f t="shared" si="6"/>
        <v>2.650725</v>
      </c>
      <c r="L60" s="100">
        <f t="shared" si="7"/>
        <v>67.328414999999993</v>
      </c>
      <c r="M60" s="109">
        <f t="shared" si="5"/>
        <v>4.5042931544127995</v>
      </c>
    </row>
    <row r="61" spans="1:13">
      <c r="A61" s="50"/>
      <c r="B61" s="79">
        <f>C61/25.4</f>
        <v>0.35433070866141736</v>
      </c>
      <c r="C61" s="94">
        <v>9</v>
      </c>
      <c r="D61" s="99">
        <f t="shared" si="2"/>
        <v>1.1131653543307087</v>
      </c>
      <c r="E61" s="100">
        <f t="shared" si="3"/>
        <v>28.2744</v>
      </c>
      <c r="F61" s="109">
        <f t="shared" si="4"/>
        <v>10.651845411249298</v>
      </c>
      <c r="G61" s="43"/>
      <c r="H61" s="50"/>
      <c r="I61" s="79">
        <f>J61/25.4</f>
        <v>0.84645669291338588</v>
      </c>
      <c r="J61" s="94">
        <v>21.5</v>
      </c>
      <c r="K61" s="99">
        <f t="shared" si="6"/>
        <v>2.6592283464566928</v>
      </c>
      <c r="L61" s="100">
        <f t="shared" si="7"/>
        <v>67.544399999999996</v>
      </c>
      <c r="M61" s="109">
        <f t="shared" si="5"/>
        <v>4.4899621063696777</v>
      </c>
    </row>
    <row r="62" spans="1:13">
      <c r="A62" s="50" t="s">
        <v>484</v>
      </c>
      <c r="B62" s="79">
        <f>23/64</f>
        <v>0.359375</v>
      </c>
      <c r="C62" s="94">
        <f>B62*25.4</f>
        <v>9.1281249999999989</v>
      </c>
      <c r="D62" s="99">
        <f t="shared" si="2"/>
        <v>1.1290125</v>
      </c>
      <c r="E62" s="100">
        <f t="shared" si="3"/>
        <v>28.676917499999995</v>
      </c>
      <c r="F62" s="109">
        <f t="shared" si="4"/>
        <v>10.504086746249712</v>
      </c>
      <c r="G62" s="43"/>
      <c r="H62" s="50"/>
      <c r="I62" s="79">
        <f>J62/25.4</f>
        <v>0.85629921259842523</v>
      </c>
      <c r="J62" s="94">
        <v>21.75</v>
      </c>
      <c r="K62" s="99">
        <f t="shared" si="6"/>
        <v>2.6901496062992125</v>
      </c>
      <c r="L62" s="100">
        <f t="shared" si="7"/>
        <v>68.329800000000006</v>
      </c>
      <c r="M62" s="109">
        <f t="shared" si="5"/>
        <v>4.4386091426028429</v>
      </c>
    </row>
    <row r="63" spans="1:13">
      <c r="A63" s="50"/>
      <c r="B63" s="79">
        <f>C63/25.4</f>
        <v>0.36417322834645671</v>
      </c>
      <c r="C63" s="94">
        <v>9.25</v>
      </c>
      <c r="D63" s="99">
        <f t="shared" si="2"/>
        <v>1.1440866141732284</v>
      </c>
      <c r="E63" s="100">
        <f t="shared" si="3"/>
        <v>29.059799999999999</v>
      </c>
      <c r="F63" s="109">
        <f t="shared" si="4"/>
        <v>10.367290518146838</v>
      </c>
      <c r="G63" s="43"/>
      <c r="H63" s="50" t="s">
        <v>505</v>
      </c>
      <c r="I63" s="79">
        <f>55/64</f>
        <v>0.859375</v>
      </c>
      <c r="J63" s="94">
        <f>I63*25.4</f>
        <v>21.828125</v>
      </c>
      <c r="K63" s="99">
        <f t="shared" ref="K63:K85" si="8">I63*3.1416</f>
        <v>2.6998125000000002</v>
      </c>
      <c r="L63" s="100">
        <f t="shared" ref="L63:L85" si="9">J63*3.1416</f>
        <v>68.5752375</v>
      </c>
      <c r="M63" s="109">
        <f t="shared" ref="M63:M85" si="10">12/(K63+0.0134)</f>
        <v>4.4228013839682667</v>
      </c>
    </row>
    <row r="64" spans="1:13">
      <c r="A64" s="50"/>
      <c r="B64" s="79">
        <f>C64/25.4</f>
        <v>0.37401574803149606</v>
      </c>
      <c r="C64" s="94">
        <v>9.5</v>
      </c>
      <c r="D64" s="99">
        <f t="shared" si="2"/>
        <v>1.1750078740157479</v>
      </c>
      <c r="E64" s="100">
        <f t="shared" si="3"/>
        <v>29.845199999999998</v>
      </c>
      <c r="F64" s="109">
        <f t="shared" si="4"/>
        <v>10.097543328664434</v>
      </c>
      <c r="G64" s="43"/>
      <c r="H64" s="50"/>
      <c r="I64" s="79">
        <f>J64/25.4</f>
        <v>0.86614173228346458</v>
      </c>
      <c r="J64" s="94">
        <v>22</v>
      </c>
      <c r="K64" s="99">
        <f t="shared" si="8"/>
        <v>2.7210708661417322</v>
      </c>
      <c r="L64" s="100">
        <f t="shared" si="9"/>
        <v>69.115200000000002</v>
      </c>
      <c r="M64" s="109">
        <f t="shared" si="10"/>
        <v>4.3884175723297032</v>
      </c>
    </row>
    <row r="65" spans="1:13">
      <c r="A65" s="50" t="s">
        <v>204</v>
      </c>
      <c r="B65" s="79">
        <f>3/8</f>
        <v>0.375</v>
      </c>
      <c r="C65" s="94">
        <f>B65*25.4</f>
        <v>9.5249999999999986</v>
      </c>
      <c r="D65" s="99">
        <f t="shared" si="2"/>
        <v>1.1780999999999999</v>
      </c>
      <c r="E65" s="100">
        <f t="shared" si="3"/>
        <v>29.923739999999995</v>
      </c>
      <c r="F65" s="109">
        <f t="shared" si="4"/>
        <v>10.071338648762065</v>
      </c>
      <c r="G65" s="43"/>
      <c r="H65" s="50" t="s">
        <v>215</v>
      </c>
      <c r="I65" s="79">
        <f>7/8</f>
        <v>0.875</v>
      </c>
      <c r="J65" s="94">
        <f>I65*25.4</f>
        <v>22.224999999999998</v>
      </c>
      <c r="K65" s="99">
        <f t="shared" si="8"/>
        <v>2.7488999999999999</v>
      </c>
      <c r="L65" s="100">
        <f t="shared" si="9"/>
        <v>69.822059999999993</v>
      </c>
      <c r="M65" s="109">
        <f t="shared" si="10"/>
        <v>4.344205915360388</v>
      </c>
    </row>
    <row r="66" spans="1:13">
      <c r="A66" s="50"/>
      <c r="B66" s="79">
        <f>C66/25.4</f>
        <v>0.38385826771653547</v>
      </c>
      <c r="C66" s="94">
        <v>9.75</v>
      </c>
      <c r="D66" s="99">
        <f t="shared" si="2"/>
        <v>1.2059291338582678</v>
      </c>
      <c r="E66" s="100">
        <f t="shared" si="3"/>
        <v>30.630600000000001</v>
      </c>
      <c r="F66" s="109">
        <f t="shared" si="4"/>
        <v>9.8414773064832328</v>
      </c>
      <c r="G66" s="43"/>
      <c r="H66" s="50"/>
      <c r="I66" s="79">
        <f>J66/25.4</f>
        <v>0.8858267716535434</v>
      </c>
      <c r="J66" s="94">
        <v>22.5</v>
      </c>
      <c r="K66" s="99">
        <f t="shared" si="8"/>
        <v>2.7829133858267721</v>
      </c>
      <c r="L66" s="100">
        <f t="shared" si="9"/>
        <v>70.685999999999993</v>
      </c>
      <c r="M66" s="109">
        <f t="shared" si="10"/>
        <v>4.2913645018553668</v>
      </c>
    </row>
    <row r="67" spans="1:13">
      <c r="A67" s="50" t="s">
        <v>485</v>
      </c>
      <c r="B67" s="79">
        <f>25/64</f>
        <v>0.390625</v>
      </c>
      <c r="C67" s="94">
        <f>B67*25.4</f>
        <v>9.921875</v>
      </c>
      <c r="D67" s="99">
        <f t="shared" ref="D67:D86" si="11">B67*3.1416</f>
        <v>1.2271874999999999</v>
      </c>
      <c r="E67" s="100">
        <f t="shared" ref="E67:E86" si="12">C67*3.1416</f>
        <v>31.170562499999999</v>
      </c>
      <c r="F67" s="109">
        <f t="shared" ref="F67:F86" si="13">12/(D67+0.0134)</f>
        <v>9.6728364585327515</v>
      </c>
      <c r="G67" s="43"/>
      <c r="H67" s="50" t="s">
        <v>506</v>
      </c>
      <c r="I67" s="79">
        <f>57/64</f>
        <v>0.890625</v>
      </c>
      <c r="J67" s="94">
        <f>I67*25.4</f>
        <v>22.621874999999999</v>
      </c>
      <c r="K67" s="99">
        <f t="shared" si="8"/>
        <v>2.7979875000000001</v>
      </c>
      <c r="L67" s="100">
        <f t="shared" si="9"/>
        <v>71.068882500000001</v>
      </c>
      <c r="M67" s="109">
        <f t="shared" si="10"/>
        <v>4.2683550382151161</v>
      </c>
    </row>
    <row r="68" spans="1:13">
      <c r="A68" s="50"/>
      <c r="B68" s="79">
        <f>C68/25.4</f>
        <v>0.39370078740157483</v>
      </c>
      <c r="C68" s="94">
        <v>10</v>
      </c>
      <c r="D68" s="99">
        <f t="shared" si="11"/>
        <v>1.2368503937007875</v>
      </c>
      <c r="E68" s="100">
        <f t="shared" si="12"/>
        <v>31.416</v>
      </c>
      <c r="F68" s="109">
        <f t="shared" si="13"/>
        <v>9.5980773615112049</v>
      </c>
      <c r="G68" s="43"/>
      <c r="H68" s="50"/>
      <c r="I68" s="79">
        <f>J68/25.4</f>
        <v>0.89566929133858275</v>
      </c>
      <c r="J68" s="94">
        <v>22.75</v>
      </c>
      <c r="K68" s="99">
        <f t="shared" si="8"/>
        <v>2.8138346456692913</v>
      </c>
      <c r="L68" s="100">
        <f t="shared" si="9"/>
        <v>71.471400000000003</v>
      </c>
      <c r="M68" s="109">
        <f t="shared" si="10"/>
        <v>4.2444301601854626</v>
      </c>
    </row>
    <row r="69" spans="1:13">
      <c r="A69" s="50"/>
      <c r="B69" s="79">
        <f>C69/25.4</f>
        <v>0.40354330708661418</v>
      </c>
      <c r="C69" s="94">
        <v>10.25</v>
      </c>
      <c r="D69" s="99">
        <f t="shared" si="11"/>
        <v>1.267771653543307</v>
      </c>
      <c r="E69" s="100">
        <f t="shared" si="12"/>
        <v>32.2014</v>
      </c>
      <c r="F69" s="109">
        <f t="shared" si="13"/>
        <v>9.3664264010305534</v>
      </c>
      <c r="G69" s="43"/>
      <c r="H69" s="50"/>
      <c r="I69" s="79">
        <f>J69/25.4</f>
        <v>0.9055118110236221</v>
      </c>
      <c r="J69" s="94">
        <v>23</v>
      </c>
      <c r="K69" s="99">
        <f t="shared" si="8"/>
        <v>2.844755905511811</v>
      </c>
      <c r="L69" s="100">
        <f t="shared" si="9"/>
        <v>72.256799999999998</v>
      </c>
      <c r="M69" s="109">
        <f t="shared" si="10"/>
        <v>4.1985113467248585</v>
      </c>
    </row>
    <row r="70" spans="1:13">
      <c r="A70" s="50" t="s">
        <v>486</v>
      </c>
      <c r="B70" s="79">
        <f>13/32</f>
        <v>0.40625</v>
      </c>
      <c r="C70" s="94">
        <f>B70*25.4</f>
        <v>10.31875</v>
      </c>
      <c r="D70" s="99">
        <f t="shared" si="11"/>
        <v>1.276275</v>
      </c>
      <c r="E70" s="100">
        <f t="shared" si="12"/>
        <v>32.417384999999996</v>
      </c>
      <c r="F70" s="109">
        <f t="shared" si="13"/>
        <v>9.3046697811464121</v>
      </c>
      <c r="G70" s="43"/>
      <c r="H70" s="50" t="s">
        <v>507</v>
      </c>
      <c r="I70" s="79">
        <f>29/32</f>
        <v>0.90625</v>
      </c>
      <c r="J70" s="94">
        <f>I70*25.4</f>
        <v>23.018749999999997</v>
      </c>
      <c r="K70" s="99">
        <f t="shared" si="8"/>
        <v>2.8470749999999998</v>
      </c>
      <c r="L70" s="100">
        <f t="shared" si="9"/>
        <v>72.315704999999994</v>
      </c>
      <c r="M70" s="109">
        <f t="shared" si="10"/>
        <v>4.1951074559295227</v>
      </c>
    </row>
    <row r="71" spans="1:13">
      <c r="A71" s="50"/>
      <c r="B71" s="79">
        <f>C71/25.4</f>
        <v>0.41338582677165359</v>
      </c>
      <c r="C71" s="94">
        <v>10.5</v>
      </c>
      <c r="D71" s="99">
        <f t="shared" si="11"/>
        <v>1.2986929133858269</v>
      </c>
      <c r="E71" s="100">
        <f t="shared" si="12"/>
        <v>32.986800000000002</v>
      </c>
      <c r="F71" s="109">
        <f t="shared" si="13"/>
        <v>9.1456937824885145</v>
      </c>
      <c r="G71" s="43"/>
      <c r="H71" s="50"/>
      <c r="I71" s="79">
        <f>J71/25.4</f>
        <v>0.91535433070866146</v>
      </c>
      <c r="J71" s="94">
        <v>23.25</v>
      </c>
      <c r="K71" s="99">
        <f t="shared" si="8"/>
        <v>2.8756771653543307</v>
      </c>
      <c r="L71" s="100">
        <f t="shared" si="9"/>
        <v>73.042199999999994</v>
      </c>
      <c r="M71" s="109">
        <f t="shared" si="10"/>
        <v>4.1535754544404009</v>
      </c>
    </row>
    <row r="72" spans="1:13">
      <c r="A72" s="50" t="s">
        <v>313</v>
      </c>
      <c r="B72" s="79">
        <f>27/64</f>
        <v>0.421875</v>
      </c>
      <c r="C72" s="94">
        <f>B72*25.4</f>
        <v>10.715624999999999</v>
      </c>
      <c r="D72" s="99">
        <f t="shared" si="11"/>
        <v>1.3253625</v>
      </c>
      <c r="E72" s="100">
        <f t="shared" si="12"/>
        <v>33.664207499999996</v>
      </c>
      <c r="F72" s="109">
        <f t="shared" si="13"/>
        <v>8.9635017413469527</v>
      </c>
      <c r="G72" s="43"/>
      <c r="H72" s="50" t="s">
        <v>508</v>
      </c>
      <c r="I72" s="79">
        <f>59/64</f>
        <v>0.921875</v>
      </c>
      <c r="J72" s="94">
        <f>I72*25.4</f>
        <v>23.415624999999999</v>
      </c>
      <c r="K72" s="99">
        <f t="shared" si="8"/>
        <v>2.8961625</v>
      </c>
      <c r="L72" s="100">
        <f t="shared" si="9"/>
        <v>73.562527499999987</v>
      </c>
      <c r="M72" s="109">
        <f t="shared" si="10"/>
        <v>4.1243314072132842</v>
      </c>
    </row>
    <row r="73" spans="1:13">
      <c r="A73" s="50"/>
      <c r="B73" s="79">
        <f>C73/25.4</f>
        <v>0.42322834645669294</v>
      </c>
      <c r="C73" s="94">
        <v>10.75</v>
      </c>
      <c r="D73" s="99">
        <f t="shared" si="11"/>
        <v>1.3296141732283464</v>
      </c>
      <c r="E73" s="100">
        <f t="shared" si="12"/>
        <v>33.772199999999998</v>
      </c>
      <c r="F73" s="109">
        <f t="shared" si="13"/>
        <v>8.9351253614504458</v>
      </c>
      <c r="G73" s="43"/>
      <c r="H73" s="50"/>
      <c r="I73" s="79">
        <f>J73/25.4</f>
        <v>0.92519685039370081</v>
      </c>
      <c r="J73" s="94">
        <v>23.5</v>
      </c>
      <c r="K73" s="99">
        <f t="shared" si="8"/>
        <v>2.9065984251968504</v>
      </c>
      <c r="L73" s="100">
        <f t="shared" si="9"/>
        <v>73.827600000000004</v>
      </c>
      <c r="M73" s="109">
        <f t="shared" si="10"/>
        <v>4.1095912574648139</v>
      </c>
    </row>
    <row r="74" spans="1:13">
      <c r="A74" s="50"/>
      <c r="B74" s="79">
        <f>C74/25.4</f>
        <v>0.43307086614173229</v>
      </c>
      <c r="C74" s="94">
        <v>11</v>
      </c>
      <c r="D74" s="99">
        <f t="shared" si="11"/>
        <v>1.3605354330708661</v>
      </c>
      <c r="E74" s="100">
        <f t="shared" si="12"/>
        <v>34.557600000000001</v>
      </c>
      <c r="F74" s="109">
        <f t="shared" si="13"/>
        <v>8.7340348834143882</v>
      </c>
      <c r="G74" s="43"/>
      <c r="H74" s="50"/>
      <c r="I74" s="79">
        <f>J74/25.4</f>
        <v>0.93503937007874016</v>
      </c>
      <c r="J74" s="94">
        <v>23.75</v>
      </c>
      <c r="K74" s="99">
        <f t="shared" si="8"/>
        <v>2.9375196850393701</v>
      </c>
      <c r="L74" s="100">
        <f t="shared" si="9"/>
        <v>74.613</v>
      </c>
      <c r="M74" s="109">
        <f t="shared" si="10"/>
        <v>4.0665288387338476</v>
      </c>
    </row>
    <row r="75" spans="1:13">
      <c r="A75" s="50" t="s">
        <v>205</v>
      </c>
      <c r="B75" s="79">
        <f>7/16</f>
        <v>0.4375</v>
      </c>
      <c r="C75" s="94">
        <f>B75*25.4</f>
        <v>11.112499999999999</v>
      </c>
      <c r="D75" s="99">
        <f t="shared" si="11"/>
        <v>1.3744499999999999</v>
      </c>
      <c r="E75" s="100">
        <f t="shared" si="12"/>
        <v>34.911029999999997</v>
      </c>
      <c r="F75" s="109">
        <f t="shared" si="13"/>
        <v>8.6464675577331835</v>
      </c>
      <c r="G75" s="43"/>
      <c r="H75" s="50" t="s">
        <v>509</v>
      </c>
      <c r="I75" s="79">
        <f>15/16</f>
        <v>0.9375</v>
      </c>
      <c r="J75" s="94">
        <f>I75*25.4</f>
        <v>23.8125</v>
      </c>
      <c r="K75" s="99">
        <f t="shared" si="8"/>
        <v>2.9452500000000001</v>
      </c>
      <c r="L75" s="100">
        <f t="shared" si="9"/>
        <v>74.809349999999995</v>
      </c>
      <c r="M75" s="109">
        <f t="shared" si="10"/>
        <v>4.0559038750781609</v>
      </c>
    </row>
    <row r="76" spans="1:13">
      <c r="A76" s="50"/>
      <c r="B76" s="79">
        <f>C76/25.4</f>
        <v>0.4429133858267717</v>
      </c>
      <c r="C76" s="94">
        <v>11.25</v>
      </c>
      <c r="D76" s="99">
        <f t="shared" si="11"/>
        <v>1.391456692913386</v>
      </c>
      <c r="E76" s="100">
        <f t="shared" si="12"/>
        <v>35.342999999999996</v>
      </c>
      <c r="F76" s="109">
        <f t="shared" si="13"/>
        <v>8.5417965124360471</v>
      </c>
      <c r="G76" s="43"/>
      <c r="H76" s="50"/>
      <c r="I76" s="79">
        <f>J76/25.4</f>
        <v>0.94488188976377963</v>
      </c>
      <c r="J76" s="94">
        <v>24</v>
      </c>
      <c r="K76" s="99">
        <f t="shared" si="8"/>
        <v>2.9684409448818898</v>
      </c>
      <c r="L76" s="100">
        <f t="shared" si="9"/>
        <v>75.398399999999995</v>
      </c>
      <c r="M76" s="109">
        <f t="shared" si="10"/>
        <v>4.0243595221257911</v>
      </c>
    </row>
    <row r="77" spans="1:13">
      <c r="A77" s="50" t="s">
        <v>487</v>
      </c>
      <c r="B77" s="79">
        <f>29/64</f>
        <v>0.453125</v>
      </c>
      <c r="C77" s="94">
        <f>B77*25.4</f>
        <v>11.509374999999999</v>
      </c>
      <c r="D77" s="99">
        <f t="shared" si="11"/>
        <v>1.4235374999999999</v>
      </c>
      <c r="E77" s="100">
        <f t="shared" si="12"/>
        <v>36.157852499999997</v>
      </c>
      <c r="F77" s="109">
        <f t="shared" si="13"/>
        <v>8.3510939063111653</v>
      </c>
      <c r="G77" s="43"/>
      <c r="H77" s="50" t="s">
        <v>510</v>
      </c>
      <c r="I77" s="79">
        <f>61/64</f>
        <v>0.953125</v>
      </c>
      <c r="J77" s="94">
        <f>I77*25.4</f>
        <v>24.209374999999998</v>
      </c>
      <c r="K77" s="99">
        <f t="shared" si="8"/>
        <v>2.9943374999999999</v>
      </c>
      <c r="L77" s="100">
        <f t="shared" si="9"/>
        <v>76.056172499999988</v>
      </c>
      <c r="M77" s="109">
        <f t="shared" si="10"/>
        <v>3.9897098732851526</v>
      </c>
    </row>
    <row r="78" spans="1:13">
      <c r="A78" s="50"/>
      <c r="B78" s="79">
        <f>C78/25.4</f>
        <v>0.45275590551181105</v>
      </c>
      <c r="C78" s="94">
        <v>11.5</v>
      </c>
      <c r="D78" s="99">
        <f t="shared" si="11"/>
        <v>1.4223779527559055</v>
      </c>
      <c r="E78" s="100">
        <f t="shared" si="12"/>
        <v>36.128399999999999</v>
      </c>
      <c r="F78" s="109">
        <f t="shared" si="13"/>
        <v>8.3578383251857193</v>
      </c>
      <c r="G78" s="43"/>
      <c r="H78" s="50"/>
      <c r="I78" s="79">
        <f>J78/25.4</f>
        <v>0.95472440944881898</v>
      </c>
      <c r="J78" s="94">
        <v>24.25</v>
      </c>
      <c r="K78" s="99">
        <f t="shared" si="8"/>
        <v>2.9993622047244095</v>
      </c>
      <c r="L78" s="100">
        <f t="shared" si="9"/>
        <v>76.183800000000005</v>
      </c>
      <c r="M78" s="109">
        <f t="shared" si="10"/>
        <v>3.9830558087798678</v>
      </c>
    </row>
    <row r="79" spans="1:13">
      <c r="A79" s="50"/>
      <c r="B79" s="79">
        <f>C79/25.4</f>
        <v>0.4625984251968504</v>
      </c>
      <c r="C79" s="94">
        <v>11.75</v>
      </c>
      <c r="D79" s="99">
        <f t="shared" si="11"/>
        <v>1.4532992125984252</v>
      </c>
      <c r="E79" s="100">
        <f t="shared" si="12"/>
        <v>36.913800000000002</v>
      </c>
      <c r="F79" s="109">
        <f t="shared" si="13"/>
        <v>8.181636627963158</v>
      </c>
      <c r="G79" s="43"/>
      <c r="H79" s="50"/>
      <c r="I79" s="79">
        <f>J79/25.4</f>
        <v>0.96456692913385833</v>
      </c>
      <c r="J79" s="94">
        <v>24.5</v>
      </c>
      <c r="K79" s="99">
        <f t="shared" si="8"/>
        <v>3.0302834645669292</v>
      </c>
      <c r="L79" s="100">
        <f t="shared" si="9"/>
        <v>76.969200000000001</v>
      </c>
      <c r="M79" s="109">
        <f t="shared" si="10"/>
        <v>3.9425913172963343</v>
      </c>
    </row>
    <row r="80" spans="1:13">
      <c r="A80" s="50" t="s">
        <v>488</v>
      </c>
      <c r="B80" s="79">
        <f>15/32</f>
        <v>0.46875</v>
      </c>
      <c r="C80" s="94">
        <f>B80*25.4</f>
        <v>11.90625</v>
      </c>
      <c r="D80" s="99">
        <f t="shared" si="11"/>
        <v>1.4726250000000001</v>
      </c>
      <c r="E80" s="100">
        <f t="shared" si="12"/>
        <v>37.404674999999997</v>
      </c>
      <c r="F80" s="109">
        <f t="shared" si="13"/>
        <v>8.0752342659107335</v>
      </c>
      <c r="G80" s="43"/>
      <c r="H80" s="50" t="s">
        <v>495</v>
      </c>
      <c r="I80" s="79">
        <f>31/32</f>
        <v>0.96875</v>
      </c>
      <c r="J80" s="94">
        <f>I80*25.4</f>
        <v>24.606249999999999</v>
      </c>
      <c r="K80" s="99">
        <f t="shared" si="8"/>
        <v>3.043425</v>
      </c>
      <c r="L80" s="100">
        <f t="shared" si="9"/>
        <v>77.302994999999996</v>
      </c>
      <c r="M80" s="109">
        <f t="shared" si="10"/>
        <v>3.9256418015424503</v>
      </c>
    </row>
    <row r="81" spans="1:13">
      <c r="A81" s="50"/>
      <c r="B81" s="79">
        <f>C81/25.4</f>
        <v>0.47244094488188981</v>
      </c>
      <c r="C81" s="94">
        <v>12</v>
      </c>
      <c r="D81" s="99">
        <f t="shared" si="11"/>
        <v>1.4842204724409449</v>
      </c>
      <c r="E81" s="100">
        <f t="shared" si="12"/>
        <v>37.699199999999998</v>
      </c>
      <c r="F81" s="109">
        <f t="shared" si="13"/>
        <v>8.0127109777294994</v>
      </c>
      <c r="G81" s="43"/>
      <c r="H81" s="50"/>
      <c r="I81" s="79">
        <f>J81/25.4</f>
        <v>0.97440944881889768</v>
      </c>
      <c r="J81" s="94">
        <v>24.75</v>
      </c>
      <c r="K81" s="99">
        <f t="shared" si="8"/>
        <v>3.0612047244094489</v>
      </c>
      <c r="L81" s="100">
        <f t="shared" si="9"/>
        <v>77.754599999999996</v>
      </c>
      <c r="M81" s="109">
        <f t="shared" si="10"/>
        <v>3.9029407275450301</v>
      </c>
    </row>
    <row r="82" spans="1:13">
      <c r="A82" s="50"/>
      <c r="B82" s="79">
        <f>C82/25.4</f>
        <v>0.48228346456692917</v>
      </c>
      <c r="C82" s="94">
        <v>12.25</v>
      </c>
      <c r="D82" s="99">
        <f t="shared" si="11"/>
        <v>1.5151417322834646</v>
      </c>
      <c r="E82" s="100">
        <f t="shared" si="12"/>
        <v>38.4846</v>
      </c>
      <c r="F82" s="109">
        <f t="shared" si="13"/>
        <v>7.8506198074640636</v>
      </c>
      <c r="G82" s="43"/>
      <c r="H82" s="50"/>
      <c r="I82" s="79">
        <f>J82/25.4</f>
        <v>0.98425196850393704</v>
      </c>
      <c r="J82" s="94">
        <v>25</v>
      </c>
      <c r="K82" s="99">
        <f t="shared" si="8"/>
        <v>3.0921259842519686</v>
      </c>
      <c r="L82" s="100">
        <f t="shared" si="9"/>
        <v>78.539999999999992</v>
      </c>
      <c r="M82" s="109">
        <f t="shared" si="10"/>
        <v>3.8640797278308567</v>
      </c>
    </row>
    <row r="83" spans="1:13">
      <c r="A83" s="50" t="s">
        <v>489</v>
      </c>
      <c r="B83" s="79">
        <f>31/64</f>
        <v>0.484375</v>
      </c>
      <c r="C83" s="94">
        <f>B83*25.4</f>
        <v>12.303125</v>
      </c>
      <c r="D83" s="99">
        <f t="shared" si="11"/>
        <v>1.5217125</v>
      </c>
      <c r="E83" s="100">
        <f t="shared" si="12"/>
        <v>38.651497499999998</v>
      </c>
      <c r="F83" s="109">
        <f t="shared" si="13"/>
        <v>7.817016668159499</v>
      </c>
      <c r="G83" s="43"/>
      <c r="H83" s="50" t="s">
        <v>511</v>
      </c>
      <c r="I83" s="79">
        <f>63/64</f>
        <v>0.984375</v>
      </c>
      <c r="J83" s="94">
        <f>I83*25.4</f>
        <v>25.003124999999997</v>
      </c>
      <c r="K83" s="99">
        <f t="shared" si="8"/>
        <v>3.0925124999999998</v>
      </c>
      <c r="L83" s="100">
        <f t="shared" si="9"/>
        <v>78.549817499999989</v>
      </c>
      <c r="M83" s="109">
        <f t="shared" si="10"/>
        <v>3.8635988618481689</v>
      </c>
    </row>
    <row r="84" spans="1:13">
      <c r="A84" s="50"/>
      <c r="B84" s="79">
        <f>C84/25.4</f>
        <v>0.49212598425196852</v>
      </c>
      <c r="C84" s="94">
        <v>12.5</v>
      </c>
      <c r="D84" s="99">
        <f t="shared" si="11"/>
        <v>1.5460629921259843</v>
      </c>
      <c r="E84" s="100">
        <f t="shared" si="12"/>
        <v>39.269999999999996</v>
      </c>
      <c r="F84" s="109">
        <f t="shared" si="13"/>
        <v>7.694956571967535</v>
      </c>
      <c r="G84" s="43"/>
      <c r="H84" s="50"/>
      <c r="I84" s="79">
        <f>J84/25.4</f>
        <v>0.99409448818897639</v>
      </c>
      <c r="J84" s="94">
        <v>25.25</v>
      </c>
      <c r="K84" s="99">
        <f t="shared" si="8"/>
        <v>3.1230472440944883</v>
      </c>
      <c r="L84" s="100">
        <f t="shared" si="9"/>
        <v>79.325400000000002</v>
      </c>
      <c r="M84" s="109">
        <f t="shared" si="10"/>
        <v>3.8259849651845412</v>
      </c>
    </row>
    <row r="85" spans="1:13" ht="13.5" thickBot="1">
      <c r="A85" s="50" t="s">
        <v>206</v>
      </c>
      <c r="B85" s="79">
        <f>1/2</f>
        <v>0.5</v>
      </c>
      <c r="C85" s="94">
        <f>B85*25.4</f>
        <v>12.7</v>
      </c>
      <c r="D85" s="99">
        <f t="shared" si="11"/>
        <v>1.5708</v>
      </c>
      <c r="E85" s="100">
        <f t="shared" si="12"/>
        <v>39.898319999999998</v>
      </c>
      <c r="F85" s="109">
        <f t="shared" si="13"/>
        <v>7.5748011614695114</v>
      </c>
      <c r="G85" s="43"/>
      <c r="H85" s="51" t="s">
        <v>512</v>
      </c>
      <c r="I85" s="95">
        <f>1/1</f>
        <v>1</v>
      </c>
      <c r="J85" s="96">
        <f>I85*25.4</f>
        <v>25.4</v>
      </c>
      <c r="K85" s="101">
        <f t="shared" si="8"/>
        <v>3.1415999999999999</v>
      </c>
      <c r="L85" s="102">
        <f t="shared" si="9"/>
        <v>79.796639999999996</v>
      </c>
      <c r="M85" s="160">
        <f t="shared" si="10"/>
        <v>3.8034865293185423</v>
      </c>
    </row>
    <row r="86" spans="1:13" ht="13.5" thickBot="1">
      <c r="A86" s="51"/>
      <c r="B86" s="95">
        <f>C86/25.4</f>
        <v>0.50196850393700787</v>
      </c>
      <c r="C86" s="96">
        <v>12.75</v>
      </c>
      <c r="D86" s="101">
        <f t="shared" si="11"/>
        <v>1.576984251968504</v>
      </c>
      <c r="E86" s="102">
        <f t="shared" si="12"/>
        <v>40.055399999999999</v>
      </c>
      <c r="F86" s="160">
        <f t="shared" si="13"/>
        <v>7.5453463432795909</v>
      </c>
      <c r="G86" s="43"/>
    </row>
    <row r="87" spans="1:13">
      <c r="D87" s="43"/>
    </row>
    <row r="88" spans="1:13">
      <c r="D88" s="43"/>
    </row>
    <row r="89" spans="1:13">
      <c r="D89" s="43"/>
    </row>
    <row r="90" spans="1:13">
      <c r="D90" s="43"/>
    </row>
    <row r="91" spans="1:13">
      <c r="D91" s="43"/>
    </row>
    <row r="92" spans="1:13">
      <c r="D92" s="43"/>
    </row>
    <row r="93" spans="1:13">
      <c r="D93" s="43"/>
    </row>
    <row r="94" spans="1:13">
      <c r="D94" s="43"/>
    </row>
    <row r="95" spans="1:13">
      <c r="D95" s="43"/>
    </row>
    <row r="96" spans="1:13">
      <c r="D96" s="43"/>
    </row>
    <row r="97" spans="4:7">
      <c r="D97" s="43"/>
    </row>
    <row r="98" spans="4:7">
      <c r="D98" s="43"/>
    </row>
    <row r="99" spans="4:7">
      <c r="D99" s="43"/>
    </row>
    <row r="100" spans="4:7">
      <c r="D100" s="43"/>
    </row>
    <row r="101" spans="4:7">
      <c r="D101" s="43"/>
    </row>
    <row r="102" spans="4:7">
      <c r="D102" s="43"/>
    </row>
    <row r="103" spans="4:7">
      <c r="D103" s="43"/>
    </row>
    <row r="104" spans="4:7">
      <c r="D104" s="43"/>
    </row>
    <row r="105" spans="4:7">
      <c r="D105" s="43"/>
    </row>
    <row r="106" spans="4:7">
      <c r="D106" s="43"/>
    </row>
    <row r="107" spans="4:7">
      <c r="D107" s="43"/>
    </row>
    <row r="108" spans="4:7">
      <c r="D108" s="43"/>
    </row>
    <row r="109" spans="4:7">
      <c r="D109" s="43"/>
    </row>
    <row r="110" spans="4:7">
      <c r="G110" s="43"/>
    </row>
    <row r="111" spans="4:7">
      <c r="G111" s="43"/>
    </row>
    <row r="112" spans="4:7">
      <c r="G112" s="43"/>
    </row>
    <row r="113" spans="7:7">
      <c r="G113" s="43"/>
    </row>
    <row r="114" spans="7:7">
      <c r="G114" s="43"/>
    </row>
    <row r="115" spans="7:7">
      <c r="G115" s="43"/>
    </row>
    <row r="116" spans="7:7">
      <c r="G116" s="43"/>
    </row>
    <row r="117" spans="7:7">
      <c r="G117" s="43"/>
    </row>
    <row r="118" spans="7:7">
      <c r="G118" s="43"/>
    </row>
    <row r="119" spans="7:7">
      <c r="G119" s="43"/>
    </row>
    <row r="120" spans="7:7">
      <c r="G120" s="43"/>
    </row>
    <row r="121" spans="7:7">
      <c r="G121" s="43"/>
    </row>
    <row r="122" spans="7:7">
      <c r="G122" s="43"/>
    </row>
    <row r="123" spans="7:7">
      <c r="G123" s="43"/>
    </row>
    <row r="124" spans="7:7">
      <c r="G124" s="43"/>
    </row>
  </sheetData>
  <mergeCells count="5">
    <mergeCell ref="K3:L3"/>
    <mergeCell ref="A1:M1"/>
    <mergeCell ref="A3:C3"/>
    <mergeCell ref="D3:E3"/>
    <mergeCell ref="H3:J3"/>
  </mergeCells>
  <phoneticPr fontId="2" type="noConversion"/>
  <printOptions horizontalCentered="1"/>
  <pageMargins left="0.2" right="0.2" top="0.2" bottom="0.2" header="0" footer="0"/>
  <pageSetup scale="6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0"/>
  <sheetViews>
    <sheetView zoomScale="75" workbookViewId="0">
      <pane ySplit="930" activePane="bottomLeft"/>
      <selection sqref="A1:K1"/>
      <selection pane="bottomLeft" activeCell="A44" sqref="A44"/>
    </sheetView>
  </sheetViews>
  <sheetFormatPr defaultRowHeight="11.25"/>
  <cols>
    <col min="1" max="1" width="47.28515625" style="4" bestFit="1" customWidth="1"/>
    <col min="2" max="11" width="18.7109375" style="6" customWidth="1"/>
    <col min="12" max="16384" width="9.140625" style="4"/>
  </cols>
  <sheetData>
    <row r="1" spans="1:11" s="54" customFormat="1" ht="18">
      <c r="A1" s="307" t="s">
        <v>45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</row>
    <row r="2" spans="1:11" s="54" customFormat="1" ht="18.75" thickBo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2.75">
      <c r="A3" s="15" t="s">
        <v>80</v>
      </c>
      <c r="B3" s="16" t="s">
        <v>64</v>
      </c>
      <c r="C3" s="16" t="s">
        <v>138</v>
      </c>
      <c r="D3" s="16" t="s">
        <v>305</v>
      </c>
      <c r="E3" s="16" t="s">
        <v>309</v>
      </c>
      <c r="F3" s="16" t="s">
        <v>306</v>
      </c>
      <c r="G3" s="16" t="s">
        <v>307</v>
      </c>
      <c r="H3" s="16" t="s">
        <v>304</v>
      </c>
      <c r="I3" s="16" t="s">
        <v>312</v>
      </c>
      <c r="J3" s="16" t="s">
        <v>311</v>
      </c>
      <c r="K3" s="17" t="s">
        <v>310</v>
      </c>
    </row>
    <row r="4" spans="1:11" ht="12.75">
      <c r="A4" s="304" t="s">
        <v>85</v>
      </c>
      <c r="B4" s="305"/>
      <c r="C4" s="305"/>
      <c r="D4" s="305"/>
      <c r="E4" s="305"/>
      <c r="F4" s="305"/>
      <c r="G4" s="305"/>
      <c r="H4" s="305"/>
      <c r="I4" s="305"/>
      <c r="J4" s="305"/>
      <c r="K4" s="306"/>
    </row>
    <row r="5" spans="1:11">
      <c r="A5" s="18" t="s">
        <v>90</v>
      </c>
      <c r="B5" s="8"/>
      <c r="C5" s="8"/>
      <c r="D5" s="8"/>
      <c r="E5" s="9"/>
      <c r="F5" s="9"/>
      <c r="G5" s="9"/>
      <c r="H5" s="9"/>
      <c r="I5" s="9"/>
      <c r="J5" s="9"/>
      <c r="K5" s="19"/>
    </row>
    <row r="6" spans="1:11">
      <c r="A6" s="18" t="s">
        <v>91</v>
      </c>
      <c r="B6" s="8"/>
      <c r="C6" s="8"/>
      <c r="D6" s="8"/>
      <c r="E6" s="9"/>
      <c r="F6" s="9"/>
      <c r="G6" s="9"/>
      <c r="H6" s="9"/>
      <c r="I6" s="9"/>
      <c r="J6" s="9"/>
      <c r="K6" s="19"/>
    </row>
    <row r="7" spans="1:11">
      <c r="A7" s="18" t="s">
        <v>383</v>
      </c>
      <c r="B7" s="8"/>
      <c r="C7" s="8"/>
      <c r="D7" s="8"/>
      <c r="E7" s="9"/>
      <c r="F7" s="9"/>
      <c r="G7" s="9"/>
      <c r="H7" s="9"/>
      <c r="I7" s="9"/>
      <c r="J7" s="9"/>
      <c r="K7" s="19"/>
    </row>
    <row r="8" spans="1:11">
      <c r="A8" s="18" t="s">
        <v>92</v>
      </c>
      <c r="B8" s="8"/>
      <c r="C8" s="8"/>
      <c r="D8" s="8"/>
      <c r="E8" s="9"/>
      <c r="F8" s="9"/>
      <c r="G8" s="9"/>
      <c r="H8" s="9"/>
      <c r="I8" s="9"/>
      <c r="J8" s="9"/>
      <c r="K8" s="19"/>
    </row>
    <row r="9" spans="1:11">
      <c r="A9" s="20" t="s">
        <v>93</v>
      </c>
      <c r="B9" s="8" t="s">
        <v>274</v>
      </c>
      <c r="C9" s="8"/>
      <c r="D9" s="8"/>
      <c r="E9" s="9" t="s">
        <v>47</v>
      </c>
      <c r="F9" s="9" t="s">
        <v>50</v>
      </c>
      <c r="G9" s="9" t="s">
        <v>273</v>
      </c>
      <c r="H9" s="9"/>
      <c r="I9" s="9" t="s">
        <v>55</v>
      </c>
      <c r="J9" s="9" t="s">
        <v>49</v>
      </c>
      <c r="K9" s="19" t="s">
        <v>51</v>
      </c>
    </row>
    <row r="10" spans="1:11">
      <c r="A10" s="20" t="s">
        <v>126</v>
      </c>
      <c r="B10" s="8"/>
      <c r="C10" s="8"/>
      <c r="D10" s="8"/>
      <c r="E10" s="9"/>
      <c r="F10" s="9"/>
      <c r="G10" s="9"/>
      <c r="H10" s="9"/>
      <c r="I10" s="9"/>
      <c r="J10" s="9"/>
      <c r="K10" s="19"/>
    </row>
    <row r="11" spans="1:11">
      <c r="A11" s="20" t="s">
        <v>94</v>
      </c>
      <c r="B11" s="8"/>
      <c r="C11" s="8"/>
      <c r="D11" s="8"/>
      <c r="E11" s="9"/>
      <c r="F11" s="9"/>
      <c r="G11" s="9"/>
      <c r="H11" s="9"/>
      <c r="I11" s="9"/>
      <c r="J11" s="9"/>
      <c r="K11" s="19"/>
    </row>
    <row r="12" spans="1:11">
      <c r="A12" s="20" t="s">
        <v>127</v>
      </c>
      <c r="B12" s="8"/>
      <c r="C12" s="8"/>
      <c r="D12" s="8"/>
      <c r="E12" s="9"/>
      <c r="F12" s="9"/>
      <c r="G12" s="9"/>
      <c r="H12" s="9"/>
      <c r="I12" s="9"/>
      <c r="J12" s="9"/>
      <c r="K12" s="19"/>
    </row>
    <row r="13" spans="1:11">
      <c r="A13" s="20" t="s">
        <v>128</v>
      </c>
      <c r="B13" s="8" t="s">
        <v>275</v>
      </c>
      <c r="C13" s="8"/>
      <c r="D13" s="8"/>
      <c r="E13" s="9" t="s">
        <v>50</v>
      </c>
      <c r="F13" s="9" t="s">
        <v>47</v>
      </c>
      <c r="G13" s="9" t="s">
        <v>276</v>
      </c>
      <c r="H13" s="9"/>
      <c r="I13" s="9" t="s">
        <v>49</v>
      </c>
      <c r="J13" s="9" t="s">
        <v>51</v>
      </c>
      <c r="K13" s="19" t="s">
        <v>59</v>
      </c>
    </row>
    <row r="14" spans="1:11">
      <c r="A14" s="20" t="s">
        <v>129</v>
      </c>
      <c r="B14" s="8"/>
      <c r="C14" s="8"/>
      <c r="D14" s="8"/>
      <c r="E14" s="9"/>
      <c r="F14" s="9"/>
      <c r="G14" s="9"/>
      <c r="H14" s="9"/>
      <c r="I14" s="9"/>
      <c r="J14" s="9"/>
      <c r="K14" s="19"/>
    </row>
    <row r="15" spans="1:11">
      <c r="A15" s="20" t="s">
        <v>130</v>
      </c>
      <c r="B15" s="8"/>
      <c r="C15" s="8"/>
      <c r="D15" s="8"/>
      <c r="E15" s="9"/>
      <c r="F15" s="9"/>
      <c r="G15" s="9"/>
      <c r="H15" s="9"/>
      <c r="I15" s="9"/>
      <c r="J15" s="9"/>
      <c r="K15" s="19"/>
    </row>
    <row r="16" spans="1:11" ht="22.5">
      <c r="A16" s="20" t="s">
        <v>391</v>
      </c>
      <c r="B16" s="8" t="s">
        <v>278</v>
      </c>
      <c r="C16" s="8" t="s">
        <v>247</v>
      </c>
      <c r="D16" s="8"/>
      <c r="E16" s="9" t="s">
        <v>52</v>
      </c>
      <c r="F16" s="10" t="s">
        <v>53</v>
      </c>
      <c r="G16" s="9" t="s">
        <v>54</v>
      </c>
      <c r="H16" s="9"/>
      <c r="I16" s="9" t="s">
        <v>277</v>
      </c>
      <c r="J16" s="9"/>
      <c r="K16" s="19"/>
    </row>
    <row r="17" spans="1:11">
      <c r="A17" s="20" t="s">
        <v>381</v>
      </c>
      <c r="B17" s="8"/>
      <c r="C17" s="8"/>
      <c r="D17" s="8"/>
      <c r="E17" s="9"/>
      <c r="F17" s="10"/>
      <c r="G17" s="9"/>
      <c r="H17" s="9"/>
      <c r="I17" s="9"/>
      <c r="J17" s="9"/>
      <c r="K17" s="19"/>
    </row>
    <row r="18" spans="1:11">
      <c r="A18" s="20" t="s">
        <v>95</v>
      </c>
      <c r="B18" s="8"/>
      <c r="C18" s="8"/>
      <c r="D18" s="8"/>
      <c r="E18" s="9"/>
      <c r="F18" s="9"/>
      <c r="G18" s="9"/>
      <c r="H18" s="9"/>
      <c r="I18" s="9"/>
      <c r="J18" s="9"/>
      <c r="K18" s="19"/>
    </row>
    <row r="19" spans="1:11">
      <c r="A19" s="20" t="s">
        <v>382</v>
      </c>
      <c r="B19" s="8"/>
      <c r="C19" s="8"/>
      <c r="D19" s="8"/>
      <c r="E19" s="9"/>
      <c r="F19" s="9"/>
      <c r="G19" s="9"/>
      <c r="H19" s="9"/>
      <c r="I19" s="9"/>
      <c r="J19" s="9"/>
      <c r="K19" s="19"/>
    </row>
    <row r="20" spans="1:11">
      <c r="A20" s="20" t="s">
        <v>33</v>
      </c>
      <c r="B20" s="8"/>
      <c r="C20" s="8"/>
      <c r="D20" s="8"/>
      <c r="E20" s="9"/>
      <c r="F20" s="9"/>
      <c r="G20" s="9"/>
      <c r="H20" s="9"/>
      <c r="I20" s="9"/>
      <c r="J20" s="9"/>
      <c r="K20" s="19"/>
    </row>
    <row r="21" spans="1:11">
      <c r="A21" s="20" t="s">
        <v>123</v>
      </c>
      <c r="B21" s="8" t="s">
        <v>35</v>
      </c>
      <c r="C21" s="8"/>
      <c r="D21" s="8"/>
      <c r="E21" s="9" t="s">
        <v>47</v>
      </c>
      <c r="F21" s="9" t="s">
        <v>48</v>
      </c>
      <c r="G21" s="9" t="s">
        <v>279</v>
      </c>
      <c r="H21" s="9"/>
      <c r="I21" s="9" t="s">
        <v>49</v>
      </c>
      <c r="J21" s="9"/>
      <c r="K21" s="19"/>
    </row>
    <row r="22" spans="1:11">
      <c r="A22" s="20" t="s">
        <v>124</v>
      </c>
      <c r="B22" s="8" t="s">
        <v>36</v>
      </c>
      <c r="C22" s="8"/>
      <c r="D22" s="8"/>
      <c r="E22" s="9" t="s">
        <v>56</v>
      </c>
      <c r="F22" s="9"/>
      <c r="G22" s="9"/>
      <c r="H22" s="9"/>
      <c r="I22" s="9"/>
      <c r="J22" s="9" t="s">
        <v>51</v>
      </c>
      <c r="K22" s="19"/>
    </row>
    <row r="23" spans="1:11">
      <c r="A23" s="20" t="s">
        <v>125</v>
      </c>
      <c r="B23" s="8" t="s">
        <v>37</v>
      </c>
      <c r="C23" s="8"/>
      <c r="D23" s="8"/>
      <c r="E23" s="9" t="s">
        <v>57</v>
      </c>
      <c r="F23" s="9"/>
      <c r="G23" s="9"/>
      <c r="H23" s="9"/>
      <c r="I23" s="9"/>
      <c r="J23" s="9"/>
      <c r="K23" s="19"/>
    </row>
    <row r="24" spans="1:11">
      <c r="A24" s="20" t="s">
        <v>384</v>
      </c>
      <c r="B24" s="8"/>
      <c r="C24" s="8"/>
      <c r="D24" s="8"/>
      <c r="E24" s="9"/>
      <c r="F24" s="9"/>
      <c r="G24" s="9"/>
      <c r="H24" s="9"/>
      <c r="I24" s="9"/>
      <c r="J24" s="9"/>
      <c r="K24" s="19"/>
    </row>
    <row r="25" spans="1:11">
      <c r="A25" s="20" t="s">
        <v>387</v>
      </c>
      <c r="B25" s="8"/>
      <c r="C25" s="8"/>
      <c r="D25" s="8"/>
      <c r="E25" s="9"/>
      <c r="F25" s="9"/>
      <c r="G25" s="9" t="s">
        <v>48</v>
      </c>
      <c r="H25" s="9"/>
      <c r="I25" s="9" t="s">
        <v>49</v>
      </c>
      <c r="J25" s="9" t="s">
        <v>51</v>
      </c>
      <c r="K25" s="19" t="s">
        <v>59</v>
      </c>
    </row>
    <row r="26" spans="1:11">
      <c r="A26" s="20" t="s">
        <v>34</v>
      </c>
      <c r="B26" s="8" t="s">
        <v>38</v>
      </c>
      <c r="C26" s="8"/>
      <c r="D26" s="8"/>
      <c r="E26" s="9" t="s">
        <v>56</v>
      </c>
      <c r="F26" s="9" t="s">
        <v>50</v>
      </c>
      <c r="G26" s="9" t="s">
        <v>58</v>
      </c>
      <c r="H26" s="9"/>
      <c r="I26" s="9" t="s">
        <v>49</v>
      </c>
      <c r="J26" s="9"/>
      <c r="K26" s="19"/>
    </row>
    <row r="27" spans="1:11">
      <c r="A27" s="20" t="s">
        <v>71</v>
      </c>
      <c r="B27" s="8"/>
      <c r="C27" s="8"/>
      <c r="D27" s="8"/>
      <c r="E27" s="9"/>
      <c r="F27" s="9"/>
      <c r="G27" s="9"/>
      <c r="H27" s="9"/>
      <c r="I27" s="9"/>
      <c r="J27" s="9"/>
      <c r="K27" s="19"/>
    </row>
    <row r="28" spans="1:11">
      <c r="A28" s="20" t="s">
        <v>40</v>
      </c>
      <c r="B28" s="8" t="s">
        <v>42</v>
      </c>
      <c r="C28" s="8"/>
      <c r="D28" s="8"/>
      <c r="E28" s="9"/>
      <c r="F28" s="9" t="s">
        <v>48</v>
      </c>
      <c r="G28" s="9" t="s">
        <v>48</v>
      </c>
      <c r="H28" s="9"/>
      <c r="I28" s="9" t="s">
        <v>49</v>
      </c>
      <c r="J28" s="9" t="s">
        <v>51</v>
      </c>
      <c r="K28" s="19" t="s">
        <v>59</v>
      </c>
    </row>
    <row r="29" spans="1:11">
      <c r="A29" s="20" t="s">
        <v>41</v>
      </c>
      <c r="B29" s="8"/>
      <c r="C29" s="8"/>
      <c r="D29" s="8"/>
      <c r="E29" s="9"/>
      <c r="F29" s="9"/>
      <c r="G29" s="9"/>
      <c r="H29" s="9"/>
      <c r="I29" s="9"/>
      <c r="J29" s="9"/>
      <c r="K29" s="19"/>
    </row>
    <row r="30" spans="1:11">
      <c r="A30" s="20" t="s">
        <v>72</v>
      </c>
      <c r="B30" s="8"/>
      <c r="C30" s="8"/>
      <c r="D30" s="8"/>
      <c r="E30" s="9"/>
      <c r="F30" s="9"/>
      <c r="G30" s="9"/>
      <c r="H30" s="9"/>
      <c r="I30" s="9"/>
      <c r="J30" s="9"/>
      <c r="K30" s="19"/>
    </row>
    <row r="31" spans="1:11">
      <c r="A31" s="20" t="s">
        <v>96</v>
      </c>
      <c r="B31" s="8" t="s">
        <v>43</v>
      </c>
      <c r="C31" s="8"/>
      <c r="D31" s="8"/>
      <c r="E31" s="9"/>
      <c r="F31" s="9"/>
      <c r="G31" s="9" t="s">
        <v>47</v>
      </c>
      <c r="H31" s="9"/>
      <c r="I31" s="9" t="s">
        <v>48</v>
      </c>
      <c r="J31" s="9"/>
      <c r="K31" s="19"/>
    </row>
    <row r="32" spans="1:11">
      <c r="A32" s="20" t="s">
        <v>75</v>
      </c>
      <c r="B32" s="8" t="s">
        <v>44</v>
      </c>
      <c r="C32" s="8"/>
      <c r="D32" s="8"/>
      <c r="E32" s="9"/>
      <c r="F32" s="9" t="s">
        <v>47</v>
      </c>
      <c r="G32" s="9" t="s">
        <v>48</v>
      </c>
      <c r="H32" s="9"/>
      <c r="I32" s="9" t="s">
        <v>49</v>
      </c>
      <c r="J32" s="9"/>
      <c r="K32" s="19"/>
    </row>
    <row r="33" spans="1:11">
      <c r="A33" s="21"/>
      <c r="B33" s="8"/>
      <c r="C33" s="8"/>
      <c r="D33" s="8"/>
      <c r="E33" s="9"/>
      <c r="F33" s="9"/>
      <c r="G33" s="9"/>
      <c r="H33" s="9"/>
      <c r="I33" s="9"/>
      <c r="J33" s="9"/>
      <c r="K33" s="19"/>
    </row>
    <row r="34" spans="1:11" ht="12.75">
      <c r="A34" s="304" t="s">
        <v>86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6"/>
    </row>
    <row r="35" spans="1:11">
      <c r="A35" s="18" t="s">
        <v>156</v>
      </c>
      <c r="B35" s="8"/>
      <c r="C35" s="8"/>
      <c r="D35" s="8"/>
      <c r="E35" s="9"/>
      <c r="F35" s="9"/>
      <c r="G35" s="9"/>
      <c r="H35" s="9"/>
      <c r="I35" s="9"/>
      <c r="J35" s="9"/>
      <c r="K35" s="19"/>
    </row>
    <row r="36" spans="1:11">
      <c r="A36" s="18" t="s">
        <v>155</v>
      </c>
      <c r="B36" s="8"/>
      <c r="C36" s="8"/>
      <c r="D36" s="8"/>
      <c r="E36" s="9"/>
      <c r="F36" s="9"/>
      <c r="G36" s="9"/>
      <c r="H36" s="9"/>
      <c r="I36" s="9"/>
      <c r="J36" s="9"/>
      <c r="K36" s="19"/>
    </row>
    <row r="37" spans="1:11">
      <c r="A37" s="18" t="s">
        <v>395</v>
      </c>
      <c r="B37" s="8"/>
      <c r="C37" s="8"/>
      <c r="D37" s="8"/>
      <c r="E37" s="9"/>
      <c r="F37" s="9"/>
      <c r="G37" s="9"/>
      <c r="H37" s="9"/>
      <c r="I37" s="9"/>
      <c r="J37" s="9"/>
      <c r="K37" s="19"/>
    </row>
    <row r="38" spans="1:11">
      <c r="A38" s="18" t="s">
        <v>157</v>
      </c>
      <c r="B38" s="8"/>
      <c r="C38" s="8"/>
      <c r="D38" s="8"/>
      <c r="E38" s="9"/>
      <c r="F38" s="9"/>
      <c r="G38" s="9"/>
      <c r="H38" s="9"/>
      <c r="I38" s="9"/>
      <c r="J38" s="9"/>
      <c r="K38" s="19"/>
    </row>
    <row r="39" spans="1:11">
      <c r="A39" s="20" t="s">
        <v>158</v>
      </c>
      <c r="B39" s="8"/>
      <c r="C39" s="8"/>
      <c r="D39" s="8"/>
      <c r="E39" s="9"/>
      <c r="F39" s="9"/>
      <c r="G39" s="9"/>
      <c r="H39" s="9"/>
      <c r="I39" s="9"/>
      <c r="J39" s="9"/>
      <c r="K39" s="19"/>
    </row>
    <row r="40" spans="1:11">
      <c r="A40" s="20" t="s">
        <v>159</v>
      </c>
      <c r="B40" s="8"/>
      <c r="C40" s="8"/>
      <c r="D40" s="8"/>
      <c r="E40" s="9"/>
      <c r="F40" s="9"/>
      <c r="G40" s="9"/>
      <c r="H40" s="9"/>
      <c r="I40" s="9"/>
      <c r="J40" s="9"/>
      <c r="K40" s="19"/>
    </row>
    <row r="41" spans="1:11">
      <c r="A41" s="20" t="s">
        <v>160</v>
      </c>
      <c r="B41" s="8"/>
      <c r="C41" s="8"/>
      <c r="D41" s="8"/>
      <c r="E41" s="9"/>
      <c r="F41" s="9"/>
      <c r="G41" s="9"/>
      <c r="H41" s="9"/>
      <c r="I41" s="9"/>
      <c r="J41" s="9"/>
      <c r="K41" s="19"/>
    </row>
    <row r="42" spans="1:11">
      <c r="A42" s="18" t="s">
        <v>161</v>
      </c>
      <c r="B42" s="8"/>
      <c r="C42" s="8"/>
      <c r="D42" s="8"/>
      <c r="E42" s="9"/>
      <c r="F42" s="9"/>
      <c r="G42" s="9"/>
      <c r="H42" s="9"/>
      <c r="I42" s="9"/>
      <c r="J42" s="9"/>
      <c r="K42" s="19"/>
    </row>
    <row r="43" spans="1:11">
      <c r="A43" s="20" t="s">
        <v>162</v>
      </c>
      <c r="B43" s="8"/>
      <c r="C43" s="8"/>
      <c r="D43" s="8"/>
      <c r="E43" s="9"/>
      <c r="F43" s="9"/>
      <c r="G43" s="9"/>
      <c r="H43" s="9"/>
      <c r="I43" s="9"/>
      <c r="J43" s="9"/>
      <c r="K43" s="19"/>
    </row>
    <row r="44" spans="1:11">
      <c r="A44" s="20" t="s">
        <v>163</v>
      </c>
      <c r="B44" s="8"/>
      <c r="C44" s="8"/>
      <c r="D44" s="8"/>
      <c r="E44" s="9"/>
      <c r="F44" s="9"/>
      <c r="G44" s="9"/>
      <c r="H44" s="9"/>
      <c r="I44" s="9"/>
      <c r="J44" s="9"/>
      <c r="K44" s="19"/>
    </row>
    <row r="45" spans="1:11">
      <c r="A45" s="20" t="s">
        <v>164</v>
      </c>
      <c r="B45" s="8"/>
      <c r="C45" s="8"/>
      <c r="D45" s="8"/>
      <c r="E45" s="9"/>
      <c r="F45" s="9"/>
      <c r="G45" s="9"/>
      <c r="H45" s="9"/>
      <c r="I45" s="9"/>
      <c r="J45" s="9"/>
      <c r="K45" s="19"/>
    </row>
    <row r="46" spans="1:11">
      <c r="A46" s="20" t="s">
        <v>165</v>
      </c>
      <c r="B46" s="8"/>
      <c r="C46" s="8"/>
      <c r="D46" s="8"/>
      <c r="E46" s="9"/>
      <c r="F46" s="9"/>
      <c r="G46" s="10"/>
      <c r="H46" s="10"/>
      <c r="I46" s="9"/>
      <c r="J46" s="9"/>
      <c r="K46" s="19"/>
    </row>
    <row r="47" spans="1:11">
      <c r="A47" s="18" t="s">
        <v>97</v>
      </c>
      <c r="B47" s="8"/>
      <c r="C47" s="8"/>
      <c r="D47" s="8"/>
      <c r="E47" s="9"/>
      <c r="F47" s="9"/>
      <c r="G47" s="9"/>
      <c r="H47" s="9"/>
      <c r="I47" s="9"/>
      <c r="J47" s="9"/>
      <c r="K47" s="19"/>
    </row>
    <row r="48" spans="1:11">
      <c r="A48" s="18" t="s">
        <v>153</v>
      </c>
      <c r="B48" s="8"/>
      <c r="C48" s="8"/>
      <c r="D48" s="8"/>
      <c r="E48" s="9"/>
      <c r="F48" s="9"/>
      <c r="G48" s="9"/>
      <c r="H48" s="9"/>
      <c r="I48" s="9"/>
      <c r="J48" s="9"/>
      <c r="K48" s="19"/>
    </row>
    <row r="49" spans="1:11">
      <c r="A49" s="18" t="s">
        <v>154</v>
      </c>
      <c r="B49" s="8" t="s">
        <v>280</v>
      </c>
      <c r="C49" s="8"/>
      <c r="D49" s="8"/>
      <c r="E49" s="9"/>
      <c r="F49" s="9"/>
      <c r="G49" s="9" t="s">
        <v>281</v>
      </c>
      <c r="H49" s="9"/>
      <c r="I49" s="9"/>
      <c r="J49" s="9"/>
      <c r="K49" s="19"/>
    </row>
    <row r="50" spans="1:11">
      <c r="A50" s="18" t="s">
        <v>397</v>
      </c>
      <c r="B50" s="8"/>
      <c r="C50" s="8"/>
      <c r="D50" s="8"/>
      <c r="E50" s="9"/>
      <c r="F50" s="9"/>
      <c r="G50" s="9"/>
      <c r="H50" s="9"/>
      <c r="I50" s="9"/>
      <c r="J50" s="9"/>
      <c r="K50" s="19"/>
    </row>
    <row r="51" spans="1:11">
      <c r="A51" s="18" t="s">
        <v>398</v>
      </c>
      <c r="B51" s="8"/>
      <c r="C51" s="8"/>
      <c r="D51" s="8"/>
      <c r="E51" s="9"/>
      <c r="F51" s="9"/>
      <c r="G51" s="9"/>
      <c r="H51" s="9"/>
      <c r="I51" s="9"/>
      <c r="J51" s="9"/>
      <c r="K51" s="19"/>
    </row>
    <row r="52" spans="1:11">
      <c r="A52" s="18" t="s">
        <v>376</v>
      </c>
      <c r="B52" s="8"/>
      <c r="C52" s="8"/>
      <c r="D52" s="8"/>
      <c r="E52" s="9"/>
      <c r="F52" s="9"/>
      <c r="G52" s="9"/>
      <c r="H52" s="9"/>
      <c r="I52" s="9"/>
      <c r="J52" s="9"/>
      <c r="K52" s="19"/>
    </row>
    <row r="53" spans="1:11">
      <c r="A53" s="22"/>
      <c r="B53" s="8"/>
      <c r="C53" s="8"/>
      <c r="D53" s="8"/>
      <c r="E53" s="9"/>
      <c r="F53" s="9"/>
      <c r="G53" s="9"/>
      <c r="H53" s="9"/>
      <c r="I53" s="9"/>
      <c r="J53" s="9"/>
      <c r="K53" s="19"/>
    </row>
    <row r="54" spans="1:11" ht="12.75">
      <c r="A54" s="304" t="s">
        <v>87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6"/>
    </row>
    <row r="55" spans="1:11">
      <c r="A55" s="20" t="s">
        <v>65</v>
      </c>
      <c r="B55" s="8"/>
      <c r="C55" s="8"/>
      <c r="D55" s="8"/>
      <c r="E55" s="9"/>
      <c r="F55" s="9"/>
      <c r="G55" s="9"/>
      <c r="H55" s="9"/>
      <c r="I55" s="9"/>
      <c r="J55" s="9"/>
      <c r="K55" s="19"/>
    </row>
    <row r="56" spans="1:11">
      <c r="A56" s="20" t="s">
        <v>396</v>
      </c>
      <c r="B56" s="8"/>
      <c r="C56" s="8"/>
      <c r="D56" s="8"/>
      <c r="E56" s="9"/>
      <c r="F56" s="9"/>
      <c r="G56" s="9"/>
      <c r="H56" s="9"/>
      <c r="I56" s="9"/>
      <c r="J56" s="9"/>
      <c r="K56" s="19"/>
    </row>
    <row r="57" spans="1:11">
      <c r="A57" s="20" t="s">
        <v>66</v>
      </c>
      <c r="B57" s="8" t="s">
        <v>38</v>
      </c>
      <c r="C57" s="8"/>
      <c r="D57" s="8"/>
      <c r="E57" s="9" t="s">
        <v>56</v>
      </c>
      <c r="F57" s="9"/>
      <c r="G57" s="9" t="s">
        <v>47</v>
      </c>
      <c r="H57" s="9"/>
      <c r="I57" s="9" t="s">
        <v>55</v>
      </c>
      <c r="J57" s="9" t="s">
        <v>49</v>
      </c>
      <c r="K57" s="19" t="s">
        <v>59</v>
      </c>
    </row>
    <row r="58" spans="1:11">
      <c r="A58" s="20" t="s">
        <v>100</v>
      </c>
      <c r="B58" s="8"/>
      <c r="C58" s="8"/>
      <c r="D58" s="8"/>
      <c r="E58" s="9"/>
      <c r="F58" s="9"/>
      <c r="G58" s="9"/>
      <c r="H58" s="9"/>
      <c r="I58" s="9"/>
      <c r="J58" s="9"/>
      <c r="K58" s="19"/>
    </row>
    <row r="59" spans="1:11">
      <c r="A59" s="20" t="s">
        <v>99</v>
      </c>
      <c r="B59" s="8"/>
      <c r="C59" s="8"/>
      <c r="D59" s="8"/>
      <c r="E59" s="9"/>
      <c r="F59" s="9"/>
      <c r="G59" s="9"/>
      <c r="H59" s="9"/>
      <c r="I59" s="9"/>
      <c r="J59" s="9"/>
      <c r="K59" s="19"/>
    </row>
    <row r="60" spans="1:11">
      <c r="A60" s="20" t="s">
        <v>385</v>
      </c>
      <c r="B60" s="8"/>
      <c r="C60" s="8"/>
      <c r="D60" s="8"/>
      <c r="E60" s="9"/>
      <c r="F60" s="9"/>
      <c r="G60" s="9"/>
      <c r="H60" s="9"/>
      <c r="I60" s="9"/>
      <c r="J60" s="9"/>
      <c r="K60" s="19"/>
    </row>
    <row r="61" spans="1:11">
      <c r="A61" s="20" t="s">
        <v>67</v>
      </c>
      <c r="B61" s="8" t="s">
        <v>39</v>
      </c>
      <c r="C61" s="8"/>
      <c r="D61" s="8"/>
      <c r="E61" s="9"/>
      <c r="F61" s="9"/>
      <c r="G61" s="9" t="s">
        <v>48</v>
      </c>
      <c r="H61" s="9"/>
      <c r="I61" s="9"/>
      <c r="J61" s="9"/>
      <c r="K61" s="19"/>
    </row>
    <row r="62" spans="1:11">
      <c r="A62" s="20" t="s">
        <v>68</v>
      </c>
      <c r="B62" s="8" t="s">
        <v>299</v>
      </c>
      <c r="C62" s="8"/>
      <c r="D62" s="8"/>
      <c r="E62" s="9" t="s">
        <v>56</v>
      </c>
      <c r="F62" s="9" t="s">
        <v>50</v>
      </c>
      <c r="G62" s="9" t="s">
        <v>298</v>
      </c>
      <c r="H62" s="9"/>
      <c r="I62" s="9" t="s">
        <v>49</v>
      </c>
      <c r="J62" s="9"/>
      <c r="K62" s="19" t="s">
        <v>51</v>
      </c>
    </row>
    <row r="63" spans="1:11">
      <c r="A63" s="20" t="s">
        <v>69</v>
      </c>
      <c r="B63" s="8"/>
      <c r="C63" s="8"/>
      <c r="D63" s="8"/>
      <c r="E63" s="9"/>
      <c r="F63" s="9"/>
      <c r="G63" s="9"/>
      <c r="H63" s="9"/>
      <c r="I63" s="9"/>
      <c r="J63" s="9"/>
      <c r="K63" s="19"/>
    </row>
    <row r="64" spans="1:11">
      <c r="A64" s="20" t="s">
        <v>101</v>
      </c>
      <c r="B64" s="8"/>
      <c r="C64" s="8"/>
      <c r="D64" s="8"/>
      <c r="E64" s="9"/>
      <c r="F64" s="9"/>
      <c r="G64" s="9"/>
      <c r="H64" s="9"/>
      <c r="I64" s="9"/>
      <c r="J64" s="9"/>
      <c r="K64" s="19"/>
    </row>
    <row r="65" spans="1:11">
      <c r="A65" s="20" t="s">
        <v>102</v>
      </c>
      <c r="B65" s="8"/>
      <c r="C65" s="8"/>
      <c r="D65" s="8"/>
      <c r="E65" s="9"/>
      <c r="F65" s="9"/>
      <c r="G65" s="9"/>
      <c r="H65" s="9"/>
      <c r="I65" s="9"/>
      <c r="J65" s="9"/>
      <c r="K65" s="19"/>
    </row>
    <row r="66" spans="1:11">
      <c r="A66" s="20" t="s">
        <v>103</v>
      </c>
      <c r="B66" s="8"/>
      <c r="C66" s="8"/>
      <c r="D66" s="8"/>
      <c r="E66" s="9"/>
      <c r="F66" s="9"/>
      <c r="G66" s="9"/>
      <c r="H66" s="9"/>
      <c r="I66" s="9"/>
      <c r="J66" s="9"/>
      <c r="K66" s="19"/>
    </row>
    <row r="67" spans="1:11">
      <c r="A67" s="20" t="s">
        <v>104</v>
      </c>
      <c r="B67" s="8"/>
      <c r="C67" s="8"/>
      <c r="D67" s="8"/>
      <c r="E67" s="9"/>
      <c r="F67" s="9"/>
      <c r="G67" s="9"/>
      <c r="H67" s="9"/>
      <c r="I67" s="9"/>
      <c r="J67" s="9"/>
      <c r="K67" s="19"/>
    </row>
    <row r="68" spans="1:11">
      <c r="A68" s="20" t="s">
        <v>386</v>
      </c>
      <c r="B68" s="8"/>
      <c r="C68" s="8"/>
      <c r="D68" s="8"/>
      <c r="E68" s="9"/>
      <c r="F68" s="9"/>
      <c r="G68" s="9"/>
      <c r="H68" s="9"/>
      <c r="I68" s="9"/>
      <c r="J68" s="9"/>
      <c r="K68" s="19"/>
    </row>
    <row r="69" spans="1:11">
      <c r="A69" s="20" t="s">
        <v>70</v>
      </c>
      <c r="B69" s="8"/>
      <c r="C69" s="8"/>
      <c r="D69" s="8"/>
      <c r="E69" s="9"/>
      <c r="F69" s="9"/>
      <c r="G69" s="9"/>
      <c r="H69" s="9"/>
      <c r="I69" s="9"/>
      <c r="J69" s="9"/>
      <c r="K69" s="19"/>
    </row>
    <row r="70" spans="1:11">
      <c r="A70" s="20" t="s">
        <v>98</v>
      </c>
      <c r="B70" s="8"/>
      <c r="C70" s="8"/>
      <c r="D70" s="8"/>
      <c r="E70" s="9"/>
      <c r="F70" s="9"/>
      <c r="G70" s="9"/>
      <c r="H70" s="9"/>
      <c r="I70" s="9"/>
      <c r="J70" s="9"/>
      <c r="K70" s="19"/>
    </row>
    <row r="71" spans="1:11">
      <c r="A71" s="20" t="s">
        <v>152</v>
      </c>
      <c r="B71" s="8"/>
      <c r="C71" s="8"/>
      <c r="D71" s="8"/>
      <c r="E71" s="9"/>
      <c r="F71" s="9"/>
      <c r="G71" s="9"/>
      <c r="H71" s="9"/>
      <c r="I71" s="9"/>
      <c r="J71" s="9"/>
      <c r="K71" s="19"/>
    </row>
    <row r="72" spans="1:11">
      <c r="A72" s="20" t="s">
        <v>81</v>
      </c>
      <c r="B72" s="8"/>
      <c r="C72" s="8"/>
      <c r="D72" s="8"/>
      <c r="E72" s="9"/>
      <c r="F72" s="9"/>
      <c r="G72" s="9"/>
      <c r="H72" s="9"/>
      <c r="I72" s="9"/>
      <c r="J72" s="9"/>
      <c r="K72" s="19"/>
    </row>
    <row r="73" spans="1:11">
      <c r="A73" s="20" t="s">
        <v>82</v>
      </c>
      <c r="B73" s="8"/>
      <c r="C73" s="8"/>
      <c r="D73" s="8"/>
      <c r="E73" s="9"/>
      <c r="F73" s="9"/>
      <c r="G73" s="9"/>
      <c r="H73" s="9"/>
      <c r="I73" s="9"/>
      <c r="J73" s="9"/>
      <c r="K73" s="19"/>
    </row>
    <row r="74" spans="1:11">
      <c r="A74" s="20" t="s">
        <v>83</v>
      </c>
      <c r="B74" s="8"/>
      <c r="C74" s="8"/>
      <c r="D74" s="8"/>
      <c r="E74" s="9"/>
      <c r="F74" s="9" t="s">
        <v>50</v>
      </c>
      <c r="G74" s="9" t="s">
        <v>47</v>
      </c>
      <c r="H74" s="9"/>
      <c r="I74" s="9" t="s">
        <v>55</v>
      </c>
      <c r="J74" s="9" t="s">
        <v>49</v>
      </c>
      <c r="K74" s="19" t="s">
        <v>51</v>
      </c>
    </row>
    <row r="75" spans="1:11">
      <c r="A75" s="20" t="s">
        <v>84</v>
      </c>
      <c r="B75" s="8"/>
      <c r="C75" s="8"/>
      <c r="D75" s="8"/>
      <c r="E75" s="9"/>
      <c r="F75" s="9"/>
      <c r="G75" s="9" t="s">
        <v>47</v>
      </c>
      <c r="H75" s="9"/>
      <c r="I75" s="9" t="s">
        <v>48</v>
      </c>
      <c r="J75" s="9" t="s">
        <v>49</v>
      </c>
      <c r="K75" s="19"/>
    </row>
    <row r="76" spans="1:11">
      <c r="A76" s="20" t="s">
        <v>380</v>
      </c>
      <c r="B76" s="8"/>
      <c r="C76" s="8"/>
      <c r="D76" s="8"/>
      <c r="E76" s="9"/>
      <c r="F76" s="9"/>
      <c r="G76" s="9"/>
      <c r="H76" s="9"/>
      <c r="I76" s="9"/>
      <c r="J76" s="9"/>
      <c r="K76" s="19"/>
    </row>
    <row r="77" spans="1:11">
      <c r="A77" s="20" t="s">
        <v>73</v>
      </c>
      <c r="B77" s="8"/>
      <c r="C77" s="8"/>
      <c r="D77" s="8"/>
      <c r="E77" s="9"/>
      <c r="F77" s="9"/>
      <c r="G77" s="9"/>
      <c r="H77" s="9"/>
      <c r="I77" s="9"/>
      <c r="J77" s="9"/>
      <c r="K77" s="19"/>
    </row>
    <row r="78" spans="1:11">
      <c r="A78" s="20" t="s">
        <v>74</v>
      </c>
      <c r="B78" s="8"/>
      <c r="C78" s="8"/>
      <c r="D78" s="8"/>
      <c r="E78" s="9"/>
      <c r="F78" s="9"/>
      <c r="G78" s="9"/>
      <c r="H78" s="9"/>
      <c r="I78" s="9"/>
      <c r="J78" s="9"/>
      <c r="K78" s="19"/>
    </row>
    <row r="79" spans="1:11">
      <c r="A79" s="23"/>
      <c r="B79" s="8"/>
      <c r="C79" s="8"/>
      <c r="D79" s="8"/>
      <c r="E79" s="9"/>
      <c r="F79" s="9"/>
      <c r="G79" s="9"/>
      <c r="H79" s="9"/>
      <c r="I79" s="9"/>
      <c r="J79" s="9"/>
      <c r="K79" s="19"/>
    </row>
    <row r="80" spans="1:11" ht="12.75">
      <c r="A80" s="304" t="s">
        <v>140</v>
      </c>
      <c r="B80" s="305"/>
      <c r="C80" s="305"/>
      <c r="D80" s="305"/>
      <c r="E80" s="305"/>
      <c r="F80" s="305"/>
      <c r="G80" s="305"/>
      <c r="H80" s="305"/>
      <c r="I80" s="305"/>
      <c r="J80" s="305"/>
      <c r="K80" s="306"/>
    </row>
    <row r="81" spans="1:11">
      <c r="A81" s="18" t="s">
        <v>394</v>
      </c>
      <c r="B81" s="8"/>
      <c r="C81" s="8"/>
      <c r="D81" s="8"/>
      <c r="E81" s="9"/>
      <c r="F81" s="9"/>
      <c r="G81" s="9"/>
      <c r="H81" s="9"/>
      <c r="I81" s="9"/>
      <c r="J81" s="9"/>
      <c r="K81" s="19"/>
    </row>
    <row r="82" spans="1:11">
      <c r="A82" s="18" t="s">
        <v>105</v>
      </c>
      <c r="B82" s="8"/>
      <c r="C82" s="8"/>
      <c r="D82" s="8"/>
      <c r="E82" s="9"/>
      <c r="F82" s="9"/>
      <c r="G82" s="9"/>
      <c r="H82" s="9"/>
      <c r="I82" s="9"/>
      <c r="J82" s="9"/>
      <c r="K82" s="19"/>
    </row>
    <row r="83" spans="1:11">
      <c r="A83" s="18" t="s">
        <v>393</v>
      </c>
      <c r="B83" s="8"/>
      <c r="C83" s="8"/>
      <c r="D83" s="8"/>
      <c r="E83" s="9"/>
      <c r="F83" s="9"/>
      <c r="G83" s="9"/>
      <c r="H83" s="9"/>
      <c r="I83" s="9"/>
      <c r="J83" s="9"/>
      <c r="K83" s="19"/>
    </row>
    <row r="84" spans="1:11">
      <c r="A84" s="18" t="s">
        <v>106</v>
      </c>
      <c r="B84" s="8"/>
      <c r="C84" s="8"/>
      <c r="D84" s="8"/>
      <c r="E84" s="9"/>
      <c r="F84" s="9"/>
      <c r="G84" s="9"/>
      <c r="H84" s="9"/>
      <c r="I84" s="9"/>
      <c r="J84" s="9"/>
      <c r="K84" s="19"/>
    </row>
    <row r="85" spans="1:11">
      <c r="A85" s="18" t="s">
        <v>390</v>
      </c>
      <c r="B85" s="8"/>
      <c r="C85" s="8"/>
      <c r="D85" s="8"/>
      <c r="E85" s="9"/>
      <c r="F85" s="9"/>
      <c r="G85" s="9"/>
      <c r="H85" s="9"/>
      <c r="I85" s="9"/>
      <c r="J85" s="9"/>
      <c r="K85" s="19"/>
    </row>
    <row r="86" spans="1:11">
      <c r="A86" s="20" t="s">
        <v>131</v>
      </c>
      <c r="B86" s="8"/>
      <c r="C86" s="8"/>
      <c r="D86" s="8"/>
      <c r="E86" s="9"/>
      <c r="F86" s="9"/>
      <c r="G86" s="9"/>
      <c r="H86" s="9"/>
      <c r="I86" s="9"/>
      <c r="J86" s="9"/>
      <c r="K86" s="19"/>
    </row>
    <row r="87" spans="1:11">
      <c r="A87" s="20" t="s">
        <v>377</v>
      </c>
      <c r="B87" s="8"/>
      <c r="C87" s="8"/>
      <c r="D87" s="8"/>
      <c r="E87" s="9"/>
      <c r="F87" s="9"/>
      <c r="G87" s="9"/>
      <c r="H87" s="9"/>
      <c r="I87" s="9"/>
      <c r="J87" s="9"/>
      <c r="K87" s="19"/>
    </row>
    <row r="88" spans="1:11">
      <c r="A88" s="20" t="s">
        <v>388</v>
      </c>
      <c r="B88" s="8"/>
      <c r="C88" s="8"/>
      <c r="D88" s="8"/>
      <c r="E88" s="9"/>
      <c r="F88" s="9"/>
      <c r="G88" s="9"/>
      <c r="H88" s="9"/>
      <c r="I88" s="9"/>
      <c r="J88" s="9"/>
      <c r="K88" s="19"/>
    </row>
    <row r="89" spans="1:11">
      <c r="A89" s="20" t="s">
        <v>389</v>
      </c>
      <c r="B89" s="8"/>
      <c r="C89" s="8"/>
      <c r="D89" s="8"/>
      <c r="E89" s="9"/>
      <c r="F89" s="9"/>
      <c r="G89" s="9"/>
      <c r="H89" s="9"/>
      <c r="I89" s="9"/>
      <c r="J89" s="9"/>
      <c r="K89" s="19"/>
    </row>
    <row r="90" spans="1:11">
      <c r="A90" s="20" t="s">
        <v>132</v>
      </c>
      <c r="B90" s="8"/>
      <c r="C90" s="8"/>
      <c r="D90" s="8"/>
      <c r="E90" s="9"/>
      <c r="F90" s="9"/>
      <c r="G90" s="9"/>
      <c r="H90" s="9"/>
      <c r="I90" s="9"/>
      <c r="J90" s="9"/>
      <c r="K90" s="19"/>
    </row>
    <row r="91" spans="1:11">
      <c r="A91" s="20" t="s">
        <v>392</v>
      </c>
      <c r="B91" s="8"/>
      <c r="C91" s="8"/>
      <c r="D91" s="8"/>
      <c r="E91" s="9"/>
      <c r="F91" s="9"/>
      <c r="G91" s="9"/>
      <c r="H91" s="9"/>
      <c r="I91" s="9"/>
      <c r="J91" s="9"/>
      <c r="K91" s="19"/>
    </row>
    <row r="92" spans="1:11">
      <c r="A92" s="23"/>
      <c r="B92" s="8"/>
      <c r="C92" s="8"/>
      <c r="D92" s="8"/>
      <c r="E92" s="9"/>
      <c r="F92" s="9"/>
      <c r="G92" s="9"/>
      <c r="H92" s="9"/>
      <c r="I92" s="9"/>
      <c r="J92" s="9"/>
      <c r="K92" s="19"/>
    </row>
    <row r="93" spans="1:11" ht="12.75">
      <c r="A93" s="304" t="s">
        <v>88</v>
      </c>
      <c r="B93" s="305"/>
      <c r="C93" s="305"/>
      <c r="D93" s="305"/>
      <c r="E93" s="305"/>
      <c r="F93" s="305"/>
      <c r="G93" s="305"/>
      <c r="H93" s="305"/>
      <c r="I93" s="305"/>
      <c r="J93" s="305"/>
      <c r="K93" s="306"/>
    </row>
    <row r="94" spans="1:11">
      <c r="A94" s="18" t="s">
        <v>379</v>
      </c>
      <c r="B94" s="8"/>
      <c r="C94" s="8"/>
      <c r="D94" s="8"/>
      <c r="E94" s="9"/>
      <c r="F94" s="9"/>
      <c r="G94" s="9"/>
      <c r="H94" s="9"/>
      <c r="I94" s="9"/>
      <c r="J94" s="9"/>
      <c r="K94" s="19"/>
    </row>
    <row r="95" spans="1:11">
      <c r="A95" s="18" t="s">
        <v>113</v>
      </c>
      <c r="B95" s="8"/>
      <c r="C95" s="8"/>
      <c r="D95" s="8"/>
      <c r="E95" s="9"/>
      <c r="F95" s="9"/>
      <c r="G95" s="9"/>
      <c r="H95" s="9"/>
      <c r="I95" s="9"/>
      <c r="J95" s="9"/>
      <c r="K95" s="19"/>
    </row>
    <row r="96" spans="1:11">
      <c r="A96" s="18" t="s">
        <v>114</v>
      </c>
      <c r="B96" s="8"/>
      <c r="C96" s="8"/>
      <c r="D96" s="8"/>
      <c r="E96" s="9"/>
      <c r="F96" s="9"/>
      <c r="G96" s="9"/>
      <c r="H96" s="9"/>
      <c r="I96" s="9"/>
      <c r="J96" s="9"/>
      <c r="K96" s="19"/>
    </row>
    <row r="97" spans="1:11">
      <c r="A97" s="18" t="s">
        <v>107</v>
      </c>
      <c r="B97" s="8"/>
      <c r="C97" s="8"/>
      <c r="D97" s="8"/>
      <c r="E97" s="9"/>
      <c r="F97" s="9"/>
      <c r="G97" s="9"/>
      <c r="H97" s="9"/>
      <c r="I97" s="9"/>
      <c r="J97" s="9"/>
      <c r="K97" s="19"/>
    </row>
    <row r="98" spans="1:11">
      <c r="A98" s="18" t="s">
        <v>108</v>
      </c>
      <c r="B98" s="8"/>
      <c r="C98" s="8"/>
      <c r="D98" s="8"/>
      <c r="E98" s="9"/>
      <c r="F98" s="9"/>
      <c r="G98" s="9"/>
      <c r="H98" s="9"/>
      <c r="I98" s="9"/>
      <c r="J98" s="9"/>
      <c r="K98" s="19"/>
    </row>
    <row r="99" spans="1:11">
      <c r="A99" s="18" t="s">
        <v>109</v>
      </c>
      <c r="B99" s="8"/>
      <c r="C99" s="8"/>
      <c r="D99" s="8"/>
      <c r="E99" s="9"/>
      <c r="F99" s="9"/>
      <c r="G99" s="9"/>
      <c r="H99" s="9"/>
      <c r="I99" s="9"/>
      <c r="J99" s="9"/>
      <c r="K99" s="19"/>
    </row>
    <row r="100" spans="1:11">
      <c r="A100" s="20" t="s">
        <v>120</v>
      </c>
      <c r="B100" s="8"/>
      <c r="C100" s="8"/>
      <c r="D100" s="8"/>
      <c r="E100" s="9"/>
      <c r="F100" s="9"/>
      <c r="G100" s="9"/>
      <c r="H100" s="9"/>
      <c r="I100" s="9"/>
      <c r="J100" s="9"/>
      <c r="K100" s="19"/>
    </row>
    <row r="101" spans="1:11">
      <c r="A101" s="18" t="s">
        <v>110</v>
      </c>
      <c r="B101" s="8"/>
      <c r="C101" s="8"/>
      <c r="D101" s="8"/>
      <c r="E101" s="9"/>
      <c r="F101" s="9"/>
      <c r="G101" s="9"/>
      <c r="H101" s="9"/>
      <c r="I101" s="9"/>
      <c r="J101" s="9"/>
      <c r="K101" s="19"/>
    </row>
    <row r="102" spans="1:11">
      <c r="A102" s="18" t="s">
        <v>378</v>
      </c>
      <c r="B102" s="8"/>
      <c r="C102" s="8"/>
      <c r="D102" s="8"/>
      <c r="E102" s="9"/>
      <c r="F102" s="9"/>
      <c r="G102" s="9"/>
      <c r="H102" s="9"/>
      <c r="I102" s="9"/>
      <c r="J102" s="9"/>
      <c r="K102" s="19"/>
    </row>
    <row r="103" spans="1:11">
      <c r="A103" s="18" t="s">
        <v>111</v>
      </c>
      <c r="B103" s="8"/>
      <c r="C103" s="8"/>
      <c r="D103" s="8"/>
      <c r="E103" s="9"/>
      <c r="F103" s="9"/>
      <c r="G103" s="9"/>
      <c r="H103" s="9"/>
      <c r="I103" s="9"/>
      <c r="J103" s="9"/>
      <c r="K103" s="19"/>
    </row>
    <row r="104" spans="1:11">
      <c r="A104" s="18" t="s">
        <v>139</v>
      </c>
      <c r="B104" s="8"/>
      <c r="C104" s="8"/>
      <c r="D104" s="8"/>
      <c r="E104" s="9"/>
      <c r="F104" s="9"/>
      <c r="G104" s="9"/>
      <c r="H104" s="9"/>
      <c r="I104" s="9"/>
      <c r="J104" s="9"/>
      <c r="K104" s="19"/>
    </row>
    <row r="105" spans="1:11">
      <c r="A105" s="18" t="s">
        <v>112</v>
      </c>
      <c r="B105" s="8"/>
      <c r="C105" s="8"/>
      <c r="D105" s="8"/>
      <c r="E105" s="9"/>
      <c r="F105" s="9"/>
      <c r="G105" s="9"/>
      <c r="H105" s="9"/>
      <c r="I105" s="9"/>
      <c r="J105" s="9"/>
      <c r="K105" s="19"/>
    </row>
    <row r="106" spans="1:11">
      <c r="A106" s="22"/>
      <c r="B106" s="8"/>
      <c r="C106" s="8"/>
      <c r="D106" s="8"/>
      <c r="E106" s="9"/>
      <c r="F106" s="9"/>
      <c r="G106" s="9"/>
      <c r="H106" s="9"/>
      <c r="I106" s="9"/>
      <c r="J106" s="9"/>
      <c r="K106" s="19"/>
    </row>
    <row r="107" spans="1:11" ht="12.75">
      <c r="A107" s="304" t="s">
        <v>89</v>
      </c>
      <c r="B107" s="305"/>
      <c r="C107" s="305"/>
      <c r="D107" s="305"/>
      <c r="E107" s="305"/>
      <c r="F107" s="305"/>
      <c r="G107" s="305"/>
      <c r="H107" s="305"/>
      <c r="I107" s="305"/>
      <c r="J107" s="305"/>
      <c r="K107" s="306"/>
    </row>
    <row r="108" spans="1:11">
      <c r="A108" s="20" t="s">
        <v>151</v>
      </c>
      <c r="B108" s="8" t="s">
        <v>38</v>
      </c>
      <c r="C108" s="8"/>
      <c r="D108" s="8"/>
      <c r="E108" s="9"/>
      <c r="F108" s="9" t="s">
        <v>50</v>
      </c>
      <c r="G108" s="9" t="s">
        <v>282</v>
      </c>
      <c r="H108" s="9"/>
      <c r="I108" s="9" t="s">
        <v>55</v>
      </c>
      <c r="J108" s="9" t="s">
        <v>49</v>
      </c>
      <c r="K108" s="19" t="s">
        <v>51</v>
      </c>
    </row>
    <row r="109" spans="1:11">
      <c r="A109" s="20" t="s">
        <v>79</v>
      </c>
      <c r="B109" s="8"/>
      <c r="C109" s="8"/>
      <c r="D109" s="8"/>
      <c r="E109" s="9"/>
      <c r="F109" s="9"/>
      <c r="G109" s="9" t="s">
        <v>283</v>
      </c>
      <c r="H109" s="9"/>
      <c r="I109" s="9"/>
      <c r="J109" s="9"/>
      <c r="K109" s="19"/>
    </row>
    <row r="110" spans="1:11">
      <c r="A110" s="20" t="s">
        <v>115</v>
      </c>
      <c r="B110" s="8"/>
      <c r="C110" s="8"/>
      <c r="D110" s="8"/>
      <c r="E110" s="9"/>
      <c r="F110" s="9"/>
      <c r="G110" s="9"/>
      <c r="H110" s="9"/>
      <c r="I110" s="9"/>
      <c r="J110" s="9"/>
      <c r="K110" s="19"/>
    </row>
    <row r="111" spans="1:11">
      <c r="A111" s="20" t="s">
        <v>166</v>
      </c>
      <c r="B111" s="8"/>
      <c r="C111" s="8"/>
      <c r="D111" s="8"/>
      <c r="E111" s="9"/>
      <c r="F111" s="9"/>
      <c r="G111" s="9"/>
      <c r="H111" s="9"/>
      <c r="I111" s="9"/>
      <c r="J111" s="9"/>
      <c r="K111" s="19"/>
    </row>
    <row r="112" spans="1:11">
      <c r="A112" s="20" t="s">
        <v>122</v>
      </c>
      <c r="B112" s="8"/>
      <c r="C112" s="8"/>
      <c r="D112" s="8"/>
      <c r="E112" s="9"/>
      <c r="F112" s="9"/>
      <c r="G112" s="9"/>
      <c r="H112" s="9"/>
      <c r="I112" s="9"/>
      <c r="J112" s="9"/>
      <c r="K112" s="19"/>
    </row>
    <row r="113" spans="1:11">
      <c r="A113" s="20" t="s">
        <v>118</v>
      </c>
      <c r="B113" s="8"/>
      <c r="C113" s="8"/>
      <c r="D113" s="8"/>
      <c r="E113" s="9" t="s">
        <v>56</v>
      </c>
      <c r="F113" s="9" t="s">
        <v>50</v>
      </c>
      <c r="G113" s="9" t="s">
        <v>48</v>
      </c>
      <c r="H113" s="9"/>
      <c r="I113" s="9" t="s">
        <v>49</v>
      </c>
      <c r="J113" s="9" t="s">
        <v>51</v>
      </c>
      <c r="K113" s="19" t="s">
        <v>59</v>
      </c>
    </row>
    <row r="114" spans="1:11">
      <c r="A114" s="20" t="s">
        <v>116</v>
      </c>
      <c r="B114" s="8"/>
      <c r="C114" s="8"/>
      <c r="D114" s="8"/>
      <c r="E114" s="9"/>
      <c r="F114" s="9"/>
      <c r="G114" s="9"/>
      <c r="H114" s="9"/>
      <c r="I114" s="9"/>
      <c r="J114" s="9"/>
      <c r="K114" s="19"/>
    </row>
    <row r="115" spans="1:11">
      <c r="A115" s="20" t="s">
        <v>117</v>
      </c>
      <c r="B115" s="8"/>
      <c r="C115" s="8"/>
      <c r="D115" s="8"/>
      <c r="E115" s="9"/>
      <c r="F115" s="9"/>
      <c r="G115" s="9"/>
      <c r="H115" s="9"/>
      <c r="I115" s="9"/>
      <c r="J115" s="9"/>
      <c r="K115" s="19"/>
    </row>
    <row r="116" spans="1:11">
      <c r="A116" s="20" t="s">
        <v>121</v>
      </c>
      <c r="B116" s="8"/>
      <c r="C116" s="8"/>
      <c r="D116" s="8"/>
      <c r="E116" s="9"/>
      <c r="F116" s="9"/>
      <c r="G116" s="9"/>
      <c r="H116" s="9"/>
      <c r="I116" s="9"/>
      <c r="J116" s="9"/>
      <c r="K116" s="19"/>
    </row>
    <row r="117" spans="1:11" ht="12" thickBot="1">
      <c r="A117" s="24" t="s">
        <v>119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6"/>
    </row>
    <row r="118" spans="1:11">
      <c r="A118" s="5"/>
      <c r="B118" s="5"/>
      <c r="C118" s="5"/>
      <c r="D118" s="5"/>
      <c r="E118" s="5"/>
      <c r="F118" s="5"/>
    </row>
    <row r="119" spans="1:11">
      <c r="A119" s="5"/>
      <c r="B119" s="5"/>
      <c r="C119" s="5"/>
      <c r="D119" s="5"/>
      <c r="E119" s="5"/>
      <c r="F119" s="5"/>
    </row>
    <row r="120" spans="1:11">
      <c r="C120" s="5"/>
      <c r="D120" s="5"/>
      <c r="E120" s="5"/>
      <c r="F120" s="5"/>
    </row>
    <row r="121" spans="1:11">
      <c r="C121" s="5"/>
      <c r="D121" s="5"/>
      <c r="E121" s="5"/>
      <c r="F121" s="5"/>
    </row>
    <row r="122" spans="1:11">
      <c r="C122" s="5"/>
      <c r="D122" s="5"/>
      <c r="E122" s="5"/>
      <c r="F122" s="5"/>
    </row>
    <row r="123" spans="1:11">
      <c r="C123" s="5"/>
      <c r="D123" s="5"/>
      <c r="E123" s="5"/>
      <c r="F123" s="5"/>
    </row>
    <row r="124" spans="1:11">
      <c r="C124" s="5"/>
      <c r="D124" s="5"/>
      <c r="E124" s="5"/>
      <c r="F124" s="5"/>
    </row>
    <row r="125" spans="1:11">
      <c r="C125" s="5"/>
      <c r="D125" s="5"/>
      <c r="E125" s="5"/>
      <c r="F125" s="5"/>
    </row>
    <row r="126" spans="1:11">
      <c r="C126" s="5"/>
      <c r="D126" s="5"/>
      <c r="E126" s="5"/>
      <c r="F126" s="5"/>
    </row>
    <row r="127" spans="1:11">
      <c r="A127" s="7"/>
      <c r="C127" s="5"/>
      <c r="D127" s="5"/>
      <c r="E127" s="5"/>
      <c r="F127" s="5"/>
    </row>
    <row r="128" spans="1:11">
      <c r="A128" s="7"/>
      <c r="C128" s="5"/>
      <c r="D128" s="5"/>
      <c r="E128" s="5"/>
      <c r="F128" s="5"/>
    </row>
    <row r="129" spans="1:6">
      <c r="A129" s="7"/>
      <c r="C129" s="5"/>
      <c r="D129" s="5"/>
      <c r="E129" s="5"/>
      <c r="F129" s="5"/>
    </row>
    <row r="130" spans="1:6">
      <c r="A130" s="7"/>
      <c r="C130" s="5"/>
      <c r="D130" s="5"/>
      <c r="E130" s="5"/>
      <c r="F130" s="5"/>
    </row>
    <row r="131" spans="1:6">
      <c r="A131" s="7"/>
      <c r="C131" s="5"/>
      <c r="D131" s="5"/>
      <c r="E131" s="5"/>
      <c r="F131" s="5"/>
    </row>
    <row r="132" spans="1:6">
      <c r="A132" s="7"/>
      <c r="C132" s="5"/>
      <c r="D132" s="5"/>
      <c r="E132" s="5"/>
      <c r="F132" s="5"/>
    </row>
    <row r="133" spans="1:6">
      <c r="A133" s="7"/>
      <c r="C133" s="5"/>
      <c r="D133" s="5"/>
      <c r="E133" s="5"/>
      <c r="F133" s="5"/>
    </row>
    <row r="134" spans="1:6">
      <c r="A134" s="7"/>
      <c r="C134" s="5"/>
      <c r="D134" s="5"/>
      <c r="E134" s="5"/>
      <c r="F134" s="5"/>
    </row>
    <row r="135" spans="1:6">
      <c r="A135" s="5"/>
      <c r="B135" s="5"/>
      <c r="C135" s="5"/>
      <c r="D135" s="5"/>
      <c r="E135" s="5"/>
      <c r="F135" s="5"/>
    </row>
    <row r="136" spans="1:6">
      <c r="A136" s="5"/>
      <c r="B136" s="5"/>
      <c r="C136" s="5"/>
      <c r="D136" s="5"/>
      <c r="E136" s="5"/>
      <c r="F136" s="5"/>
    </row>
    <row r="137" spans="1:6">
      <c r="A137" s="5"/>
      <c r="B137" s="5"/>
      <c r="C137" s="5"/>
      <c r="D137" s="5"/>
      <c r="E137" s="5"/>
      <c r="F137" s="5"/>
    </row>
    <row r="138" spans="1:6">
      <c r="A138" s="5"/>
      <c r="B138" s="5"/>
      <c r="C138" s="5"/>
      <c r="D138" s="5"/>
      <c r="E138" s="5"/>
      <c r="F138" s="5"/>
    </row>
    <row r="139" spans="1:6">
      <c r="A139" s="5"/>
      <c r="B139" s="5"/>
      <c r="C139" s="5"/>
      <c r="D139" s="5"/>
      <c r="E139" s="5"/>
      <c r="F139" s="5"/>
    </row>
    <row r="140" spans="1:6">
      <c r="A140" s="5"/>
      <c r="B140" s="5"/>
      <c r="C140" s="5"/>
      <c r="D140" s="5"/>
      <c r="E140" s="5"/>
      <c r="F140" s="5"/>
    </row>
    <row r="141" spans="1:6">
      <c r="A141" s="5"/>
      <c r="B141" s="5"/>
      <c r="C141" s="5"/>
      <c r="D141" s="5"/>
      <c r="E141" s="5"/>
      <c r="F141" s="5"/>
    </row>
    <row r="142" spans="1:6">
      <c r="A142" s="5"/>
      <c r="B142" s="5"/>
      <c r="C142" s="5"/>
      <c r="D142" s="5"/>
      <c r="E142" s="5"/>
      <c r="F142" s="5"/>
    </row>
    <row r="143" spans="1:6">
      <c r="A143" s="5"/>
      <c r="B143" s="5"/>
      <c r="C143" s="5"/>
      <c r="D143" s="5"/>
      <c r="E143" s="5"/>
      <c r="F143" s="5"/>
    </row>
    <row r="144" spans="1:6">
      <c r="A144" s="5"/>
      <c r="B144" s="5"/>
      <c r="C144" s="5"/>
      <c r="D144" s="5"/>
      <c r="E144" s="5"/>
      <c r="F144" s="5"/>
    </row>
    <row r="145" spans="1:6">
      <c r="A145" s="5"/>
      <c r="B145" s="5"/>
      <c r="C145" s="5"/>
      <c r="D145" s="5"/>
      <c r="E145" s="5"/>
      <c r="F145" s="5"/>
    </row>
    <row r="146" spans="1:6">
      <c r="A146" s="5"/>
      <c r="B146" s="5"/>
      <c r="C146" s="5"/>
      <c r="D146" s="5"/>
      <c r="E146" s="5"/>
      <c r="F146" s="5"/>
    </row>
    <row r="147" spans="1:6">
      <c r="A147" s="5"/>
      <c r="B147" s="5"/>
      <c r="C147" s="5"/>
      <c r="D147" s="5"/>
      <c r="E147" s="5"/>
      <c r="F147" s="5"/>
    </row>
    <row r="148" spans="1:6">
      <c r="A148" s="5"/>
      <c r="B148" s="5"/>
      <c r="C148" s="5"/>
      <c r="D148" s="5"/>
      <c r="E148" s="5"/>
      <c r="F148" s="5"/>
    </row>
    <row r="149" spans="1:6">
      <c r="A149" s="5"/>
      <c r="B149" s="5"/>
      <c r="C149" s="5"/>
      <c r="D149" s="5"/>
      <c r="E149" s="5"/>
      <c r="F149" s="5"/>
    </row>
    <row r="150" spans="1:6">
      <c r="A150" s="5"/>
      <c r="C150" s="5"/>
      <c r="D150" s="5"/>
      <c r="E150" s="5"/>
      <c r="F150" s="5"/>
    </row>
  </sheetData>
  <mergeCells count="7">
    <mergeCell ref="A93:K93"/>
    <mergeCell ref="A107:K107"/>
    <mergeCell ref="A1:K1"/>
    <mergeCell ref="A4:K4"/>
    <mergeCell ref="A34:K34"/>
    <mergeCell ref="A54:K54"/>
    <mergeCell ref="A80:K80"/>
  </mergeCells>
  <phoneticPr fontId="2" type="noConversion"/>
  <printOptions horizontalCentered="1"/>
  <pageMargins left="0.2" right="0.2" top="0.2" bottom="0.2" header="0" footer="0"/>
  <pageSetup scale="44" orientation="landscape" r:id="rId1"/>
  <headerFooter alignWithMargins="0"/>
  <ignoredErrors>
    <ignoredError sqref="B21:B23 B57 B31:B32 B28 B26 B9 B61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1"/>
  <sheetViews>
    <sheetView tabSelected="1" workbookViewId="0">
      <pane ySplit="1920" topLeftCell="A7" activePane="bottomLeft"/>
      <selection activeCell="H4" sqref="H4"/>
      <selection pane="bottomLeft" activeCell="F17" sqref="F17"/>
    </sheetView>
  </sheetViews>
  <sheetFormatPr defaultRowHeight="12.75"/>
  <cols>
    <col min="1" max="1" width="12.7109375" style="186" bestFit="1" customWidth="1"/>
    <col min="2" max="2" width="39.140625" style="186" bestFit="1" customWidth="1"/>
    <col min="3" max="3" width="19.140625" style="186" bestFit="1" customWidth="1"/>
    <col min="4" max="4" width="19.42578125" style="186" bestFit="1" customWidth="1"/>
    <col min="5" max="5" width="12.85546875" style="186" bestFit="1" customWidth="1"/>
    <col min="6" max="6" width="9.140625" style="186" bestFit="1" customWidth="1"/>
    <col min="7" max="7" width="12" style="186" bestFit="1" customWidth="1"/>
    <col min="8" max="8" width="13.28515625" style="186" bestFit="1" customWidth="1"/>
    <col min="9" max="9" width="9.5703125" style="186" bestFit="1" customWidth="1"/>
    <col min="10" max="10" width="21.140625" style="186" bestFit="1" customWidth="1"/>
    <col min="11" max="16384" width="9.140625" style="186"/>
  </cols>
  <sheetData>
    <row r="1" spans="1:10" s="185" customFormat="1" ht="18">
      <c r="A1" s="191"/>
      <c r="B1" s="191" t="s">
        <v>248</v>
      </c>
      <c r="C1" s="191"/>
      <c r="D1" s="191"/>
      <c r="E1" s="191"/>
      <c r="F1" s="192"/>
      <c r="G1" s="192"/>
      <c r="H1" s="192"/>
      <c r="I1" s="192"/>
      <c r="J1" s="192"/>
    </row>
    <row r="2" spans="1:10" s="185" customFormat="1" ht="12.75" customHeight="1" thickBot="1"/>
    <row r="3" spans="1:10">
      <c r="G3" s="187" t="s">
        <v>288</v>
      </c>
      <c r="H3" s="188" t="s">
        <v>287</v>
      </c>
    </row>
    <row r="4" spans="1:10" ht="13.5" thickBot="1">
      <c r="G4" s="189">
        <v>10</v>
      </c>
      <c r="H4" s="190">
        <v>1.5</v>
      </c>
    </row>
    <row r="5" spans="1:10" ht="13.5" thickBot="1"/>
    <row r="6" spans="1:10">
      <c r="A6" s="193" t="s">
        <v>261</v>
      </c>
      <c r="B6" s="194" t="s">
        <v>237</v>
      </c>
      <c r="C6" s="194" t="s">
        <v>80</v>
      </c>
      <c r="D6" s="194" t="s">
        <v>249</v>
      </c>
      <c r="E6" s="194" t="s">
        <v>250</v>
      </c>
      <c r="F6" s="194" t="s">
        <v>285</v>
      </c>
      <c r="G6" s="194" t="s">
        <v>286</v>
      </c>
      <c r="H6" s="194" t="s">
        <v>251</v>
      </c>
      <c r="I6" s="194" t="s">
        <v>252</v>
      </c>
      <c r="J6" s="195" t="s">
        <v>253</v>
      </c>
    </row>
    <row r="7" spans="1:10" s="37" customFormat="1">
      <c r="A7" s="196" t="s">
        <v>254</v>
      </c>
      <c r="B7" s="197"/>
      <c r="C7" s="197"/>
      <c r="D7" s="197"/>
      <c r="E7" s="197"/>
      <c r="F7" s="198"/>
      <c r="G7" s="198"/>
      <c r="H7" s="198"/>
      <c r="I7" s="198"/>
      <c r="J7" s="199"/>
    </row>
    <row r="8" spans="1:10" s="37" customFormat="1">
      <c r="A8" s="231">
        <v>20071116</v>
      </c>
      <c r="B8" s="229" t="s">
        <v>670</v>
      </c>
      <c r="C8" s="229" t="s">
        <v>671</v>
      </c>
      <c r="D8" s="216" t="s">
        <v>672</v>
      </c>
      <c r="E8" s="217">
        <v>10</v>
      </c>
      <c r="F8" s="218">
        <v>4</v>
      </c>
      <c r="G8" s="217">
        <f>(F8*G4)+E8</f>
        <v>50</v>
      </c>
      <c r="H8" s="217">
        <f>G8*H4</f>
        <v>75</v>
      </c>
      <c r="I8" s="217"/>
      <c r="J8" s="219"/>
    </row>
    <row r="9" spans="1:10" s="37" customFormat="1">
      <c r="A9" s="200"/>
      <c r="B9" s="201"/>
      <c r="C9" s="201"/>
      <c r="D9" s="201"/>
      <c r="E9" s="202"/>
      <c r="F9" s="203"/>
      <c r="G9" s="204"/>
      <c r="H9" s="204"/>
      <c r="I9" s="203"/>
      <c r="J9" s="205"/>
    </row>
    <row r="10" spans="1:10" s="37" customFormat="1">
      <c r="A10" s="196" t="s">
        <v>255</v>
      </c>
      <c r="B10" s="197"/>
      <c r="C10" s="197"/>
      <c r="D10" s="197"/>
      <c r="E10" s="198"/>
      <c r="F10" s="198"/>
      <c r="G10" s="198"/>
      <c r="H10" s="198"/>
      <c r="I10" s="198"/>
      <c r="J10" s="199"/>
    </row>
    <row r="11" spans="1:10" s="37" customFormat="1" ht="33.75">
      <c r="A11" s="214">
        <v>20071225</v>
      </c>
      <c r="B11" s="227">
        <v>3</v>
      </c>
      <c r="C11" s="215" t="s">
        <v>655</v>
      </c>
      <c r="D11" s="216" t="s">
        <v>654</v>
      </c>
      <c r="E11" s="217">
        <v>100</v>
      </c>
      <c r="F11" s="218">
        <v>70</v>
      </c>
      <c r="G11" s="217">
        <f>(F11*G4)+E11</f>
        <v>800</v>
      </c>
      <c r="H11" s="217">
        <f>G11*H4</f>
        <v>1200</v>
      </c>
      <c r="I11" s="217"/>
      <c r="J11" s="219"/>
    </row>
    <row r="12" spans="1:10" s="37" customFormat="1">
      <c r="A12" s="206"/>
      <c r="B12" s="207"/>
      <c r="C12" s="207"/>
      <c r="D12" s="207"/>
      <c r="E12" s="202"/>
      <c r="F12" s="203"/>
      <c r="G12" s="204"/>
      <c r="H12" s="204"/>
      <c r="I12" s="203"/>
      <c r="J12" s="205"/>
    </row>
    <row r="13" spans="1:10" s="37" customFormat="1">
      <c r="A13" s="196" t="s">
        <v>256</v>
      </c>
      <c r="B13" s="197"/>
      <c r="C13" s="197"/>
      <c r="D13" s="197"/>
      <c r="E13" s="198"/>
      <c r="F13" s="198"/>
      <c r="G13" s="198"/>
      <c r="H13" s="198"/>
      <c r="I13" s="198"/>
      <c r="J13" s="199"/>
    </row>
    <row r="14" spans="1:10" s="37" customFormat="1" ht="33.75">
      <c r="A14" s="214"/>
      <c r="B14" s="215" t="s">
        <v>676</v>
      </c>
      <c r="C14" s="216" t="s">
        <v>677</v>
      </c>
      <c r="D14" s="216" t="s">
        <v>678</v>
      </c>
      <c r="E14" s="217">
        <v>0</v>
      </c>
      <c r="F14" s="218">
        <v>0</v>
      </c>
      <c r="G14" s="217">
        <f>(F14*G1)+E14</f>
        <v>0</v>
      </c>
      <c r="H14" s="217">
        <f>G14*H1</f>
        <v>0</v>
      </c>
      <c r="I14" s="217"/>
      <c r="J14" s="219"/>
    </row>
    <row r="15" spans="1:10" s="37" customFormat="1" ht="33.75">
      <c r="A15" s="214"/>
      <c r="B15" s="215" t="s">
        <v>673</v>
      </c>
      <c r="C15" s="216" t="s">
        <v>674</v>
      </c>
      <c r="D15" s="216" t="s">
        <v>675</v>
      </c>
      <c r="E15" s="217">
        <v>0</v>
      </c>
      <c r="F15" s="218">
        <v>0</v>
      </c>
      <c r="G15" s="217">
        <f>(F15*G2)+E15</f>
        <v>0</v>
      </c>
      <c r="H15" s="217">
        <f>G15*H2</f>
        <v>0</v>
      </c>
      <c r="I15" s="217"/>
      <c r="J15" s="219"/>
    </row>
    <row r="16" spans="1:10" s="37" customFormat="1" ht="22.5">
      <c r="A16" s="214">
        <v>20110920</v>
      </c>
      <c r="B16" s="215" t="s">
        <v>682</v>
      </c>
      <c r="C16" s="216" t="s">
        <v>645</v>
      </c>
      <c r="D16" s="216" t="s">
        <v>683</v>
      </c>
      <c r="E16" s="217">
        <v>30</v>
      </c>
      <c r="F16" s="218">
        <v>8</v>
      </c>
      <c r="G16" s="217">
        <f>(F16*G4)+E16</f>
        <v>110</v>
      </c>
      <c r="H16" s="217">
        <f>G16*H4</f>
        <v>165</v>
      </c>
      <c r="I16" s="217"/>
      <c r="J16" s="219"/>
    </row>
    <row r="17" spans="1:10" s="37" customFormat="1" ht="22.5">
      <c r="A17" s="214">
        <v>20110807</v>
      </c>
      <c r="B17" s="215" t="s">
        <v>646</v>
      </c>
      <c r="C17" s="216" t="s">
        <v>645</v>
      </c>
      <c r="D17" s="216" t="s">
        <v>650</v>
      </c>
      <c r="E17" s="217">
        <v>30</v>
      </c>
      <c r="F17" s="218">
        <v>10</v>
      </c>
      <c r="G17" s="217">
        <f>(F17*G4)+E17</f>
        <v>130</v>
      </c>
      <c r="H17" s="217">
        <f>G17*H4</f>
        <v>195</v>
      </c>
      <c r="I17" s="217"/>
      <c r="J17" s="219"/>
    </row>
    <row r="18" spans="1:10" s="37" customFormat="1" ht="33.75">
      <c r="A18" s="214">
        <v>20110707</v>
      </c>
      <c r="B18" s="215" t="s">
        <v>651</v>
      </c>
      <c r="C18" s="216" t="s">
        <v>647</v>
      </c>
      <c r="D18" s="216" t="s">
        <v>649</v>
      </c>
      <c r="E18" s="217">
        <v>35</v>
      </c>
      <c r="F18" s="218">
        <v>12</v>
      </c>
      <c r="G18" s="217">
        <f>(F18*G4)+E18</f>
        <v>155</v>
      </c>
      <c r="H18" s="217">
        <f>G18*H4</f>
        <v>232.5</v>
      </c>
      <c r="I18" s="217"/>
      <c r="J18" s="219"/>
    </row>
    <row r="19" spans="1:10" s="37" customFormat="1" ht="22.5">
      <c r="A19" s="214">
        <v>20110521</v>
      </c>
      <c r="B19" s="215" t="s">
        <v>679</v>
      </c>
      <c r="C19" s="216" t="s">
        <v>680</v>
      </c>
      <c r="D19" s="216" t="s">
        <v>681</v>
      </c>
      <c r="E19" s="217">
        <v>35</v>
      </c>
      <c r="F19" s="218">
        <v>8</v>
      </c>
      <c r="G19" s="217">
        <f>(F19*G4)+E19</f>
        <v>115</v>
      </c>
      <c r="H19" s="217">
        <f>G19*H4</f>
        <v>172.5</v>
      </c>
      <c r="I19" s="217"/>
      <c r="J19" s="219"/>
    </row>
    <row r="20" spans="1:10" s="37" customFormat="1" ht="22.5">
      <c r="A20" s="214">
        <v>20091119</v>
      </c>
      <c r="B20" s="215" t="s">
        <v>652</v>
      </c>
      <c r="C20" s="216" t="s">
        <v>644</v>
      </c>
      <c r="D20" s="216" t="s">
        <v>648</v>
      </c>
      <c r="E20" s="217">
        <v>35</v>
      </c>
      <c r="F20" s="218">
        <v>12</v>
      </c>
      <c r="G20" s="217">
        <f>(F20*G4)+E20</f>
        <v>155</v>
      </c>
      <c r="H20" s="217">
        <f>G20*H4</f>
        <v>232.5</v>
      </c>
      <c r="I20" s="217"/>
      <c r="J20" s="219"/>
    </row>
    <row r="21" spans="1:10" s="37" customFormat="1" ht="22.5">
      <c r="A21" s="220">
        <v>20091016</v>
      </c>
      <c r="B21" s="221" t="s">
        <v>541</v>
      </c>
      <c r="C21" s="221"/>
      <c r="D21" s="226" t="s">
        <v>542</v>
      </c>
      <c r="E21" s="223">
        <v>10</v>
      </c>
      <c r="F21" s="224">
        <v>8</v>
      </c>
      <c r="G21" s="223">
        <f>(F21*G4)+E21</f>
        <v>90</v>
      </c>
      <c r="H21" s="223">
        <f>G21*H4</f>
        <v>135</v>
      </c>
      <c r="I21" s="223">
        <v>80</v>
      </c>
      <c r="J21" s="225"/>
    </row>
    <row r="22" spans="1:10" s="37" customFormat="1" ht="22.5">
      <c r="A22" s="220">
        <v>20071118</v>
      </c>
      <c r="B22" s="221" t="s">
        <v>284</v>
      </c>
      <c r="C22" s="222" t="s">
        <v>637</v>
      </c>
      <c r="D22" s="222" t="s">
        <v>638</v>
      </c>
      <c r="E22" s="223">
        <v>5</v>
      </c>
      <c r="F22" s="224">
        <v>6</v>
      </c>
      <c r="G22" s="223">
        <f>(F22*G4)+E22</f>
        <v>65</v>
      </c>
      <c r="H22" s="223">
        <f>G22*H4</f>
        <v>97.5</v>
      </c>
      <c r="I22" s="223">
        <v>90</v>
      </c>
      <c r="J22" s="225"/>
    </row>
    <row r="23" spans="1:10" s="37" customFormat="1" ht="22.5">
      <c r="A23" s="214">
        <v>20071016</v>
      </c>
      <c r="B23" s="215" t="s">
        <v>653</v>
      </c>
      <c r="C23" s="216" t="s">
        <v>642</v>
      </c>
      <c r="D23" s="216" t="s">
        <v>643</v>
      </c>
      <c r="E23" s="217">
        <v>25</v>
      </c>
      <c r="F23" s="218">
        <v>6</v>
      </c>
      <c r="G23" s="217">
        <f>(F23*G4)+E23</f>
        <v>85</v>
      </c>
      <c r="H23" s="217">
        <f>G23*H4</f>
        <v>127.5</v>
      </c>
      <c r="I23" s="217"/>
      <c r="J23" s="219"/>
    </row>
    <row r="24" spans="1:10" s="37" customFormat="1">
      <c r="A24" s="206"/>
      <c r="B24" s="207"/>
      <c r="C24" s="207"/>
      <c r="D24" s="207"/>
      <c r="E24" s="202"/>
      <c r="F24" s="203"/>
      <c r="G24" s="204"/>
      <c r="H24" s="204"/>
      <c r="I24" s="203"/>
      <c r="J24" s="205"/>
    </row>
    <row r="25" spans="1:10" s="37" customFormat="1">
      <c r="A25" s="196" t="s">
        <v>257</v>
      </c>
      <c r="B25" s="197"/>
      <c r="C25" s="197"/>
      <c r="D25" s="197"/>
      <c r="E25" s="198"/>
      <c r="F25" s="198"/>
      <c r="G25" s="198"/>
      <c r="H25" s="198"/>
      <c r="I25" s="198"/>
      <c r="J25" s="199"/>
    </row>
    <row r="26" spans="1:10" s="37" customFormat="1">
      <c r="A26" s="228" t="s">
        <v>667</v>
      </c>
      <c r="B26" s="229" t="s">
        <v>661</v>
      </c>
      <c r="C26" s="216" t="s">
        <v>663</v>
      </c>
      <c r="D26" s="230" t="s">
        <v>664</v>
      </c>
      <c r="E26" s="217">
        <v>50</v>
      </c>
      <c r="F26" s="218">
        <v>3</v>
      </c>
      <c r="G26" s="217">
        <f>(F26*G4)+E26</f>
        <v>80</v>
      </c>
      <c r="H26" s="217">
        <f>G26*H4</f>
        <v>120</v>
      </c>
      <c r="I26" s="217"/>
      <c r="J26" s="219"/>
    </row>
    <row r="27" spans="1:10" s="37" customFormat="1">
      <c r="A27" s="228" t="s">
        <v>666</v>
      </c>
      <c r="B27" s="229" t="s">
        <v>662</v>
      </c>
      <c r="C27" s="216" t="s">
        <v>663</v>
      </c>
      <c r="D27" s="230" t="s">
        <v>664</v>
      </c>
      <c r="E27" s="217">
        <v>40</v>
      </c>
      <c r="F27" s="218">
        <v>2</v>
      </c>
      <c r="G27" s="217">
        <f>(F27*G4)+E27</f>
        <v>60</v>
      </c>
      <c r="H27" s="217">
        <f>G27*H4</f>
        <v>90</v>
      </c>
      <c r="I27" s="217"/>
      <c r="J27" s="219"/>
    </row>
    <row r="28" spans="1:10" s="37" customFormat="1">
      <c r="A28" s="228" t="s">
        <v>665</v>
      </c>
      <c r="B28" s="229" t="s">
        <v>660</v>
      </c>
      <c r="C28" s="216" t="s">
        <v>663</v>
      </c>
      <c r="D28" s="230" t="s">
        <v>664</v>
      </c>
      <c r="E28" s="217">
        <v>20</v>
      </c>
      <c r="F28" s="218">
        <v>1</v>
      </c>
      <c r="G28" s="217">
        <f>(F28*G4)+E28</f>
        <v>30</v>
      </c>
      <c r="H28" s="217">
        <f>G28*H4</f>
        <v>45</v>
      </c>
      <c r="I28" s="217"/>
      <c r="J28" s="219"/>
    </row>
    <row r="29" spans="1:10" s="37" customFormat="1" ht="56.25">
      <c r="A29" s="214">
        <v>20080119</v>
      </c>
      <c r="B29" s="215" t="s">
        <v>668</v>
      </c>
      <c r="C29" s="215" t="s">
        <v>658</v>
      </c>
      <c r="D29" s="216" t="s">
        <v>659</v>
      </c>
      <c r="E29" s="217">
        <v>270</v>
      </c>
      <c r="F29" s="218">
        <v>20</v>
      </c>
      <c r="G29" s="217">
        <f>(F29*G4)+E29</f>
        <v>470</v>
      </c>
      <c r="H29" s="217">
        <f>G29*H4</f>
        <v>705</v>
      </c>
      <c r="I29" s="217"/>
      <c r="J29" s="219"/>
    </row>
    <row r="30" spans="1:10" s="37" customFormat="1">
      <c r="A30" s="214">
        <v>20061029</v>
      </c>
      <c r="B30" s="215" t="s">
        <v>669</v>
      </c>
      <c r="C30" s="215" t="s">
        <v>656</v>
      </c>
      <c r="D30" s="216" t="s">
        <v>657</v>
      </c>
      <c r="E30" s="217">
        <v>250</v>
      </c>
      <c r="F30" s="218">
        <v>5</v>
      </c>
      <c r="G30" s="217">
        <f>(F30*G4)+E30</f>
        <v>300</v>
      </c>
      <c r="H30" s="217">
        <f>G30*H4</f>
        <v>450</v>
      </c>
      <c r="I30" s="217"/>
      <c r="J30" s="219"/>
    </row>
    <row r="31" spans="1:10" s="37" customFormat="1" ht="13.5" thickBot="1">
      <c r="A31" s="208"/>
      <c r="B31" s="209"/>
      <c r="C31" s="209"/>
      <c r="D31" s="209"/>
      <c r="E31" s="210"/>
      <c r="F31" s="211"/>
      <c r="G31" s="212"/>
      <c r="H31" s="212"/>
      <c r="I31" s="211"/>
      <c r="J31" s="213"/>
    </row>
  </sheetData>
  <phoneticPr fontId="2" type="noConversion"/>
  <printOptions horizontalCentered="1"/>
  <pageMargins left="0.2" right="0.2" top="0.2" bottom="0.2" header="0" footer="0"/>
  <pageSetup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8"/>
  <sheetViews>
    <sheetView topLeftCell="A2" workbookViewId="0">
      <pane ySplit="510" activePane="bottomLeft"/>
      <selection activeCell="B1" sqref="B1:B65536"/>
      <selection pane="bottomLeft" activeCell="A15" sqref="A15"/>
    </sheetView>
  </sheetViews>
  <sheetFormatPr defaultRowHeight="12.75"/>
  <cols>
    <col min="1" max="1" width="17.85546875" style="161" bestFit="1" customWidth="1"/>
    <col min="2" max="2" width="29.28515625" style="161" bestFit="1" customWidth="1"/>
    <col min="3" max="3" width="7" style="161" bestFit="1" customWidth="1"/>
    <col min="4" max="4" width="9.28515625" style="161" bestFit="1" customWidth="1"/>
    <col min="5" max="5" width="8.85546875" style="161" bestFit="1" customWidth="1"/>
    <col min="6" max="6" width="6.7109375" style="161" bestFit="1" customWidth="1"/>
    <col min="7" max="7" width="5.5703125" style="161" bestFit="1" customWidth="1"/>
    <col min="8" max="9" width="9.85546875" style="161" bestFit="1" customWidth="1"/>
    <col min="10" max="10" width="11" style="161" bestFit="1" customWidth="1"/>
    <col min="11" max="11" width="10.5703125" style="161" bestFit="1" customWidth="1"/>
    <col min="12" max="12" width="24" style="38" bestFit="1" customWidth="1"/>
    <col min="13" max="16384" width="9.140625" style="161"/>
  </cols>
  <sheetData>
    <row r="1" spans="1:12">
      <c r="A1" s="174" t="s">
        <v>261</v>
      </c>
      <c r="B1" s="175" t="s">
        <v>328</v>
      </c>
      <c r="C1" s="175" t="s">
        <v>314</v>
      </c>
      <c r="D1" s="175" t="s">
        <v>595</v>
      </c>
      <c r="E1" s="175" t="s">
        <v>598</v>
      </c>
      <c r="F1" s="175" t="s">
        <v>612</v>
      </c>
      <c r="G1" s="175" t="s">
        <v>289</v>
      </c>
      <c r="H1" s="175" t="s">
        <v>615</v>
      </c>
      <c r="I1" s="175" t="s">
        <v>614</v>
      </c>
      <c r="J1" s="175" t="s">
        <v>616</v>
      </c>
      <c r="K1" s="175" t="s">
        <v>617</v>
      </c>
      <c r="L1" s="176" t="s">
        <v>253</v>
      </c>
    </row>
    <row r="2" spans="1:12">
      <c r="A2" s="177" t="s">
        <v>266</v>
      </c>
      <c r="B2" s="178" t="s">
        <v>628</v>
      </c>
      <c r="C2" s="178" t="s">
        <v>308</v>
      </c>
      <c r="D2" s="178" t="s">
        <v>599</v>
      </c>
      <c r="E2" s="178" t="s">
        <v>603</v>
      </c>
      <c r="F2" s="178" t="s">
        <v>613</v>
      </c>
      <c r="G2" s="178" t="s">
        <v>620</v>
      </c>
      <c r="H2" s="178">
        <v>150</v>
      </c>
      <c r="I2" s="179">
        <v>4</v>
      </c>
      <c r="J2" s="179">
        <f t="shared" ref="J2:J19" si="0">ROUNDUP(I2/H2,2)</f>
        <v>0.03</v>
      </c>
      <c r="K2" s="178" t="s">
        <v>235</v>
      </c>
      <c r="L2" s="180"/>
    </row>
    <row r="3" spans="1:12">
      <c r="A3" s="177" t="s">
        <v>265</v>
      </c>
      <c r="B3" s="178" t="s">
        <v>628</v>
      </c>
      <c r="C3" s="178" t="s">
        <v>308</v>
      </c>
      <c r="D3" s="178" t="s">
        <v>602</v>
      </c>
      <c r="E3" s="178" t="s">
        <v>607</v>
      </c>
      <c r="F3" s="178" t="s">
        <v>613</v>
      </c>
      <c r="G3" s="178" t="s">
        <v>620</v>
      </c>
      <c r="H3" s="178">
        <v>200</v>
      </c>
      <c r="I3" s="179">
        <v>3.85</v>
      </c>
      <c r="J3" s="179">
        <f t="shared" si="0"/>
        <v>0.02</v>
      </c>
      <c r="K3" s="178" t="s">
        <v>235</v>
      </c>
      <c r="L3" s="180"/>
    </row>
    <row r="4" spans="1:12">
      <c r="A4" s="177" t="s">
        <v>263</v>
      </c>
      <c r="B4" s="178" t="s">
        <v>628</v>
      </c>
      <c r="C4" s="178" t="s">
        <v>308</v>
      </c>
      <c r="D4" s="178" t="s">
        <v>601</v>
      </c>
      <c r="E4" s="178" t="s">
        <v>605</v>
      </c>
      <c r="F4" s="178" t="s">
        <v>613</v>
      </c>
      <c r="G4" s="178" t="s">
        <v>620</v>
      </c>
      <c r="H4" s="178">
        <v>200</v>
      </c>
      <c r="I4" s="179">
        <v>4.75</v>
      </c>
      <c r="J4" s="179">
        <f t="shared" si="0"/>
        <v>0.03</v>
      </c>
      <c r="K4" s="178" t="s">
        <v>235</v>
      </c>
      <c r="L4" s="180"/>
    </row>
    <row r="5" spans="1:12">
      <c r="A5" s="177" t="s">
        <v>264</v>
      </c>
      <c r="B5" s="178" t="s">
        <v>628</v>
      </c>
      <c r="C5" s="178" t="s">
        <v>308</v>
      </c>
      <c r="D5" s="178" t="s">
        <v>596</v>
      </c>
      <c r="E5" s="178" t="s">
        <v>606</v>
      </c>
      <c r="F5" s="178" t="s">
        <v>613</v>
      </c>
      <c r="G5" s="178" t="s">
        <v>620</v>
      </c>
      <c r="H5" s="178">
        <v>200</v>
      </c>
      <c r="I5" s="179">
        <v>4.1500000000000004</v>
      </c>
      <c r="J5" s="179">
        <f t="shared" si="0"/>
        <v>0.03</v>
      </c>
      <c r="K5" s="178" t="s">
        <v>235</v>
      </c>
      <c r="L5" s="180"/>
    </row>
    <row r="6" spans="1:12">
      <c r="A6" s="177" t="s">
        <v>262</v>
      </c>
      <c r="B6" s="178" t="s">
        <v>628</v>
      </c>
      <c r="C6" s="178" t="s">
        <v>308</v>
      </c>
      <c r="D6" s="178" t="s">
        <v>600</v>
      </c>
      <c r="E6" s="178" t="s">
        <v>604</v>
      </c>
      <c r="F6" s="178" t="s">
        <v>613</v>
      </c>
      <c r="G6" s="178" t="s">
        <v>620</v>
      </c>
      <c r="H6" s="178">
        <v>150</v>
      </c>
      <c r="I6" s="179">
        <v>3.85</v>
      </c>
      <c r="J6" s="179">
        <f t="shared" si="0"/>
        <v>0.03</v>
      </c>
      <c r="K6" s="178" t="s">
        <v>235</v>
      </c>
      <c r="L6" s="180"/>
    </row>
    <row r="7" spans="1:12">
      <c r="A7" s="177" t="s">
        <v>574</v>
      </c>
      <c r="B7" s="178" t="s">
        <v>628</v>
      </c>
      <c r="C7" s="178" t="s">
        <v>315</v>
      </c>
      <c r="D7" s="178" t="s">
        <v>602</v>
      </c>
      <c r="E7" s="178" t="s">
        <v>607</v>
      </c>
      <c r="F7" s="178" t="s">
        <v>613</v>
      </c>
      <c r="G7" s="178" t="s">
        <v>620</v>
      </c>
      <c r="H7" s="178">
        <v>300</v>
      </c>
      <c r="I7" s="179">
        <v>4.0999999999999996</v>
      </c>
      <c r="J7" s="179">
        <f t="shared" si="0"/>
        <v>0.02</v>
      </c>
      <c r="K7" s="178" t="s">
        <v>235</v>
      </c>
      <c r="L7" s="180"/>
    </row>
    <row r="8" spans="1:12">
      <c r="A8" s="177" t="s">
        <v>588</v>
      </c>
      <c r="B8" s="178" t="s">
        <v>628</v>
      </c>
      <c r="C8" s="178" t="s">
        <v>315</v>
      </c>
      <c r="D8" s="178" t="s">
        <v>597</v>
      </c>
      <c r="E8" s="178" t="s">
        <v>610</v>
      </c>
      <c r="F8" s="178" t="s">
        <v>613</v>
      </c>
      <c r="G8" s="178" t="s">
        <v>620</v>
      </c>
      <c r="H8" s="178">
        <v>400</v>
      </c>
      <c r="I8" s="179">
        <v>5.4</v>
      </c>
      <c r="J8" s="179">
        <f t="shared" si="0"/>
        <v>0.02</v>
      </c>
      <c r="K8" s="178" t="s">
        <v>235</v>
      </c>
      <c r="L8" s="180"/>
    </row>
    <row r="9" spans="1:12">
      <c r="A9" s="177" t="s">
        <v>585</v>
      </c>
      <c r="B9" s="178" t="s">
        <v>628</v>
      </c>
      <c r="C9" s="178" t="s">
        <v>315</v>
      </c>
      <c r="D9" s="178" t="s">
        <v>597</v>
      </c>
      <c r="E9" s="178" t="s">
        <v>604</v>
      </c>
      <c r="F9" s="178" t="s">
        <v>613</v>
      </c>
      <c r="G9" s="178" t="s">
        <v>620</v>
      </c>
      <c r="H9" s="178">
        <v>400</v>
      </c>
      <c r="I9" s="179">
        <v>5.4</v>
      </c>
      <c r="J9" s="179">
        <f t="shared" si="0"/>
        <v>0.02</v>
      </c>
      <c r="K9" s="178" t="s">
        <v>235</v>
      </c>
      <c r="L9" s="180"/>
    </row>
    <row r="10" spans="1:12">
      <c r="A10" s="177" t="s">
        <v>269</v>
      </c>
      <c r="B10" s="178" t="s">
        <v>628</v>
      </c>
      <c r="C10" s="178" t="s">
        <v>315</v>
      </c>
      <c r="D10" s="178" t="s">
        <v>597</v>
      </c>
      <c r="E10" s="178" t="s">
        <v>611</v>
      </c>
      <c r="F10" s="178" t="s">
        <v>613</v>
      </c>
      <c r="G10" s="178" t="s">
        <v>620</v>
      </c>
      <c r="H10" s="178">
        <v>400</v>
      </c>
      <c r="I10" s="179">
        <v>5.4</v>
      </c>
      <c r="J10" s="179">
        <f t="shared" si="0"/>
        <v>0.02</v>
      </c>
      <c r="K10" s="178" t="s">
        <v>235</v>
      </c>
      <c r="L10" s="180"/>
    </row>
    <row r="11" spans="1:12">
      <c r="A11" s="177" t="s">
        <v>267</v>
      </c>
      <c r="B11" s="178" t="s">
        <v>628</v>
      </c>
      <c r="C11" s="178" t="s">
        <v>315</v>
      </c>
      <c r="D11" s="178" t="s">
        <v>601</v>
      </c>
      <c r="E11" s="178" t="s">
        <v>608</v>
      </c>
      <c r="F11" s="178" t="s">
        <v>613</v>
      </c>
      <c r="G11" s="178" t="s">
        <v>620</v>
      </c>
      <c r="H11" s="178">
        <v>300</v>
      </c>
      <c r="I11" s="179">
        <v>5.2</v>
      </c>
      <c r="J11" s="179">
        <f t="shared" si="0"/>
        <v>0.02</v>
      </c>
      <c r="K11" s="178" t="s">
        <v>235</v>
      </c>
      <c r="L11" s="180"/>
    </row>
    <row r="12" spans="1:12">
      <c r="A12" s="177" t="s">
        <v>268</v>
      </c>
      <c r="B12" s="178" t="s">
        <v>628</v>
      </c>
      <c r="C12" s="178" t="s">
        <v>315</v>
      </c>
      <c r="D12" s="178" t="s">
        <v>596</v>
      </c>
      <c r="E12" s="178" t="s">
        <v>609</v>
      </c>
      <c r="F12" s="178" t="s">
        <v>613</v>
      </c>
      <c r="G12" s="178" t="s">
        <v>620</v>
      </c>
      <c r="H12" s="178">
        <v>300</v>
      </c>
      <c r="I12" s="179">
        <v>4.75</v>
      </c>
      <c r="J12" s="179">
        <f t="shared" si="0"/>
        <v>0.02</v>
      </c>
      <c r="K12" s="178" t="s">
        <v>235</v>
      </c>
      <c r="L12" s="180"/>
    </row>
    <row r="13" spans="1:12">
      <c r="A13" s="177" t="s">
        <v>576</v>
      </c>
      <c r="B13" s="178" t="s">
        <v>628</v>
      </c>
      <c r="C13" s="178" t="s">
        <v>315</v>
      </c>
      <c r="D13" s="178" t="s">
        <v>596</v>
      </c>
      <c r="E13" s="178" t="s">
        <v>607</v>
      </c>
      <c r="F13" s="178" t="s">
        <v>613</v>
      </c>
      <c r="G13" s="178" t="s">
        <v>620</v>
      </c>
      <c r="H13" s="178">
        <v>300</v>
      </c>
      <c r="I13" s="179">
        <v>4.75</v>
      </c>
      <c r="J13" s="179">
        <f t="shared" si="0"/>
        <v>0.02</v>
      </c>
      <c r="K13" s="178" t="s">
        <v>235</v>
      </c>
      <c r="L13" s="180"/>
    </row>
    <row r="14" spans="1:12">
      <c r="A14" s="177" t="s">
        <v>270</v>
      </c>
      <c r="B14" s="178" t="s">
        <v>628</v>
      </c>
      <c r="C14" s="178" t="s">
        <v>316</v>
      </c>
      <c r="D14" s="178" t="s">
        <v>602</v>
      </c>
      <c r="E14" s="178" t="s">
        <v>606</v>
      </c>
      <c r="F14" s="178" t="s">
        <v>613</v>
      </c>
      <c r="G14" s="178" t="s">
        <v>620</v>
      </c>
      <c r="H14" s="178">
        <v>500</v>
      </c>
      <c r="I14" s="179">
        <v>3.8</v>
      </c>
      <c r="J14" s="179">
        <f t="shared" si="0"/>
        <v>0.01</v>
      </c>
      <c r="K14" s="178" t="s">
        <v>235</v>
      </c>
      <c r="L14" s="180"/>
    </row>
    <row r="15" spans="1:12">
      <c r="A15" s="177" t="s">
        <v>271</v>
      </c>
      <c r="B15" s="178" t="s">
        <v>628</v>
      </c>
      <c r="C15" s="178" t="s">
        <v>316</v>
      </c>
      <c r="D15" s="178" t="s">
        <v>597</v>
      </c>
      <c r="E15" s="178" t="s">
        <v>605</v>
      </c>
      <c r="F15" s="178" t="s">
        <v>613</v>
      </c>
      <c r="G15" s="178" t="s">
        <v>620</v>
      </c>
      <c r="H15" s="178">
        <v>500</v>
      </c>
      <c r="I15" s="179">
        <v>3.65</v>
      </c>
      <c r="J15" s="179">
        <f t="shared" si="0"/>
        <v>0.01</v>
      </c>
      <c r="K15" s="178" t="s">
        <v>235</v>
      </c>
      <c r="L15" s="180"/>
    </row>
    <row r="16" spans="1:12">
      <c r="A16" s="177" t="s">
        <v>582</v>
      </c>
      <c r="B16" s="178" t="s">
        <v>628</v>
      </c>
      <c r="C16" s="178" t="s">
        <v>316</v>
      </c>
      <c r="D16" s="178" t="s">
        <v>618</v>
      </c>
      <c r="E16" s="178" t="s">
        <v>603</v>
      </c>
      <c r="F16" s="178" t="s">
        <v>619</v>
      </c>
      <c r="G16" s="178" t="s">
        <v>620</v>
      </c>
      <c r="H16" s="178">
        <v>500</v>
      </c>
      <c r="I16" s="179">
        <v>5.05</v>
      </c>
      <c r="J16" s="179">
        <f t="shared" si="0"/>
        <v>0.02</v>
      </c>
      <c r="K16" s="178" t="s">
        <v>235</v>
      </c>
      <c r="L16" s="180"/>
    </row>
    <row r="17" spans="1:12">
      <c r="A17" s="177" t="s">
        <v>577</v>
      </c>
      <c r="B17" s="178" t="s">
        <v>627</v>
      </c>
      <c r="C17" s="178" t="s">
        <v>315</v>
      </c>
      <c r="D17" s="178" t="s">
        <v>597</v>
      </c>
      <c r="E17" s="178"/>
      <c r="F17" s="178" t="s">
        <v>613</v>
      </c>
      <c r="G17" s="178" t="s">
        <v>620</v>
      </c>
      <c r="H17" s="178">
        <v>750</v>
      </c>
      <c r="I17" s="179">
        <v>3.45</v>
      </c>
      <c r="J17" s="179">
        <f t="shared" si="0"/>
        <v>0.01</v>
      </c>
      <c r="K17" s="178" t="s">
        <v>235</v>
      </c>
      <c r="L17" s="180"/>
    </row>
    <row r="18" spans="1:12">
      <c r="A18" s="177" t="s">
        <v>575</v>
      </c>
      <c r="B18" s="178" t="s">
        <v>627</v>
      </c>
      <c r="C18" s="178" t="s">
        <v>315</v>
      </c>
      <c r="D18" s="178" t="s">
        <v>596</v>
      </c>
      <c r="E18" s="178"/>
      <c r="F18" s="178" t="s">
        <v>613</v>
      </c>
      <c r="G18" s="178" t="s">
        <v>620</v>
      </c>
      <c r="H18" s="178">
        <v>750</v>
      </c>
      <c r="I18" s="179">
        <v>4.25</v>
      </c>
      <c r="J18" s="179">
        <f t="shared" si="0"/>
        <v>0.01</v>
      </c>
      <c r="K18" s="178" t="s">
        <v>235</v>
      </c>
      <c r="L18" s="180"/>
    </row>
    <row r="19" spans="1:12">
      <c r="A19" s="177" t="s">
        <v>587</v>
      </c>
      <c r="B19" s="178" t="s">
        <v>627</v>
      </c>
      <c r="C19" s="178" t="s">
        <v>316</v>
      </c>
      <c r="D19" s="178" t="s">
        <v>597</v>
      </c>
      <c r="E19" s="178"/>
      <c r="F19" s="178" t="s">
        <v>613</v>
      </c>
      <c r="G19" s="178" t="s">
        <v>620</v>
      </c>
      <c r="H19" s="178">
        <v>1000</v>
      </c>
      <c r="I19" s="179">
        <v>3.9</v>
      </c>
      <c r="J19" s="179">
        <f t="shared" si="0"/>
        <v>0.01</v>
      </c>
      <c r="K19" s="178" t="s">
        <v>235</v>
      </c>
      <c r="L19" s="180"/>
    </row>
    <row r="20" spans="1:12">
      <c r="A20" s="177" t="s">
        <v>594</v>
      </c>
      <c r="B20" s="178" t="s">
        <v>630</v>
      </c>
      <c r="C20" s="178" t="s">
        <v>315</v>
      </c>
      <c r="D20" s="178" t="s">
        <v>597</v>
      </c>
      <c r="E20" s="178"/>
      <c r="F20" s="178" t="s">
        <v>613</v>
      </c>
      <c r="G20" s="178" t="s">
        <v>620</v>
      </c>
      <c r="H20" s="178">
        <v>250</v>
      </c>
      <c r="I20" s="179">
        <v>3.65</v>
      </c>
      <c r="J20" s="179">
        <f>I20/H20</f>
        <v>1.46E-2</v>
      </c>
      <c r="K20" s="178" t="s">
        <v>235</v>
      </c>
      <c r="L20" s="180"/>
    </row>
    <row r="21" spans="1:12">
      <c r="A21" s="177" t="s">
        <v>641</v>
      </c>
      <c r="B21" s="178" t="s">
        <v>640</v>
      </c>
      <c r="C21" s="178" t="s">
        <v>317</v>
      </c>
      <c r="D21" s="178" t="s">
        <v>602</v>
      </c>
      <c r="E21" s="178"/>
      <c r="F21" s="178" t="s">
        <v>619</v>
      </c>
      <c r="G21" s="178" t="s">
        <v>272</v>
      </c>
      <c r="H21" s="178">
        <v>165</v>
      </c>
      <c r="I21" s="179">
        <v>1.35</v>
      </c>
      <c r="J21" s="179">
        <f t="shared" ref="J21:J28" si="1">ROUNDUP(I21/H21,2)</f>
        <v>0.01</v>
      </c>
      <c r="K21" s="178" t="s">
        <v>235</v>
      </c>
      <c r="L21" s="180"/>
    </row>
    <row r="22" spans="1:12">
      <c r="A22" s="177" t="s">
        <v>639</v>
      </c>
      <c r="B22" s="178" t="s">
        <v>640</v>
      </c>
      <c r="C22" s="178" t="s">
        <v>317</v>
      </c>
      <c r="D22" s="178" t="s">
        <v>622</v>
      </c>
      <c r="E22" s="178"/>
      <c r="F22" s="178" t="s">
        <v>619</v>
      </c>
      <c r="G22" s="178" t="s">
        <v>272</v>
      </c>
      <c r="H22" s="178">
        <v>310</v>
      </c>
      <c r="I22" s="179">
        <v>1.8</v>
      </c>
      <c r="J22" s="179">
        <f t="shared" si="1"/>
        <v>0.01</v>
      </c>
      <c r="K22" s="178" t="s">
        <v>235</v>
      </c>
      <c r="L22" s="180"/>
    </row>
    <row r="23" spans="1:12">
      <c r="A23" s="177" t="s">
        <v>578</v>
      </c>
      <c r="B23" s="178" t="s">
        <v>631</v>
      </c>
      <c r="C23" s="178" t="s">
        <v>315</v>
      </c>
      <c r="D23" s="178" t="s">
        <v>596</v>
      </c>
      <c r="E23" s="178" t="s">
        <v>610</v>
      </c>
      <c r="F23" s="178" t="s">
        <v>626</v>
      </c>
      <c r="G23" s="178" t="s">
        <v>620</v>
      </c>
      <c r="H23" s="178">
        <v>300</v>
      </c>
      <c r="I23" s="179">
        <v>2.75</v>
      </c>
      <c r="J23" s="179">
        <f t="shared" si="1"/>
        <v>0.01</v>
      </c>
      <c r="K23" s="178" t="s">
        <v>235</v>
      </c>
      <c r="L23" s="180"/>
    </row>
    <row r="24" spans="1:12">
      <c r="A24" s="177" t="s">
        <v>580</v>
      </c>
      <c r="B24" s="178" t="s">
        <v>631</v>
      </c>
      <c r="C24" s="178" t="s">
        <v>315</v>
      </c>
      <c r="D24" s="178" t="s">
        <v>596</v>
      </c>
      <c r="E24" s="178" t="s">
        <v>608</v>
      </c>
      <c r="F24" s="178" t="s">
        <v>626</v>
      </c>
      <c r="G24" s="178" t="s">
        <v>620</v>
      </c>
      <c r="H24" s="178">
        <v>300</v>
      </c>
      <c r="I24" s="179">
        <v>4.3499999999999996</v>
      </c>
      <c r="J24" s="179">
        <f t="shared" si="1"/>
        <v>0.02</v>
      </c>
      <c r="K24" s="178" t="s">
        <v>235</v>
      </c>
      <c r="L24" s="180"/>
    </row>
    <row r="25" spans="1:12">
      <c r="A25" s="177" t="s">
        <v>579</v>
      </c>
      <c r="B25" s="178" t="s">
        <v>631</v>
      </c>
      <c r="C25" s="178" t="s">
        <v>316</v>
      </c>
      <c r="D25" s="178" t="s">
        <v>597</v>
      </c>
      <c r="E25" s="178" t="s">
        <v>610</v>
      </c>
      <c r="F25" s="178" t="s">
        <v>626</v>
      </c>
      <c r="G25" s="178" t="s">
        <v>620</v>
      </c>
      <c r="H25" s="178">
        <v>400</v>
      </c>
      <c r="I25" s="179">
        <v>4</v>
      </c>
      <c r="J25" s="179">
        <f t="shared" si="1"/>
        <v>0.01</v>
      </c>
      <c r="K25" s="178" t="s">
        <v>235</v>
      </c>
      <c r="L25" s="180"/>
    </row>
    <row r="26" spans="1:12">
      <c r="A26" s="177" t="s">
        <v>584</v>
      </c>
      <c r="B26" s="178" t="s">
        <v>631</v>
      </c>
      <c r="C26" s="178" t="s">
        <v>316</v>
      </c>
      <c r="D26" s="178" t="s">
        <v>597</v>
      </c>
      <c r="E26" s="178" t="s">
        <v>624</v>
      </c>
      <c r="F26" s="178" t="s">
        <v>626</v>
      </c>
      <c r="G26" s="178" t="s">
        <v>620</v>
      </c>
      <c r="H26" s="178">
        <v>400</v>
      </c>
      <c r="I26" s="179">
        <v>5.65</v>
      </c>
      <c r="J26" s="179">
        <f t="shared" si="1"/>
        <v>0.02</v>
      </c>
      <c r="K26" s="178" t="s">
        <v>235</v>
      </c>
      <c r="L26" s="180"/>
    </row>
    <row r="27" spans="1:12">
      <c r="A27" s="177" t="s">
        <v>583</v>
      </c>
      <c r="B27" s="178" t="s">
        <v>631</v>
      </c>
      <c r="C27" s="178" t="s">
        <v>316</v>
      </c>
      <c r="D27" s="178" t="s">
        <v>597</v>
      </c>
      <c r="E27" s="178" t="s">
        <v>604</v>
      </c>
      <c r="F27" s="178" t="s">
        <v>626</v>
      </c>
      <c r="G27" s="178" t="s">
        <v>620</v>
      </c>
      <c r="H27" s="178">
        <v>400</v>
      </c>
      <c r="I27" s="179">
        <v>5.65</v>
      </c>
      <c r="J27" s="179">
        <f t="shared" si="1"/>
        <v>0.02</v>
      </c>
      <c r="K27" s="178" t="s">
        <v>235</v>
      </c>
      <c r="L27" s="180"/>
    </row>
    <row r="28" spans="1:12">
      <c r="A28" s="177" t="s">
        <v>581</v>
      </c>
      <c r="B28" s="178" t="s">
        <v>632</v>
      </c>
      <c r="C28" s="178" t="s">
        <v>315</v>
      </c>
      <c r="D28" s="178" t="s">
        <v>596</v>
      </c>
      <c r="E28" s="178" t="s">
        <v>605</v>
      </c>
      <c r="F28" s="178" t="s">
        <v>626</v>
      </c>
      <c r="G28" s="178" t="s">
        <v>272</v>
      </c>
      <c r="H28" s="178">
        <v>277</v>
      </c>
      <c r="I28" s="179">
        <v>20.7</v>
      </c>
      <c r="J28" s="179">
        <f t="shared" si="1"/>
        <v>0.08</v>
      </c>
      <c r="K28" s="178" t="s">
        <v>235</v>
      </c>
      <c r="L28" s="180"/>
    </row>
    <row r="29" spans="1:12">
      <c r="A29" s="177" t="s">
        <v>623</v>
      </c>
      <c r="B29" s="178" t="s">
        <v>629</v>
      </c>
      <c r="C29" s="178" t="s">
        <v>258</v>
      </c>
      <c r="D29" s="178" t="s">
        <v>622</v>
      </c>
      <c r="E29" s="178" t="s">
        <v>135</v>
      </c>
      <c r="F29" s="178" t="s">
        <v>621</v>
      </c>
      <c r="G29" s="178" t="s">
        <v>272</v>
      </c>
      <c r="H29" s="178">
        <v>500</v>
      </c>
      <c r="I29" s="179">
        <v>24.5</v>
      </c>
      <c r="J29" s="179">
        <f t="shared" ref="J29:J37" si="2">I29/H29</f>
        <v>4.9000000000000002E-2</v>
      </c>
      <c r="K29" s="178" t="s">
        <v>235</v>
      </c>
      <c r="L29" s="180"/>
    </row>
    <row r="30" spans="1:12">
      <c r="A30" s="177" t="s">
        <v>593</v>
      </c>
      <c r="B30" s="178" t="s">
        <v>635</v>
      </c>
      <c r="C30" s="178"/>
      <c r="D30" s="178"/>
      <c r="E30" s="178"/>
      <c r="F30" s="178" t="s">
        <v>626</v>
      </c>
      <c r="G30" s="178" t="s">
        <v>590</v>
      </c>
      <c r="H30" s="178">
        <v>1</v>
      </c>
      <c r="I30" s="179">
        <v>5</v>
      </c>
      <c r="J30" s="179">
        <f t="shared" si="2"/>
        <v>5</v>
      </c>
      <c r="K30" s="178" t="s">
        <v>589</v>
      </c>
      <c r="L30" s="180"/>
    </row>
    <row r="31" spans="1:12">
      <c r="A31" s="177" t="s">
        <v>592</v>
      </c>
      <c r="B31" s="178" t="s">
        <v>635</v>
      </c>
      <c r="C31" s="178"/>
      <c r="D31" s="178"/>
      <c r="E31" s="178"/>
      <c r="F31" s="178" t="s">
        <v>626</v>
      </c>
      <c r="G31" s="178" t="s">
        <v>590</v>
      </c>
      <c r="H31" s="178">
        <v>1</v>
      </c>
      <c r="I31" s="179">
        <v>4</v>
      </c>
      <c r="J31" s="179">
        <f t="shared" si="2"/>
        <v>4</v>
      </c>
      <c r="K31" s="178" t="s">
        <v>589</v>
      </c>
      <c r="L31" s="180"/>
    </row>
    <row r="32" spans="1:12">
      <c r="A32" s="177" t="s">
        <v>591</v>
      </c>
      <c r="B32" s="178" t="s">
        <v>635</v>
      </c>
      <c r="C32" s="178"/>
      <c r="D32" s="178"/>
      <c r="E32" s="178"/>
      <c r="F32" s="178" t="s">
        <v>626</v>
      </c>
      <c r="G32" s="178" t="s">
        <v>590</v>
      </c>
      <c r="H32" s="178">
        <v>1</v>
      </c>
      <c r="I32" s="179">
        <v>3</v>
      </c>
      <c r="J32" s="179">
        <f t="shared" si="2"/>
        <v>3</v>
      </c>
      <c r="K32" s="178" t="s">
        <v>589</v>
      </c>
      <c r="L32" s="180"/>
    </row>
    <row r="33" spans="1:12">
      <c r="A33" s="177" t="s">
        <v>409</v>
      </c>
      <c r="B33" s="178" t="s">
        <v>633</v>
      </c>
      <c r="C33" s="178" t="s">
        <v>258</v>
      </c>
      <c r="D33" s="178" t="s">
        <v>625</v>
      </c>
      <c r="E33" s="178"/>
      <c r="F33" s="178" t="s">
        <v>619</v>
      </c>
      <c r="G33" s="178" t="s">
        <v>272</v>
      </c>
      <c r="H33" s="178">
        <v>532</v>
      </c>
      <c r="I33" s="179">
        <v>61.85</v>
      </c>
      <c r="J33" s="179">
        <f t="shared" si="2"/>
        <v>0.1162593984962406</v>
      </c>
      <c r="K33" s="178" t="s">
        <v>235</v>
      </c>
      <c r="L33" s="180" t="s">
        <v>482</v>
      </c>
    </row>
    <row r="34" spans="1:12">
      <c r="A34" s="177" t="s">
        <v>586</v>
      </c>
      <c r="B34" s="178" t="s">
        <v>636</v>
      </c>
      <c r="C34" s="178" t="s">
        <v>315</v>
      </c>
      <c r="D34" s="181" t="s">
        <v>597</v>
      </c>
      <c r="E34" s="178"/>
      <c r="F34" s="178" t="s">
        <v>613</v>
      </c>
      <c r="G34" s="178" t="s">
        <v>620</v>
      </c>
      <c r="H34" s="178">
        <v>400</v>
      </c>
      <c r="I34" s="179">
        <v>3.6</v>
      </c>
      <c r="J34" s="179">
        <f t="shared" si="2"/>
        <v>9.0000000000000011E-3</v>
      </c>
      <c r="K34" s="178" t="s">
        <v>235</v>
      </c>
      <c r="L34" s="180"/>
    </row>
    <row r="35" spans="1:12">
      <c r="A35" s="177" t="s">
        <v>405</v>
      </c>
      <c r="B35" s="178" t="s">
        <v>634</v>
      </c>
      <c r="C35" s="178" t="s">
        <v>315</v>
      </c>
      <c r="D35" s="178" t="s">
        <v>596</v>
      </c>
      <c r="E35" s="178"/>
      <c r="F35" s="178" t="s">
        <v>619</v>
      </c>
      <c r="G35" s="178" t="s">
        <v>272</v>
      </c>
      <c r="H35" s="178">
        <v>46</v>
      </c>
      <c r="I35" s="179">
        <v>53.75</v>
      </c>
      <c r="J35" s="179">
        <f t="shared" si="2"/>
        <v>1.1684782608695652</v>
      </c>
      <c r="K35" s="178" t="s">
        <v>235</v>
      </c>
      <c r="L35" s="180" t="s">
        <v>480</v>
      </c>
    </row>
    <row r="36" spans="1:12">
      <c r="A36" s="177" t="s">
        <v>407</v>
      </c>
      <c r="B36" s="178" t="s">
        <v>634</v>
      </c>
      <c r="C36" s="178" t="s">
        <v>258</v>
      </c>
      <c r="D36" s="178" t="s">
        <v>597</v>
      </c>
      <c r="E36" s="178"/>
      <c r="F36" s="178" t="s">
        <v>619</v>
      </c>
      <c r="G36" s="178" t="s">
        <v>272</v>
      </c>
      <c r="H36" s="178">
        <v>298</v>
      </c>
      <c r="I36" s="179">
        <v>54.4</v>
      </c>
      <c r="J36" s="179">
        <f t="shared" si="2"/>
        <v>0.18255033557046979</v>
      </c>
      <c r="K36" s="178" t="s">
        <v>235</v>
      </c>
      <c r="L36" s="180" t="s">
        <v>481</v>
      </c>
    </row>
    <row r="37" spans="1:12">
      <c r="A37" s="177" t="s">
        <v>406</v>
      </c>
      <c r="B37" s="178" t="s">
        <v>634</v>
      </c>
      <c r="C37" s="178" t="s">
        <v>258</v>
      </c>
      <c r="D37" s="178" t="s">
        <v>625</v>
      </c>
      <c r="E37" s="178"/>
      <c r="F37" s="178" t="s">
        <v>619</v>
      </c>
      <c r="G37" s="178" t="s">
        <v>272</v>
      </c>
      <c r="H37" s="178">
        <v>532</v>
      </c>
      <c r="I37" s="179">
        <v>55.25</v>
      </c>
      <c r="J37" s="179">
        <f t="shared" si="2"/>
        <v>0.10385338345864661</v>
      </c>
      <c r="K37" s="178" t="s">
        <v>235</v>
      </c>
      <c r="L37" s="180" t="s">
        <v>482</v>
      </c>
    </row>
    <row r="38" spans="1:12" ht="13.5" thickBot="1">
      <c r="A38" s="182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4"/>
    </row>
  </sheetData>
  <sortState ref="A2:M38">
    <sortCondition ref="C2:C38"/>
    <sortCondition ref="D2:D38"/>
    <sortCondition ref="F2:F38"/>
    <sortCondition ref="E2:E38"/>
  </sortState>
  <phoneticPr fontId="2" type="noConversion"/>
  <printOptions horizontalCentered="1"/>
  <pageMargins left="0.2" right="0.2" top="0.2" bottom="0.2" header="0" footer="0"/>
  <pageSetup scale="5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7"/>
  <sheetViews>
    <sheetView workbookViewId="0">
      <pane ySplit="1245" topLeftCell="A4"/>
      <selection sqref="A1:C1"/>
      <selection pane="bottomLeft" activeCell="C27" sqref="A1:C27"/>
    </sheetView>
  </sheetViews>
  <sheetFormatPr defaultRowHeight="12.75"/>
  <cols>
    <col min="1" max="1" width="34.5703125" bestFit="1" customWidth="1"/>
    <col min="2" max="2" width="41.28515625" bestFit="1" customWidth="1"/>
    <col min="3" max="3" width="50.7109375" customWidth="1"/>
  </cols>
  <sheetData>
    <row r="1" spans="1:3" s="55" customFormat="1" ht="18">
      <c r="A1" s="312" t="s">
        <v>46</v>
      </c>
      <c r="B1" s="312"/>
      <c r="C1" s="312"/>
    </row>
    <row r="2" spans="1:3" s="55" customFormat="1" ht="18.75" thickBot="1">
      <c r="A2" s="41"/>
      <c r="B2" s="41"/>
      <c r="C2" s="41"/>
    </row>
    <row r="3" spans="1:3">
      <c r="A3" s="27" t="s">
        <v>237</v>
      </c>
      <c r="B3" s="28" t="s">
        <v>238</v>
      </c>
      <c r="C3" s="29" t="s">
        <v>239</v>
      </c>
    </row>
    <row r="4" spans="1:3">
      <c r="A4" s="309" t="s">
        <v>240</v>
      </c>
      <c r="B4" s="310"/>
      <c r="C4" s="311"/>
    </row>
    <row r="5" spans="1:3">
      <c r="A5" s="30" t="s">
        <v>245</v>
      </c>
      <c r="B5" s="12" t="s">
        <v>244</v>
      </c>
      <c r="C5" s="31"/>
    </row>
    <row r="6" spans="1:3">
      <c r="A6" s="30" t="s">
        <v>293</v>
      </c>
      <c r="B6" s="12" t="s">
        <v>292</v>
      </c>
      <c r="C6" s="31"/>
    </row>
    <row r="7" spans="1:3">
      <c r="A7" s="30"/>
      <c r="B7" s="11"/>
      <c r="C7" s="31"/>
    </row>
    <row r="8" spans="1:3">
      <c r="A8" s="309" t="s">
        <v>241</v>
      </c>
      <c r="B8" s="310"/>
      <c r="C8" s="311"/>
    </row>
    <row r="9" spans="1:3">
      <c r="A9" s="32" t="s">
        <v>242</v>
      </c>
      <c r="B9" s="12" t="s">
        <v>243</v>
      </c>
      <c r="C9" s="31" t="s">
        <v>32</v>
      </c>
    </row>
    <row r="10" spans="1:3">
      <c r="A10" s="32" t="s">
        <v>3</v>
      </c>
      <c r="B10" s="12" t="s">
        <v>4</v>
      </c>
      <c r="C10" s="31" t="s">
        <v>31</v>
      </c>
    </row>
    <row r="11" spans="1:3">
      <c r="A11" s="33"/>
      <c r="B11" s="11"/>
      <c r="C11" s="31"/>
    </row>
    <row r="12" spans="1:3">
      <c r="A12" s="309" t="s">
        <v>5</v>
      </c>
      <c r="B12" s="310"/>
      <c r="C12" s="311"/>
    </row>
    <row r="13" spans="1:3">
      <c r="A13" s="30" t="s">
        <v>7</v>
      </c>
      <c r="B13" s="12" t="s">
        <v>6</v>
      </c>
      <c r="C13" s="31"/>
    </row>
    <row r="14" spans="1:3">
      <c r="A14" s="30" t="s">
        <v>9</v>
      </c>
      <c r="B14" s="12" t="s">
        <v>8</v>
      </c>
      <c r="C14" s="31"/>
    </row>
    <row r="15" spans="1:3">
      <c r="A15" s="32" t="s">
        <v>242</v>
      </c>
      <c r="B15" s="12" t="s">
        <v>19</v>
      </c>
      <c r="C15" s="31"/>
    </row>
    <row r="16" spans="1:3">
      <c r="A16" s="30" t="s">
        <v>10</v>
      </c>
      <c r="B16" s="12" t="s">
        <v>20</v>
      </c>
      <c r="C16" s="31"/>
    </row>
    <row r="17" spans="1:3">
      <c r="A17" s="30" t="s">
        <v>11</v>
      </c>
      <c r="B17" s="12" t="s">
        <v>21</v>
      </c>
      <c r="C17" s="31"/>
    </row>
    <row r="18" spans="1:3">
      <c r="A18" s="30" t="s">
        <v>12</v>
      </c>
      <c r="B18" s="12" t="s">
        <v>22</v>
      </c>
      <c r="C18" s="31"/>
    </row>
    <row r="19" spans="1:3">
      <c r="A19" s="30" t="s">
        <v>236</v>
      </c>
      <c r="B19" s="12" t="s">
        <v>23</v>
      </c>
      <c r="C19" s="31"/>
    </row>
    <row r="20" spans="1:3">
      <c r="A20" s="30" t="s">
        <v>13</v>
      </c>
      <c r="B20" s="12" t="s">
        <v>24</v>
      </c>
      <c r="C20" s="31"/>
    </row>
    <row r="21" spans="1:3">
      <c r="A21" s="30" t="s">
        <v>14</v>
      </c>
      <c r="B21" s="12" t="s">
        <v>26</v>
      </c>
      <c r="C21" s="31"/>
    </row>
    <row r="22" spans="1:3">
      <c r="A22" s="30" t="s">
        <v>15</v>
      </c>
      <c r="B22" s="12" t="s">
        <v>25</v>
      </c>
      <c r="C22" s="31"/>
    </row>
    <row r="23" spans="1:3">
      <c r="A23" s="30" t="s">
        <v>235</v>
      </c>
      <c r="B23" s="12" t="s">
        <v>27</v>
      </c>
      <c r="C23" s="31"/>
    </row>
    <row r="24" spans="1:3">
      <c r="A24" s="30" t="s">
        <v>16</v>
      </c>
      <c r="B24" s="12" t="s">
        <v>28</v>
      </c>
      <c r="C24" s="31"/>
    </row>
    <row r="25" spans="1:3">
      <c r="A25" s="30" t="s">
        <v>17</v>
      </c>
      <c r="B25" s="12" t="s">
        <v>29</v>
      </c>
      <c r="C25" s="31"/>
    </row>
    <row r="26" spans="1:3">
      <c r="A26" s="30" t="s">
        <v>18</v>
      </c>
      <c r="B26" s="12" t="s">
        <v>30</v>
      </c>
      <c r="C26" s="31"/>
    </row>
    <row r="27" spans="1:3" ht="13.5" thickBot="1">
      <c r="A27" s="34"/>
      <c r="B27" s="35"/>
      <c r="C27" s="36"/>
    </row>
  </sheetData>
  <mergeCells count="4">
    <mergeCell ref="A4:C4"/>
    <mergeCell ref="A8:C8"/>
    <mergeCell ref="A12:C12"/>
    <mergeCell ref="A1:C1"/>
  </mergeCells>
  <phoneticPr fontId="2" type="noConversion"/>
  <hyperlinks>
    <hyperlink ref="B22" r:id="rId1"/>
    <hyperlink ref="B23" r:id="rId2"/>
    <hyperlink ref="B24" r:id="rId3"/>
    <hyperlink ref="B25" r:id="rId4"/>
    <hyperlink ref="B26" r:id="rId5"/>
    <hyperlink ref="B21" r:id="rId6"/>
    <hyperlink ref="B13" r:id="rId7"/>
    <hyperlink ref="B14" r:id="rId8"/>
    <hyperlink ref="B15" r:id="rId9"/>
    <hyperlink ref="B16" r:id="rId10"/>
    <hyperlink ref="B17" r:id="rId11"/>
    <hyperlink ref="B18" r:id="rId12"/>
    <hyperlink ref="B19" r:id="rId13"/>
    <hyperlink ref="B20" r:id="rId14"/>
    <hyperlink ref="B10" r:id="rId15"/>
    <hyperlink ref="B9" r:id="rId16"/>
    <hyperlink ref="B5" r:id="rId17"/>
  </hyperlinks>
  <printOptions horizontalCentered="1"/>
  <pageMargins left="0.2" right="0.2" top="0.2" bottom="0.2" header="0" footer="0"/>
  <pageSetup scale="83" orientation="portrait" r:id="rId18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67"/>
  <sheetViews>
    <sheetView topLeftCell="A49" workbookViewId="0">
      <selection activeCell="A99" sqref="A99"/>
    </sheetView>
  </sheetViews>
  <sheetFormatPr defaultRowHeight="12.75"/>
  <cols>
    <col min="1" max="1" width="75.7109375" style="58" customWidth="1"/>
    <col min="2" max="4" width="12.7109375" style="58" customWidth="1"/>
    <col min="5" max="16384" width="9.140625" style="58"/>
  </cols>
  <sheetData>
    <row r="1" spans="1:8" ht="14.25">
      <c r="A1" s="313" t="s">
        <v>572</v>
      </c>
      <c r="B1" s="314"/>
      <c r="C1" s="314"/>
      <c r="D1" s="315"/>
    </row>
    <row r="2" spans="1:8">
      <c r="A2" s="64" t="s">
        <v>399</v>
      </c>
      <c r="B2" s="65" t="s">
        <v>400</v>
      </c>
      <c r="C2" s="65" t="s">
        <v>401</v>
      </c>
      <c r="D2" s="66" t="s">
        <v>402</v>
      </c>
    </row>
    <row r="3" spans="1:8" ht="26.25" thickBot="1">
      <c r="A3" s="67" t="s">
        <v>550</v>
      </c>
      <c r="B3" s="68">
        <v>0.25</v>
      </c>
      <c r="C3" s="73">
        <v>50</v>
      </c>
      <c r="D3" s="71">
        <v>12.5</v>
      </c>
    </row>
    <row r="4" spans="1:8">
      <c r="A4" s="316"/>
      <c r="B4" s="319" t="s">
        <v>403</v>
      </c>
      <c r="C4" s="320"/>
      <c r="D4" s="71">
        <v>12.5</v>
      </c>
      <c r="F4" s="329" t="s">
        <v>476</v>
      </c>
      <c r="G4" s="330"/>
      <c r="H4" s="77">
        <f>SUM(D57,D47,D39,D29,D4,D72,D82,D116,D138,D147,D165)</f>
        <v>1400.17</v>
      </c>
    </row>
    <row r="5" spans="1:8">
      <c r="A5" s="317"/>
      <c r="B5" s="319" t="s">
        <v>404</v>
      </c>
      <c r="C5" s="320"/>
      <c r="D5" s="71">
        <v>4.95</v>
      </c>
      <c r="F5" s="331" t="s">
        <v>477</v>
      </c>
      <c r="G5" s="323"/>
      <c r="H5" s="71">
        <f>SUM(D73,D83,D117,D139,D148,D166,D5,D30,D48,D58)</f>
        <v>122.31</v>
      </c>
    </row>
    <row r="6" spans="1:8" ht="13.5" thickBot="1">
      <c r="A6" s="318"/>
      <c r="B6" s="321" t="s">
        <v>402</v>
      </c>
      <c r="C6" s="322"/>
      <c r="D6" s="72">
        <v>17.45</v>
      </c>
      <c r="F6" s="331" t="s">
        <v>479</v>
      </c>
      <c r="G6" s="323"/>
      <c r="H6" s="78">
        <f>SUM(D84)</f>
        <v>-75</v>
      </c>
    </row>
    <row r="7" spans="1:8" ht="13.5" thickBot="1">
      <c r="A7" s="69"/>
      <c r="B7" s="69"/>
      <c r="C7" s="69"/>
      <c r="D7" s="70"/>
      <c r="F7" s="332" t="s">
        <v>478</v>
      </c>
      <c r="G7" s="324"/>
      <c r="H7" s="72">
        <f>SUM(D74,D85,D118,D140,D149,D167,D6,D31,D41,D49,D59)</f>
        <v>1459.8400000000001</v>
      </c>
    </row>
    <row r="8" spans="1:8" ht="13.5" thickBot="1">
      <c r="A8" s="57"/>
      <c r="B8" s="57"/>
      <c r="C8" s="57"/>
      <c r="D8" s="57"/>
    </row>
    <row r="9" spans="1:8" ht="14.25">
      <c r="A9" s="313" t="s">
        <v>553</v>
      </c>
      <c r="B9" s="314"/>
      <c r="C9" s="314"/>
      <c r="D9" s="315"/>
    </row>
    <row r="10" spans="1:8">
      <c r="A10" s="64" t="s">
        <v>399</v>
      </c>
      <c r="B10" s="65" t="s">
        <v>400</v>
      </c>
      <c r="C10" s="65" t="s">
        <v>401</v>
      </c>
      <c r="D10" s="66" t="s">
        <v>402</v>
      </c>
    </row>
    <row r="11" spans="1:8" ht="25.5">
      <c r="A11" s="67" t="s">
        <v>554</v>
      </c>
      <c r="B11" s="68">
        <v>5</v>
      </c>
      <c r="C11" s="73">
        <v>18.18</v>
      </c>
      <c r="D11" s="71">
        <v>90.9</v>
      </c>
    </row>
    <row r="12" spans="1:8" ht="25.5">
      <c r="A12" s="67" t="s">
        <v>555</v>
      </c>
      <c r="B12" s="68">
        <v>10</v>
      </c>
      <c r="C12" s="73">
        <v>17.170000000000002</v>
      </c>
      <c r="D12" s="71">
        <v>171.7</v>
      </c>
    </row>
    <row r="13" spans="1:8" ht="25.5">
      <c r="A13" s="67" t="s">
        <v>556</v>
      </c>
      <c r="B13" s="68">
        <v>3</v>
      </c>
      <c r="C13" s="73">
        <v>18.86</v>
      </c>
      <c r="D13" s="71">
        <v>56.58</v>
      </c>
    </row>
    <row r="14" spans="1:8" ht="25.5">
      <c r="A14" s="67" t="s">
        <v>557</v>
      </c>
      <c r="B14" s="68">
        <v>1</v>
      </c>
      <c r="C14" s="73">
        <v>30.55</v>
      </c>
      <c r="D14" s="71">
        <v>30.55</v>
      </c>
    </row>
    <row r="15" spans="1:8" ht="25.5">
      <c r="A15" s="67" t="s">
        <v>558</v>
      </c>
      <c r="B15" s="68">
        <v>0.02</v>
      </c>
      <c r="C15" s="73">
        <v>168.6</v>
      </c>
      <c r="D15" s="71">
        <v>3.37</v>
      </c>
    </row>
    <row r="16" spans="1:8" ht="25.5">
      <c r="A16" s="67" t="s">
        <v>559</v>
      </c>
      <c r="B16" s="68">
        <v>0.02</v>
      </c>
      <c r="C16" s="73">
        <v>168.6</v>
      </c>
      <c r="D16" s="71">
        <v>3.37</v>
      </c>
    </row>
    <row r="17" spans="1:4" ht="25.5">
      <c r="A17" s="67" t="s">
        <v>560</v>
      </c>
      <c r="B17" s="68">
        <v>0.02</v>
      </c>
      <c r="C17" s="73">
        <v>168.6</v>
      </c>
      <c r="D17" s="71">
        <v>3.37</v>
      </c>
    </row>
    <row r="18" spans="1:4" ht="25.5">
      <c r="A18" s="67" t="s">
        <v>561</v>
      </c>
      <c r="B18" s="68">
        <v>0.02</v>
      </c>
      <c r="C18" s="73">
        <v>168.6</v>
      </c>
      <c r="D18" s="71">
        <v>3.37</v>
      </c>
    </row>
    <row r="19" spans="1:4" ht="25.5">
      <c r="A19" s="67" t="s">
        <v>562</v>
      </c>
      <c r="B19" s="68">
        <v>0.02</v>
      </c>
      <c r="C19" s="73">
        <v>168.6</v>
      </c>
      <c r="D19" s="71">
        <v>3.37</v>
      </c>
    </row>
    <row r="20" spans="1:4" ht="25.5">
      <c r="A20" s="67" t="s">
        <v>563</v>
      </c>
      <c r="B20" s="68">
        <v>0.02</v>
      </c>
      <c r="C20" s="73">
        <v>168.6</v>
      </c>
      <c r="D20" s="71">
        <v>3.37</v>
      </c>
    </row>
    <row r="21" spans="1:4" ht="25.5">
      <c r="A21" s="67" t="s">
        <v>564</v>
      </c>
      <c r="B21" s="68">
        <v>0.02</v>
      </c>
      <c r="C21" s="73">
        <v>168.6</v>
      </c>
      <c r="D21" s="71">
        <v>3.37</v>
      </c>
    </row>
    <row r="22" spans="1:4" ht="25.5">
      <c r="A22" s="67" t="s">
        <v>565</v>
      </c>
      <c r="B22" s="68">
        <v>0.01</v>
      </c>
      <c r="C22" s="73">
        <v>199.1</v>
      </c>
      <c r="D22" s="71">
        <v>1.99</v>
      </c>
    </row>
    <row r="23" spans="1:4" ht="25.5">
      <c r="A23" s="67" t="s">
        <v>566</v>
      </c>
      <c r="B23" s="68">
        <v>0.01</v>
      </c>
      <c r="C23" s="73">
        <v>199.1</v>
      </c>
      <c r="D23" s="71">
        <v>1.99</v>
      </c>
    </row>
    <row r="24" spans="1:4" ht="25.5">
      <c r="A24" s="67" t="s">
        <v>567</v>
      </c>
      <c r="B24" s="68">
        <v>0.01</v>
      </c>
      <c r="C24" s="73">
        <v>199.1</v>
      </c>
      <c r="D24" s="71">
        <v>1.99</v>
      </c>
    </row>
    <row r="25" spans="1:4" ht="25.5">
      <c r="A25" s="67" t="s">
        <v>568</v>
      </c>
      <c r="B25" s="68">
        <v>0.01</v>
      </c>
      <c r="C25" s="73">
        <v>199.1</v>
      </c>
      <c r="D25" s="71">
        <v>1.99</v>
      </c>
    </row>
    <row r="26" spans="1:4" ht="25.5">
      <c r="A26" s="67" t="s">
        <v>569</v>
      </c>
      <c r="B26" s="68">
        <v>0.01</v>
      </c>
      <c r="C26" s="73">
        <v>199.1</v>
      </c>
      <c r="D26" s="71">
        <v>1.99</v>
      </c>
    </row>
    <row r="27" spans="1:4" ht="25.5">
      <c r="A27" s="67" t="s">
        <v>570</v>
      </c>
      <c r="B27" s="68">
        <v>0.01</v>
      </c>
      <c r="C27" s="73">
        <v>199.1</v>
      </c>
      <c r="D27" s="71">
        <v>1.99</v>
      </c>
    </row>
    <row r="28" spans="1:4" ht="25.5">
      <c r="A28" s="67" t="s">
        <v>571</v>
      </c>
      <c r="B28" s="68">
        <v>0.01</v>
      </c>
      <c r="C28" s="73">
        <v>199.1</v>
      </c>
      <c r="D28" s="71">
        <v>1.99</v>
      </c>
    </row>
    <row r="29" spans="1:4">
      <c r="A29" s="316"/>
      <c r="B29" s="319" t="s">
        <v>403</v>
      </c>
      <c r="C29" s="320"/>
      <c r="D29" s="71">
        <v>387.27</v>
      </c>
    </row>
    <row r="30" spans="1:4">
      <c r="A30" s="317"/>
      <c r="B30" s="319" t="s">
        <v>404</v>
      </c>
      <c r="C30" s="320"/>
      <c r="D30" s="71">
        <v>11.26</v>
      </c>
    </row>
    <row r="31" spans="1:4" ht="13.5" thickBot="1">
      <c r="A31" s="318"/>
      <c r="B31" s="321" t="s">
        <v>402</v>
      </c>
      <c r="C31" s="322"/>
      <c r="D31" s="72">
        <v>398.53</v>
      </c>
    </row>
    <row r="32" spans="1:4">
      <c r="A32" s="69"/>
      <c r="B32" s="69"/>
      <c r="C32" s="69"/>
      <c r="D32" s="70"/>
    </row>
    <row r="33" spans="1:4" ht="13.5" thickBot="1">
      <c r="A33" s="57"/>
      <c r="B33" s="57"/>
      <c r="C33" s="57"/>
      <c r="D33" s="57"/>
    </row>
    <row r="34" spans="1:4" ht="14.25">
      <c r="A34" s="313" t="s">
        <v>549</v>
      </c>
      <c r="B34" s="314"/>
      <c r="C34" s="314"/>
      <c r="D34" s="315"/>
    </row>
    <row r="35" spans="1:4">
      <c r="A35" s="64" t="s">
        <v>399</v>
      </c>
      <c r="B35" s="65" t="s">
        <v>400</v>
      </c>
      <c r="C35" s="65" t="s">
        <v>401</v>
      </c>
      <c r="D35" s="66" t="s">
        <v>402</v>
      </c>
    </row>
    <row r="36" spans="1:4" ht="25.5">
      <c r="A36" s="67" t="s">
        <v>550</v>
      </c>
      <c r="B36" s="68">
        <v>1.5</v>
      </c>
      <c r="C36" s="73">
        <v>44.55</v>
      </c>
      <c r="D36" s="71">
        <v>66.83</v>
      </c>
    </row>
    <row r="37" spans="1:4" ht="25.5">
      <c r="A37" s="67" t="s">
        <v>551</v>
      </c>
      <c r="B37" s="68">
        <v>1.5</v>
      </c>
      <c r="C37" s="73">
        <v>15.48</v>
      </c>
      <c r="D37" s="71">
        <v>23.22</v>
      </c>
    </row>
    <row r="38" spans="1:4" ht="25.5">
      <c r="A38" s="67" t="s">
        <v>552</v>
      </c>
      <c r="B38" s="68">
        <v>0.1</v>
      </c>
      <c r="C38" s="73">
        <v>15</v>
      </c>
      <c r="D38" s="71">
        <v>1.5</v>
      </c>
    </row>
    <row r="39" spans="1:4">
      <c r="A39" s="316"/>
      <c r="B39" s="319" t="s">
        <v>403</v>
      </c>
      <c r="C39" s="320"/>
      <c r="D39" s="71">
        <v>91.55</v>
      </c>
    </row>
    <row r="40" spans="1:4">
      <c r="A40" s="317"/>
      <c r="B40" s="319" t="s">
        <v>404</v>
      </c>
      <c r="C40" s="320"/>
      <c r="D40" s="71">
        <v>12.36</v>
      </c>
    </row>
    <row r="41" spans="1:4" ht="13.5" thickBot="1">
      <c r="A41" s="318"/>
      <c r="B41" s="321" t="s">
        <v>402</v>
      </c>
      <c r="C41" s="322"/>
      <c r="D41" s="72">
        <v>103.91</v>
      </c>
    </row>
    <row r="42" spans="1:4">
      <c r="A42" s="69"/>
      <c r="B42" s="69"/>
      <c r="C42" s="69"/>
      <c r="D42" s="70"/>
    </row>
    <row r="43" spans="1:4" ht="13.5" thickBot="1">
      <c r="A43" s="57"/>
      <c r="B43" s="57"/>
      <c r="C43" s="57"/>
      <c r="D43" s="57"/>
    </row>
    <row r="44" spans="1:4" ht="14.25">
      <c r="A44" s="313" t="s">
        <v>547</v>
      </c>
      <c r="B44" s="314"/>
      <c r="C44" s="314"/>
      <c r="D44" s="315"/>
    </row>
    <row r="45" spans="1:4">
      <c r="A45" s="64" t="s">
        <v>399</v>
      </c>
      <c r="B45" s="65" t="s">
        <v>400</v>
      </c>
      <c r="C45" s="65" t="s">
        <v>401</v>
      </c>
      <c r="D45" s="66" t="s">
        <v>402</v>
      </c>
    </row>
    <row r="46" spans="1:4" ht="25.5">
      <c r="A46" s="67" t="s">
        <v>548</v>
      </c>
      <c r="B46" s="68">
        <v>1</v>
      </c>
      <c r="C46" s="73">
        <v>9</v>
      </c>
      <c r="D46" s="71">
        <v>9</v>
      </c>
    </row>
    <row r="47" spans="1:4">
      <c r="A47" s="316"/>
      <c r="B47" s="319" t="s">
        <v>403</v>
      </c>
      <c r="C47" s="320"/>
      <c r="D47" s="71">
        <v>9</v>
      </c>
    </row>
    <row r="48" spans="1:4">
      <c r="A48" s="317"/>
      <c r="B48" s="319" t="s">
        <v>404</v>
      </c>
      <c r="C48" s="320"/>
      <c r="D48" s="71">
        <v>0</v>
      </c>
    </row>
    <row r="49" spans="1:4" ht="13.5" thickBot="1">
      <c r="A49" s="318"/>
      <c r="B49" s="321" t="s">
        <v>402</v>
      </c>
      <c r="C49" s="322"/>
      <c r="D49" s="72">
        <v>9</v>
      </c>
    </row>
    <row r="50" spans="1:4">
      <c r="A50" s="69"/>
      <c r="B50" s="69"/>
      <c r="C50" s="69"/>
      <c r="D50" s="70"/>
    </row>
    <row r="51" spans="1:4" ht="13.5" thickBot="1">
      <c r="A51" s="57"/>
      <c r="B51" s="57"/>
      <c r="C51" s="57"/>
      <c r="D51" s="57"/>
    </row>
    <row r="52" spans="1:4" ht="14.25">
      <c r="A52" s="313" t="s">
        <v>543</v>
      </c>
      <c r="B52" s="314"/>
      <c r="C52" s="314"/>
      <c r="D52" s="315"/>
    </row>
    <row r="53" spans="1:4">
      <c r="A53" s="64" t="s">
        <v>399</v>
      </c>
      <c r="B53" s="65" t="s">
        <v>400</v>
      </c>
      <c r="C53" s="65" t="s">
        <v>401</v>
      </c>
      <c r="D53" s="66" t="s">
        <v>402</v>
      </c>
    </row>
    <row r="54" spans="1:4" ht="25.5">
      <c r="A54" s="67" t="s">
        <v>544</v>
      </c>
      <c r="B54" s="68">
        <v>0.75</v>
      </c>
      <c r="C54" s="73">
        <v>44.55</v>
      </c>
      <c r="D54" s="71">
        <v>33.409999999999997</v>
      </c>
    </row>
    <row r="55" spans="1:4" ht="25.5">
      <c r="A55" s="67" t="s">
        <v>545</v>
      </c>
      <c r="B55" s="68">
        <v>5</v>
      </c>
      <c r="C55" s="73">
        <v>13.28</v>
      </c>
      <c r="D55" s="71">
        <v>66.400000000000006</v>
      </c>
    </row>
    <row r="56" spans="1:4" ht="25.5">
      <c r="A56" s="67" t="s">
        <v>546</v>
      </c>
      <c r="B56" s="68">
        <v>4</v>
      </c>
      <c r="C56" s="73">
        <v>10.53</v>
      </c>
      <c r="D56" s="71">
        <v>42.12</v>
      </c>
    </row>
    <row r="57" spans="1:4">
      <c r="A57" s="316"/>
      <c r="B57" s="319" t="s">
        <v>403</v>
      </c>
      <c r="C57" s="320"/>
      <c r="D57" s="71">
        <v>141.93</v>
      </c>
    </row>
    <row r="58" spans="1:4">
      <c r="A58" s="317"/>
      <c r="B58" s="319" t="s">
        <v>404</v>
      </c>
      <c r="C58" s="320"/>
      <c r="D58" s="71">
        <v>16.25</v>
      </c>
    </row>
    <row r="59" spans="1:4" ht="13.5" thickBot="1">
      <c r="A59" s="318"/>
      <c r="B59" s="321" t="s">
        <v>402</v>
      </c>
      <c r="C59" s="322"/>
      <c r="D59" s="72">
        <v>158.18</v>
      </c>
    </row>
    <row r="60" spans="1:4">
      <c r="A60" s="69"/>
      <c r="B60" s="69"/>
      <c r="C60" s="69"/>
      <c r="D60" s="70"/>
    </row>
    <row r="61" spans="1:4" ht="13.5" thickBot="1">
      <c r="A61" s="57"/>
      <c r="B61" s="57"/>
      <c r="C61" s="57"/>
      <c r="D61" s="57"/>
    </row>
    <row r="62" spans="1:4" ht="14.25">
      <c r="A62" s="313" t="s">
        <v>470</v>
      </c>
      <c r="B62" s="314"/>
      <c r="C62" s="314"/>
      <c r="D62" s="315"/>
    </row>
    <row r="63" spans="1:4">
      <c r="A63" s="64" t="s">
        <v>399</v>
      </c>
      <c r="B63" s="65" t="s">
        <v>400</v>
      </c>
      <c r="C63" s="65" t="s">
        <v>401</v>
      </c>
      <c r="D63" s="66" t="s">
        <v>402</v>
      </c>
    </row>
    <row r="64" spans="1:4" ht="25.5">
      <c r="A64" s="67" t="s">
        <v>410</v>
      </c>
      <c r="B64" s="68">
        <v>1</v>
      </c>
      <c r="C64" s="73">
        <v>16.600000000000001</v>
      </c>
      <c r="D64" s="71">
        <v>16.600000000000001</v>
      </c>
    </row>
    <row r="65" spans="1:4" ht="25.5">
      <c r="A65" s="67" t="s">
        <v>411</v>
      </c>
      <c r="B65" s="68">
        <v>1</v>
      </c>
      <c r="C65" s="73">
        <v>17.899999999999999</v>
      </c>
      <c r="D65" s="71">
        <v>17.899999999999999</v>
      </c>
    </row>
    <row r="66" spans="1:4" ht="25.5">
      <c r="A66" s="67" t="s">
        <v>412</v>
      </c>
      <c r="B66" s="68">
        <v>1</v>
      </c>
      <c r="C66" s="73">
        <v>27.3</v>
      </c>
      <c r="D66" s="71">
        <v>27.3</v>
      </c>
    </row>
    <row r="67" spans="1:4" ht="25.5">
      <c r="A67" s="67" t="s">
        <v>413</v>
      </c>
      <c r="B67" s="68">
        <v>1</v>
      </c>
      <c r="C67" s="73">
        <v>19.7</v>
      </c>
      <c r="D67" s="71">
        <v>19.7</v>
      </c>
    </row>
    <row r="68" spans="1:4" ht="25.5">
      <c r="A68" s="67" t="s">
        <v>414</v>
      </c>
      <c r="B68" s="68">
        <v>1</v>
      </c>
      <c r="C68" s="73">
        <v>18.55</v>
      </c>
      <c r="D68" s="71">
        <v>18.55</v>
      </c>
    </row>
    <row r="69" spans="1:4" ht="25.5">
      <c r="A69" s="67" t="s">
        <v>415</v>
      </c>
      <c r="B69" s="68">
        <v>20</v>
      </c>
      <c r="C69" s="73">
        <v>0.05</v>
      </c>
      <c r="D69" s="71">
        <v>1</v>
      </c>
    </row>
    <row r="70" spans="1:4" ht="25.5">
      <c r="A70" s="67" t="s">
        <v>416</v>
      </c>
      <c r="B70" s="68">
        <v>3</v>
      </c>
      <c r="C70" s="73">
        <v>16.7</v>
      </c>
      <c r="D70" s="71">
        <v>50.1</v>
      </c>
    </row>
    <row r="71" spans="1:4" ht="25.5">
      <c r="A71" s="67" t="s">
        <v>417</v>
      </c>
      <c r="B71" s="68">
        <v>1</v>
      </c>
      <c r="C71" s="73">
        <v>2.5</v>
      </c>
      <c r="D71" s="71">
        <v>2.5</v>
      </c>
    </row>
    <row r="72" spans="1:4" ht="12.75" customHeight="1">
      <c r="A72" s="316"/>
      <c r="B72" s="319" t="s">
        <v>403</v>
      </c>
      <c r="C72" s="320"/>
      <c r="D72" s="71">
        <v>153.65</v>
      </c>
    </row>
    <row r="73" spans="1:4" ht="12.75" customHeight="1">
      <c r="A73" s="317"/>
      <c r="B73" s="319" t="s">
        <v>404</v>
      </c>
      <c r="C73" s="320"/>
      <c r="D73" s="71">
        <v>15.23</v>
      </c>
    </row>
    <row r="74" spans="1:4" ht="12.75" customHeight="1" thickBot="1">
      <c r="A74" s="318"/>
      <c r="B74" s="321" t="s">
        <v>402</v>
      </c>
      <c r="C74" s="322"/>
      <c r="D74" s="72">
        <v>168.88</v>
      </c>
    </row>
    <row r="75" spans="1:4" ht="12.75" customHeight="1">
      <c r="A75" s="69"/>
      <c r="B75" s="69"/>
      <c r="C75" s="69"/>
      <c r="D75" s="70"/>
    </row>
    <row r="76" spans="1:4" ht="13.5" thickBot="1">
      <c r="A76" s="57"/>
      <c r="B76" s="57"/>
      <c r="C76" s="57"/>
      <c r="D76" s="57"/>
    </row>
    <row r="77" spans="1:4" ht="14.25">
      <c r="A77" s="333" t="s">
        <v>471</v>
      </c>
      <c r="B77" s="334"/>
      <c r="C77" s="334"/>
      <c r="D77" s="335"/>
    </row>
    <row r="78" spans="1:4">
      <c r="A78" s="61" t="s">
        <v>399</v>
      </c>
      <c r="B78" s="62" t="s">
        <v>400</v>
      </c>
      <c r="C78" s="62" t="s">
        <v>401</v>
      </c>
      <c r="D78" s="63" t="s">
        <v>402</v>
      </c>
    </row>
    <row r="79" spans="1:4" ht="25.5">
      <c r="A79" s="67" t="s">
        <v>418</v>
      </c>
      <c r="B79" s="68">
        <v>5</v>
      </c>
      <c r="C79" s="73">
        <v>16.88</v>
      </c>
      <c r="D79" s="71">
        <v>84.4</v>
      </c>
    </row>
    <row r="80" spans="1:4" ht="25.5">
      <c r="A80" s="67" t="s">
        <v>417</v>
      </c>
      <c r="B80" s="68">
        <v>10</v>
      </c>
      <c r="C80" s="73">
        <v>2.5</v>
      </c>
      <c r="D80" s="71">
        <v>25</v>
      </c>
    </row>
    <row r="81" spans="1:4" ht="25.5">
      <c r="A81" s="67" t="s">
        <v>419</v>
      </c>
      <c r="B81" s="68">
        <v>2</v>
      </c>
      <c r="C81" s="73">
        <v>5</v>
      </c>
      <c r="D81" s="71">
        <v>10</v>
      </c>
    </row>
    <row r="82" spans="1:4" ht="12.75" customHeight="1">
      <c r="A82" s="316"/>
      <c r="B82" s="323" t="s">
        <v>403</v>
      </c>
      <c r="C82" s="323"/>
      <c r="D82" s="71">
        <v>119.4</v>
      </c>
    </row>
    <row r="83" spans="1:4" ht="12.75" customHeight="1">
      <c r="A83" s="336"/>
      <c r="B83" s="323" t="s">
        <v>404</v>
      </c>
      <c r="C83" s="323"/>
      <c r="D83" s="71">
        <v>13.59</v>
      </c>
    </row>
    <row r="84" spans="1:4" ht="12.75" customHeight="1">
      <c r="A84" s="336"/>
      <c r="B84" s="323" t="s">
        <v>408</v>
      </c>
      <c r="C84" s="323"/>
      <c r="D84" s="71">
        <v>-75</v>
      </c>
    </row>
    <row r="85" spans="1:4" ht="12.75" customHeight="1" thickBot="1">
      <c r="A85" s="337"/>
      <c r="B85" s="324" t="s">
        <v>402</v>
      </c>
      <c r="C85" s="324"/>
      <c r="D85" s="72">
        <v>57.99</v>
      </c>
    </row>
    <row r="86" spans="1:4">
      <c r="A86" s="57"/>
      <c r="B86" s="57"/>
      <c r="C86" s="57"/>
      <c r="D86" s="57"/>
    </row>
    <row r="87" spans="1:4" ht="13.5" thickBot="1">
      <c r="A87" s="57"/>
      <c r="B87" s="57"/>
      <c r="C87" s="57"/>
      <c r="D87" s="57"/>
    </row>
    <row r="88" spans="1:4" ht="14.25">
      <c r="A88" s="333" t="s">
        <v>472</v>
      </c>
      <c r="B88" s="334"/>
      <c r="C88" s="334"/>
      <c r="D88" s="335"/>
    </row>
    <row r="89" spans="1:4">
      <c r="A89" s="61" t="s">
        <v>399</v>
      </c>
      <c r="B89" s="62" t="s">
        <v>400</v>
      </c>
      <c r="C89" s="62" t="s">
        <v>401</v>
      </c>
      <c r="D89" s="63" t="s">
        <v>402</v>
      </c>
    </row>
    <row r="90" spans="1:4" ht="25.5">
      <c r="A90" s="67" t="s">
        <v>420</v>
      </c>
      <c r="B90" s="68">
        <v>2</v>
      </c>
      <c r="C90" s="73">
        <v>5.5</v>
      </c>
      <c r="D90" s="71">
        <v>11</v>
      </c>
    </row>
    <row r="91" spans="1:4" ht="25.5">
      <c r="A91" s="67" t="s">
        <v>421</v>
      </c>
      <c r="B91" s="68">
        <v>2</v>
      </c>
      <c r="C91" s="73">
        <v>5.3</v>
      </c>
      <c r="D91" s="71">
        <v>10.6</v>
      </c>
    </row>
    <row r="92" spans="1:4" ht="25.5">
      <c r="A92" s="67" t="s">
        <v>422</v>
      </c>
      <c r="B92" s="68">
        <v>5</v>
      </c>
      <c r="C92" s="73">
        <v>4.5</v>
      </c>
      <c r="D92" s="71">
        <v>22.5</v>
      </c>
    </row>
    <row r="93" spans="1:4" ht="25.5">
      <c r="A93" s="67" t="s">
        <v>423</v>
      </c>
      <c r="B93" s="68">
        <v>1</v>
      </c>
      <c r="C93" s="73">
        <v>7.3</v>
      </c>
      <c r="D93" s="71">
        <v>7.3</v>
      </c>
    </row>
    <row r="94" spans="1:4" ht="25.5">
      <c r="A94" s="67" t="s">
        <v>424</v>
      </c>
      <c r="B94" s="68">
        <v>1</v>
      </c>
      <c r="C94" s="73">
        <v>7.8</v>
      </c>
      <c r="D94" s="71">
        <v>7.8</v>
      </c>
    </row>
    <row r="95" spans="1:4" ht="25.5">
      <c r="A95" s="67" t="s">
        <v>425</v>
      </c>
      <c r="B95" s="68">
        <v>3</v>
      </c>
      <c r="C95" s="73">
        <v>4.2</v>
      </c>
      <c r="D95" s="71">
        <v>12.6</v>
      </c>
    </row>
    <row r="96" spans="1:4" ht="25.5">
      <c r="A96" s="67" t="s">
        <v>426</v>
      </c>
      <c r="B96" s="68">
        <v>1</v>
      </c>
      <c r="C96" s="73">
        <v>11.1</v>
      </c>
      <c r="D96" s="71">
        <v>11.1</v>
      </c>
    </row>
    <row r="97" spans="1:4" ht="25.5">
      <c r="A97" s="67" t="s">
        <v>427</v>
      </c>
      <c r="B97" s="68">
        <v>1</v>
      </c>
      <c r="C97" s="73">
        <v>11.1</v>
      </c>
      <c r="D97" s="71">
        <v>11.1</v>
      </c>
    </row>
    <row r="98" spans="1:4" ht="25.5">
      <c r="A98" s="67" t="s">
        <v>428</v>
      </c>
      <c r="B98" s="68">
        <v>1</v>
      </c>
      <c r="C98" s="73">
        <v>4.5</v>
      </c>
      <c r="D98" s="71">
        <v>4.5</v>
      </c>
    </row>
    <row r="99" spans="1:4" ht="25.5">
      <c r="A99" s="67" t="s">
        <v>429</v>
      </c>
      <c r="B99" s="68">
        <v>5</v>
      </c>
      <c r="C99" s="73">
        <v>15.6</v>
      </c>
      <c r="D99" s="71">
        <v>78</v>
      </c>
    </row>
    <row r="100" spans="1:4" ht="25.5">
      <c r="A100" s="67" t="s">
        <v>414</v>
      </c>
      <c r="B100" s="68">
        <v>1.5</v>
      </c>
      <c r="C100" s="73">
        <v>17.45</v>
      </c>
      <c r="D100" s="71">
        <v>26.18</v>
      </c>
    </row>
    <row r="101" spans="1:4" ht="25.5">
      <c r="A101" s="67" t="s">
        <v>430</v>
      </c>
      <c r="B101" s="68">
        <v>1.5</v>
      </c>
      <c r="C101" s="73">
        <v>16.8</v>
      </c>
      <c r="D101" s="71">
        <v>25.2</v>
      </c>
    </row>
    <row r="102" spans="1:4" ht="25.5">
      <c r="A102" s="67" t="s">
        <v>431</v>
      </c>
      <c r="B102" s="68">
        <v>0.01</v>
      </c>
      <c r="C102" s="73">
        <v>180.6</v>
      </c>
      <c r="D102" s="71">
        <v>1.81</v>
      </c>
    </row>
    <row r="103" spans="1:4" ht="25.5">
      <c r="A103" s="67" t="s">
        <v>432</v>
      </c>
      <c r="B103" s="68">
        <v>0.01</v>
      </c>
      <c r="C103" s="73">
        <v>180.6</v>
      </c>
      <c r="D103" s="71">
        <v>1.81</v>
      </c>
    </row>
    <row r="104" spans="1:4" ht="25.5">
      <c r="A104" s="67" t="s">
        <v>433</v>
      </c>
      <c r="B104" s="68">
        <v>0.01</v>
      </c>
      <c r="C104" s="73">
        <v>180.6</v>
      </c>
      <c r="D104" s="71">
        <v>1.81</v>
      </c>
    </row>
    <row r="105" spans="1:4" ht="25.5">
      <c r="A105" s="67" t="s">
        <v>434</v>
      </c>
      <c r="B105" s="68">
        <v>0.01</v>
      </c>
      <c r="C105" s="73">
        <v>180.6</v>
      </c>
      <c r="D105" s="71">
        <v>1.81</v>
      </c>
    </row>
    <row r="106" spans="1:4" ht="25.5">
      <c r="A106" s="67" t="s">
        <v>435</v>
      </c>
      <c r="B106" s="68">
        <v>0.01</v>
      </c>
      <c r="C106" s="73">
        <v>180.6</v>
      </c>
      <c r="D106" s="71">
        <v>1.81</v>
      </c>
    </row>
    <row r="107" spans="1:4" ht="25.5">
      <c r="A107" s="67" t="s">
        <v>436</v>
      </c>
      <c r="B107" s="68">
        <v>0.01</v>
      </c>
      <c r="C107" s="73">
        <v>180.6</v>
      </c>
      <c r="D107" s="71">
        <v>1.81</v>
      </c>
    </row>
    <row r="108" spans="1:4" ht="25.5">
      <c r="A108" s="67" t="s">
        <v>437</v>
      </c>
      <c r="B108" s="68">
        <v>0.01</v>
      </c>
      <c r="C108" s="73">
        <v>180.6</v>
      </c>
      <c r="D108" s="71">
        <v>1.81</v>
      </c>
    </row>
    <row r="109" spans="1:4" ht="25.5">
      <c r="A109" s="67" t="s">
        <v>438</v>
      </c>
      <c r="B109" s="68">
        <v>0.01</v>
      </c>
      <c r="C109" s="73">
        <v>180.6</v>
      </c>
      <c r="D109" s="71">
        <v>1.81</v>
      </c>
    </row>
    <row r="110" spans="1:4" ht="25.5">
      <c r="A110" s="67" t="s">
        <v>439</v>
      </c>
      <c r="B110" s="68">
        <v>0.01</v>
      </c>
      <c r="C110" s="73">
        <v>180.6</v>
      </c>
      <c r="D110" s="71">
        <v>1.81</v>
      </c>
    </row>
    <row r="111" spans="1:4" ht="25.5">
      <c r="A111" s="67" t="s">
        <v>440</v>
      </c>
      <c r="B111" s="68">
        <v>0.01</v>
      </c>
      <c r="C111" s="73">
        <v>180.6</v>
      </c>
      <c r="D111" s="71">
        <v>1.81</v>
      </c>
    </row>
    <row r="112" spans="1:4" ht="25.5">
      <c r="A112" s="67" t="s">
        <v>441</v>
      </c>
      <c r="B112" s="68">
        <v>0.01</v>
      </c>
      <c r="C112" s="73">
        <v>180.6</v>
      </c>
      <c r="D112" s="71">
        <v>1.81</v>
      </c>
    </row>
    <row r="113" spans="1:4" ht="25.5">
      <c r="A113" s="67" t="s">
        <v>442</v>
      </c>
      <c r="B113" s="68">
        <v>0.01</v>
      </c>
      <c r="C113" s="73">
        <v>180.6</v>
      </c>
      <c r="D113" s="71">
        <v>1.81</v>
      </c>
    </row>
    <row r="114" spans="1:4" ht="25.5">
      <c r="A114" s="67" t="s">
        <v>443</v>
      </c>
      <c r="B114" s="68">
        <v>0.01</v>
      </c>
      <c r="C114" s="73">
        <v>180.6</v>
      </c>
      <c r="D114" s="71">
        <v>1.81</v>
      </c>
    </row>
    <row r="115" spans="1:4" ht="25.5">
      <c r="A115" s="67" t="s">
        <v>444</v>
      </c>
      <c r="B115" s="68">
        <v>0.01</v>
      </c>
      <c r="C115" s="73">
        <v>180.6</v>
      </c>
      <c r="D115" s="71">
        <v>1.81</v>
      </c>
    </row>
    <row r="116" spans="1:4" ht="12.75" customHeight="1">
      <c r="A116" s="316"/>
      <c r="B116" s="323" t="s">
        <v>403</v>
      </c>
      <c r="C116" s="323"/>
      <c r="D116" s="71">
        <v>253.16</v>
      </c>
    </row>
    <row r="117" spans="1:4" ht="12.75" customHeight="1">
      <c r="A117" s="327"/>
      <c r="B117" s="323" t="s">
        <v>404</v>
      </c>
      <c r="C117" s="323"/>
      <c r="D117" s="71">
        <v>20.23</v>
      </c>
    </row>
    <row r="118" spans="1:4" ht="12.75" customHeight="1" thickBot="1">
      <c r="A118" s="328"/>
      <c r="B118" s="324" t="s">
        <v>402</v>
      </c>
      <c r="C118" s="324"/>
      <c r="D118" s="72">
        <v>273.39</v>
      </c>
    </row>
    <row r="119" spans="1:4">
      <c r="A119" s="57"/>
      <c r="B119" s="57"/>
      <c r="C119" s="57"/>
      <c r="D119" s="57"/>
    </row>
    <row r="120" spans="1:4" ht="13.5" thickBot="1">
      <c r="A120" s="57"/>
      <c r="B120" s="57"/>
      <c r="C120" s="57"/>
      <c r="D120" s="57"/>
    </row>
    <row r="121" spans="1:4" ht="14.25">
      <c r="A121" s="333" t="s">
        <v>473</v>
      </c>
      <c r="B121" s="334"/>
      <c r="C121" s="334"/>
      <c r="D121" s="335"/>
    </row>
    <row r="122" spans="1:4">
      <c r="A122" s="61" t="s">
        <v>399</v>
      </c>
      <c r="B122" s="62" t="s">
        <v>400</v>
      </c>
      <c r="C122" s="62" t="s">
        <v>401</v>
      </c>
      <c r="D122" s="63" t="s">
        <v>402</v>
      </c>
    </row>
    <row r="123" spans="1:4" ht="25.5">
      <c r="A123" s="67" t="s">
        <v>445</v>
      </c>
      <c r="B123" s="68">
        <v>5</v>
      </c>
      <c r="C123" s="73">
        <v>4.7699999999999996</v>
      </c>
      <c r="D123" s="71">
        <v>23.85</v>
      </c>
    </row>
    <row r="124" spans="1:4" ht="25.5">
      <c r="A124" s="67" t="s">
        <v>446</v>
      </c>
      <c r="B124" s="68">
        <v>1</v>
      </c>
      <c r="C124" s="73">
        <v>5.3</v>
      </c>
      <c r="D124" s="71">
        <v>5.3</v>
      </c>
    </row>
    <row r="125" spans="1:4" ht="25.5">
      <c r="A125" s="67" t="s">
        <v>447</v>
      </c>
      <c r="B125" s="68">
        <v>2</v>
      </c>
      <c r="C125" s="73">
        <v>5.3</v>
      </c>
      <c r="D125" s="71">
        <v>10.6</v>
      </c>
    </row>
    <row r="126" spans="1:4" ht="25.5">
      <c r="A126" s="67" t="s">
        <v>422</v>
      </c>
      <c r="B126" s="68">
        <v>2</v>
      </c>
      <c r="C126" s="73">
        <v>4.5</v>
      </c>
      <c r="D126" s="71">
        <v>9</v>
      </c>
    </row>
    <row r="127" spans="1:4" ht="25.5">
      <c r="A127" s="67" t="s">
        <v>448</v>
      </c>
      <c r="B127" s="68">
        <v>0.2</v>
      </c>
      <c r="C127" s="73">
        <v>30.42</v>
      </c>
      <c r="D127" s="71">
        <v>6.08</v>
      </c>
    </row>
    <row r="128" spans="1:4" ht="25.5">
      <c r="A128" s="67" t="s">
        <v>449</v>
      </c>
      <c r="B128" s="68">
        <v>0.2</v>
      </c>
      <c r="C128" s="73">
        <v>33.479999999999997</v>
      </c>
      <c r="D128" s="71">
        <v>6.7</v>
      </c>
    </row>
    <row r="129" spans="1:4" ht="25.5">
      <c r="A129" s="67" t="s">
        <v>450</v>
      </c>
      <c r="B129" s="68">
        <v>0.2</v>
      </c>
      <c r="C129" s="73">
        <v>37.799999999999997</v>
      </c>
      <c r="D129" s="71">
        <v>7.56</v>
      </c>
    </row>
    <row r="130" spans="1:4" ht="25.5">
      <c r="A130" s="67" t="s">
        <v>451</v>
      </c>
      <c r="B130" s="68">
        <v>0.2</v>
      </c>
      <c r="C130" s="73">
        <v>44.55</v>
      </c>
      <c r="D130" s="71">
        <v>8.91</v>
      </c>
    </row>
    <row r="131" spans="1:4" ht="25.5">
      <c r="A131" s="67" t="s">
        <v>452</v>
      </c>
      <c r="B131" s="68">
        <v>0.2</v>
      </c>
      <c r="C131" s="73">
        <v>35.28</v>
      </c>
      <c r="D131" s="71">
        <v>7.06</v>
      </c>
    </row>
    <row r="132" spans="1:4" ht="25.5">
      <c r="A132" s="67" t="s">
        <v>453</v>
      </c>
      <c r="B132" s="68">
        <v>0.2</v>
      </c>
      <c r="C132" s="73">
        <v>41.22</v>
      </c>
      <c r="D132" s="71">
        <v>8.24</v>
      </c>
    </row>
    <row r="133" spans="1:4" ht="25.5">
      <c r="A133" s="67" t="s">
        <v>454</v>
      </c>
      <c r="B133" s="68">
        <v>0.2</v>
      </c>
      <c r="C133" s="73">
        <v>20.88</v>
      </c>
      <c r="D133" s="71">
        <v>4.18</v>
      </c>
    </row>
    <row r="134" spans="1:4" ht="25.5">
      <c r="A134" s="67" t="s">
        <v>455</v>
      </c>
      <c r="B134" s="68">
        <v>0.2</v>
      </c>
      <c r="C134" s="73">
        <v>23.31</v>
      </c>
      <c r="D134" s="71">
        <v>4.66</v>
      </c>
    </row>
    <row r="135" spans="1:4" ht="25.5">
      <c r="A135" s="67" t="s">
        <v>456</v>
      </c>
      <c r="B135" s="68">
        <v>0.2</v>
      </c>
      <c r="C135" s="73">
        <v>24.84</v>
      </c>
      <c r="D135" s="71">
        <v>4.97</v>
      </c>
    </row>
    <row r="136" spans="1:4" ht="25.5">
      <c r="A136" s="67" t="s">
        <v>457</v>
      </c>
      <c r="B136" s="68">
        <v>0.2</v>
      </c>
      <c r="C136" s="73">
        <v>29.7</v>
      </c>
      <c r="D136" s="71">
        <v>5.94</v>
      </c>
    </row>
    <row r="137" spans="1:4" ht="25.5">
      <c r="A137" s="67" t="s">
        <v>458</v>
      </c>
      <c r="B137" s="68">
        <v>0.2</v>
      </c>
      <c r="C137" s="73">
        <v>26.82</v>
      </c>
      <c r="D137" s="71">
        <v>5.36</v>
      </c>
    </row>
    <row r="138" spans="1:4" ht="12.75" customHeight="1">
      <c r="A138" s="316"/>
      <c r="B138" s="323" t="s">
        <v>403</v>
      </c>
      <c r="C138" s="323"/>
      <c r="D138" s="71">
        <v>118.41</v>
      </c>
    </row>
    <row r="139" spans="1:4" ht="12.75" customHeight="1">
      <c r="A139" s="327"/>
      <c r="B139" s="323" t="s">
        <v>404</v>
      </c>
      <c r="C139" s="323"/>
      <c r="D139" s="71">
        <v>14.85</v>
      </c>
    </row>
    <row r="140" spans="1:4" ht="12.75" customHeight="1" thickBot="1">
      <c r="A140" s="328"/>
      <c r="B140" s="324" t="s">
        <v>402</v>
      </c>
      <c r="C140" s="324"/>
      <c r="D140" s="72">
        <v>133.26</v>
      </c>
    </row>
    <row r="141" spans="1:4">
      <c r="A141" s="57"/>
      <c r="B141" s="57"/>
      <c r="C141" s="57"/>
      <c r="D141" s="57"/>
    </row>
    <row r="142" spans="1:4" ht="13.5" thickBot="1">
      <c r="A142" s="57"/>
      <c r="B142" s="57"/>
      <c r="C142" s="57"/>
      <c r="D142" s="57"/>
    </row>
    <row r="143" spans="1:4" ht="14.25">
      <c r="A143" s="333" t="s">
        <v>474</v>
      </c>
      <c r="B143" s="334"/>
      <c r="C143" s="334"/>
      <c r="D143" s="335"/>
    </row>
    <row r="144" spans="1:4">
      <c r="A144" s="61" t="s">
        <v>399</v>
      </c>
      <c r="B144" s="62" t="s">
        <v>400</v>
      </c>
      <c r="C144" s="62" t="s">
        <v>401</v>
      </c>
      <c r="D144" s="63" t="s">
        <v>402</v>
      </c>
    </row>
    <row r="145" spans="1:4" ht="25.5">
      <c r="A145" s="59" t="s">
        <v>459</v>
      </c>
      <c r="B145" s="60">
        <v>2</v>
      </c>
      <c r="C145" s="74">
        <v>10</v>
      </c>
      <c r="D145" s="75">
        <v>20</v>
      </c>
    </row>
    <row r="146" spans="1:4" ht="25.5">
      <c r="A146" s="59" t="s">
        <v>460</v>
      </c>
      <c r="B146" s="60">
        <v>1</v>
      </c>
      <c r="C146" s="74">
        <v>44</v>
      </c>
      <c r="D146" s="75">
        <v>44</v>
      </c>
    </row>
    <row r="147" spans="1:4" ht="12.75" customHeight="1">
      <c r="A147" s="338"/>
      <c r="B147" s="325" t="s">
        <v>403</v>
      </c>
      <c r="C147" s="325"/>
      <c r="D147" s="75">
        <v>64</v>
      </c>
    </row>
    <row r="148" spans="1:4" ht="12.75" customHeight="1">
      <c r="A148" s="339"/>
      <c r="B148" s="325" t="s">
        <v>404</v>
      </c>
      <c r="C148" s="325"/>
      <c r="D148" s="75">
        <v>11.65</v>
      </c>
    </row>
    <row r="149" spans="1:4" ht="12.75" customHeight="1" thickBot="1">
      <c r="A149" s="340"/>
      <c r="B149" s="326" t="s">
        <v>402</v>
      </c>
      <c r="C149" s="326"/>
      <c r="D149" s="76">
        <v>75.650000000000006</v>
      </c>
    </row>
    <row r="150" spans="1:4">
      <c r="A150" s="57"/>
      <c r="B150" s="57"/>
      <c r="C150" s="57"/>
      <c r="D150" s="57"/>
    </row>
    <row r="151" spans="1:4" ht="13.5" thickBot="1">
      <c r="A151" s="57"/>
      <c r="B151" s="57"/>
      <c r="C151" s="57"/>
      <c r="D151" s="57"/>
    </row>
    <row r="152" spans="1:4" ht="14.25">
      <c r="A152" s="333" t="s">
        <v>475</v>
      </c>
      <c r="B152" s="334"/>
      <c r="C152" s="334"/>
      <c r="D152" s="335"/>
    </row>
    <row r="153" spans="1:4">
      <c r="A153" s="61" t="s">
        <v>399</v>
      </c>
      <c r="B153" s="62" t="s">
        <v>400</v>
      </c>
      <c r="C153" s="62" t="s">
        <v>401</v>
      </c>
      <c r="D153" s="63" t="s">
        <v>402</v>
      </c>
    </row>
    <row r="154" spans="1:4" ht="25.5">
      <c r="A154" s="67" t="s">
        <v>421</v>
      </c>
      <c r="B154" s="68">
        <v>1</v>
      </c>
      <c r="C154" s="73">
        <v>5.3</v>
      </c>
      <c r="D154" s="71">
        <v>5.3</v>
      </c>
    </row>
    <row r="155" spans="1:4" ht="25.5">
      <c r="A155" s="67" t="s">
        <v>461</v>
      </c>
      <c r="B155" s="68">
        <v>1</v>
      </c>
      <c r="C155" s="73">
        <v>6</v>
      </c>
      <c r="D155" s="71">
        <v>6</v>
      </c>
    </row>
    <row r="156" spans="1:4" ht="25.5">
      <c r="A156" s="67" t="s">
        <v>425</v>
      </c>
      <c r="B156" s="68">
        <v>2</v>
      </c>
      <c r="C156" s="73">
        <v>4.2</v>
      </c>
      <c r="D156" s="71">
        <v>8.4</v>
      </c>
    </row>
    <row r="157" spans="1:4" ht="25.5">
      <c r="A157" s="67" t="s">
        <v>462</v>
      </c>
      <c r="B157" s="68">
        <v>1</v>
      </c>
      <c r="C157" s="73">
        <v>3.5</v>
      </c>
      <c r="D157" s="71">
        <v>3.5</v>
      </c>
    </row>
    <row r="158" spans="1:4" ht="25.5">
      <c r="A158" s="67" t="s">
        <v>463</v>
      </c>
      <c r="B158" s="68">
        <v>1</v>
      </c>
      <c r="C158" s="73">
        <v>7.6</v>
      </c>
      <c r="D158" s="71">
        <v>7.6</v>
      </c>
    </row>
    <row r="159" spans="1:4" ht="25.5">
      <c r="A159" s="67" t="s">
        <v>464</v>
      </c>
      <c r="B159" s="68">
        <v>1</v>
      </c>
      <c r="C159" s="73">
        <v>3</v>
      </c>
      <c r="D159" s="71">
        <v>3</v>
      </c>
    </row>
    <row r="160" spans="1:4" ht="25.5">
      <c r="A160" s="67" t="s">
        <v>465</v>
      </c>
      <c r="B160" s="68">
        <v>1</v>
      </c>
      <c r="C160" s="73">
        <v>3.5</v>
      </c>
      <c r="D160" s="71">
        <v>3.5</v>
      </c>
    </row>
    <row r="161" spans="1:4" ht="25.5">
      <c r="A161" s="67" t="s">
        <v>466</v>
      </c>
      <c r="B161" s="68">
        <v>1</v>
      </c>
      <c r="C161" s="73">
        <v>3</v>
      </c>
      <c r="D161" s="71">
        <v>3</v>
      </c>
    </row>
    <row r="162" spans="1:4" ht="25.5">
      <c r="A162" s="67" t="s">
        <v>467</v>
      </c>
      <c r="B162" s="68">
        <v>1</v>
      </c>
      <c r="C162" s="73">
        <v>3</v>
      </c>
      <c r="D162" s="71">
        <v>3</v>
      </c>
    </row>
    <row r="163" spans="1:4" ht="25.5">
      <c r="A163" s="67" t="s">
        <v>468</v>
      </c>
      <c r="B163" s="68">
        <v>1</v>
      </c>
      <c r="C163" s="73">
        <v>3</v>
      </c>
      <c r="D163" s="71">
        <v>3</v>
      </c>
    </row>
    <row r="164" spans="1:4" ht="25.5">
      <c r="A164" s="67" t="s">
        <v>469</v>
      </c>
      <c r="B164" s="68">
        <v>1</v>
      </c>
      <c r="C164" s="73">
        <v>3</v>
      </c>
      <c r="D164" s="71">
        <v>3</v>
      </c>
    </row>
    <row r="165" spans="1:4">
      <c r="A165" s="316"/>
      <c r="B165" s="323" t="s">
        <v>403</v>
      </c>
      <c r="C165" s="323"/>
      <c r="D165" s="71">
        <v>49.3</v>
      </c>
    </row>
    <row r="166" spans="1:4">
      <c r="A166" s="327"/>
      <c r="B166" s="323" t="s">
        <v>404</v>
      </c>
      <c r="C166" s="323"/>
      <c r="D166" s="71">
        <v>14.3</v>
      </c>
    </row>
    <row r="167" spans="1:4" ht="13.5" thickBot="1">
      <c r="A167" s="328"/>
      <c r="B167" s="324" t="s">
        <v>402</v>
      </c>
      <c r="C167" s="324"/>
      <c r="D167" s="72">
        <v>63.6</v>
      </c>
    </row>
  </sheetData>
  <mergeCells count="60">
    <mergeCell ref="A165:A167"/>
    <mergeCell ref="F4:G4"/>
    <mergeCell ref="F5:G5"/>
    <mergeCell ref="F7:G7"/>
    <mergeCell ref="F6:G6"/>
    <mergeCell ref="A143:D143"/>
    <mergeCell ref="A152:D152"/>
    <mergeCell ref="A72:A74"/>
    <mergeCell ref="A82:A85"/>
    <mergeCell ref="A116:A118"/>
    <mergeCell ref="A138:A140"/>
    <mergeCell ref="A147:A149"/>
    <mergeCell ref="A62:D62"/>
    <mergeCell ref="A77:D77"/>
    <mergeCell ref="A88:D88"/>
    <mergeCell ref="A121:D121"/>
    <mergeCell ref="B72:C72"/>
    <mergeCell ref="B73:C73"/>
    <mergeCell ref="B74:C74"/>
    <mergeCell ref="B82:C82"/>
    <mergeCell ref="B83:C83"/>
    <mergeCell ref="B84:C84"/>
    <mergeCell ref="B116:C116"/>
    <mergeCell ref="B117:C117"/>
    <mergeCell ref="B118:C118"/>
    <mergeCell ref="B85:C85"/>
    <mergeCell ref="B139:C139"/>
    <mergeCell ref="B140:C140"/>
    <mergeCell ref="B138:C138"/>
    <mergeCell ref="B166:C166"/>
    <mergeCell ref="B167:C167"/>
    <mergeCell ref="B147:C147"/>
    <mergeCell ref="B148:C148"/>
    <mergeCell ref="B149:C149"/>
    <mergeCell ref="B165:C165"/>
    <mergeCell ref="A44:D44"/>
    <mergeCell ref="A47:A49"/>
    <mergeCell ref="B47:C47"/>
    <mergeCell ref="B48:C48"/>
    <mergeCell ref="B49:C49"/>
    <mergeCell ref="A52:D52"/>
    <mergeCell ref="A57:A59"/>
    <mergeCell ref="B57:C57"/>
    <mergeCell ref="B58:C58"/>
    <mergeCell ref="B59:C59"/>
    <mergeCell ref="A9:D9"/>
    <mergeCell ref="A29:A31"/>
    <mergeCell ref="B29:C29"/>
    <mergeCell ref="B30:C30"/>
    <mergeCell ref="B31:C31"/>
    <mergeCell ref="A34:D34"/>
    <mergeCell ref="A39:A41"/>
    <mergeCell ref="B39:C39"/>
    <mergeCell ref="B40:C40"/>
    <mergeCell ref="B41:C41"/>
    <mergeCell ref="A1:D1"/>
    <mergeCell ref="A4:A6"/>
    <mergeCell ref="B4:C4"/>
    <mergeCell ref="B5:C5"/>
    <mergeCell ref="B6:C6"/>
  </mergeCells>
  <phoneticPr fontId="2" type="noConversion"/>
  <printOptions horizontalCentered="1"/>
  <pageMargins left="0" right="0" top="0" bottom="0" header="0" footer="0"/>
  <pageSetup scale="70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Statistics &amp; Calculations</vt:lpstr>
      <vt:lpstr>Apsect Ratios</vt:lpstr>
      <vt:lpstr>Ring ID to Wire Length</vt:lpstr>
      <vt:lpstr>Weaves</vt:lpstr>
      <vt:lpstr>Finished Products</vt:lpstr>
      <vt:lpstr>Rings</vt:lpstr>
      <vt:lpstr>Useful Links</vt:lpstr>
      <vt:lpstr>Orders</vt:lpstr>
      <vt:lpstr>'Apsect Ratios'!Print_Area</vt:lpstr>
      <vt:lpstr>'Finished Products'!Print_Area</vt:lpstr>
      <vt:lpstr>Orders!Print_Area</vt:lpstr>
      <vt:lpstr>'Ring ID to Wire Length'!Print_Area</vt:lpstr>
      <vt:lpstr>Rings!Print_Area</vt:lpstr>
      <vt:lpstr>'Statistics &amp; Calculations'!Print_Area</vt:lpstr>
      <vt:lpstr>'Useful Links'!Print_Area</vt:lpstr>
      <vt:lpstr>Weaves!Print_Area</vt:lpstr>
    </vt:vector>
  </TitlesOfParts>
  <Company>LCEF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LCEF</dc:creator>
  <cp:lastModifiedBy>Jay T</cp:lastModifiedBy>
  <cp:lastPrinted>2008-02-06T13:51:10Z</cp:lastPrinted>
  <dcterms:created xsi:type="dcterms:W3CDTF">2006-08-15T15:58:36Z</dcterms:created>
  <dcterms:modified xsi:type="dcterms:W3CDTF">2011-09-21T22:36:58Z</dcterms:modified>
</cp:coreProperties>
</file>