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02B09CEF-CB17-7844-B910-AF224A8054A7}" xr6:coauthVersionLast="47" xr6:coauthVersionMax="47" xr10:uidLastSave="{00000000-0000-0000-0000-000000000000}"/>
  <bookViews>
    <workbookView xWindow="12800" yWindow="500" windowWidth="25600" windowHeight="19120" activeTab="1" xr2:uid="{DB5D97BB-243D-324B-947A-19FD4CBE2286}"/>
  </bookViews>
  <sheets>
    <sheet name="Procedures" sheetId="7" state="hidden" r:id="rId1"/>
    <sheet name="Plate Planning" sheetId="1" r:id="rId2"/>
    <sheet name="Central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3" i="17" l="1"/>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7" i="8"/>
  <c r="U13" i="8"/>
  <c r="U14" i="8"/>
  <c r="U15" i="8"/>
  <c r="U20" i="8"/>
  <c r="U21" i="8"/>
  <c r="U22" i="8"/>
  <c r="U23" i="8"/>
  <c r="U24" i="8"/>
  <c r="U29" i="8"/>
  <c r="U30" i="8"/>
  <c r="U31" i="8"/>
  <c r="U37" i="8"/>
  <c r="U38" i="8"/>
  <c r="U39" i="8"/>
  <c r="U45" i="8"/>
  <c r="U46" i="8"/>
  <c r="U47" i="8"/>
  <c r="U48" i="8"/>
  <c r="U52" i="8"/>
  <c r="U53" i="8"/>
  <c r="U54" i="8"/>
  <c r="U55" i="8"/>
  <c r="U61" i="8"/>
  <c r="U62" i="8"/>
  <c r="U63" i="8"/>
  <c r="U68" i="8"/>
  <c r="U69" i="8"/>
  <c r="U70" i="8"/>
  <c r="U71" i="8"/>
  <c r="U72" i="8"/>
  <c r="U77" i="8"/>
  <c r="U78" i="8"/>
  <c r="U79" i="8"/>
  <c r="U84" i="8"/>
  <c r="U85" i="8"/>
  <c r="U86" i="8"/>
  <c r="U87" i="8"/>
  <c r="U88" i="8"/>
  <c r="U92" i="8"/>
  <c r="U93" i="8"/>
  <c r="U94" i="8"/>
  <c r="U95" i="8"/>
  <c r="U96" i="8"/>
  <c r="S4" i="8"/>
  <c r="S5" i="8"/>
  <c r="S6" i="8"/>
  <c r="S7" i="8"/>
  <c r="S9" i="8"/>
  <c r="S12" i="8"/>
  <c r="S13" i="8"/>
  <c r="S14" i="8"/>
  <c r="S15" i="8"/>
  <c r="S16" i="8"/>
  <c r="S17" i="8"/>
  <c r="S20" i="8"/>
  <c r="S21" i="8"/>
  <c r="S22" i="8"/>
  <c r="S23" i="8"/>
  <c r="S24" i="8"/>
  <c r="S25" i="8"/>
  <c r="S28" i="8"/>
  <c r="S29" i="8"/>
  <c r="S30" i="8"/>
  <c r="S31" i="8"/>
  <c r="S32" i="8"/>
  <c r="S33" i="8"/>
  <c r="S36" i="8"/>
  <c r="S37" i="8"/>
  <c r="S38" i="8"/>
  <c r="S39" i="8"/>
  <c r="S40" i="8"/>
  <c r="S41" i="8"/>
  <c r="S44" i="8"/>
  <c r="S45" i="8"/>
  <c r="S46" i="8"/>
  <c r="S47" i="8"/>
  <c r="S48" i="8"/>
  <c r="S52" i="8"/>
  <c r="S53" i="8"/>
  <c r="S54" i="8"/>
  <c r="S55" i="8"/>
  <c r="S56" i="8"/>
  <c r="S57" i="8"/>
  <c r="S60" i="8"/>
  <c r="S61" i="8"/>
  <c r="S62" i="8"/>
  <c r="S63" i="8"/>
  <c r="S64" i="8"/>
  <c r="S65" i="8"/>
  <c r="S68" i="8"/>
  <c r="S69" i="8"/>
  <c r="S70" i="8"/>
  <c r="S71" i="8"/>
  <c r="S72" i="8"/>
  <c r="S76" i="8"/>
  <c r="S77" i="8"/>
  <c r="S78" i="8"/>
  <c r="S79" i="8"/>
  <c r="S80" i="8"/>
  <c r="S84" i="8"/>
  <c r="S85" i="8"/>
  <c r="S86" i="8"/>
  <c r="S87" i="8"/>
  <c r="S88" i="8"/>
  <c r="S89" i="8"/>
  <c r="S92" i="8"/>
  <c r="S93" i="8"/>
  <c r="S94" i="8"/>
  <c r="S95"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U76" i="8" l="1"/>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W2"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Y41" i="8" s="1"/>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W3" i="8"/>
  <c r="V95" i="8"/>
  <c r="V87" i="8"/>
  <c r="V79" i="8"/>
  <c r="V71" i="8"/>
  <c r="V63" i="8"/>
  <c r="V55" i="8"/>
  <c r="V47" i="8"/>
  <c r="V39" i="8"/>
  <c r="V31" i="8"/>
  <c r="V23" i="8"/>
  <c r="V15" i="8"/>
  <c r="V7" i="8"/>
  <c r="W90" i="8"/>
  <c r="W82" i="8"/>
  <c r="W74" i="8"/>
  <c r="W66" i="8"/>
  <c r="W58" i="8"/>
  <c r="Y58" i="8" s="1"/>
  <c r="W50" i="8"/>
  <c r="W42" i="8"/>
  <c r="W34" i="8"/>
  <c r="Y34" i="8" s="1"/>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49" i="8" l="1"/>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2" i="8"/>
  <c r="Y69" i="8"/>
  <c r="Y12" i="8"/>
  <c r="Y20" i="8"/>
  <c r="Y35" i="8"/>
  <c r="Y31" i="8"/>
  <c r="Y95" i="8"/>
  <c r="Y32" i="8"/>
  <c r="Y96" i="8"/>
  <c r="Y28" i="8"/>
  <c r="Y44" i="8"/>
  <c r="Y52" i="8"/>
  <c r="Y43" i="8"/>
  <c r="Y39" i="8"/>
  <c r="Y40" i="8"/>
  <c r="Y60" i="8"/>
  <c r="Y76" i="8"/>
  <c r="Y84" i="8"/>
  <c r="Y47" i="8"/>
  <c r="Y48" i="8"/>
  <c r="Y92" i="8"/>
  <c r="Y29" i="8"/>
  <c r="Y59" i="8"/>
  <c r="Y55" i="8"/>
  <c r="Y56" i="8"/>
  <c r="Y57" i="8"/>
  <c r="Y61" i="8"/>
  <c r="Y3"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J4" i="3"/>
  <c r="F4" i="3"/>
  <c r="D4" i="12" s="1"/>
  <c r="ER2" i="8" s="1"/>
  <c r="AP5" i="3" l="1"/>
  <c r="V5" i="12" s="1"/>
  <c r="HC3" i="8" s="1"/>
  <c r="AP6" i="3"/>
  <c r="V6" i="12" s="1"/>
  <c r="HC4" i="8" s="1"/>
  <c r="AP7" i="3"/>
  <c r="V7" i="12" s="1"/>
  <c r="HC5" i="8" s="1"/>
  <c r="AP8" i="3"/>
  <c r="V8" i="12" s="1"/>
  <c r="HC6" i="8" s="1"/>
  <c r="AP9" i="3"/>
  <c r="V9" i="12" s="1"/>
  <c r="HC7" i="8" s="1"/>
  <c r="AP10" i="3"/>
  <c r="V10" i="12" s="1"/>
  <c r="HC8" i="8" s="1"/>
  <c r="AP11" i="3"/>
  <c r="V11" i="12" s="1"/>
  <c r="HC9" i="8" s="1"/>
  <c r="AP12" i="3"/>
  <c r="V12" i="12" s="1"/>
  <c r="HC10" i="8" s="1"/>
  <c r="AP13" i="3"/>
  <c r="V13" i="12" s="1"/>
  <c r="HC11" i="8" s="1"/>
  <c r="AP14" i="3"/>
  <c r="V14" i="12" s="1"/>
  <c r="HC12" i="8" s="1"/>
  <c r="AP15" i="3"/>
  <c r="V15" i="12" s="1"/>
  <c r="HC13" i="8" s="1"/>
  <c r="AP16" i="3"/>
  <c r="V16" i="12" s="1"/>
  <c r="HC14" i="8" s="1"/>
  <c r="AP17" i="3"/>
  <c r="V17" i="12" s="1"/>
  <c r="HC15" i="8" s="1"/>
  <c r="AP18" i="3"/>
  <c r="V18" i="12" s="1"/>
  <c r="HC16" i="8" s="1"/>
  <c r="AP19" i="3"/>
  <c r="V19" i="12" s="1"/>
  <c r="HC17" i="8" s="1"/>
  <c r="AP20" i="3"/>
  <c r="V20" i="12" s="1"/>
  <c r="HC18" i="8" s="1"/>
  <c r="AP21" i="3"/>
  <c r="V21" i="12" s="1"/>
  <c r="HC19" i="8" s="1"/>
  <c r="AP22" i="3"/>
  <c r="V22" i="12" s="1"/>
  <c r="HC20" i="8" s="1"/>
  <c r="AP23" i="3"/>
  <c r="V23" i="12" s="1"/>
  <c r="HC21" i="8" s="1"/>
  <c r="AP24" i="3"/>
  <c r="V24" i="12" s="1"/>
  <c r="HC22" i="8" s="1"/>
  <c r="AP25" i="3"/>
  <c r="V25" i="12" s="1"/>
  <c r="HC23" i="8" s="1"/>
  <c r="AP26" i="3"/>
  <c r="V26" i="12" s="1"/>
  <c r="HC24" i="8" s="1"/>
  <c r="AP27" i="3"/>
  <c r="V27" i="12" s="1"/>
  <c r="HC25" i="8" s="1"/>
  <c r="AP28" i="3"/>
  <c r="V28" i="12" s="1"/>
  <c r="HC26" i="8" s="1"/>
  <c r="AP29" i="3"/>
  <c r="V29" i="12" s="1"/>
  <c r="HC27" i="8" s="1"/>
  <c r="AP30" i="3"/>
  <c r="V30" i="12" s="1"/>
  <c r="HC28" i="8" s="1"/>
  <c r="AP31" i="3"/>
  <c r="V31" i="12" s="1"/>
  <c r="HC29" i="8" s="1"/>
  <c r="AP32" i="3"/>
  <c r="V32" i="12" s="1"/>
  <c r="HC30" i="8" s="1"/>
  <c r="AP33" i="3"/>
  <c r="V33" i="12" s="1"/>
  <c r="HC31" i="8" s="1"/>
  <c r="AP34" i="3"/>
  <c r="V34" i="12" s="1"/>
  <c r="HC32" i="8" s="1"/>
  <c r="AP35" i="3"/>
  <c r="V35" i="12" s="1"/>
  <c r="HC33" i="8" s="1"/>
  <c r="AP36" i="3"/>
  <c r="V36" i="12" s="1"/>
  <c r="HC34" i="8" s="1"/>
  <c r="AP37" i="3"/>
  <c r="V37" i="12" s="1"/>
  <c r="HC35" i="8" s="1"/>
  <c r="AP38" i="3"/>
  <c r="V38" i="12" s="1"/>
  <c r="HC36" i="8" s="1"/>
  <c r="AP39" i="3"/>
  <c r="V39" i="12" s="1"/>
  <c r="HC37" i="8" s="1"/>
  <c r="AP40" i="3"/>
  <c r="V40" i="12" s="1"/>
  <c r="HC38" i="8" s="1"/>
  <c r="AP41" i="3"/>
  <c r="V41" i="12" s="1"/>
  <c r="HC39" i="8" s="1"/>
  <c r="AP42" i="3"/>
  <c r="V42" i="12" s="1"/>
  <c r="HC40" i="8" s="1"/>
  <c r="AP43" i="3"/>
  <c r="V43" i="12" s="1"/>
  <c r="HC41" i="8" s="1"/>
  <c r="AP44" i="3"/>
  <c r="V44" i="12" s="1"/>
  <c r="HC42" i="8" s="1"/>
  <c r="AP45" i="3"/>
  <c r="V45" i="12" s="1"/>
  <c r="HC43" i="8" s="1"/>
  <c r="AP46" i="3"/>
  <c r="V46" i="12" s="1"/>
  <c r="HC44" i="8" s="1"/>
  <c r="AP47" i="3"/>
  <c r="V47" i="12" s="1"/>
  <c r="HC45" i="8" s="1"/>
  <c r="AP48" i="3"/>
  <c r="V48" i="12" s="1"/>
  <c r="HC46" i="8" s="1"/>
  <c r="AP49" i="3"/>
  <c r="V49" i="12" s="1"/>
  <c r="HC47" i="8" s="1"/>
  <c r="AP50" i="3"/>
  <c r="V50" i="12" s="1"/>
  <c r="HC48" i="8" s="1"/>
  <c r="AP51" i="3"/>
  <c r="V51" i="12" s="1"/>
  <c r="HC49" i="8" s="1"/>
  <c r="AP52" i="3"/>
  <c r="V52" i="12" s="1"/>
  <c r="HC50" i="8" s="1"/>
  <c r="AP53" i="3"/>
  <c r="V53" i="12" s="1"/>
  <c r="HC51" i="8" s="1"/>
  <c r="AP54" i="3"/>
  <c r="V54" i="12" s="1"/>
  <c r="HC52" i="8" s="1"/>
  <c r="AP55" i="3"/>
  <c r="V55" i="12" s="1"/>
  <c r="HC53" i="8" s="1"/>
  <c r="AP56" i="3"/>
  <c r="V56" i="12" s="1"/>
  <c r="HC54" i="8" s="1"/>
  <c r="AP57" i="3"/>
  <c r="V57" i="12" s="1"/>
  <c r="HC55" i="8" s="1"/>
  <c r="AP58" i="3"/>
  <c r="V58" i="12" s="1"/>
  <c r="HC56" i="8" s="1"/>
  <c r="AP59" i="3"/>
  <c r="V59" i="12" s="1"/>
  <c r="HC57" i="8" s="1"/>
  <c r="AP60" i="3"/>
  <c r="V60" i="12" s="1"/>
  <c r="HC58" i="8" s="1"/>
  <c r="AP61" i="3"/>
  <c r="V61" i="12" s="1"/>
  <c r="HC59" i="8" s="1"/>
  <c r="AP62" i="3"/>
  <c r="V62" i="12" s="1"/>
  <c r="HC60" i="8" s="1"/>
  <c r="AP63" i="3"/>
  <c r="V63" i="12" s="1"/>
  <c r="HC61" i="8" s="1"/>
  <c r="AP64" i="3"/>
  <c r="V64" i="12" s="1"/>
  <c r="HC62" i="8" s="1"/>
  <c r="AP65" i="3"/>
  <c r="V65" i="12" s="1"/>
  <c r="HC63" i="8" s="1"/>
  <c r="AP66" i="3"/>
  <c r="V66" i="12" s="1"/>
  <c r="HC64" i="8" s="1"/>
  <c r="AP67" i="3"/>
  <c r="V67" i="12" s="1"/>
  <c r="HC65" i="8" s="1"/>
  <c r="AP68" i="3"/>
  <c r="V68" i="12" s="1"/>
  <c r="HC66" i="8" s="1"/>
  <c r="AP69" i="3"/>
  <c r="V69" i="12" s="1"/>
  <c r="HC67" i="8" s="1"/>
  <c r="AP70" i="3"/>
  <c r="V70" i="12" s="1"/>
  <c r="HC68" i="8" s="1"/>
  <c r="AP71" i="3"/>
  <c r="V71" i="12" s="1"/>
  <c r="HC69" i="8" s="1"/>
  <c r="AP72" i="3"/>
  <c r="V72" i="12" s="1"/>
  <c r="HC70" i="8" s="1"/>
  <c r="AP73" i="3"/>
  <c r="V73" i="12" s="1"/>
  <c r="HC71" i="8" s="1"/>
  <c r="AP74" i="3"/>
  <c r="V74" i="12" s="1"/>
  <c r="HC72" i="8" s="1"/>
  <c r="AP75" i="3"/>
  <c r="V75" i="12" s="1"/>
  <c r="HC73" i="8" s="1"/>
  <c r="AP76" i="3"/>
  <c r="V76" i="12" s="1"/>
  <c r="HC74" i="8" s="1"/>
  <c r="AP77" i="3"/>
  <c r="V77" i="12" s="1"/>
  <c r="HC75" i="8" s="1"/>
  <c r="AP78" i="3"/>
  <c r="V78" i="12" s="1"/>
  <c r="HC76" i="8" s="1"/>
  <c r="AP79" i="3"/>
  <c r="V79" i="12" s="1"/>
  <c r="HC77" i="8" s="1"/>
  <c r="AP80" i="3"/>
  <c r="V80" i="12" s="1"/>
  <c r="HC78" i="8" s="1"/>
  <c r="AP81" i="3"/>
  <c r="V81" i="12" s="1"/>
  <c r="HC79" i="8" s="1"/>
  <c r="AP82" i="3"/>
  <c r="V82" i="12" s="1"/>
  <c r="HC80" i="8" s="1"/>
  <c r="AP83" i="3"/>
  <c r="V83" i="12" s="1"/>
  <c r="HC81" i="8" s="1"/>
  <c r="AP84" i="3"/>
  <c r="V84" i="12" s="1"/>
  <c r="HC82" i="8" s="1"/>
  <c r="AP85" i="3"/>
  <c r="V85" i="12" s="1"/>
  <c r="HC83" i="8" s="1"/>
  <c r="AP86" i="3"/>
  <c r="V86" i="12" s="1"/>
  <c r="HC84" i="8" s="1"/>
  <c r="AP87" i="3"/>
  <c r="V87" i="12" s="1"/>
  <c r="HC85" i="8" s="1"/>
  <c r="AP88" i="3"/>
  <c r="V88" i="12" s="1"/>
  <c r="HC86" i="8" s="1"/>
  <c r="AP89" i="3"/>
  <c r="V89" i="12" s="1"/>
  <c r="HC87" i="8" s="1"/>
  <c r="AP90" i="3"/>
  <c r="V90" i="12" s="1"/>
  <c r="HC88" i="8" s="1"/>
  <c r="AP91" i="3"/>
  <c r="V91" i="12" s="1"/>
  <c r="HC89" i="8" s="1"/>
  <c r="AP92" i="3"/>
  <c r="V92" i="12" s="1"/>
  <c r="HC90" i="8" s="1"/>
  <c r="AP93" i="3"/>
  <c r="V93" i="12" s="1"/>
  <c r="HC91" i="8" s="1"/>
  <c r="AP94" i="3"/>
  <c r="V94" i="12" s="1"/>
  <c r="HC92" i="8" s="1"/>
  <c r="AP95" i="3"/>
  <c r="V95" i="12" s="1"/>
  <c r="HC93" i="8" s="1"/>
  <c r="AP96" i="3"/>
  <c r="V96" i="12" s="1"/>
  <c r="HC94" i="8" s="1"/>
  <c r="AP97" i="3"/>
  <c r="V97" i="12" s="1"/>
  <c r="HC95" i="8" s="1"/>
  <c r="AP98" i="3"/>
  <c r="V98" i="12" s="1"/>
  <c r="HC96" i="8" s="1"/>
  <c r="AP99" i="3"/>
  <c r="V99" i="12" s="1"/>
  <c r="HC97" i="8" s="1"/>
  <c r="AO5" i="3"/>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P4" i="3"/>
  <c r="V4" i="12" s="1"/>
  <c r="HC2"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L5" i="3"/>
  <c r="T5" i="12" s="1"/>
  <c r="GV3" i="8" s="1"/>
  <c r="AL6" i="3"/>
  <c r="T6" i="12" s="1"/>
  <c r="GV4" i="8" s="1"/>
  <c r="AL7" i="3"/>
  <c r="T7" i="12" s="1"/>
  <c r="GV5" i="8" s="1"/>
  <c r="AL8" i="3"/>
  <c r="T8" i="12" s="1"/>
  <c r="GV6" i="8" s="1"/>
  <c r="AL9" i="3"/>
  <c r="T9" i="12" s="1"/>
  <c r="GV7" i="8" s="1"/>
  <c r="AL10" i="3"/>
  <c r="T10" i="12" s="1"/>
  <c r="GV8" i="8" s="1"/>
  <c r="AL11" i="3"/>
  <c r="T11" i="12" s="1"/>
  <c r="GV9" i="8" s="1"/>
  <c r="AL12" i="3"/>
  <c r="T12" i="12" s="1"/>
  <c r="GV10" i="8" s="1"/>
  <c r="AL13" i="3"/>
  <c r="T13" i="12" s="1"/>
  <c r="GV11" i="8" s="1"/>
  <c r="AL14" i="3"/>
  <c r="T14" i="12" s="1"/>
  <c r="GV12" i="8" s="1"/>
  <c r="AL15" i="3"/>
  <c r="T15" i="12" s="1"/>
  <c r="GV13" i="8" s="1"/>
  <c r="AL16" i="3"/>
  <c r="T16" i="12" s="1"/>
  <c r="GV14" i="8" s="1"/>
  <c r="AL17" i="3"/>
  <c r="T17" i="12" s="1"/>
  <c r="GV15" i="8" s="1"/>
  <c r="AL18" i="3"/>
  <c r="T18" i="12" s="1"/>
  <c r="GV16" i="8" s="1"/>
  <c r="AL19" i="3"/>
  <c r="T19" i="12" s="1"/>
  <c r="GV17" i="8" s="1"/>
  <c r="AL20" i="3"/>
  <c r="T20" i="12" s="1"/>
  <c r="GV18" i="8" s="1"/>
  <c r="AL21" i="3"/>
  <c r="T21" i="12" s="1"/>
  <c r="GV19" i="8" s="1"/>
  <c r="AL22" i="3"/>
  <c r="T22" i="12" s="1"/>
  <c r="GV20" i="8" s="1"/>
  <c r="AL23" i="3"/>
  <c r="T23" i="12" s="1"/>
  <c r="GV21" i="8" s="1"/>
  <c r="AL24" i="3"/>
  <c r="T24" i="12" s="1"/>
  <c r="GV22" i="8" s="1"/>
  <c r="AL25" i="3"/>
  <c r="T25" i="12" s="1"/>
  <c r="GV23" i="8" s="1"/>
  <c r="AL26" i="3"/>
  <c r="T26" i="12" s="1"/>
  <c r="GV24" i="8" s="1"/>
  <c r="AL27" i="3"/>
  <c r="T27" i="12" s="1"/>
  <c r="GV25" i="8" s="1"/>
  <c r="AL28" i="3"/>
  <c r="T28" i="12" s="1"/>
  <c r="GV26" i="8" s="1"/>
  <c r="AL29" i="3"/>
  <c r="T29" i="12" s="1"/>
  <c r="GV27" i="8" s="1"/>
  <c r="AL30" i="3"/>
  <c r="T30" i="12" s="1"/>
  <c r="GV28" i="8" s="1"/>
  <c r="AL31" i="3"/>
  <c r="T31" i="12" s="1"/>
  <c r="GV29" i="8" s="1"/>
  <c r="AL32" i="3"/>
  <c r="T32" i="12" s="1"/>
  <c r="GV30" i="8" s="1"/>
  <c r="AL33" i="3"/>
  <c r="T33" i="12" s="1"/>
  <c r="GV31" i="8" s="1"/>
  <c r="AL34" i="3"/>
  <c r="T34" i="12" s="1"/>
  <c r="GV32" i="8" s="1"/>
  <c r="AL35" i="3"/>
  <c r="T35" i="12" s="1"/>
  <c r="GV33" i="8" s="1"/>
  <c r="AL36" i="3"/>
  <c r="T36" i="12" s="1"/>
  <c r="GV34" i="8" s="1"/>
  <c r="AL37" i="3"/>
  <c r="T37" i="12" s="1"/>
  <c r="GV35" i="8" s="1"/>
  <c r="AL38" i="3"/>
  <c r="T38" i="12" s="1"/>
  <c r="GV36" i="8" s="1"/>
  <c r="AL39" i="3"/>
  <c r="T39" i="12" s="1"/>
  <c r="GV37" i="8" s="1"/>
  <c r="AL40" i="3"/>
  <c r="T40" i="12" s="1"/>
  <c r="GV38" i="8" s="1"/>
  <c r="AL41" i="3"/>
  <c r="T41" i="12" s="1"/>
  <c r="GV39" i="8" s="1"/>
  <c r="AL42" i="3"/>
  <c r="T42" i="12" s="1"/>
  <c r="GV40" i="8" s="1"/>
  <c r="AL43" i="3"/>
  <c r="T43" i="12" s="1"/>
  <c r="GV41" i="8" s="1"/>
  <c r="AL44" i="3"/>
  <c r="T44" i="12" s="1"/>
  <c r="GV42" i="8" s="1"/>
  <c r="AL45" i="3"/>
  <c r="T45" i="12" s="1"/>
  <c r="GV43" i="8" s="1"/>
  <c r="AL46" i="3"/>
  <c r="T46" i="12" s="1"/>
  <c r="GV44" i="8" s="1"/>
  <c r="AL47" i="3"/>
  <c r="T47" i="12" s="1"/>
  <c r="GV45" i="8" s="1"/>
  <c r="AL48" i="3"/>
  <c r="T48" i="12" s="1"/>
  <c r="GV46" i="8" s="1"/>
  <c r="AL49" i="3"/>
  <c r="T49" i="12" s="1"/>
  <c r="GV47" i="8" s="1"/>
  <c r="AL50" i="3"/>
  <c r="T50" i="12" s="1"/>
  <c r="GV48" i="8" s="1"/>
  <c r="AL51" i="3"/>
  <c r="T51" i="12" s="1"/>
  <c r="GV49" i="8" s="1"/>
  <c r="AL52" i="3"/>
  <c r="T52" i="12" s="1"/>
  <c r="GV50" i="8" s="1"/>
  <c r="AL53" i="3"/>
  <c r="T53" i="12" s="1"/>
  <c r="GV51" i="8" s="1"/>
  <c r="AL54" i="3"/>
  <c r="T54" i="12" s="1"/>
  <c r="GV52" i="8" s="1"/>
  <c r="AL55" i="3"/>
  <c r="T55" i="12" s="1"/>
  <c r="GV53" i="8" s="1"/>
  <c r="AL56" i="3"/>
  <c r="T56" i="12" s="1"/>
  <c r="GV54" i="8" s="1"/>
  <c r="AL57" i="3"/>
  <c r="T57" i="12" s="1"/>
  <c r="GV55" i="8" s="1"/>
  <c r="AL58" i="3"/>
  <c r="T58" i="12" s="1"/>
  <c r="GV56" i="8" s="1"/>
  <c r="AL59" i="3"/>
  <c r="T59" i="12" s="1"/>
  <c r="GV57" i="8" s="1"/>
  <c r="AL60" i="3"/>
  <c r="T60" i="12" s="1"/>
  <c r="GV58" i="8" s="1"/>
  <c r="AL61" i="3"/>
  <c r="T61" i="12" s="1"/>
  <c r="GV59" i="8" s="1"/>
  <c r="AL62" i="3"/>
  <c r="T62" i="12" s="1"/>
  <c r="GV60" i="8" s="1"/>
  <c r="AL63" i="3"/>
  <c r="T63" i="12" s="1"/>
  <c r="GV61" i="8" s="1"/>
  <c r="AL64" i="3"/>
  <c r="T64" i="12" s="1"/>
  <c r="GV62" i="8" s="1"/>
  <c r="AL65" i="3"/>
  <c r="T65" i="12" s="1"/>
  <c r="GV63" i="8" s="1"/>
  <c r="AL66" i="3"/>
  <c r="T66" i="12" s="1"/>
  <c r="GV64" i="8" s="1"/>
  <c r="AL67" i="3"/>
  <c r="T67" i="12" s="1"/>
  <c r="GV65" i="8" s="1"/>
  <c r="AL68" i="3"/>
  <c r="T68" i="12" s="1"/>
  <c r="GV66" i="8" s="1"/>
  <c r="AL69" i="3"/>
  <c r="T69" i="12" s="1"/>
  <c r="GV67" i="8" s="1"/>
  <c r="AL70" i="3"/>
  <c r="T70" i="12" s="1"/>
  <c r="GV68" i="8" s="1"/>
  <c r="AL71" i="3"/>
  <c r="T71" i="12" s="1"/>
  <c r="GV69" i="8" s="1"/>
  <c r="AL72" i="3"/>
  <c r="T72" i="12" s="1"/>
  <c r="GV70" i="8" s="1"/>
  <c r="AL73" i="3"/>
  <c r="T73" i="12" s="1"/>
  <c r="GV71" i="8" s="1"/>
  <c r="AL74" i="3"/>
  <c r="T74" i="12" s="1"/>
  <c r="GV72" i="8" s="1"/>
  <c r="AL75" i="3"/>
  <c r="T75" i="12" s="1"/>
  <c r="GV73" i="8" s="1"/>
  <c r="AL76" i="3"/>
  <c r="T76" i="12" s="1"/>
  <c r="GV74" i="8" s="1"/>
  <c r="AL77" i="3"/>
  <c r="T77" i="12" s="1"/>
  <c r="GV75" i="8" s="1"/>
  <c r="AL78" i="3"/>
  <c r="T78" i="12" s="1"/>
  <c r="GV76" i="8" s="1"/>
  <c r="AL79" i="3"/>
  <c r="T79" i="12" s="1"/>
  <c r="GV77" i="8" s="1"/>
  <c r="AL80" i="3"/>
  <c r="T80" i="12" s="1"/>
  <c r="GV78" i="8" s="1"/>
  <c r="AL81" i="3"/>
  <c r="T81" i="12" s="1"/>
  <c r="GV79" i="8" s="1"/>
  <c r="AL82" i="3"/>
  <c r="T82" i="12" s="1"/>
  <c r="GV80" i="8" s="1"/>
  <c r="AL83" i="3"/>
  <c r="T83" i="12" s="1"/>
  <c r="GV81" i="8" s="1"/>
  <c r="AL84" i="3"/>
  <c r="T84" i="12" s="1"/>
  <c r="GV82" i="8" s="1"/>
  <c r="AL85" i="3"/>
  <c r="T85" i="12" s="1"/>
  <c r="GV83" i="8" s="1"/>
  <c r="AL86" i="3"/>
  <c r="T86" i="12" s="1"/>
  <c r="GV84" i="8" s="1"/>
  <c r="AL87" i="3"/>
  <c r="T87" i="12" s="1"/>
  <c r="GV85" i="8" s="1"/>
  <c r="AL88" i="3"/>
  <c r="T88" i="12" s="1"/>
  <c r="GV86" i="8" s="1"/>
  <c r="AL89" i="3"/>
  <c r="T89" i="12" s="1"/>
  <c r="GV87" i="8" s="1"/>
  <c r="AL90" i="3"/>
  <c r="T90" i="12" s="1"/>
  <c r="GV88" i="8" s="1"/>
  <c r="AL91" i="3"/>
  <c r="T91" i="12" s="1"/>
  <c r="GV89" i="8" s="1"/>
  <c r="AL92" i="3"/>
  <c r="T92" i="12" s="1"/>
  <c r="GV90" i="8" s="1"/>
  <c r="AL93" i="3"/>
  <c r="T93" i="12" s="1"/>
  <c r="GV91" i="8" s="1"/>
  <c r="AL94" i="3"/>
  <c r="T94" i="12" s="1"/>
  <c r="GV92" i="8" s="1"/>
  <c r="AL95" i="3"/>
  <c r="T95" i="12" s="1"/>
  <c r="GV93" i="8" s="1"/>
  <c r="AL96" i="3"/>
  <c r="T96" i="12" s="1"/>
  <c r="GV94" i="8" s="1"/>
  <c r="AL97" i="3"/>
  <c r="T97" i="12" s="1"/>
  <c r="GV95" i="8" s="1"/>
  <c r="AL98" i="3"/>
  <c r="T98" i="12" s="1"/>
  <c r="GV96" i="8" s="1"/>
  <c r="AL99" i="3"/>
  <c r="T99" i="12" s="1"/>
  <c r="GV97" i="8" s="1"/>
  <c r="AL4" i="3"/>
  <c r="T4" i="12" s="1"/>
  <c r="GV2"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H5" i="3"/>
  <c r="R5" i="12" s="1"/>
  <c r="GO3" i="8" s="1"/>
  <c r="AH6" i="3"/>
  <c r="R6" i="12" s="1"/>
  <c r="GO4" i="8" s="1"/>
  <c r="AH7" i="3"/>
  <c r="R7" i="12" s="1"/>
  <c r="GO5" i="8" s="1"/>
  <c r="AH8" i="3"/>
  <c r="R8" i="12" s="1"/>
  <c r="GO6" i="8" s="1"/>
  <c r="AH9" i="3"/>
  <c r="R9" i="12" s="1"/>
  <c r="GO7" i="8" s="1"/>
  <c r="AH10" i="3"/>
  <c r="R10" i="12" s="1"/>
  <c r="GO8" i="8" s="1"/>
  <c r="AH11" i="3"/>
  <c r="R11" i="12" s="1"/>
  <c r="GO9" i="8" s="1"/>
  <c r="AH12" i="3"/>
  <c r="R12" i="12" s="1"/>
  <c r="GO10" i="8" s="1"/>
  <c r="AH13" i="3"/>
  <c r="R13" i="12" s="1"/>
  <c r="GO11" i="8" s="1"/>
  <c r="AH14" i="3"/>
  <c r="R14" i="12" s="1"/>
  <c r="GO12" i="8" s="1"/>
  <c r="AH15" i="3"/>
  <c r="R15" i="12" s="1"/>
  <c r="GO13" i="8" s="1"/>
  <c r="AH16" i="3"/>
  <c r="R16" i="12" s="1"/>
  <c r="GO14" i="8" s="1"/>
  <c r="AH17" i="3"/>
  <c r="R17" i="12" s="1"/>
  <c r="GO15" i="8" s="1"/>
  <c r="AH18" i="3"/>
  <c r="R18" i="12" s="1"/>
  <c r="GO16" i="8" s="1"/>
  <c r="AH19" i="3"/>
  <c r="R19" i="12" s="1"/>
  <c r="GO17" i="8" s="1"/>
  <c r="AH20" i="3"/>
  <c r="R20" i="12" s="1"/>
  <c r="GO18" i="8" s="1"/>
  <c r="AH21" i="3"/>
  <c r="R21" i="12" s="1"/>
  <c r="GO19" i="8" s="1"/>
  <c r="AH22" i="3"/>
  <c r="R22" i="12" s="1"/>
  <c r="GO20" i="8" s="1"/>
  <c r="AH23" i="3"/>
  <c r="R23" i="12" s="1"/>
  <c r="GO21" i="8" s="1"/>
  <c r="AH24" i="3"/>
  <c r="R24" i="12" s="1"/>
  <c r="GO22" i="8" s="1"/>
  <c r="AH25" i="3"/>
  <c r="R25" i="12" s="1"/>
  <c r="GO23" i="8" s="1"/>
  <c r="AH26" i="3"/>
  <c r="R26" i="12" s="1"/>
  <c r="GO24" i="8" s="1"/>
  <c r="AH27" i="3"/>
  <c r="R27" i="12" s="1"/>
  <c r="GO25" i="8" s="1"/>
  <c r="AH28" i="3"/>
  <c r="R28" i="12" s="1"/>
  <c r="GO26" i="8" s="1"/>
  <c r="AH29" i="3"/>
  <c r="R29" i="12" s="1"/>
  <c r="GO27" i="8" s="1"/>
  <c r="AH30" i="3"/>
  <c r="R30" i="12" s="1"/>
  <c r="GO28" i="8" s="1"/>
  <c r="AH31" i="3"/>
  <c r="R31" i="12" s="1"/>
  <c r="GO29" i="8" s="1"/>
  <c r="AH32" i="3"/>
  <c r="R32" i="12" s="1"/>
  <c r="GO30" i="8" s="1"/>
  <c r="AH33" i="3"/>
  <c r="R33" i="12" s="1"/>
  <c r="GO31" i="8" s="1"/>
  <c r="AH34" i="3"/>
  <c r="R34" i="12" s="1"/>
  <c r="GO32" i="8" s="1"/>
  <c r="AH35" i="3"/>
  <c r="R35" i="12" s="1"/>
  <c r="GO33" i="8" s="1"/>
  <c r="AH36" i="3"/>
  <c r="R36" i="12" s="1"/>
  <c r="GO34" i="8" s="1"/>
  <c r="AH37" i="3"/>
  <c r="R37" i="12" s="1"/>
  <c r="GO35" i="8" s="1"/>
  <c r="AH38" i="3"/>
  <c r="R38" i="12" s="1"/>
  <c r="GO36" i="8" s="1"/>
  <c r="AH39" i="3"/>
  <c r="R39" i="12" s="1"/>
  <c r="GO37" i="8" s="1"/>
  <c r="AH40" i="3"/>
  <c r="R40" i="12" s="1"/>
  <c r="GO38" i="8" s="1"/>
  <c r="AH41" i="3"/>
  <c r="R41" i="12" s="1"/>
  <c r="GO39" i="8" s="1"/>
  <c r="AH42" i="3"/>
  <c r="R42" i="12" s="1"/>
  <c r="GO40" i="8" s="1"/>
  <c r="AH43" i="3"/>
  <c r="R43" i="12" s="1"/>
  <c r="GO41" i="8" s="1"/>
  <c r="AH44" i="3"/>
  <c r="R44" i="12" s="1"/>
  <c r="GO42" i="8" s="1"/>
  <c r="AH45" i="3"/>
  <c r="R45" i="12" s="1"/>
  <c r="GO43" i="8" s="1"/>
  <c r="AH46" i="3"/>
  <c r="R46" i="12" s="1"/>
  <c r="GO44" i="8" s="1"/>
  <c r="AH47" i="3"/>
  <c r="R47" i="12" s="1"/>
  <c r="GO45" i="8" s="1"/>
  <c r="AH48" i="3"/>
  <c r="R48" i="12" s="1"/>
  <c r="GO46" i="8" s="1"/>
  <c r="AH49" i="3"/>
  <c r="R49" i="12" s="1"/>
  <c r="GO47" i="8" s="1"/>
  <c r="AH50" i="3"/>
  <c r="R50" i="12" s="1"/>
  <c r="GO48" i="8" s="1"/>
  <c r="AH51" i="3"/>
  <c r="R51" i="12" s="1"/>
  <c r="GO49" i="8" s="1"/>
  <c r="AH52" i="3"/>
  <c r="R52" i="12" s="1"/>
  <c r="GO50" i="8" s="1"/>
  <c r="AH53" i="3"/>
  <c r="R53" i="12" s="1"/>
  <c r="GO51" i="8" s="1"/>
  <c r="AH54" i="3"/>
  <c r="R54" i="12" s="1"/>
  <c r="GO52" i="8" s="1"/>
  <c r="AH55" i="3"/>
  <c r="R55" i="12" s="1"/>
  <c r="GO53" i="8" s="1"/>
  <c r="AH56" i="3"/>
  <c r="R56" i="12" s="1"/>
  <c r="GO54" i="8" s="1"/>
  <c r="AH57" i="3"/>
  <c r="R57" i="12" s="1"/>
  <c r="GO55" i="8" s="1"/>
  <c r="AH58" i="3"/>
  <c r="R58" i="12" s="1"/>
  <c r="GO56" i="8" s="1"/>
  <c r="AH59" i="3"/>
  <c r="R59" i="12" s="1"/>
  <c r="GO57" i="8" s="1"/>
  <c r="AH60" i="3"/>
  <c r="R60" i="12" s="1"/>
  <c r="GO58" i="8" s="1"/>
  <c r="AH61" i="3"/>
  <c r="R61" i="12" s="1"/>
  <c r="GO59" i="8" s="1"/>
  <c r="AH62" i="3"/>
  <c r="R62" i="12" s="1"/>
  <c r="GO60" i="8" s="1"/>
  <c r="AH63" i="3"/>
  <c r="R63" i="12" s="1"/>
  <c r="GO61" i="8" s="1"/>
  <c r="AH64" i="3"/>
  <c r="R64" i="12" s="1"/>
  <c r="GO62" i="8" s="1"/>
  <c r="AH65" i="3"/>
  <c r="R65" i="12" s="1"/>
  <c r="GO63" i="8" s="1"/>
  <c r="AH66" i="3"/>
  <c r="R66" i="12" s="1"/>
  <c r="GO64" i="8" s="1"/>
  <c r="AH67" i="3"/>
  <c r="R67" i="12" s="1"/>
  <c r="GO65" i="8" s="1"/>
  <c r="AH68" i="3"/>
  <c r="R68" i="12" s="1"/>
  <c r="GO66" i="8" s="1"/>
  <c r="AH69" i="3"/>
  <c r="R69" i="12" s="1"/>
  <c r="GO67" i="8" s="1"/>
  <c r="AH70" i="3"/>
  <c r="R70" i="12" s="1"/>
  <c r="GO68" i="8" s="1"/>
  <c r="AH71" i="3"/>
  <c r="R71" i="12" s="1"/>
  <c r="GO69" i="8" s="1"/>
  <c r="AH72" i="3"/>
  <c r="R72" i="12" s="1"/>
  <c r="GO70" i="8" s="1"/>
  <c r="AH73" i="3"/>
  <c r="R73" i="12" s="1"/>
  <c r="GO71" i="8" s="1"/>
  <c r="AH74" i="3"/>
  <c r="R74" i="12" s="1"/>
  <c r="GO72" i="8" s="1"/>
  <c r="AH75" i="3"/>
  <c r="R75" i="12" s="1"/>
  <c r="GO73" i="8" s="1"/>
  <c r="AH76" i="3"/>
  <c r="R76" i="12" s="1"/>
  <c r="GO74" i="8" s="1"/>
  <c r="AH77" i="3"/>
  <c r="R77" i="12" s="1"/>
  <c r="GO75" i="8" s="1"/>
  <c r="AH78" i="3"/>
  <c r="R78" i="12" s="1"/>
  <c r="GO76" i="8" s="1"/>
  <c r="AH79" i="3"/>
  <c r="R79" i="12" s="1"/>
  <c r="GO77" i="8" s="1"/>
  <c r="AH80" i="3"/>
  <c r="R80" i="12" s="1"/>
  <c r="GO78" i="8" s="1"/>
  <c r="AH81" i="3"/>
  <c r="R81" i="12" s="1"/>
  <c r="GO79" i="8" s="1"/>
  <c r="AH82" i="3"/>
  <c r="R82" i="12" s="1"/>
  <c r="GO80" i="8" s="1"/>
  <c r="AH83" i="3"/>
  <c r="R83" i="12" s="1"/>
  <c r="GO81" i="8" s="1"/>
  <c r="AH84" i="3"/>
  <c r="R84" i="12" s="1"/>
  <c r="GO82" i="8" s="1"/>
  <c r="AH85" i="3"/>
  <c r="R85" i="12" s="1"/>
  <c r="GO83" i="8" s="1"/>
  <c r="AH86" i="3"/>
  <c r="R86" i="12" s="1"/>
  <c r="GO84" i="8" s="1"/>
  <c r="AH87" i="3"/>
  <c r="R87" i="12" s="1"/>
  <c r="GO85" i="8" s="1"/>
  <c r="AH88" i="3"/>
  <c r="R88" i="12" s="1"/>
  <c r="GO86" i="8" s="1"/>
  <c r="AH89" i="3"/>
  <c r="R89" i="12" s="1"/>
  <c r="GO87" i="8" s="1"/>
  <c r="AH90" i="3"/>
  <c r="R90" i="12" s="1"/>
  <c r="GO88" i="8" s="1"/>
  <c r="AH91" i="3"/>
  <c r="R91" i="12" s="1"/>
  <c r="GO89" i="8" s="1"/>
  <c r="AH92" i="3"/>
  <c r="R92" i="12" s="1"/>
  <c r="GO90" i="8" s="1"/>
  <c r="AH93" i="3"/>
  <c r="R93" i="12" s="1"/>
  <c r="GO91" i="8" s="1"/>
  <c r="AH94" i="3"/>
  <c r="R94" i="12" s="1"/>
  <c r="GO92" i="8" s="1"/>
  <c r="AH95" i="3"/>
  <c r="R95" i="12" s="1"/>
  <c r="GO93" i="8" s="1"/>
  <c r="AH96" i="3"/>
  <c r="R96" i="12" s="1"/>
  <c r="GO94" i="8" s="1"/>
  <c r="AH97" i="3"/>
  <c r="R97" i="12" s="1"/>
  <c r="GO95" i="8" s="1"/>
  <c r="AH98" i="3"/>
  <c r="R98" i="12" s="1"/>
  <c r="GO96" i="8" s="1"/>
  <c r="AH99" i="3"/>
  <c r="R99" i="12" s="1"/>
  <c r="GO97" i="8" s="1"/>
  <c r="AH4" i="3"/>
  <c r="R4" i="12" s="1"/>
  <c r="GO2" i="8" s="1"/>
  <c r="AG4" i="3"/>
  <c r="GJ2" i="8" s="1"/>
  <c r="AF4" i="3"/>
  <c r="GI2" i="8" s="1"/>
  <c r="AD5" i="3"/>
  <c r="P5" i="12" s="1"/>
  <c r="GH3" i="8" s="1"/>
  <c r="AD6" i="3"/>
  <c r="P6" i="12" s="1"/>
  <c r="GH4" i="8" s="1"/>
  <c r="AD7" i="3"/>
  <c r="P7" i="12" s="1"/>
  <c r="GH5" i="8" s="1"/>
  <c r="AD8" i="3"/>
  <c r="P8" i="12" s="1"/>
  <c r="GH6" i="8" s="1"/>
  <c r="AD9" i="3"/>
  <c r="P9" i="12" s="1"/>
  <c r="GH7" i="8" s="1"/>
  <c r="AD10" i="3"/>
  <c r="P10" i="12" s="1"/>
  <c r="GH8" i="8" s="1"/>
  <c r="AD11" i="3"/>
  <c r="P11" i="12" s="1"/>
  <c r="GH9" i="8" s="1"/>
  <c r="AD12" i="3"/>
  <c r="P12" i="12" s="1"/>
  <c r="GH10" i="8" s="1"/>
  <c r="AD13" i="3"/>
  <c r="P13" i="12" s="1"/>
  <c r="GH11" i="8" s="1"/>
  <c r="AD14" i="3"/>
  <c r="P14" i="12" s="1"/>
  <c r="GH12" i="8" s="1"/>
  <c r="AD15" i="3"/>
  <c r="P15" i="12" s="1"/>
  <c r="GH13" i="8" s="1"/>
  <c r="AD16" i="3"/>
  <c r="P16" i="12" s="1"/>
  <c r="GH14" i="8" s="1"/>
  <c r="AD17" i="3"/>
  <c r="P17" i="12" s="1"/>
  <c r="GH15" i="8" s="1"/>
  <c r="AD18" i="3"/>
  <c r="P18" i="12" s="1"/>
  <c r="GH16" i="8" s="1"/>
  <c r="AD19" i="3"/>
  <c r="P19" i="12" s="1"/>
  <c r="GH17" i="8" s="1"/>
  <c r="AD20" i="3"/>
  <c r="P20" i="12" s="1"/>
  <c r="GH18" i="8" s="1"/>
  <c r="AD21" i="3"/>
  <c r="P21" i="12" s="1"/>
  <c r="GH19" i="8" s="1"/>
  <c r="AD22" i="3"/>
  <c r="P22" i="12" s="1"/>
  <c r="GH20" i="8" s="1"/>
  <c r="AD23" i="3"/>
  <c r="P23" i="12" s="1"/>
  <c r="GH21" i="8" s="1"/>
  <c r="AD24" i="3"/>
  <c r="P24" i="12" s="1"/>
  <c r="GH22" i="8" s="1"/>
  <c r="AD25" i="3"/>
  <c r="P25" i="12" s="1"/>
  <c r="GH23" i="8" s="1"/>
  <c r="AD26" i="3"/>
  <c r="P26" i="12" s="1"/>
  <c r="GH24" i="8" s="1"/>
  <c r="AD27" i="3"/>
  <c r="P27" i="12" s="1"/>
  <c r="GH25" i="8" s="1"/>
  <c r="AD28" i="3"/>
  <c r="P28" i="12" s="1"/>
  <c r="GH26" i="8" s="1"/>
  <c r="AD29" i="3"/>
  <c r="P29" i="12" s="1"/>
  <c r="GH27" i="8" s="1"/>
  <c r="AD30" i="3"/>
  <c r="P30" i="12" s="1"/>
  <c r="GH28" i="8" s="1"/>
  <c r="AD31" i="3"/>
  <c r="P31" i="12" s="1"/>
  <c r="GH29" i="8" s="1"/>
  <c r="AD32" i="3"/>
  <c r="P32" i="12" s="1"/>
  <c r="GH30" i="8" s="1"/>
  <c r="AD33" i="3"/>
  <c r="P33" i="12" s="1"/>
  <c r="GH31" i="8" s="1"/>
  <c r="AD34" i="3"/>
  <c r="P34" i="12" s="1"/>
  <c r="GH32" i="8" s="1"/>
  <c r="AD35" i="3"/>
  <c r="P35" i="12" s="1"/>
  <c r="GH33" i="8" s="1"/>
  <c r="AD36" i="3"/>
  <c r="P36" i="12" s="1"/>
  <c r="GH34" i="8" s="1"/>
  <c r="AD37" i="3"/>
  <c r="P37" i="12" s="1"/>
  <c r="GH35" i="8" s="1"/>
  <c r="AD38" i="3"/>
  <c r="P38" i="12" s="1"/>
  <c r="GH36" i="8" s="1"/>
  <c r="AD39" i="3"/>
  <c r="P39" i="12" s="1"/>
  <c r="GH37" i="8" s="1"/>
  <c r="AD40" i="3"/>
  <c r="P40" i="12" s="1"/>
  <c r="GH38" i="8" s="1"/>
  <c r="AD41" i="3"/>
  <c r="P41" i="12" s="1"/>
  <c r="GH39" i="8" s="1"/>
  <c r="AD42" i="3"/>
  <c r="P42" i="12" s="1"/>
  <c r="GH40" i="8" s="1"/>
  <c r="AD43" i="3"/>
  <c r="P43" i="12" s="1"/>
  <c r="GH41" i="8" s="1"/>
  <c r="AD44" i="3"/>
  <c r="P44" i="12" s="1"/>
  <c r="GH42" i="8" s="1"/>
  <c r="AD45" i="3"/>
  <c r="P45" i="12" s="1"/>
  <c r="GH43" i="8" s="1"/>
  <c r="AD46" i="3"/>
  <c r="P46" i="12" s="1"/>
  <c r="GH44" i="8" s="1"/>
  <c r="AD47" i="3"/>
  <c r="P47" i="12" s="1"/>
  <c r="GH45" i="8" s="1"/>
  <c r="AD48" i="3"/>
  <c r="P48" i="12" s="1"/>
  <c r="GH46" i="8" s="1"/>
  <c r="AD49" i="3"/>
  <c r="P49" i="12" s="1"/>
  <c r="GH47" i="8" s="1"/>
  <c r="AD50" i="3"/>
  <c r="P50" i="12" s="1"/>
  <c r="GH48" i="8" s="1"/>
  <c r="AD51" i="3"/>
  <c r="P51" i="12" s="1"/>
  <c r="GH49" i="8" s="1"/>
  <c r="AD52" i="3"/>
  <c r="P52" i="12" s="1"/>
  <c r="GH50" i="8" s="1"/>
  <c r="AD53" i="3"/>
  <c r="P53" i="12" s="1"/>
  <c r="GH51" i="8" s="1"/>
  <c r="AD54" i="3"/>
  <c r="P54" i="12" s="1"/>
  <c r="GH52" i="8" s="1"/>
  <c r="AD55" i="3"/>
  <c r="P55" i="12" s="1"/>
  <c r="GH53" i="8" s="1"/>
  <c r="AD56" i="3"/>
  <c r="P56" i="12" s="1"/>
  <c r="GH54" i="8" s="1"/>
  <c r="AD57" i="3"/>
  <c r="P57" i="12" s="1"/>
  <c r="GH55" i="8" s="1"/>
  <c r="AD58" i="3"/>
  <c r="P58" i="12" s="1"/>
  <c r="GH56" i="8" s="1"/>
  <c r="AD59" i="3"/>
  <c r="P59" i="12" s="1"/>
  <c r="GH57" i="8" s="1"/>
  <c r="AD60" i="3"/>
  <c r="P60" i="12" s="1"/>
  <c r="GH58" i="8" s="1"/>
  <c r="AD61" i="3"/>
  <c r="P61" i="12" s="1"/>
  <c r="GH59" i="8" s="1"/>
  <c r="AD62" i="3"/>
  <c r="P62" i="12" s="1"/>
  <c r="GH60" i="8" s="1"/>
  <c r="AD63" i="3"/>
  <c r="P63" i="12" s="1"/>
  <c r="GH61" i="8" s="1"/>
  <c r="AD64" i="3"/>
  <c r="P64" i="12" s="1"/>
  <c r="GH62" i="8" s="1"/>
  <c r="AD65" i="3"/>
  <c r="P65" i="12" s="1"/>
  <c r="GH63" i="8" s="1"/>
  <c r="AD66" i="3"/>
  <c r="P66" i="12" s="1"/>
  <c r="GH64" i="8" s="1"/>
  <c r="AD67" i="3"/>
  <c r="P67" i="12" s="1"/>
  <c r="GH65" i="8" s="1"/>
  <c r="AD68" i="3"/>
  <c r="P68" i="12" s="1"/>
  <c r="GH66" i="8" s="1"/>
  <c r="AD69" i="3"/>
  <c r="P69" i="12" s="1"/>
  <c r="GH67" i="8" s="1"/>
  <c r="AD70" i="3"/>
  <c r="P70" i="12" s="1"/>
  <c r="GH68" i="8" s="1"/>
  <c r="AD71" i="3"/>
  <c r="P71" i="12" s="1"/>
  <c r="GH69" i="8" s="1"/>
  <c r="AD72" i="3"/>
  <c r="P72" i="12" s="1"/>
  <c r="GH70" i="8" s="1"/>
  <c r="AD73" i="3"/>
  <c r="P73" i="12" s="1"/>
  <c r="GH71" i="8" s="1"/>
  <c r="AD74" i="3"/>
  <c r="P74" i="12" s="1"/>
  <c r="GH72" i="8" s="1"/>
  <c r="AD75" i="3"/>
  <c r="P75" i="12" s="1"/>
  <c r="GH73" i="8" s="1"/>
  <c r="AD76" i="3"/>
  <c r="P76" i="12" s="1"/>
  <c r="GH74" i="8" s="1"/>
  <c r="AD77" i="3"/>
  <c r="P77" i="12" s="1"/>
  <c r="GH75" i="8" s="1"/>
  <c r="AD78" i="3"/>
  <c r="P78" i="12" s="1"/>
  <c r="GH76" i="8" s="1"/>
  <c r="AD79" i="3"/>
  <c r="P79" i="12" s="1"/>
  <c r="GH77" i="8" s="1"/>
  <c r="AD80" i="3"/>
  <c r="P80" i="12" s="1"/>
  <c r="GH78" i="8" s="1"/>
  <c r="AD81" i="3"/>
  <c r="P81" i="12" s="1"/>
  <c r="GH79" i="8" s="1"/>
  <c r="AD82" i="3"/>
  <c r="P82" i="12" s="1"/>
  <c r="GH80" i="8" s="1"/>
  <c r="AD83" i="3"/>
  <c r="P83" i="12" s="1"/>
  <c r="GH81" i="8" s="1"/>
  <c r="AD84" i="3"/>
  <c r="P84" i="12" s="1"/>
  <c r="GH82" i="8" s="1"/>
  <c r="AD85" i="3"/>
  <c r="P85" i="12" s="1"/>
  <c r="GH83" i="8" s="1"/>
  <c r="AD86" i="3"/>
  <c r="P86" i="12" s="1"/>
  <c r="GH84" i="8" s="1"/>
  <c r="AD87" i="3"/>
  <c r="P87" i="12" s="1"/>
  <c r="GH85" i="8" s="1"/>
  <c r="AD88" i="3"/>
  <c r="P88" i="12" s="1"/>
  <c r="GH86" i="8" s="1"/>
  <c r="AD89" i="3"/>
  <c r="P89" i="12" s="1"/>
  <c r="GH87" i="8" s="1"/>
  <c r="AD90" i="3"/>
  <c r="P90" i="12" s="1"/>
  <c r="GH88" i="8" s="1"/>
  <c r="AD91" i="3"/>
  <c r="P91" i="12" s="1"/>
  <c r="GH89" i="8" s="1"/>
  <c r="AD92" i="3"/>
  <c r="P92" i="12" s="1"/>
  <c r="GH90" i="8" s="1"/>
  <c r="AD93" i="3"/>
  <c r="P93" i="12" s="1"/>
  <c r="GH91" i="8" s="1"/>
  <c r="AD94" i="3"/>
  <c r="P94" i="12" s="1"/>
  <c r="GH92" i="8" s="1"/>
  <c r="AD95" i="3"/>
  <c r="P95" i="12" s="1"/>
  <c r="GH93" i="8" s="1"/>
  <c r="AD96" i="3"/>
  <c r="P96" i="12" s="1"/>
  <c r="GH94" i="8" s="1"/>
  <c r="AD97" i="3"/>
  <c r="P97" i="12" s="1"/>
  <c r="GH95" i="8" s="1"/>
  <c r="AD98" i="3"/>
  <c r="P98" i="12" s="1"/>
  <c r="GH96" i="8" s="1"/>
  <c r="AD99" i="3"/>
  <c r="P99" i="12" s="1"/>
  <c r="GH97"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D4" i="3"/>
  <c r="P4" i="12" s="1"/>
  <c r="GH2" i="8" s="1"/>
  <c r="AC4" i="3"/>
  <c r="GC2" i="8" s="1"/>
  <c r="AB4" i="3"/>
  <c r="GB2" i="8" s="1"/>
  <c r="R26" i="1"/>
  <c r="Z5" i="3" s="1"/>
  <c r="N5" i="12" s="1"/>
  <c r="GA3" i="8" s="1"/>
  <c r="Z11" i="3"/>
  <c r="N11" i="12" s="1"/>
  <c r="GA9" i="8" s="1"/>
  <c r="Z12" i="3"/>
  <c r="N12" i="12" s="1"/>
  <c r="GA10" i="8" s="1"/>
  <c r="Z13" i="3"/>
  <c r="N13" i="12" s="1"/>
  <c r="GA11" i="8" s="1"/>
  <c r="Z14" i="3"/>
  <c r="N14" i="12" s="1"/>
  <c r="GA12" i="8" s="1"/>
  <c r="Z15" i="3"/>
  <c r="N15" i="12" s="1"/>
  <c r="GA13" i="8" s="1"/>
  <c r="Z16" i="3"/>
  <c r="N16" i="12" s="1"/>
  <c r="GA14" i="8" s="1"/>
  <c r="Z17" i="3"/>
  <c r="N17" i="12" s="1"/>
  <c r="GA15" i="8" s="1"/>
  <c r="Z18" i="3"/>
  <c r="N18" i="12" s="1"/>
  <c r="GA16" i="8" s="1"/>
  <c r="Z19" i="3"/>
  <c r="N19" i="12" s="1"/>
  <c r="GA17" i="8" s="1"/>
  <c r="Z20" i="3"/>
  <c r="N20" i="12" s="1"/>
  <c r="GA18" i="8" s="1"/>
  <c r="Z21" i="3"/>
  <c r="N21" i="12" s="1"/>
  <c r="GA19" i="8" s="1"/>
  <c r="Z22" i="3"/>
  <c r="N22" i="12" s="1"/>
  <c r="GA20" i="8" s="1"/>
  <c r="Z23" i="3"/>
  <c r="N23" i="12" s="1"/>
  <c r="GA21" i="8" s="1"/>
  <c r="Z24" i="3"/>
  <c r="N24" i="12" s="1"/>
  <c r="GA22" i="8" s="1"/>
  <c r="Z25" i="3"/>
  <c r="N25" i="12" s="1"/>
  <c r="GA23" i="8" s="1"/>
  <c r="Z26" i="3"/>
  <c r="N26" i="12" s="1"/>
  <c r="GA24" i="8" s="1"/>
  <c r="Z27" i="3"/>
  <c r="N27" i="12" s="1"/>
  <c r="GA25" i="8" s="1"/>
  <c r="Z28" i="3"/>
  <c r="N28" i="12" s="1"/>
  <c r="GA26" i="8" s="1"/>
  <c r="Z29" i="3"/>
  <c r="N29" i="12" s="1"/>
  <c r="GA27" i="8" s="1"/>
  <c r="Z30" i="3"/>
  <c r="N30" i="12" s="1"/>
  <c r="GA28" i="8" s="1"/>
  <c r="Z31" i="3"/>
  <c r="N31" i="12" s="1"/>
  <c r="GA29" i="8" s="1"/>
  <c r="Z32" i="3"/>
  <c r="N32" i="12" s="1"/>
  <c r="GA30" i="8" s="1"/>
  <c r="Z33" i="3"/>
  <c r="N33" i="12" s="1"/>
  <c r="GA31" i="8" s="1"/>
  <c r="Z34" i="3"/>
  <c r="N34" i="12" s="1"/>
  <c r="GA32" i="8" s="1"/>
  <c r="Z35" i="3"/>
  <c r="N35" i="12" s="1"/>
  <c r="GA33" i="8" s="1"/>
  <c r="Z36" i="3"/>
  <c r="N36" i="12" s="1"/>
  <c r="GA34" i="8" s="1"/>
  <c r="Z37" i="3"/>
  <c r="N37" i="12" s="1"/>
  <c r="GA35" i="8" s="1"/>
  <c r="Z38" i="3"/>
  <c r="N38" i="12" s="1"/>
  <c r="GA36" i="8" s="1"/>
  <c r="Z39" i="3"/>
  <c r="N39" i="12" s="1"/>
  <c r="GA37" i="8" s="1"/>
  <c r="Z40" i="3"/>
  <c r="N40" i="12" s="1"/>
  <c r="GA38" i="8" s="1"/>
  <c r="Z41" i="3"/>
  <c r="N41" i="12" s="1"/>
  <c r="GA39" i="8" s="1"/>
  <c r="Z42" i="3"/>
  <c r="N42" i="12" s="1"/>
  <c r="GA40" i="8" s="1"/>
  <c r="Z43" i="3"/>
  <c r="N43" i="12" s="1"/>
  <c r="GA41" i="8" s="1"/>
  <c r="Z44" i="3"/>
  <c r="N44" i="12" s="1"/>
  <c r="GA42" i="8" s="1"/>
  <c r="Z45" i="3"/>
  <c r="N45" i="12" s="1"/>
  <c r="GA43" i="8" s="1"/>
  <c r="Z46" i="3"/>
  <c r="N46" i="12" s="1"/>
  <c r="GA44" i="8" s="1"/>
  <c r="Z47" i="3"/>
  <c r="N47" i="12" s="1"/>
  <c r="GA45" i="8" s="1"/>
  <c r="Z48" i="3"/>
  <c r="N48" i="12" s="1"/>
  <c r="GA46" i="8" s="1"/>
  <c r="Z49" i="3"/>
  <c r="N49" i="12" s="1"/>
  <c r="GA47" i="8" s="1"/>
  <c r="Z50" i="3"/>
  <c r="N50" i="12" s="1"/>
  <c r="GA48" i="8" s="1"/>
  <c r="Z51" i="3"/>
  <c r="N51" i="12" s="1"/>
  <c r="GA49" i="8" s="1"/>
  <c r="Z52" i="3"/>
  <c r="N52" i="12" s="1"/>
  <c r="GA50" i="8" s="1"/>
  <c r="Z53" i="3"/>
  <c r="N53" i="12" s="1"/>
  <c r="GA51" i="8" s="1"/>
  <c r="Z54" i="3"/>
  <c r="N54" i="12" s="1"/>
  <c r="GA52" i="8" s="1"/>
  <c r="Z55" i="3"/>
  <c r="N55" i="12" s="1"/>
  <c r="GA53" i="8" s="1"/>
  <c r="Z56" i="3"/>
  <c r="N56" i="12" s="1"/>
  <c r="GA54" i="8" s="1"/>
  <c r="Z57" i="3"/>
  <c r="N57" i="12" s="1"/>
  <c r="GA55" i="8" s="1"/>
  <c r="Z58" i="3"/>
  <c r="N58" i="12" s="1"/>
  <c r="GA56" i="8" s="1"/>
  <c r="Z59" i="3"/>
  <c r="N59" i="12" s="1"/>
  <c r="GA57" i="8" s="1"/>
  <c r="Z60" i="3"/>
  <c r="N60" i="12" s="1"/>
  <c r="GA58" i="8" s="1"/>
  <c r="Z61" i="3"/>
  <c r="N61" i="12" s="1"/>
  <c r="GA59" i="8" s="1"/>
  <c r="Z62" i="3"/>
  <c r="N62" i="12" s="1"/>
  <c r="GA60" i="8" s="1"/>
  <c r="Z63" i="3"/>
  <c r="N63" i="12" s="1"/>
  <c r="GA61" i="8" s="1"/>
  <c r="Z64" i="3"/>
  <c r="N64" i="12" s="1"/>
  <c r="GA62" i="8" s="1"/>
  <c r="Z65" i="3"/>
  <c r="N65" i="12" s="1"/>
  <c r="GA63" i="8" s="1"/>
  <c r="Z66" i="3"/>
  <c r="N66" i="12" s="1"/>
  <c r="GA64" i="8" s="1"/>
  <c r="Z67" i="3"/>
  <c r="N67" i="12" s="1"/>
  <c r="GA65" i="8" s="1"/>
  <c r="Z68" i="3"/>
  <c r="N68" i="12" s="1"/>
  <c r="GA66" i="8" s="1"/>
  <c r="Z69" i="3"/>
  <c r="N69" i="12" s="1"/>
  <c r="GA67" i="8" s="1"/>
  <c r="Z70" i="3"/>
  <c r="N70" i="12" s="1"/>
  <c r="GA68" i="8" s="1"/>
  <c r="Z71" i="3"/>
  <c r="N71" i="12" s="1"/>
  <c r="GA69" i="8" s="1"/>
  <c r="Z72" i="3"/>
  <c r="N72" i="12" s="1"/>
  <c r="GA70" i="8" s="1"/>
  <c r="Z73" i="3"/>
  <c r="N73" i="12" s="1"/>
  <c r="GA71" i="8" s="1"/>
  <c r="Z74" i="3"/>
  <c r="N74" i="12" s="1"/>
  <c r="GA72" i="8" s="1"/>
  <c r="Z75" i="3"/>
  <c r="N75" i="12" s="1"/>
  <c r="GA73" i="8" s="1"/>
  <c r="Z76" i="3"/>
  <c r="N76" i="12" s="1"/>
  <c r="GA74" i="8" s="1"/>
  <c r="Z77" i="3"/>
  <c r="N77" i="12" s="1"/>
  <c r="GA75" i="8" s="1"/>
  <c r="Z78" i="3"/>
  <c r="N78" i="12" s="1"/>
  <c r="GA76" i="8" s="1"/>
  <c r="Z79" i="3"/>
  <c r="N79" i="12" s="1"/>
  <c r="GA77" i="8" s="1"/>
  <c r="Z80" i="3"/>
  <c r="N80" i="12" s="1"/>
  <c r="GA78" i="8" s="1"/>
  <c r="Z81" i="3"/>
  <c r="N81" i="12" s="1"/>
  <c r="GA79" i="8" s="1"/>
  <c r="Z82" i="3"/>
  <c r="N82" i="12" s="1"/>
  <c r="GA80" i="8" s="1"/>
  <c r="Z83" i="3"/>
  <c r="N83" i="12" s="1"/>
  <c r="GA81" i="8" s="1"/>
  <c r="Z84" i="3"/>
  <c r="N84" i="12" s="1"/>
  <c r="GA82" i="8" s="1"/>
  <c r="Z85" i="3"/>
  <c r="N85" i="12" s="1"/>
  <c r="GA83" i="8" s="1"/>
  <c r="Z86" i="3"/>
  <c r="N86" i="12" s="1"/>
  <c r="GA84" i="8" s="1"/>
  <c r="Z87" i="3"/>
  <c r="N87" i="12" s="1"/>
  <c r="GA85" i="8" s="1"/>
  <c r="Z88" i="3"/>
  <c r="N88" i="12" s="1"/>
  <c r="GA86" i="8" s="1"/>
  <c r="Z89" i="3"/>
  <c r="N89" i="12" s="1"/>
  <c r="GA87" i="8" s="1"/>
  <c r="Z90" i="3"/>
  <c r="N90" i="12" s="1"/>
  <c r="GA88" i="8" s="1"/>
  <c r="Z91" i="3"/>
  <c r="N91" i="12" s="1"/>
  <c r="GA89" i="8" s="1"/>
  <c r="Z92" i="3"/>
  <c r="N92" i="12" s="1"/>
  <c r="GA90" i="8" s="1"/>
  <c r="Z93" i="3"/>
  <c r="N93" i="12" s="1"/>
  <c r="GA91" i="8" s="1"/>
  <c r="Z94" i="3"/>
  <c r="N94" i="12" s="1"/>
  <c r="GA92" i="8" s="1"/>
  <c r="Z95" i="3"/>
  <c r="N95" i="12" s="1"/>
  <c r="GA93" i="8" s="1"/>
  <c r="Z96" i="3"/>
  <c r="N96" i="12" s="1"/>
  <c r="GA94" i="8" s="1"/>
  <c r="Z97" i="3"/>
  <c r="N97" i="12" s="1"/>
  <c r="GA95" i="8" s="1"/>
  <c r="Z98" i="3"/>
  <c r="N98" i="12" s="1"/>
  <c r="GA96" i="8" s="1"/>
  <c r="Z99" i="3"/>
  <c r="N99" i="12" s="1"/>
  <c r="GA97"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V4" i="3"/>
  <c r="L4" i="12" s="1"/>
  <c r="FT2" i="8" s="1"/>
  <c r="Y4" i="3"/>
  <c r="FV2" i="8" s="1"/>
  <c r="U4" i="3"/>
  <c r="FO2" i="8" s="1"/>
  <c r="X4" i="3"/>
  <c r="FU2" i="8" s="1"/>
  <c r="T4" i="3"/>
  <c r="FN2" i="8" s="1"/>
  <c r="V5" i="3"/>
  <c r="L5" i="12" s="1"/>
  <c r="FT3" i="8" s="1"/>
  <c r="V6" i="3"/>
  <c r="L6" i="12" s="1"/>
  <c r="FT4" i="8" s="1"/>
  <c r="V7" i="3"/>
  <c r="L7" i="12" s="1"/>
  <c r="FT5" i="8" s="1"/>
  <c r="V8" i="3"/>
  <c r="L8" i="12" s="1"/>
  <c r="FT6" i="8" s="1"/>
  <c r="V9" i="3"/>
  <c r="L9" i="12" s="1"/>
  <c r="FT7" i="8" s="1"/>
  <c r="V10" i="3"/>
  <c r="L10" i="12" s="1"/>
  <c r="FT8" i="8" s="1"/>
  <c r="V11" i="3"/>
  <c r="L11" i="12" s="1"/>
  <c r="FT9" i="8" s="1"/>
  <c r="V12" i="3"/>
  <c r="L12" i="12" s="1"/>
  <c r="FT10" i="8" s="1"/>
  <c r="V13" i="3"/>
  <c r="L13" i="12" s="1"/>
  <c r="FT11" i="8" s="1"/>
  <c r="V14" i="3"/>
  <c r="L14" i="12" s="1"/>
  <c r="FT12" i="8" s="1"/>
  <c r="V15" i="3"/>
  <c r="L15" i="12" s="1"/>
  <c r="FT13" i="8" s="1"/>
  <c r="V16" i="3"/>
  <c r="L16" i="12" s="1"/>
  <c r="FT14" i="8" s="1"/>
  <c r="V17" i="3"/>
  <c r="L17" i="12" s="1"/>
  <c r="FT15" i="8" s="1"/>
  <c r="V18" i="3"/>
  <c r="L18" i="12" s="1"/>
  <c r="FT16" i="8" s="1"/>
  <c r="V19" i="3"/>
  <c r="L19" i="12" s="1"/>
  <c r="FT17" i="8" s="1"/>
  <c r="V20" i="3"/>
  <c r="L20" i="12" s="1"/>
  <c r="FT18" i="8" s="1"/>
  <c r="V21" i="3"/>
  <c r="L21" i="12" s="1"/>
  <c r="FT19" i="8" s="1"/>
  <c r="V22" i="3"/>
  <c r="L22" i="12" s="1"/>
  <c r="FT20" i="8" s="1"/>
  <c r="V23" i="3"/>
  <c r="L23" i="12" s="1"/>
  <c r="FT21" i="8" s="1"/>
  <c r="V24" i="3"/>
  <c r="L24" i="12" s="1"/>
  <c r="FT22" i="8" s="1"/>
  <c r="V25" i="3"/>
  <c r="L25" i="12" s="1"/>
  <c r="FT23" i="8" s="1"/>
  <c r="V26" i="3"/>
  <c r="L26" i="12" s="1"/>
  <c r="FT24" i="8" s="1"/>
  <c r="V27" i="3"/>
  <c r="L27" i="12" s="1"/>
  <c r="FT25" i="8" s="1"/>
  <c r="V28" i="3"/>
  <c r="L28" i="12" s="1"/>
  <c r="FT26" i="8" s="1"/>
  <c r="V29" i="3"/>
  <c r="L29" i="12" s="1"/>
  <c r="FT27" i="8" s="1"/>
  <c r="V30" i="3"/>
  <c r="L30" i="12" s="1"/>
  <c r="FT28" i="8" s="1"/>
  <c r="V31" i="3"/>
  <c r="L31" i="12" s="1"/>
  <c r="FT29" i="8" s="1"/>
  <c r="V32" i="3"/>
  <c r="L32" i="12" s="1"/>
  <c r="FT30" i="8" s="1"/>
  <c r="V33" i="3"/>
  <c r="L33" i="12" s="1"/>
  <c r="FT31" i="8" s="1"/>
  <c r="V34" i="3"/>
  <c r="L34" i="12" s="1"/>
  <c r="FT32" i="8" s="1"/>
  <c r="V35" i="3"/>
  <c r="L35" i="12" s="1"/>
  <c r="FT33" i="8" s="1"/>
  <c r="V36" i="3"/>
  <c r="L36" i="12" s="1"/>
  <c r="FT34" i="8" s="1"/>
  <c r="V37" i="3"/>
  <c r="L37" i="12" s="1"/>
  <c r="FT35" i="8" s="1"/>
  <c r="V38" i="3"/>
  <c r="L38" i="12" s="1"/>
  <c r="FT36" i="8" s="1"/>
  <c r="V39" i="3"/>
  <c r="L39" i="12" s="1"/>
  <c r="FT37" i="8" s="1"/>
  <c r="V40" i="3"/>
  <c r="L40" i="12" s="1"/>
  <c r="FT38" i="8" s="1"/>
  <c r="V41" i="3"/>
  <c r="L41" i="12" s="1"/>
  <c r="FT39" i="8" s="1"/>
  <c r="V42" i="3"/>
  <c r="L42" i="12" s="1"/>
  <c r="FT40" i="8" s="1"/>
  <c r="V43" i="3"/>
  <c r="L43" i="12" s="1"/>
  <c r="FT41" i="8" s="1"/>
  <c r="V44" i="3"/>
  <c r="L44" i="12" s="1"/>
  <c r="FT42" i="8" s="1"/>
  <c r="V45" i="3"/>
  <c r="L45" i="12" s="1"/>
  <c r="FT43" i="8" s="1"/>
  <c r="V46" i="3"/>
  <c r="L46" i="12" s="1"/>
  <c r="FT44" i="8" s="1"/>
  <c r="V47" i="3"/>
  <c r="L47" i="12" s="1"/>
  <c r="FT45" i="8" s="1"/>
  <c r="V48" i="3"/>
  <c r="L48" i="12" s="1"/>
  <c r="FT46" i="8" s="1"/>
  <c r="V49" i="3"/>
  <c r="L49" i="12" s="1"/>
  <c r="FT47" i="8" s="1"/>
  <c r="V50" i="3"/>
  <c r="L50" i="12" s="1"/>
  <c r="FT48" i="8" s="1"/>
  <c r="V51" i="3"/>
  <c r="L51" i="12" s="1"/>
  <c r="FT49" i="8" s="1"/>
  <c r="V52" i="3"/>
  <c r="L52" i="12" s="1"/>
  <c r="FT50" i="8" s="1"/>
  <c r="V53" i="3"/>
  <c r="L53" i="12" s="1"/>
  <c r="FT51" i="8" s="1"/>
  <c r="V54" i="3"/>
  <c r="L54" i="12" s="1"/>
  <c r="FT52" i="8" s="1"/>
  <c r="V55" i="3"/>
  <c r="L55" i="12" s="1"/>
  <c r="FT53" i="8" s="1"/>
  <c r="V56" i="3"/>
  <c r="L56" i="12" s="1"/>
  <c r="FT54" i="8" s="1"/>
  <c r="V57" i="3"/>
  <c r="L57" i="12" s="1"/>
  <c r="FT55" i="8" s="1"/>
  <c r="V58" i="3"/>
  <c r="L58" i="12" s="1"/>
  <c r="FT56" i="8" s="1"/>
  <c r="V59" i="3"/>
  <c r="L59" i="12" s="1"/>
  <c r="FT57" i="8" s="1"/>
  <c r="V60" i="3"/>
  <c r="L60" i="12" s="1"/>
  <c r="FT58" i="8" s="1"/>
  <c r="V61" i="3"/>
  <c r="L61" i="12" s="1"/>
  <c r="FT59" i="8" s="1"/>
  <c r="V62" i="3"/>
  <c r="L62" i="12" s="1"/>
  <c r="FT60" i="8" s="1"/>
  <c r="V63" i="3"/>
  <c r="L63" i="12" s="1"/>
  <c r="FT61" i="8" s="1"/>
  <c r="V64" i="3"/>
  <c r="L64" i="12" s="1"/>
  <c r="FT62" i="8" s="1"/>
  <c r="V65" i="3"/>
  <c r="L65" i="12" s="1"/>
  <c r="FT63" i="8" s="1"/>
  <c r="V66" i="3"/>
  <c r="L66" i="12" s="1"/>
  <c r="FT64" i="8" s="1"/>
  <c r="V67" i="3"/>
  <c r="L67" i="12" s="1"/>
  <c r="FT65" i="8" s="1"/>
  <c r="V68" i="3"/>
  <c r="L68" i="12" s="1"/>
  <c r="FT66" i="8" s="1"/>
  <c r="V69" i="3"/>
  <c r="L69" i="12" s="1"/>
  <c r="FT67" i="8" s="1"/>
  <c r="V70" i="3"/>
  <c r="L70" i="12" s="1"/>
  <c r="FT68" i="8" s="1"/>
  <c r="V71" i="3"/>
  <c r="L71" i="12" s="1"/>
  <c r="FT69" i="8" s="1"/>
  <c r="V72" i="3"/>
  <c r="L72" i="12" s="1"/>
  <c r="FT70" i="8" s="1"/>
  <c r="V73" i="3"/>
  <c r="L73" i="12" s="1"/>
  <c r="FT71" i="8" s="1"/>
  <c r="V74" i="3"/>
  <c r="L74" i="12" s="1"/>
  <c r="FT72" i="8" s="1"/>
  <c r="V75" i="3"/>
  <c r="L75" i="12" s="1"/>
  <c r="FT73" i="8" s="1"/>
  <c r="V76" i="3"/>
  <c r="L76" i="12" s="1"/>
  <c r="FT74" i="8" s="1"/>
  <c r="V77" i="3"/>
  <c r="L77" i="12" s="1"/>
  <c r="FT75" i="8" s="1"/>
  <c r="V78" i="3"/>
  <c r="L78" i="12" s="1"/>
  <c r="FT76" i="8" s="1"/>
  <c r="V79" i="3"/>
  <c r="L79" i="12" s="1"/>
  <c r="FT77" i="8" s="1"/>
  <c r="V80" i="3"/>
  <c r="L80" i="12" s="1"/>
  <c r="FT78" i="8" s="1"/>
  <c r="V81" i="3"/>
  <c r="L81" i="12" s="1"/>
  <c r="FT79" i="8" s="1"/>
  <c r="V82" i="3"/>
  <c r="L82" i="12" s="1"/>
  <c r="FT80" i="8" s="1"/>
  <c r="V83" i="3"/>
  <c r="L83" i="12" s="1"/>
  <c r="FT81" i="8" s="1"/>
  <c r="V84" i="3"/>
  <c r="L84" i="12" s="1"/>
  <c r="FT82" i="8" s="1"/>
  <c r="V85" i="3"/>
  <c r="L85" i="12" s="1"/>
  <c r="FT83" i="8" s="1"/>
  <c r="V86" i="3"/>
  <c r="L86" i="12" s="1"/>
  <c r="FT84" i="8" s="1"/>
  <c r="V87" i="3"/>
  <c r="L87" i="12" s="1"/>
  <c r="FT85" i="8" s="1"/>
  <c r="V88" i="3"/>
  <c r="L88" i="12" s="1"/>
  <c r="FT86" i="8" s="1"/>
  <c r="V89" i="3"/>
  <c r="L89" i="12" s="1"/>
  <c r="FT87" i="8" s="1"/>
  <c r="V90" i="3"/>
  <c r="L90" i="12" s="1"/>
  <c r="FT88" i="8" s="1"/>
  <c r="V91" i="3"/>
  <c r="L91" i="12" s="1"/>
  <c r="FT89" i="8" s="1"/>
  <c r="V92" i="3"/>
  <c r="L92" i="12" s="1"/>
  <c r="FT90" i="8" s="1"/>
  <c r="V93" i="3"/>
  <c r="L93" i="12" s="1"/>
  <c r="FT91" i="8" s="1"/>
  <c r="V94" i="3"/>
  <c r="L94" i="12" s="1"/>
  <c r="FT92" i="8" s="1"/>
  <c r="V95" i="3"/>
  <c r="L95" i="12" s="1"/>
  <c r="FT93" i="8" s="1"/>
  <c r="V96" i="3"/>
  <c r="L96" i="12" s="1"/>
  <c r="FT94" i="8" s="1"/>
  <c r="V97" i="3"/>
  <c r="L97" i="12" s="1"/>
  <c r="FT95" i="8" s="1"/>
  <c r="V98" i="3"/>
  <c r="L98" i="12" s="1"/>
  <c r="FT96" i="8" s="1"/>
  <c r="V99" i="3"/>
  <c r="L99" i="12" s="1"/>
  <c r="FT97" i="8" s="1"/>
  <c r="R4" i="3"/>
  <c r="J4" i="12" s="1"/>
  <c r="FM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R5" i="3"/>
  <c r="J5" i="12" s="1"/>
  <c r="FM3" i="8" s="1"/>
  <c r="R6" i="3"/>
  <c r="J6" i="12" s="1"/>
  <c r="FM4" i="8" s="1"/>
  <c r="R7" i="3"/>
  <c r="J7" i="12" s="1"/>
  <c r="FM5" i="8" s="1"/>
  <c r="R8" i="3"/>
  <c r="J8" i="12" s="1"/>
  <c r="FM6" i="8" s="1"/>
  <c r="R9" i="3"/>
  <c r="J9" i="12" s="1"/>
  <c r="FM7" i="8" s="1"/>
  <c r="R10" i="3"/>
  <c r="J10" i="12" s="1"/>
  <c r="FM8" i="8" s="1"/>
  <c r="R11" i="3"/>
  <c r="J11" i="12" s="1"/>
  <c r="FM9" i="8" s="1"/>
  <c r="R12" i="3"/>
  <c r="J12" i="12" s="1"/>
  <c r="FM10" i="8" s="1"/>
  <c r="R13" i="3"/>
  <c r="J13" i="12" s="1"/>
  <c r="FM11" i="8" s="1"/>
  <c r="R14" i="3"/>
  <c r="J14" i="12" s="1"/>
  <c r="FM12" i="8" s="1"/>
  <c r="R15" i="3"/>
  <c r="J15" i="12" s="1"/>
  <c r="FM13" i="8" s="1"/>
  <c r="R16" i="3"/>
  <c r="J16" i="12" s="1"/>
  <c r="FM14" i="8" s="1"/>
  <c r="R17" i="3"/>
  <c r="J17" i="12" s="1"/>
  <c r="FM15" i="8" s="1"/>
  <c r="R18" i="3"/>
  <c r="J18" i="12" s="1"/>
  <c r="FM16" i="8" s="1"/>
  <c r="R19" i="3"/>
  <c r="J19" i="12" s="1"/>
  <c r="FM17" i="8" s="1"/>
  <c r="R20" i="3"/>
  <c r="J20" i="12" s="1"/>
  <c r="FM18" i="8" s="1"/>
  <c r="R21" i="3"/>
  <c r="J21" i="12" s="1"/>
  <c r="FM19" i="8" s="1"/>
  <c r="R22" i="3"/>
  <c r="J22" i="12" s="1"/>
  <c r="FM20" i="8" s="1"/>
  <c r="R23" i="3"/>
  <c r="J23" i="12" s="1"/>
  <c r="FM21" i="8" s="1"/>
  <c r="R24" i="3"/>
  <c r="J24" i="12" s="1"/>
  <c r="FM22" i="8" s="1"/>
  <c r="R25" i="3"/>
  <c r="J25" i="12" s="1"/>
  <c r="FM23" i="8" s="1"/>
  <c r="R26" i="3"/>
  <c r="J26" i="12" s="1"/>
  <c r="FM24" i="8" s="1"/>
  <c r="R27" i="3"/>
  <c r="J27" i="12" s="1"/>
  <c r="FM25" i="8" s="1"/>
  <c r="R28" i="3"/>
  <c r="J28" i="12" s="1"/>
  <c r="FM26" i="8" s="1"/>
  <c r="R29" i="3"/>
  <c r="J29" i="12" s="1"/>
  <c r="FM27" i="8" s="1"/>
  <c r="R30" i="3"/>
  <c r="J30" i="12" s="1"/>
  <c r="FM28" i="8" s="1"/>
  <c r="R31" i="3"/>
  <c r="J31" i="12" s="1"/>
  <c r="FM29" i="8" s="1"/>
  <c r="R32" i="3"/>
  <c r="J32" i="12" s="1"/>
  <c r="FM30" i="8" s="1"/>
  <c r="R33" i="3"/>
  <c r="J33" i="12" s="1"/>
  <c r="FM31" i="8" s="1"/>
  <c r="R34" i="3"/>
  <c r="J34" i="12" s="1"/>
  <c r="FM32" i="8" s="1"/>
  <c r="R35" i="3"/>
  <c r="J35" i="12" s="1"/>
  <c r="FM33" i="8" s="1"/>
  <c r="R36" i="3"/>
  <c r="J36" i="12" s="1"/>
  <c r="FM34" i="8" s="1"/>
  <c r="R37" i="3"/>
  <c r="J37" i="12" s="1"/>
  <c r="FM35" i="8" s="1"/>
  <c r="R38" i="3"/>
  <c r="J38" i="12" s="1"/>
  <c r="FM36" i="8" s="1"/>
  <c r="R39" i="3"/>
  <c r="J39" i="12" s="1"/>
  <c r="FM37" i="8" s="1"/>
  <c r="R40" i="3"/>
  <c r="J40" i="12" s="1"/>
  <c r="FM38" i="8" s="1"/>
  <c r="R41" i="3"/>
  <c r="J41" i="12" s="1"/>
  <c r="FM39" i="8" s="1"/>
  <c r="R42" i="3"/>
  <c r="J42" i="12" s="1"/>
  <c r="FM40" i="8" s="1"/>
  <c r="R43" i="3"/>
  <c r="J43" i="12" s="1"/>
  <c r="FM41" i="8" s="1"/>
  <c r="R44" i="3"/>
  <c r="J44" i="12" s="1"/>
  <c r="FM42" i="8" s="1"/>
  <c r="R45" i="3"/>
  <c r="J45" i="12" s="1"/>
  <c r="FM43" i="8" s="1"/>
  <c r="R46" i="3"/>
  <c r="J46" i="12" s="1"/>
  <c r="FM44" i="8" s="1"/>
  <c r="R47" i="3"/>
  <c r="J47" i="12" s="1"/>
  <c r="FM45" i="8" s="1"/>
  <c r="R48" i="3"/>
  <c r="J48" i="12" s="1"/>
  <c r="FM46" i="8" s="1"/>
  <c r="R49" i="3"/>
  <c r="J49" i="12" s="1"/>
  <c r="FM47" i="8" s="1"/>
  <c r="R50" i="3"/>
  <c r="J50" i="12" s="1"/>
  <c r="FM48" i="8" s="1"/>
  <c r="R51" i="3"/>
  <c r="J51" i="12" s="1"/>
  <c r="FM49" i="8" s="1"/>
  <c r="R52" i="3"/>
  <c r="J52" i="12" s="1"/>
  <c r="FM50" i="8" s="1"/>
  <c r="R53" i="3"/>
  <c r="J53" i="12" s="1"/>
  <c r="FM51" i="8" s="1"/>
  <c r="R54" i="3"/>
  <c r="J54" i="12" s="1"/>
  <c r="FM52" i="8" s="1"/>
  <c r="R55" i="3"/>
  <c r="J55" i="12" s="1"/>
  <c r="FM53" i="8" s="1"/>
  <c r="R56" i="3"/>
  <c r="J56" i="12" s="1"/>
  <c r="FM54" i="8" s="1"/>
  <c r="R57" i="3"/>
  <c r="J57" i="12" s="1"/>
  <c r="FM55" i="8" s="1"/>
  <c r="R58" i="3"/>
  <c r="J58" i="12" s="1"/>
  <c r="FM56" i="8" s="1"/>
  <c r="R59" i="3"/>
  <c r="J59" i="12" s="1"/>
  <c r="FM57" i="8" s="1"/>
  <c r="R60" i="3"/>
  <c r="J60" i="12" s="1"/>
  <c r="FM58" i="8" s="1"/>
  <c r="R61" i="3"/>
  <c r="J61" i="12" s="1"/>
  <c r="FM59" i="8" s="1"/>
  <c r="R62" i="3"/>
  <c r="J62" i="12" s="1"/>
  <c r="FM60" i="8" s="1"/>
  <c r="R63" i="3"/>
  <c r="J63" i="12" s="1"/>
  <c r="FM61" i="8" s="1"/>
  <c r="R64" i="3"/>
  <c r="J64" i="12" s="1"/>
  <c r="FM62" i="8" s="1"/>
  <c r="R65" i="3"/>
  <c r="J65" i="12" s="1"/>
  <c r="FM63" i="8" s="1"/>
  <c r="R66" i="3"/>
  <c r="J66" i="12" s="1"/>
  <c r="FM64" i="8" s="1"/>
  <c r="R67" i="3"/>
  <c r="J67" i="12" s="1"/>
  <c r="FM65" i="8" s="1"/>
  <c r="R68" i="3"/>
  <c r="J68" i="12" s="1"/>
  <c r="FM66" i="8" s="1"/>
  <c r="R69" i="3"/>
  <c r="J69" i="12" s="1"/>
  <c r="FM67" i="8" s="1"/>
  <c r="R70" i="3"/>
  <c r="J70" i="12" s="1"/>
  <c r="FM68" i="8" s="1"/>
  <c r="R71" i="3"/>
  <c r="J71" i="12" s="1"/>
  <c r="FM69" i="8" s="1"/>
  <c r="R72" i="3"/>
  <c r="J72" i="12" s="1"/>
  <c r="FM70" i="8" s="1"/>
  <c r="R73" i="3"/>
  <c r="J73" i="12" s="1"/>
  <c r="FM71" i="8" s="1"/>
  <c r="R74" i="3"/>
  <c r="J74" i="12" s="1"/>
  <c r="FM72" i="8" s="1"/>
  <c r="R75" i="3"/>
  <c r="J75" i="12" s="1"/>
  <c r="FM73" i="8" s="1"/>
  <c r="R76" i="3"/>
  <c r="J76" i="12" s="1"/>
  <c r="FM74" i="8" s="1"/>
  <c r="R77" i="3"/>
  <c r="J77" i="12" s="1"/>
  <c r="FM75" i="8" s="1"/>
  <c r="R78" i="3"/>
  <c r="J78" i="12" s="1"/>
  <c r="FM76" i="8" s="1"/>
  <c r="R79" i="3"/>
  <c r="J79" i="12" s="1"/>
  <c r="FM77" i="8" s="1"/>
  <c r="R80" i="3"/>
  <c r="J80" i="12" s="1"/>
  <c r="FM78" i="8" s="1"/>
  <c r="R81" i="3"/>
  <c r="J81" i="12" s="1"/>
  <c r="FM79" i="8" s="1"/>
  <c r="R82" i="3"/>
  <c r="J82" i="12" s="1"/>
  <c r="FM80" i="8" s="1"/>
  <c r="R83" i="3"/>
  <c r="J83" i="12" s="1"/>
  <c r="FM81" i="8" s="1"/>
  <c r="R84" i="3"/>
  <c r="J84" i="12" s="1"/>
  <c r="FM82" i="8" s="1"/>
  <c r="R85" i="3"/>
  <c r="J85" i="12" s="1"/>
  <c r="FM83" i="8" s="1"/>
  <c r="R86" i="3"/>
  <c r="J86" i="12" s="1"/>
  <c r="FM84" i="8" s="1"/>
  <c r="R87" i="3"/>
  <c r="J87" i="12" s="1"/>
  <c r="FM85" i="8" s="1"/>
  <c r="R88" i="3"/>
  <c r="J88" i="12" s="1"/>
  <c r="FM86" i="8" s="1"/>
  <c r="R89" i="3"/>
  <c r="J89" i="12" s="1"/>
  <c r="FM87" i="8" s="1"/>
  <c r="R90" i="3"/>
  <c r="J90" i="12" s="1"/>
  <c r="FM88" i="8" s="1"/>
  <c r="R91" i="3"/>
  <c r="J91" i="12" s="1"/>
  <c r="FM89" i="8" s="1"/>
  <c r="R92" i="3"/>
  <c r="J92" i="12" s="1"/>
  <c r="FM90" i="8" s="1"/>
  <c r="R93" i="3"/>
  <c r="J93" i="12" s="1"/>
  <c r="FM91" i="8" s="1"/>
  <c r="R94" i="3"/>
  <c r="J94" i="12" s="1"/>
  <c r="FM92" i="8" s="1"/>
  <c r="R95" i="3"/>
  <c r="J95" i="12" s="1"/>
  <c r="FM93" i="8" s="1"/>
  <c r="R96" i="3"/>
  <c r="J96" i="12" s="1"/>
  <c r="FM94" i="8" s="1"/>
  <c r="R97" i="3"/>
  <c r="J97" i="12" s="1"/>
  <c r="FM95" i="8" s="1"/>
  <c r="R98" i="3"/>
  <c r="J98" i="12" s="1"/>
  <c r="FM96" i="8" s="1"/>
  <c r="R99" i="3"/>
  <c r="J99" i="12" s="1"/>
  <c r="FM97" i="8" s="1"/>
  <c r="N4" i="3"/>
  <c r="H4" i="12" s="1"/>
  <c r="FF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F3" i="8" s="1"/>
  <c r="N6" i="3"/>
  <c r="H6" i="12" s="1"/>
  <c r="FF4" i="8" s="1"/>
  <c r="N7" i="3"/>
  <c r="H7" i="12" s="1"/>
  <c r="FF5" i="8" s="1"/>
  <c r="N8" i="3"/>
  <c r="H8" i="12" s="1"/>
  <c r="FF6" i="8" s="1"/>
  <c r="N9" i="3"/>
  <c r="H9" i="12" s="1"/>
  <c r="FF7" i="8" s="1"/>
  <c r="N10" i="3"/>
  <c r="H10" i="12" s="1"/>
  <c r="FF8" i="8" s="1"/>
  <c r="N11" i="3"/>
  <c r="H11" i="12" s="1"/>
  <c r="FF9" i="8" s="1"/>
  <c r="N12" i="3"/>
  <c r="H12" i="12" s="1"/>
  <c r="FF10" i="8" s="1"/>
  <c r="N13" i="3"/>
  <c r="H13" i="12" s="1"/>
  <c r="FF11" i="8" s="1"/>
  <c r="N14" i="3"/>
  <c r="H14" i="12" s="1"/>
  <c r="FF12" i="8" s="1"/>
  <c r="N15" i="3"/>
  <c r="H15" i="12" s="1"/>
  <c r="FF13" i="8" s="1"/>
  <c r="N16" i="3"/>
  <c r="H16" i="12" s="1"/>
  <c r="FF14" i="8" s="1"/>
  <c r="N17" i="3"/>
  <c r="H17" i="12" s="1"/>
  <c r="FF15" i="8" s="1"/>
  <c r="N18" i="3"/>
  <c r="H18" i="12" s="1"/>
  <c r="FF16" i="8" s="1"/>
  <c r="N19" i="3"/>
  <c r="H19" i="12" s="1"/>
  <c r="FF17" i="8" s="1"/>
  <c r="N20" i="3"/>
  <c r="H20" i="12" s="1"/>
  <c r="FF18" i="8" s="1"/>
  <c r="N21" i="3"/>
  <c r="H21" i="12" s="1"/>
  <c r="FF19" i="8" s="1"/>
  <c r="N22" i="3"/>
  <c r="H22" i="12" s="1"/>
  <c r="FF20" i="8" s="1"/>
  <c r="N23" i="3"/>
  <c r="H23" i="12" s="1"/>
  <c r="FF21" i="8" s="1"/>
  <c r="N24" i="3"/>
  <c r="H24" i="12" s="1"/>
  <c r="FF22" i="8" s="1"/>
  <c r="N25" i="3"/>
  <c r="H25" i="12" s="1"/>
  <c r="FF23" i="8" s="1"/>
  <c r="N26" i="3"/>
  <c r="H26" i="12" s="1"/>
  <c r="FF24" i="8" s="1"/>
  <c r="N27" i="3"/>
  <c r="H27" i="12" s="1"/>
  <c r="FF25" i="8" s="1"/>
  <c r="N28" i="3"/>
  <c r="H28" i="12" s="1"/>
  <c r="FF26" i="8" s="1"/>
  <c r="N29" i="3"/>
  <c r="H29" i="12" s="1"/>
  <c r="FF27" i="8" s="1"/>
  <c r="N30" i="3"/>
  <c r="H30" i="12" s="1"/>
  <c r="FF28" i="8" s="1"/>
  <c r="N31" i="3"/>
  <c r="H31" i="12" s="1"/>
  <c r="FF29" i="8" s="1"/>
  <c r="N32" i="3"/>
  <c r="H32" i="12" s="1"/>
  <c r="FF30" i="8" s="1"/>
  <c r="N33" i="3"/>
  <c r="H33" i="12" s="1"/>
  <c r="FF31" i="8" s="1"/>
  <c r="N34" i="3"/>
  <c r="H34" i="12" s="1"/>
  <c r="FF32" i="8" s="1"/>
  <c r="N35" i="3"/>
  <c r="H35" i="12" s="1"/>
  <c r="FF33" i="8" s="1"/>
  <c r="N36" i="3"/>
  <c r="H36" i="12" s="1"/>
  <c r="FF34" i="8" s="1"/>
  <c r="N37" i="3"/>
  <c r="H37" i="12" s="1"/>
  <c r="FF35" i="8" s="1"/>
  <c r="N38" i="3"/>
  <c r="H38" i="12" s="1"/>
  <c r="FF36" i="8" s="1"/>
  <c r="N39" i="3"/>
  <c r="H39" i="12" s="1"/>
  <c r="FF37" i="8" s="1"/>
  <c r="N40" i="3"/>
  <c r="H40" i="12" s="1"/>
  <c r="FF38" i="8" s="1"/>
  <c r="N41" i="3"/>
  <c r="H41" i="12" s="1"/>
  <c r="FF39" i="8" s="1"/>
  <c r="N42" i="3"/>
  <c r="H42" i="12" s="1"/>
  <c r="FF40" i="8" s="1"/>
  <c r="N43" i="3"/>
  <c r="H43" i="12" s="1"/>
  <c r="FF41" i="8" s="1"/>
  <c r="N44" i="3"/>
  <c r="H44" i="12" s="1"/>
  <c r="FF42" i="8" s="1"/>
  <c r="N45" i="3"/>
  <c r="H45" i="12" s="1"/>
  <c r="FF43" i="8" s="1"/>
  <c r="N46" i="3"/>
  <c r="H46" i="12" s="1"/>
  <c r="FF44" i="8" s="1"/>
  <c r="N47" i="3"/>
  <c r="H47" i="12" s="1"/>
  <c r="FF45" i="8" s="1"/>
  <c r="N48" i="3"/>
  <c r="H48" i="12" s="1"/>
  <c r="FF46" i="8" s="1"/>
  <c r="N49" i="3"/>
  <c r="H49" i="12" s="1"/>
  <c r="FF47" i="8" s="1"/>
  <c r="N50" i="3"/>
  <c r="H50" i="12" s="1"/>
  <c r="FF48" i="8" s="1"/>
  <c r="N51" i="3"/>
  <c r="H51" i="12" s="1"/>
  <c r="FF49" i="8" s="1"/>
  <c r="N52" i="3"/>
  <c r="H52" i="12" s="1"/>
  <c r="FF50" i="8" s="1"/>
  <c r="N53" i="3"/>
  <c r="H53" i="12" s="1"/>
  <c r="FF51" i="8" s="1"/>
  <c r="N54" i="3"/>
  <c r="H54" i="12" s="1"/>
  <c r="FF52" i="8" s="1"/>
  <c r="N55" i="3"/>
  <c r="H55" i="12" s="1"/>
  <c r="FF53" i="8" s="1"/>
  <c r="N56" i="3"/>
  <c r="H56" i="12" s="1"/>
  <c r="FF54" i="8" s="1"/>
  <c r="N57" i="3"/>
  <c r="H57" i="12" s="1"/>
  <c r="FF55" i="8" s="1"/>
  <c r="N58" i="3"/>
  <c r="H58" i="12" s="1"/>
  <c r="FF56" i="8" s="1"/>
  <c r="N59" i="3"/>
  <c r="H59" i="12" s="1"/>
  <c r="FF57" i="8" s="1"/>
  <c r="N60" i="3"/>
  <c r="H60" i="12" s="1"/>
  <c r="FF58" i="8" s="1"/>
  <c r="N61" i="3"/>
  <c r="H61" i="12" s="1"/>
  <c r="FF59" i="8" s="1"/>
  <c r="N62" i="3"/>
  <c r="H62" i="12" s="1"/>
  <c r="FF60" i="8" s="1"/>
  <c r="N63" i="3"/>
  <c r="H63" i="12" s="1"/>
  <c r="FF61" i="8" s="1"/>
  <c r="N64" i="3"/>
  <c r="H64" i="12" s="1"/>
  <c r="FF62" i="8" s="1"/>
  <c r="N65" i="3"/>
  <c r="H65" i="12" s="1"/>
  <c r="FF63" i="8" s="1"/>
  <c r="N66" i="3"/>
  <c r="H66" i="12" s="1"/>
  <c r="FF64" i="8" s="1"/>
  <c r="N67" i="3"/>
  <c r="H67" i="12" s="1"/>
  <c r="FF65" i="8" s="1"/>
  <c r="N68" i="3"/>
  <c r="H68" i="12" s="1"/>
  <c r="FF66" i="8" s="1"/>
  <c r="N69" i="3"/>
  <c r="H69" i="12" s="1"/>
  <c r="FF67" i="8" s="1"/>
  <c r="N70" i="3"/>
  <c r="H70" i="12" s="1"/>
  <c r="FF68" i="8" s="1"/>
  <c r="N71" i="3"/>
  <c r="H71" i="12" s="1"/>
  <c r="FF69" i="8" s="1"/>
  <c r="N72" i="3"/>
  <c r="H72" i="12" s="1"/>
  <c r="FF70" i="8" s="1"/>
  <c r="N73" i="3"/>
  <c r="H73" i="12" s="1"/>
  <c r="FF71" i="8" s="1"/>
  <c r="N74" i="3"/>
  <c r="H74" i="12" s="1"/>
  <c r="FF72" i="8" s="1"/>
  <c r="N75" i="3"/>
  <c r="H75" i="12" s="1"/>
  <c r="FF73" i="8" s="1"/>
  <c r="N76" i="3"/>
  <c r="H76" i="12" s="1"/>
  <c r="FF74" i="8" s="1"/>
  <c r="N77" i="3"/>
  <c r="H77" i="12" s="1"/>
  <c r="FF75" i="8" s="1"/>
  <c r="N78" i="3"/>
  <c r="H78" i="12" s="1"/>
  <c r="FF76" i="8" s="1"/>
  <c r="N79" i="3"/>
  <c r="H79" i="12" s="1"/>
  <c r="FF77" i="8" s="1"/>
  <c r="N80" i="3"/>
  <c r="H80" i="12" s="1"/>
  <c r="FF78" i="8" s="1"/>
  <c r="N81" i="3"/>
  <c r="H81" i="12" s="1"/>
  <c r="FF79" i="8" s="1"/>
  <c r="N82" i="3"/>
  <c r="H82" i="12" s="1"/>
  <c r="FF80" i="8" s="1"/>
  <c r="N83" i="3"/>
  <c r="H83" i="12" s="1"/>
  <c r="FF81" i="8" s="1"/>
  <c r="N84" i="3"/>
  <c r="H84" i="12" s="1"/>
  <c r="FF82" i="8" s="1"/>
  <c r="N85" i="3"/>
  <c r="H85" i="12" s="1"/>
  <c r="FF83" i="8" s="1"/>
  <c r="N86" i="3"/>
  <c r="H86" i="12" s="1"/>
  <c r="FF84" i="8" s="1"/>
  <c r="N87" i="3"/>
  <c r="H87" i="12" s="1"/>
  <c r="FF85" i="8" s="1"/>
  <c r="N88" i="3"/>
  <c r="H88" i="12" s="1"/>
  <c r="FF86" i="8" s="1"/>
  <c r="N89" i="3"/>
  <c r="H89" i="12" s="1"/>
  <c r="FF87" i="8" s="1"/>
  <c r="N90" i="3"/>
  <c r="H90" i="12" s="1"/>
  <c r="FF88" i="8" s="1"/>
  <c r="N91" i="3"/>
  <c r="H91" i="12" s="1"/>
  <c r="FF89" i="8" s="1"/>
  <c r="N92" i="3"/>
  <c r="H92" i="12" s="1"/>
  <c r="FF90" i="8" s="1"/>
  <c r="N93" i="3"/>
  <c r="H93" i="12" s="1"/>
  <c r="FF91" i="8" s="1"/>
  <c r="N94" i="3"/>
  <c r="H94" i="12" s="1"/>
  <c r="FF92" i="8" s="1"/>
  <c r="N95" i="3"/>
  <c r="H95" i="12" s="1"/>
  <c r="FF93" i="8" s="1"/>
  <c r="N96" i="3"/>
  <c r="H96" i="12" s="1"/>
  <c r="FF94" i="8" s="1"/>
  <c r="N97" i="3"/>
  <c r="H97" i="12" s="1"/>
  <c r="FF95" i="8" s="1"/>
  <c r="N98" i="3"/>
  <c r="H98" i="12" s="1"/>
  <c r="FF96" i="8" s="1"/>
  <c r="N99" i="3"/>
  <c r="H99" i="12" s="1"/>
  <c r="FF97" i="8" s="1"/>
  <c r="F4" i="12"/>
  <c r="EY2" i="8" s="1"/>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J5" i="3"/>
  <c r="F5" i="12" s="1"/>
  <c r="EY3" i="8" s="1"/>
  <c r="J6" i="3"/>
  <c r="F6" i="12" s="1"/>
  <c r="EY4" i="8" s="1"/>
  <c r="J7" i="3"/>
  <c r="F7" i="12" s="1"/>
  <c r="EY5" i="8" s="1"/>
  <c r="J8" i="3"/>
  <c r="F8" i="12" s="1"/>
  <c r="EY6" i="8" s="1"/>
  <c r="J9" i="3"/>
  <c r="F9" i="12" s="1"/>
  <c r="EY7" i="8" s="1"/>
  <c r="J10" i="3"/>
  <c r="F10" i="12" s="1"/>
  <c r="EY8" i="8" s="1"/>
  <c r="J11" i="3"/>
  <c r="F11" i="12" s="1"/>
  <c r="EY9" i="8" s="1"/>
  <c r="J12" i="3"/>
  <c r="F12" i="12" s="1"/>
  <c r="EY10" i="8" s="1"/>
  <c r="J13" i="3"/>
  <c r="F13" i="12" s="1"/>
  <c r="EY11" i="8" s="1"/>
  <c r="J14" i="3"/>
  <c r="F14" i="12" s="1"/>
  <c r="EY12" i="8" s="1"/>
  <c r="J15" i="3"/>
  <c r="F15" i="12" s="1"/>
  <c r="EY13" i="8" s="1"/>
  <c r="J16" i="3"/>
  <c r="F16" i="12" s="1"/>
  <c r="EY14" i="8" s="1"/>
  <c r="J17" i="3"/>
  <c r="F17" i="12" s="1"/>
  <c r="EY15" i="8" s="1"/>
  <c r="J18" i="3"/>
  <c r="F18" i="12" s="1"/>
  <c r="EY16" i="8" s="1"/>
  <c r="J19" i="3"/>
  <c r="F19" i="12" s="1"/>
  <c r="EY17" i="8" s="1"/>
  <c r="J20" i="3"/>
  <c r="F20" i="12" s="1"/>
  <c r="EY18" i="8" s="1"/>
  <c r="J21" i="3"/>
  <c r="F21" i="12" s="1"/>
  <c r="EY19" i="8" s="1"/>
  <c r="J22" i="3"/>
  <c r="F22" i="12" s="1"/>
  <c r="EY20" i="8" s="1"/>
  <c r="J23" i="3"/>
  <c r="F23" i="12" s="1"/>
  <c r="EY21" i="8" s="1"/>
  <c r="J24" i="3"/>
  <c r="F24" i="12" s="1"/>
  <c r="EY22" i="8" s="1"/>
  <c r="J25" i="3"/>
  <c r="F25" i="12" s="1"/>
  <c r="EY23" i="8" s="1"/>
  <c r="J26" i="3"/>
  <c r="F26" i="12" s="1"/>
  <c r="EY24" i="8" s="1"/>
  <c r="J27" i="3"/>
  <c r="F27" i="12" s="1"/>
  <c r="EY25" i="8" s="1"/>
  <c r="J28" i="3"/>
  <c r="F28" i="12" s="1"/>
  <c r="EY26" i="8" s="1"/>
  <c r="J29" i="3"/>
  <c r="F29" i="12" s="1"/>
  <c r="EY27" i="8" s="1"/>
  <c r="J30" i="3"/>
  <c r="F30" i="12" s="1"/>
  <c r="EY28" i="8" s="1"/>
  <c r="J31" i="3"/>
  <c r="F31" i="12" s="1"/>
  <c r="EY29" i="8" s="1"/>
  <c r="J32" i="3"/>
  <c r="F32" i="12" s="1"/>
  <c r="EY30" i="8" s="1"/>
  <c r="J33" i="3"/>
  <c r="F33" i="12" s="1"/>
  <c r="EY31" i="8" s="1"/>
  <c r="J34" i="3"/>
  <c r="F34" i="12" s="1"/>
  <c r="EY32" i="8" s="1"/>
  <c r="J35" i="3"/>
  <c r="F35" i="12" s="1"/>
  <c r="EY33" i="8" s="1"/>
  <c r="J36" i="3"/>
  <c r="F36" i="12" s="1"/>
  <c r="EY34" i="8" s="1"/>
  <c r="J37" i="3"/>
  <c r="F37" i="12" s="1"/>
  <c r="EY35" i="8" s="1"/>
  <c r="J38" i="3"/>
  <c r="F38" i="12" s="1"/>
  <c r="EY36" i="8" s="1"/>
  <c r="J39" i="3"/>
  <c r="F39" i="12" s="1"/>
  <c r="EY37" i="8" s="1"/>
  <c r="J40" i="3"/>
  <c r="F40" i="12" s="1"/>
  <c r="EY38" i="8" s="1"/>
  <c r="J41" i="3"/>
  <c r="F41" i="12" s="1"/>
  <c r="EY39" i="8" s="1"/>
  <c r="J42" i="3"/>
  <c r="F42" i="12" s="1"/>
  <c r="EY40" i="8" s="1"/>
  <c r="J43" i="3"/>
  <c r="F43" i="12" s="1"/>
  <c r="EY41" i="8" s="1"/>
  <c r="J44" i="3"/>
  <c r="F44" i="12" s="1"/>
  <c r="EY42" i="8" s="1"/>
  <c r="J45" i="3"/>
  <c r="F45" i="12" s="1"/>
  <c r="EY43" i="8" s="1"/>
  <c r="J46" i="3"/>
  <c r="F46" i="12" s="1"/>
  <c r="EY44" i="8" s="1"/>
  <c r="J47" i="3"/>
  <c r="F47" i="12" s="1"/>
  <c r="EY45" i="8" s="1"/>
  <c r="J48" i="3"/>
  <c r="F48" i="12" s="1"/>
  <c r="EY46" i="8" s="1"/>
  <c r="J49" i="3"/>
  <c r="F49" i="12" s="1"/>
  <c r="EY47" i="8" s="1"/>
  <c r="J50" i="3"/>
  <c r="F50" i="12" s="1"/>
  <c r="EY48" i="8" s="1"/>
  <c r="J51" i="3"/>
  <c r="F51" i="12" s="1"/>
  <c r="EY49" i="8" s="1"/>
  <c r="J52" i="3"/>
  <c r="F52" i="12" s="1"/>
  <c r="EY50" i="8" s="1"/>
  <c r="J53" i="3"/>
  <c r="F53" i="12" s="1"/>
  <c r="EY51" i="8" s="1"/>
  <c r="J54" i="3"/>
  <c r="F54" i="12" s="1"/>
  <c r="EY52" i="8" s="1"/>
  <c r="J55" i="3"/>
  <c r="F55" i="12" s="1"/>
  <c r="EY53" i="8" s="1"/>
  <c r="J56" i="3"/>
  <c r="F56" i="12" s="1"/>
  <c r="EY54" i="8" s="1"/>
  <c r="J57" i="3"/>
  <c r="F57" i="12" s="1"/>
  <c r="EY55" i="8" s="1"/>
  <c r="J58" i="3"/>
  <c r="F58" i="12" s="1"/>
  <c r="EY56" i="8" s="1"/>
  <c r="J59" i="3"/>
  <c r="F59" i="12" s="1"/>
  <c r="EY57" i="8" s="1"/>
  <c r="J60" i="3"/>
  <c r="F60" i="12" s="1"/>
  <c r="EY58" i="8" s="1"/>
  <c r="J61" i="3"/>
  <c r="F61" i="12" s="1"/>
  <c r="EY59" i="8" s="1"/>
  <c r="J62" i="3"/>
  <c r="F62" i="12" s="1"/>
  <c r="EY60" i="8" s="1"/>
  <c r="J63" i="3"/>
  <c r="F63" i="12" s="1"/>
  <c r="EY61" i="8" s="1"/>
  <c r="J64" i="3"/>
  <c r="F64" i="12" s="1"/>
  <c r="EY62" i="8" s="1"/>
  <c r="J65" i="3"/>
  <c r="F65" i="12" s="1"/>
  <c r="EY63" i="8" s="1"/>
  <c r="J66" i="3"/>
  <c r="F66" i="12" s="1"/>
  <c r="EY64" i="8" s="1"/>
  <c r="J67" i="3"/>
  <c r="F67" i="12" s="1"/>
  <c r="EY65" i="8" s="1"/>
  <c r="J68" i="3"/>
  <c r="F68" i="12" s="1"/>
  <c r="EY66" i="8" s="1"/>
  <c r="J69" i="3"/>
  <c r="F69" i="12" s="1"/>
  <c r="EY67" i="8" s="1"/>
  <c r="J70" i="3"/>
  <c r="F70" i="12" s="1"/>
  <c r="EY68" i="8" s="1"/>
  <c r="J71" i="3"/>
  <c r="F71" i="12" s="1"/>
  <c r="EY69" i="8" s="1"/>
  <c r="J72" i="3"/>
  <c r="F72" i="12" s="1"/>
  <c r="EY70" i="8" s="1"/>
  <c r="J73" i="3"/>
  <c r="F73" i="12" s="1"/>
  <c r="EY71" i="8" s="1"/>
  <c r="J74" i="3"/>
  <c r="F74" i="12" s="1"/>
  <c r="EY72" i="8" s="1"/>
  <c r="J75" i="3"/>
  <c r="F75" i="12" s="1"/>
  <c r="EY73" i="8" s="1"/>
  <c r="J76" i="3"/>
  <c r="F76" i="12" s="1"/>
  <c r="EY74" i="8" s="1"/>
  <c r="J77" i="3"/>
  <c r="F77" i="12" s="1"/>
  <c r="EY75" i="8" s="1"/>
  <c r="J78" i="3"/>
  <c r="F78" i="12" s="1"/>
  <c r="EY76" i="8" s="1"/>
  <c r="J79" i="3"/>
  <c r="F79" i="12" s="1"/>
  <c r="EY77" i="8" s="1"/>
  <c r="J80" i="3"/>
  <c r="F80" i="12" s="1"/>
  <c r="EY78" i="8" s="1"/>
  <c r="J81" i="3"/>
  <c r="F81" i="12" s="1"/>
  <c r="EY79" i="8" s="1"/>
  <c r="J82" i="3"/>
  <c r="F82" i="12" s="1"/>
  <c r="EY80" i="8" s="1"/>
  <c r="J83" i="3"/>
  <c r="F83" i="12" s="1"/>
  <c r="EY81" i="8" s="1"/>
  <c r="J84" i="3"/>
  <c r="F84" i="12" s="1"/>
  <c r="EY82" i="8" s="1"/>
  <c r="J85" i="3"/>
  <c r="F85" i="12" s="1"/>
  <c r="EY83" i="8" s="1"/>
  <c r="J86" i="3"/>
  <c r="F86" i="12" s="1"/>
  <c r="EY84" i="8" s="1"/>
  <c r="J87" i="3"/>
  <c r="F87" i="12" s="1"/>
  <c r="EY85" i="8" s="1"/>
  <c r="J88" i="3"/>
  <c r="F88" i="12" s="1"/>
  <c r="EY86" i="8" s="1"/>
  <c r="J89" i="3"/>
  <c r="F89" i="12" s="1"/>
  <c r="EY87" i="8" s="1"/>
  <c r="J90" i="3"/>
  <c r="F90" i="12" s="1"/>
  <c r="EY88" i="8" s="1"/>
  <c r="J91" i="3"/>
  <c r="F91" i="12" s="1"/>
  <c r="EY89" i="8" s="1"/>
  <c r="J92" i="3"/>
  <c r="F92" i="12" s="1"/>
  <c r="EY90" i="8" s="1"/>
  <c r="J93" i="3"/>
  <c r="F93" i="12" s="1"/>
  <c r="EY91" i="8" s="1"/>
  <c r="J94" i="3"/>
  <c r="F94" i="12" s="1"/>
  <c r="EY92" i="8" s="1"/>
  <c r="J95" i="3"/>
  <c r="F95" i="12" s="1"/>
  <c r="EY93" i="8" s="1"/>
  <c r="J96" i="3"/>
  <c r="F96" i="12" s="1"/>
  <c r="EY94" i="8" s="1"/>
  <c r="J97" i="3"/>
  <c r="F97" i="12" s="1"/>
  <c r="EY95" i="8" s="1"/>
  <c r="J98" i="3"/>
  <c r="F98" i="12" s="1"/>
  <c r="EY96" i="8" s="1"/>
  <c r="J99" i="3"/>
  <c r="F99" i="12" s="1"/>
  <c r="EY97"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C4" i="12" l="1"/>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L1"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28" i="8"/>
  <c r="EA36" i="8"/>
  <c r="EA38" i="8"/>
  <c r="EA39" i="8"/>
  <c r="EA40" i="8"/>
  <c r="EA41" i="8"/>
  <c r="EA42" i="8"/>
  <c r="EA43" i="8"/>
  <c r="EA44" i="8"/>
  <c r="EA45"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68" i="8" l="1"/>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6" i="5" l="1"/>
  <c r="P23" i="5"/>
  <c r="P26" i="5"/>
  <c r="P12" i="5"/>
  <c r="P24" i="5"/>
  <c r="P25" i="5"/>
  <c r="P8" i="5"/>
  <c r="O42" i="2"/>
  <c r="DJ32" i="8" s="1"/>
  <c r="DL32" i="8" s="1"/>
  <c r="O41" i="2"/>
  <c r="DJ43" i="8" s="1"/>
  <c r="DI44" i="8"/>
  <c r="DI56" i="8"/>
  <c r="DI80" i="8"/>
  <c r="DI20" i="8"/>
  <c r="DI31" i="8"/>
  <c r="DI68" i="8"/>
  <c r="DI8" i="8"/>
  <c r="O38" i="2"/>
  <c r="DJ28" i="8" s="1"/>
  <c r="DI92" i="8"/>
  <c r="DI93" i="8"/>
  <c r="DI81" i="8"/>
  <c r="O43" i="2"/>
  <c r="DI45" i="8"/>
  <c r="DI33" i="8"/>
  <c r="DI69" i="8"/>
  <c r="DI21" i="8"/>
  <c r="DI9" i="8"/>
  <c r="N45" i="2"/>
  <c r="O45" i="2" s="1"/>
  <c r="DJ23" i="8" s="1"/>
  <c r="N69" i="2"/>
  <c r="N46" i="2"/>
  <c r="O46" i="2"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G6" i="8" s="1"/>
  <c r="EE7" i="8"/>
  <c r="EE8" i="8"/>
  <c r="EE9" i="8"/>
  <c r="EE10" i="8"/>
  <c r="EE2" i="8"/>
  <c r="EE3" i="8"/>
  <c r="EE11" i="8"/>
  <c r="EE4" i="8"/>
  <c r="EG4" i="8" s="1"/>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G42" i="8" s="1"/>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12" i="8"/>
  <c r="DI84" i="8"/>
  <c r="DI96" i="8"/>
  <c r="DI60" i="8"/>
  <c r="DI72" i="8"/>
  <c r="DI36" i="8"/>
  <c r="DI48" i="8"/>
  <c r="DI24" i="8"/>
  <c r="I24" i="5"/>
  <c r="I23" i="5"/>
  <c r="DI94" i="8"/>
  <c r="I21" i="5"/>
  <c r="I18" i="5"/>
  <c r="I19" i="5"/>
  <c r="I22" i="5"/>
  <c r="I20" i="5"/>
  <c r="O13" i="2"/>
  <c r="CV3" i="8" s="1"/>
  <c r="CX3" i="8" s="1"/>
  <c r="I17" i="5"/>
  <c r="I16" i="5"/>
  <c r="CU97" i="8"/>
  <c r="I15" i="5"/>
  <c r="DJ5" i="8"/>
  <c r="DJ53" i="8"/>
  <c r="DJ77" i="8"/>
  <c r="DJ40" i="8"/>
  <c r="DJ21" i="8"/>
  <c r="DJ45" i="8"/>
  <c r="DL45" i="8" s="1"/>
  <c r="DJ69" i="8"/>
  <c r="DJ93" i="8"/>
  <c r="DJ9" i="8"/>
  <c r="DJ33" i="8"/>
  <c r="DJ57" i="8"/>
  <c r="DL57" i="8" s="1"/>
  <c r="DJ81" i="8"/>
  <c r="DJ12" i="8"/>
  <c r="DJ36" i="8"/>
  <c r="DJ60" i="8"/>
  <c r="DJ84" i="8"/>
  <c r="DJ24" i="8"/>
  <c r="DJ48" i="8"/>
  <c r="DJ72" i="8"/>
  <c r="DJ96"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L69" i="8" l="1"/>
  <c r="DJ8" i="8"/>
  <c r="DL8" i="8" s="1"/>
  <c r="DJ92" i="8"/>
  <c r="DJ29" i="8"/>
  <c r="DJ68" i="8"/>
  <c r="DL68" i="8" s="1"/>
  <c r="DJ44" i="8"/>
  <c r="DL44" i="8" s="1"/>
  <c r="DJ89" i="8"/>
  <c r="DJ20" i="8"/>
  <c r="DL20" i="8" s="1"/>
  <c r="DL33" i="8"/>
  <c r="DJ65" i="8"/>
  <c r="DL65" i="8" s="1"/>
  <c r="DJ80" i="8"/>
  <c r="DJ94" i="8"/>
  <c r="DJ41" i="8"/>
  <c r="DJ56" i="8"/>
  <c r="DL56" i="8" s="1"/>
  <c r="DJ22" i="8"/>
  <c r="EG40" i="8"/>
  <c r="EG9" i="8"/>
  <c r="EG45" i="8"/>
  <c r="EG8" i="8"/>
  <c r="EG5" i="8"/>
  <c r="EG12" i="8"/>
  <c r="EG7" i="8"/>
  <c r="DB52" i="8"/>
  <c r="DJ63" i="8"/>
  <c r="DL63" i="8" s="1"/>
  <c r="DJ83" i="8"/>
  <c r="DI83" i="8"/>
  <c r="DB76" i="8"/>
  <c r="DB4" i="8"/>
  <c r="O26" i="2"/>
  <c r="DB88" i="8"/>
  <c r="DJ59" i="8"/>
  <c r="DL93" i="8"/>
  <c r="DI47" i="8"/>
  <c r="DJ35" i="8"/>
  <c r="DI71" i="8"/>
  <c r="DJ11" i="8"/>
  <c r="DI95" i="8"/>
  <c r="DJ95" i="8"/>
  <c r="DI11" i="8"/>
  <c r="DJ71" i="8"/>
  <c r="DI35" i="8"/>
  <c r="DJ47" i="8"/>
  <c r="DI59" i="8"/>
  <c r="EG49" i="8"/>
  <c r="DI23" i="8"/>
  <c r="DL23" i="8" s="1"/>
  <c r="DL43" i="8"/>
  <c r="DB2" i="8"/>
  <c r="DL73" i="8"/>
  <c r="DJ19" i="8"/>
  <c r="DL19" i="8" s="1"/>
  <c r="DL21" i="8"/>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DL12" i="8"/>
  <c r="CV36" i="8"/>
  <c r="CX36" i="8" s="1"/>
  <c r="DL81" i="8"/>
  <c r="DL80" i="8"/>
  <c r="CV12" i="8"/>
  <c r="CX12" i="8" s="1"/>
  <c r="CV96" i="8"/>
  <c r="CX96" i="8" s="1"/>
  <c r="CV72" i="8"/>
  <c r="CX72" i="8" s="1"/>
  <c r="EG38" i="8"/>
  <c r="EG11" i="8"/>
  <c r="EG28" i="8"/>
  <c r="EG30" i="8"/>
  <c r="EG37" i="8"/>
  <c r="DL60" i="8"/>
  <c r="EG18" i="8"/>
  <c r="EG14" i="8"/>
  <c r="DJ30" i="8"/>
  <c r="DL30" i="8" s="1"/>
  <c r="DL41" i="8"/>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L29" i="8"/>
  <c r="DJ78" i="8"/>
  <c r="DL78" i="8" s="1"/>
  <c r="DB15" i="8"/>
  <c r="DL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DL94" i="8"/>
  <c r="CX48" i="8"/>
  <c r="DL37" i="8"/>
  <c r="DL36" i="8"/>
  <c r="DL28" i="8"/>
  <c r="DL89" i="8"/>
  <c r="DB40" i="8"/>
  <c r="DL72" i="8"/>
  <c r="O36" i="2"/>
  <c r="DB28" i="8"/>
  <c r="DL53"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DC4" i="8"/>
  <c r="DC28" i="8"/>
  <c r="DC52" i="8"/>
  <c r="DE52" i="8" s="1"/>
  <c r="DC76" i="8"/>
  <c r="DC16" i="8"/>
  <c r="DC40" i="8"/>
  <c r="DC64" i="8"/>
  <c r="DE64" i="8" s="1"/>
  <c r="DC88"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83" i="8" l="1"/>
  <c r="DE76" i="8"/>
  <c r="DE4" i="8"/>
  <c r="DE88" i="8"/>
  <c r="DL71" i="8"/>
  <c r="DE15" i="8"/>
  <c r="DE2" i="8"/>
  <c r="DE3" i="8"/>
  <c r="DL59" i="8"/>
  <c r="DE51" i="8"/>
  <c r="DL35" i="8"/>
  <c r="DL47" i="8"/>
  <c r="DE16"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C73" i="8"/>
  <c r="DE73" i="8" s="1"/>
  <c r="DL10" i="8"/>
  <c r="DE4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DE61" i="8"/>
  <c r="DE28" i="8"/>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<sst xmlns="http://schemas.openxmlformats.org/spreadsheetml/2006/main" count="3583" uniqueCount="2120">
  <si>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</si>
  <si>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</si>
  <si>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</si>
  <si>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</si>
  <si>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</si>
  <si>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</si>
  <si>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</si>
  <si>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</si>
  <si>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</si>
  <si>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</si>
  <si>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</si>
  <si>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</si>
  <si>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</si>
  <si>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</si>
  <si>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</si>
  <si>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</si>
  <si>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</si>
  <si>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</si>
  <si>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</si>
  <si>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</si>
  <si>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</si>
  <si>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</si>
  <si>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</si>
  <si>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</si>
  <si>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</si>
  <si>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</si>
  <si>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</si>
  <si>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</si>
  <si>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</si>
  <si>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</si>
  <si>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</si>
  <si>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</si>
  <si>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</si>
  <si>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</si>
  <si>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</si>
  <si>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</si>
  <si>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</si>
  <si>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</si>
  <si>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</si>
  <si>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</si>
  <si>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</si>
  <si>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</si>
  <si>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</si>
  <si>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</si>
  <si>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</si>
  <si>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</si>
  <si>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</si>
  <si>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</si>
  <si>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</si>
  <si>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</si>
  <si>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</si>
  <si>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</si>
  <si>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</si>
  <si>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</si>
  <si>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</si>
  <si>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</si>
  <si>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</si>
  <si>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</si>
  <si>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</si>
  <si>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</si>
  <si>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</si>
  <si>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</si>
  <si>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</si>
  <si>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</si>
  <si>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</si>
  <si>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</si>
  <si>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</si>
  <si>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</si>
  <si>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</si>
  <si>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</si>
  <si>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</si>
  <si>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</si>
  <si>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</si>
  <si>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</si>
  <si>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</si>
  <si>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</si>
  <si>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</si>
  <si>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</si>
  <si>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</si>
  <si>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</si>
  <si>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</si>
  <si>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</si>
  <si>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</si>
  <si>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</si>
  <si>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</si>
  <si>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</si>
  <si>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</si>
  <si>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</si>
  <si>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</si>
  <si>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</si>
  <si>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</si>
  <si>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</si>
  <si>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</si>
  <si>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</si>
  <si>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</si>
  <si>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</si>
  <si>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</si>
  <si>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</si>
  <si>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</si>
  <si>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</si>
  <si>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</si>
  <si>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</si>
  <si>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</si>
  <si>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</si>
  <si>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</si>
  <si>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</si>
  <si>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</si>
  <si>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</si>
  <si>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</si>
  <si>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</si>
  <si>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</si>
  <si>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</si>
  <si>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</si>
  <si>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</si>
  <si>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</si>
  <si>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</si>
  <si>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</si>
  <si>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</si>
  <si>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</si>
  <si>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</si>
  <si>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</si>
  <si>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</si>
  <si>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</si>
  <si>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</si>
  <si>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</si>
  <si>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</si>
  <si>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</si>
  <si>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</si>
  <si>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</si>
  <si>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</si>
  <si>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</si>
  <si>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</si>
  <si>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</si>
  <si>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</si>
  <si>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</si>
  <si>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</si>
  <si>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</si>
  <si>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</si>
  <si>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</si>
  <si>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</si>
  <si>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</si>
  <si>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</si>
  <si>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</si>
  <si>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</si>
  <si>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</si>
  <si>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</si>
  <si>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</si>
  <si>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</si>
  <si>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</si>
  <si>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</si>
  <si>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</si>
  <si>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</si>
  <si>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</si>
  <si>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</si>
  <si>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</si>
  <si>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</si>
  <si>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</si>
  <si>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</si>
  <si>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</si>
  <si>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</si>
  <si>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</si>
  <si>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</si>
  <si>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</si>
  <si>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</si>
  <si>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</si>
  <si>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</si>
  <si>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</si>
  <si>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</si>
  <si>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</si>
  <si>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</si>
  <si>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</si>
  <si>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</si>
  <si>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</si>
  <si>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</si>
  <si>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</si>
  <si>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</si>
  <si>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</si>
  <si>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</si>
  <si>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</si>
  <si>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</si>
  <si>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</si>
  <si>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</si>
  <si>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</si>
  <si>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</si>
  <si>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</si>
  <si>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</si>
  <si>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</si>
  <si>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</si>
  <si>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</si>
  <si>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</si>
  <si>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</si>
  <si>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</si>
  <si>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</si>
  <si>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</si>
  <si>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</si>
  <si>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</si>
  <si>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</si>
  <si>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</si>
  <si>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</si>
  <si>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</si>
  <si>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</si>
  <si>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</si>
  <si>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</si>
  <si>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</si>
  <si>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</si>
  <si>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</si>
  <si>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</si>
  <si>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</si>
  <si>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</si>
  <si>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</si>
  <si>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</si>
  <si>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</si>
  <si>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</si>
  <si>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</si>
  <si>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</si>
  <si>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</si>
  <si>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</si>
  <si>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</si>
  <si>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</si>
  <si>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</si>
  <si>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</si>
  <si>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</si>
  <si>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</si>
  <si>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</si>
  <si>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</si>
  <si>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</si>
  <si>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</si>
  <si>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</si>
  <si>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</si>
  <si>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</si>
  <si>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</si>
  <si>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</si>
  <si>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</si>
  <si>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</si>
  <si>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</si>
  <si>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</si>
  <si>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</si>
  <si>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</si>
  <si>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</si>
  <si>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</si>
  <si>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</si>
  <si>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</si>
  <si>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</si>
  <si>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</si>
  <si>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</si>
  <si>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</si>
  <si>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</si>
  <si>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</si>
  <si>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</si>
  <si>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</si>
  <si>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</si>
  <si>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</si>
  <si>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</si>
  <si>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</si>
  <si>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</si>
  <si>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</si>
  <si>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</si>
  <si>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</si>
  <si>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</si>
  <si>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</si>
  <si>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</si>
  <si>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</si>
  <si>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</si>
  <si>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</si>
  <si>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</si>
  <si>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</si>
  <si>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</si>
  <si>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</si>
  <si>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</si>
  <si>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</si>
  <si>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</si>
  <si>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</si>
  <si>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</si>
  <si>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</si>
  <si>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</si>
  <si>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</si>
  <si>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</si>
  <si>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</si>
  <si>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</si>
  <si>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</si>
  <si>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</si>
  <si>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</si>
  <si>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</si>
  <si>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</si>
  <si>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</si>
  <si>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</si>
  <si>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</si>
  <si>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</si>
  <si>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</si>
  <si>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</si>
  <si>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</si>
  <si>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</si>
  <si>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</si>
  <si>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</si>
  <si>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</si>
  <si>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</si>
  <si>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</si>
  <si>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</si>
  <si>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</si>
  <si>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</si>
  <si>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</si>
  <si>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</si>
  <si>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</si>
  <si>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</si>
  <si>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</si>
  <si>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</si>
  <si>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</si>
  <si>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</si>
  <si>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</si>
  <si>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</si>
  <si>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</si>
  <si>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</si>
  <si>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</si>
  <si>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</si>
  <si>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</si>
  <si>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</si>
  <si>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</si>
  <si>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</si>
  <si>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</si>
  <si>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</si>
  <si>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</si>
  <si>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</si>
  <si>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</si>
  <si>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</si>
  <si>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</si>
  <si>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</si>
  <si>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</si>
  <si>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</si>
  <si>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</si>
  <si>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</si>
  <si>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</si>
  <si>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</si>
  <si>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</si>
  <si>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</si>
  <si>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</si>
  <si>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</si>
  <si>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</si>
  <si>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</si>
  <si>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</si>
  <si>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</si>
  <si>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</si>
  <si>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</si>
  <si>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</si>
  <si>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</si>
  <si>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</si>
  <si>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</si>
  <si>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</si>
  <si>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</si>
  <si>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</si>
  <si>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</si>
  <si>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</si>
  <si>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</si>
  <si>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</si>
  <si>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</si>
  <si>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</si>
  <si>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</si>
  <si>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</si>
  <si>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</si>
  <si>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</si>
  <si>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</si>
  <si>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</si>
  <si>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</si>
  <si>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</si>
  <si>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</si>
  <si>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</si>
  <si>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</si>
  <si>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</si>
  <si>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</si>
  <si>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</si>
  <si>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</si>
  <si>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</si>
  <si>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</si>
  <si>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</si>
  <si>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</si>
  <si>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</si>
  <si>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</si>
  <si>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</si>
  <si>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</si>
  <si>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</si>
  <si>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</si>
  <si>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</si>
  <si>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</si>
  <si>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</si>
  <si>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</si>
  <si>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</si>
  <si>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</si>
  <si>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</si>
  <si>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</si>
  <si>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</si>
  <si>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</si>
  <si>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</si>
  <si>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</si>
  <si>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</si>
  <si>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</si>
  <si>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</si>
  <si>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</si>
  <si>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</si>
  <si>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</si>
  <si>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</si>
  <si>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</si>
  <si>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</si>
  <si>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</si>
  <si>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</si>
  <si>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</si>
  <si>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</si>
  <si>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</si>
  <si>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</si>
  <si>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</si>
  <si>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</si>
  <si>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</si>
  <si>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</si>
  <si>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</si>
  <si>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</si>
  <si>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</si>
  <si>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</si>
  <si>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</si>
  <si>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</si>
  <si>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</si>
  <si>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</si>
  <si>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</si>
  <si>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</si>
  <si>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</si>
  <si>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</si>
  <si>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</si>
  <si>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</si>
  <si>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</si>
  <si>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</si>
  <si>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</si>
  <si>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</si>
  <si>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</si>
  <si>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</si>
  <si>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</si>
  <si>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</si>
  <si>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</si>
  <si>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</si>
  <si>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</si>
  <si>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</si>
  <si>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</si>
  <si>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</si>
  <si>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</si>
  <si>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</si>
  <si>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</si>
  <si>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</si>
  <si>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</si>
  <si>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</si>
  <si>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</si>
  <si>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</si>
  <si>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</si>
  <si>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</si>
  <si>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</si>
  <si>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</si>
  <si>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</si>
  <si>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</si>
  <si>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</si>
  <si>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</si>
  <si>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</si>
  <si>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</si>
  <si>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</si>
  <si>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</si>
  <si>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</si>
  <si>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</si>
  <si>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</si>
  <si>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</si>
  <si>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</si>
  <si>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</si>
  <si>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</si>
  <si>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</si>
  <si>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</si>
  <si>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</si>
  <si>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</si>
  <si>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</si>
  <si>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</si>
  <si>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</si>
  <si>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</si>
  <si>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</si>
  <si>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</si>
  <si>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</si>
  <si>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</si>
  <si>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</si>
  <si>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</si>
  <si>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</si>
  <si>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</si>
  <si>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</si>
  <si>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</si>
  <si>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</si>
  <si>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</si>
  <si>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</si>
  <si>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</si>
  <si>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</si>
  <si>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</si>
  <si>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</si>
  <si>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</si>
  <si>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</si>
  <si>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</si>
  <si>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</si>
  <si>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</si>
  <si>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</si>
  <si>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</si>
  <si>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</si>
  <si>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</si>
  <si>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</si>
  <si>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</si>
  <si>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</si>
  <si>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</si>
  <si>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</si>
  <si>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</si>
  <si>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</si>
  <si>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</si>
  <si>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</si>
  <si>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</si>
  <si>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</si>
  <si>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</si>
  <si>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</si>
  <si>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</si>
  <si>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</si>
  <si>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</si>
  <si>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</si>
  <si>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</si>
  <si>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</si>
  <si>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</si>
  <si>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</si>
  <si>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</si>
  <si>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</si>
  <si>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</si>
  <si>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</si>
  <si>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</si>
  <si>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</si>
  <si>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</si>
  <si>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</si>
  <si>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</si>
  <si>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</si>
  <si>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</si>
  <si>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</si>
  <si>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</si>
  <si>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</si>
  <si>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</si>
  <si>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</si>
  <si>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</si>
  <si>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</si>
  <si>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</si>
  <si>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</si>
  <si>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</si>
  <si>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</si>
  <si>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</si>
  <si>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</si>
  <si>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</si>
  <si>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</si>
  <si>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</si>
  <si>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</si>
  <si>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</si>
  <si>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</si>
  <si>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</si>
  <si>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</si>
  <si>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</si>
  <si>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</si>
  <si>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</si>
  <si>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</si>
  <si>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</si>
  <si>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</si>
  <si>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</si>
  <si>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</si>
  <si>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</si>
  <si>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</si>
  <si>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</si>
  <si>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</si>
  <si>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</si>
  <si>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</si>
  <si>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</si>
  <si>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</si>
  <si>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</si>
  <si>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</si>
  <si>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</si>
  <si>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</si>
  <si>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</si>
  <si>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</si>
  <si>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</si>
  <si>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</si>
  <si>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</si>
  <si>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</si>
  <si>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</si>
  <si>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</si>
  <si>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</si>
  <si>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</si>
  <si>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</si>
  <si>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</si>
  <si>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</si>
  <si>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</si>
  <si>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</si>
  <si>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</si>
  <si>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</si>
  <si>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</si>
  <si>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</si>
  <si>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</si>
  <si>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</si>
  <si>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</si>
  <si>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</si>
  <si>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</si>
  <si>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</si>
  <si>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</si>
  <si>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</si>
  <si>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</si>
  <si>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</si>
  <si>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</si>
  <si>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</si>
  <si>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</si>
  <si>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</si>
  <si>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</si>
  <si>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</si>
  <si>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</si>
  <si>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</si>
  <si>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</si>
  <si>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</si>
  <si>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</si>
  <si>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</si>
  <si>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</si>
  <si>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</si>
  <si>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</si>
  <si>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</si>
  <si>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</si>
  <si>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</si>
  <si>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</si>
  <si>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</si>
  <si>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</si>
  <si>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</si>
  <si>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</si>
  <si>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</si>
  <si>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</si>
  <si>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</si>
  <si>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</si>
  <si>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</si>
  <si>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</si>
  <si>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</si>
  <si>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</si>
  <si>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</si>
  <si>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</si>
  <si>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</si>
  <si>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</si>
  <si>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</si>
  <si>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</si>
  <si>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</si>
  <si>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</si>
  <si>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</si>
  <si>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</si>
  <si>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</si>
  <si>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</si>
  <si>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</si>
  <si>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</si>
  <si>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</si>
  <si>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</si>
  <si>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</si>
  <si>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</si>
  <si>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</si>
  <si>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</si>
  <si>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</si>
  <si>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</si>
  <si>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</si>
  <si>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</si>
  <si>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</si>
  <si>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</si>
  <si>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</si>
  <si>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</si>
  <si>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</si>
  <si>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</si>
  <si>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</si>
  <si>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</si>
  <si>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</si>
  <si>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</si>
  <si>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</si>
  <si>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</si>
  <si>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</si>
  <si>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</si>
  <si>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</si>
  <si>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</si>
  <si>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</si>
  <si>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</si>
  <si>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</si>
  <si>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</si>
  <si>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</si>
  <si>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</si>
  <si>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</si>
  <si>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</si>
  <si>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</si>
  <si>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</si>
  <si>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</si>
  <si>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</si>
  <si>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</si>
  <si>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</si>
  <si>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</si>
  <si>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</si>
  <si>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</si>
  <si>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</si>
  <si>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</si>
  <si>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</si>
  <si>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</si>
  <si>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</si>
  <si>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</si>
  <si>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</si>
  <si>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</si>
  <si>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</si>
  <si>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</si>
  <si>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</si>
  <si>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</si>
  <si>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</si>
  <si>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</si>
  <si>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</si>
  <si>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</si>
  <si>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</si>
  <si>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</si>
  <si>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</si>
  <si>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</si>
  <si>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</si>
  <si>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</si>
  <si>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</si>
  <si>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</si>
  <si>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</si>
  <si>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</si>
  <si>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</si>
  <si>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</si>
  <si>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</si>
  <si>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</si>
  <si>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</si>
  <si>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</si>
  <si>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</si>
  <si>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</si>
  <si>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</si>
  <si>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</si>
  <si>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</si>
  <si>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</si>
  <si>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</si>
  <si>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</si>
  <si>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</si>
  <si>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</si>
  <si>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</si>
  <si>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</si>
  <si>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</si>
  <si>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</si>
  <si>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</si>
  <si>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</si>
  <si>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</si>
  <si>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</si>
  <si>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</si>
  <si>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</si>
  <si>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</si>
  <si>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</si>
  <si>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</si>
  <si>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</si>
  <si>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</si>
  <si>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</si>
  <si>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</si>
  <si>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</si>
  <si>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</si>
  <si>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</si>
  <si>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</si>
  <si>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</si>
  <si>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</si>
  <si>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</si>
  <si>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</si>
  <si>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</si>
  <si>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</si>
  <si>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</si>
  <si>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</si>
  <si>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</si>
  <si>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</si>
  <si>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</si>
  <si>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</si>
  <si>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</si>
  <si>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</si>
  <si>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</si>
  <si>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</si>
  <si>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</si>
  <si>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</si>
  <si>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</si>
  <si>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</si>
  <si>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</si>
  <si>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</si>
  <si>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</si>
  <si>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</si>
  <si>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</si>
  <si>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</si>
  <si>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</si>
  <si>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</si>
  <si>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</si>
  <si>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</si>
  <si>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</si>
  <si>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</si>
  <si>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</si>
  <si>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</si>
  <si>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</si>
  <si>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</si>
  <si>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</si>
  <si>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</si>
  <si>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</si>
  <si>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</si>
  <si>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</si>
  <si>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</si>
  <si>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</si>
  <si>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</si>
  <si>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</si>
  <si>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</si>
  <si>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</si>
  <si>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</si>
  <si>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</si>
  <si>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</si>
  <si>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</si>
  <si>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</si>
  <si>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</si>
  <si>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</si>
  <si>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</si>
  <si>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</si>
  <si>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</si>
  <si>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</si>
  <si>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</si>
  <si>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</si>
  <si>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</si>
  <si>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</si>
  <si>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</si>
  <si>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</si>
  <si>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</si>
  <si>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</si>
  <si>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</si>
  <si>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</si>
  <si>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</si>
  <si>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</si>
  <si>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</si>
  <si>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</si>
  <si>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</si>
  <si>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</si>
  <si>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</si>
  <si>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</si>
  <si>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</si>
  <si>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</si>
  <si>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</si>
  <si>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</si>
  <si>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</si>
  <si>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</si>
  <si>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</si>
  <si>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</si>
  <si>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</si>
  <si>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</si>
  <si>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</si>
  <si>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</si>
  <si>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</si>
  <si>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</si>
  <si>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</si>
  <si>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</si>
  <si>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</si>
  <si>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</si>
  <si>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</si>
  <si>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</si>
  <si>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</si>
  <si>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</si>
  <si>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</si>
  <si>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</si>
  <si>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</si>
  <si>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</si>
  <si>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</si>
  <si>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</si>
  <si>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</si>
  <si>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</si>
  <si>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</si>
  <si>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</si>
  <si>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</si>
  <si>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</si>
  <si>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</si>
  <si>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</si>
  <si>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</si>
  <si>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</si>
  <si>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</si>
  <si>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</si>
  <si>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</si>
  <si>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</si>
  <si>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</si>
  <si>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</si>
  <si>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</si>
  <si>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</si>
  <si>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</si>
  <si>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</si>
  <si>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</si>
  <si>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</si>
  <si>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</si>
  <si>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</si>
  <si>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</si>
  <si>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</si>
  <si>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</si>
  <si>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</si>
  <si>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</si>
  <si>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</si>
  <si>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</si>
  <si>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</si>
  <si>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</si>
  <si>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</si>
  <si>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</si>
  <si>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</si>
  <si>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</si>
  <si>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</si>
  <si>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</si>
  <si>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</si>
  <si>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</si>
  <si>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</si>
  <si>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</si>
  <si>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</si>
  <si>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</si>
  <si>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</si>
  <si>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</si>
  <si>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</si>
  <si>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</si>
  <si>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</si>
  <si>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</si>
  <si>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</si>
  <si>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</si>
  <si>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</si>
  <si>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</si>
  <si>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</si>
  <si>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</si>
  <si>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</si>
  <si>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</si>
  <si>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</si>
  <si>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</si>
  <si>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</si>
  <si>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</si>
  <si>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</si>
  <si>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</si>
  <si>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</si>
  <si>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</si>
  <si>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</si>
  <si>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</si>
  <si>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</si>
  <si>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</si>
  <si>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</si>
  <si>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</si>
  <si>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</si>
  <si>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</si>
  <si>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</si>
  <si>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</si>
  <si>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</si>
  <si>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</si>
  <si>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</si>
  <si>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</si>
  <si>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</si>
  <si>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</si>
  <si>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</si>
  <si>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</si>
  <si>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</si>
  <si>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</si>
  <si>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</si>
  <si>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</si>
  <si>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</si>
  <si>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</si>
  <si>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</si>
  <si>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</si>
  <si>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</si>
  <si>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</si>
  <si>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</si>
  <si>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</si>
  <si>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</si>
  <si>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</si>
  <si>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</si>
  <si>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</si>
  <si>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</si>
  <si>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</si>
  <si>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</si>
  <si>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</si>
  <si>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</si>
  <si>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</si>
  <si>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</si>
  <si>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</si>
  <si>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</si>
  <si>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</si>
  <si>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</si>
  <si>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</si>
  <si>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</si>
  <si>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</si>
  <si>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</si>
  <si>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</si>
  <si>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</si>
  <si>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</si>
  <si>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</si>
  <si>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</si>
  <si>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</si>
  <si>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</si>
  <si>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</si>
  <si>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</si>
  <si>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</si>
  <si>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</si>
  <si>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</si>
  <si>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</si>
  <si>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</si>
  <si>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</si>
  <si>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</si>
  <si>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</si>
  <si>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</si>
  <si>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</si>
  <si>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</si>
  <si>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</si>
  <si>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</si>
  <si>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</si>
  <si>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</si>
  <si>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</si>
  <si>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</si>
  <si>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</si>
  <si>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</si>
  <si>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</si>
  <si>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</si>
  <si>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</si>
  <si>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</si>
  <si>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</si>
  <si>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</si>
  <si>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</si>
  <si>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</si>
  <si>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</si>
  <si>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</si>
  <si>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</si>
  <si>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</si>
  <si>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</si>
  <si>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</si>
  <si>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</si>
  <si>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</si>
  <si>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</si>
  <si>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</si>
  <si>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</si>
  <si>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</si>
  <si>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</si>
  <si>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</si>
  <si>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</si>
  <si>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</si>
  <si>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</si>
  <si>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</si>
  <si>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</si>
  <si>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</si>
  <si>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</si>
  <si>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</si>
  <si>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</si>
  <si>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</si>
  <si>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</si>
  <si>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</si>
  <si>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</si>
  <si>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</si>
  <si>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</si>
  <si>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</si>
  <si>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</si>
  <si>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</si>
  <si>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</si>
  <si>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</si>
  <si>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</si>
  <si>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</si>
  <si>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</si>
  <si>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</si>
  <si>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</si>
  <si>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</si>
  <si>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</si>
  <si>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</si>
  <si>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</si>
  <si>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</si>
  <si>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</si>
  <si>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</si>
  <si>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</si>
  <si>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</si>
  <si>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</si>
  <si>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</si>
  <si>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</si>
  <si>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</si>
  <si>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</si>
  <si>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</si>
  <si>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</si>
  <si>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</si>
  <si>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</si>
  <si>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</si>
  <si>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</si>
  <si>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</si>
  <si>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</si>
  <si>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</si>
  <si>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</si>
  <si>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</si>
  <si>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</si>
  <si>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</si>
  <si>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</si>
  <si>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</si>
  <si>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</si>
  <si>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</si>
  <si>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</si>
  <si>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</si>
  <si>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</si>
  <si>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</si>
  <si>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</si>
  <si>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</si>
  <si>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</si>
  <si>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</si>
  <si>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</si>
  <si>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</si>
  <si>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</si>
  <si>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</si>
  <si>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</si>
  <si>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</si>
  <si>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</si>
  <si>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</si>
  <si>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</si>
  <si>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</si>
  <si>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</si>
  <si>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</si>
  <si>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</si>
  <si>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</si>
  <si>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</si>
  <si>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</si>
  <si>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</si>
  <si>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</si>
  <si>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</si>
  <si>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</si>
  <si>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</si>
  <si>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</si>
  <si>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</si>
  <si>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</si>
  <si>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</si>
  <si>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</si>
  <si>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</si>
  <si>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</si>
  <si>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</si>
  <si>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</si>
  <si>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</si>
  <si>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</si>
  <si>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</si>
  <si>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</si>
  <si>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</si>
  <si>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</si>
  <si>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</si>
  <si>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</si>
  <si>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</si>
  <si>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</si>
  <si>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</si>
  <si>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</si>
  <si>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</si>
  <si>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</si>
  <si>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</si>
  <si>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</si>
  <si>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</si>
  <si>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</si>
  <si>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</si>
  <si>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</si>
  <si>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</si>
  <si>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</si>
  <si>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</si>
  <si>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</si>
  <si>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</si>
  <si>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</si>
  <si>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</si>
  <si>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</si>
  <si>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</si>
  <si>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</si>
  <si>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</si>
  <si>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</si>
  <si>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</si>
  <si>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</si>
  <si>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</si>
  <si>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</si>
  <si>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</si>
  <si>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</si>
  <si>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</si>
  <si>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</si>
  <si>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</si>
  <si>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</si>
  <si>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</si>
  <si>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</si>
  <si>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</si>
  <si>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</si>
  <si>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</si>
  <si>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</si>
  <si>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</si>
  <si>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</si>
  <si>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</si>
  <si>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</si>
  <si>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</si>
  <si>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</si>
  <si>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</si>
  <si>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</si>
  <si>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</si>
  <si>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</si>
  <si>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</si>
  <si>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</si>
  <si>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</si>
  <si>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</si>
  <si>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</si>
  <si>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</si>
  <si>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</si>
  <si>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</si>
  <si>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</si>
  <si>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</si>
  <si>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</si>
  <si>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</si>
  <si>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</si>
  <si>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</si>
  <si>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</si>
  <si>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</si>
  <si>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</si>
  <si>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</si>
  <si>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</si>
  <si>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</si>
  <si>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</si>
  <si>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</si>
  <si>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</si>
  <si>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</si>
  <si>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</si>
  <si>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</si>
  <si>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</si>
  <si>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</si>
  <si>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</si>
  <si>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</si>
  <si>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</si>
  <si>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</si>
  <si>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</si>
  <si>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</si>
  <si>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</si>
  <si>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</si>
  <si>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</si>
  <si>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</si>
  <si>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</si>
  <si>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</si>
  <si>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</si>
  <si>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</si>
  <si>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</si>
  <si>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</si>
  <si>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</si>
  <si>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</si>
  <si>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</si>
  <si>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</si>
  <si>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</si>
  <si>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</si>
  <si>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</si>
  <si>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</si>
  <si>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</si>
  <si>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</si>
  <si>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</si>
  <si>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</si>
  <si>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</si>
  <si>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</si>
  <si>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</si>
  <si>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</si>
  <si>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</si>
  <si>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</si>
  <si>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</si>
  <si>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</si>
  <si>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</si>
  <si>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</si>
  <si>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</si>
  <si>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</si>
  <si>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</si>
  <si>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</si>
  <si>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</si>
  <si>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</si>
  <si>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</si>
  <si>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</si>
  <si>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</si>
  <si>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</si>
  <si>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</si>
  <si>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</si>
  <si>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</si>
  <si>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</si>
  <si>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</si>
  <si>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</si>
  <si>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</si>
  <si>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</si>
  <si>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</si>
  <si>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</si>
  <si>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</si>
  <si>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</si>
  <si>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</si>
  <si>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</si>
  <si>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</si>
  <si>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</si>
  <si>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</si>
  <si>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</si>
  <si>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</si>
  <si>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</si>
  <si>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</si>
  <si>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</si>
  <si>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</si>
  <si>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</si>
  <si>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</si>
  <si>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</si>
  <si>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</si>
  <si>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</si>
  <si>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</si>
  <si>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</si>
  <si>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</si>
  <si>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</si>
  <si>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</si>
  <si>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</si>
  <si>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</si>
  <si>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</si>
  <si>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</si>
  <si>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</si>
  <si>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</si>
  <si>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</si>
  <si>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</si>
  <si>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</si>
  <si>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</si>
  <si>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</si>
  <si>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</si>
  <si>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</si>
  <si>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</si>
  <si>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</si>
  <si>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</si>
  <si>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</si>
  <si>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</si>
  <si>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</si>
  <si>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</si>
  <si>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</si>
  <si>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</si>
  <si>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</si>
  <si>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</si>
  <si>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</si>
  <si>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</si>
  <si>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</si>
  <si>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</si>
  <si>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</si>
  <si>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</si>
  <si>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</si>
  <si>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</si>
  <si>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</si>
  <si>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</si>
  <si>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</si>
  <si>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</si>
  <si>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</si>
  <si>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</si>
  <si>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</si>
  <si>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</si>
  <si>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</si>
  <si>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</si>
  <si>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</si>
  <si>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</si>
  <si>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</si>
  <si>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</si>
  <si>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</si>
  <si>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</si>
  <si>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</si>
  <si>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</si>
  <si>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</si>
  <si>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</si>
  <si>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</si>
  <si>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</si>
  <si>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</si>
  <si>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</si>
  <si>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</si>
  <si>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</si>
  <si>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</si>
  <si>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</si>
  <si>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</si>
  <si>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</si>
  <si>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</si>
  <si>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</si>
  <si>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</si>
  <si>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</si>
  <si>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</si>
  <si>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</si>
  <si>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</si>
  <si>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</si>
  <si>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</si>
  <si>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</si>
  <si>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</si>
  <si>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</si>
  <si>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</si>
  <si>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</si>
  <si>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</si>
  <si>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</si>
  <si>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</si>
  <si>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</si>
  <si>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</si>
  <si>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</si>
  <si>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</si>
  <si>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</si>
  <si>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</si>
  <si>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</si>
  <si>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</si>
  <si>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</si>
  <si>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</si>
  <si>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</si>
  <si>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</si>
  <si>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</si>
  <si>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</si>
  <si>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</si>
  <si>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</si>
  <si>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</si>
  <si>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</si>
  <si>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</si>
  <si>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</si>
  <si>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</si>
  <si>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</si>
  <si>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</si>
  <si>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</si>
  <si>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</si>
  <si>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</si>
  <si>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</si>
  <si>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</si>
  <si>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</si>
  <si>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</si>
  <si>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</si>
  <si>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</si>
  <si>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</si>
  <si>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</si>
  <si>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</si>
  <si>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</si>
  <si>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</si>
  <si>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</si>
  <si>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</si>
  <si>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</si>
  <si>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</si>
  <si>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</si>
  <si>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</si>
  <si>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</si>
  <si>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</si>
  <si>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</si>
  <si>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</si>
  <si>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</si>
  <si>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</si>
  <si>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</si>
  <si>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</si>
  <si>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</si>
  <si>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</si>
  <si>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</si>
  <si>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</si>
  <si>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</si>
  <si>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</si>
  <si>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</si>
  <si>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</si>
  <si>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</si>
  <si>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</si>
  <si>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</si>
  <si>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</si>
  <si>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</si>
  <si>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</si>
  <si>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</si>
  <si>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</si>
  <si>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</si>
  <si>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</si>
  <si>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</si>
  <si>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</si>
  <si>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</si>
  <si>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</si>
  <si>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</si>
  <si>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</si>
  <si>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</si>
  <si>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</si>
  <si>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</si>
  <si>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</si>
  <si>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</si>
  <si>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</si>
  <si>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</si>
  <si>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</si>
  <si>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</si>
  <si>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</si>
  <si>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</si>
  <si>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</si>
  <si>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</si>
  <si>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</si>
  <si>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</si>
  <si>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</si>
  <si>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</si>
  <si>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</si>
  <si>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</si>
  <si>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</si>
  <si>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</si>
  <si>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</si>
  <si>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</si>
  <si>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</si>
  <si>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</si>
  <si>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</si>
  <si>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</si>
  <si>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</si>
  <si>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</si>
  <si>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</si>
  <si>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</si>
  <si>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</si>
  <si>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</si>
  <si>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</si>
  <si>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</si>
  <si>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</si>
  <si>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</si>
  <si>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</si>
  <si>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</si>
  <si>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</si>
  <si>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</si>
  <si>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</si>
  <si>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</si>
  <si>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</si>
  <si>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</si>
  <si>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</si>
  <si>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</si>
  <si>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</si>
  <si>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</si>
  <si>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</si>
  <si>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</si>
  <si>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</si>
  <si>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</si>
  <si>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</si>
  <si>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</si>
  <si>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</si>
  <si>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</si>
  <si>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</si>
  <si>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</si>
  <si>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</si>
  <si>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</si>
  <si>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</si>
  <si>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</si>
  <si>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</si>
  <si>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</si>
  <si>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</si>
  <si>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</si>
  <si>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</si>
  <si>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</si>
  <si>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</si>
  <si>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</si>
  <si>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</si>
  <si>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</si>
  <si>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</si>
  <si>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</si>
  <si>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</si>
  <si>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</si>
  <si>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</si>
  <si>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</si>
  <si>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</si>
  <si>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</si>
  <si>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</si>
  <si>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</si>
  <si>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</si>
  <si>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</si>
  <si>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</si>
  <si>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</si>
  <si>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</si>
  <si>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</si>
  <si>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</si>
  <si>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</si>
  <si>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</si>
  <si>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</si>
  <si>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</si>
  <si>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</si>
  <si>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</si>
  <si>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</si>
  <si>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</si>
  <si>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</si>
  <si>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</si>
  <si>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</si>
  <si>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</si>
  <si>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</si>
  <si>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</si>
  <si>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</si>
  <si>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</si>
  <si>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</si>
  <si>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</si>
  <si>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</si>
  <si>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</si>
  <si>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</si>
  <si>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</si>
  <si>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</si>
  <si>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</si>
  <si>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</si>
  <si>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</si>
  <si>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</si>
  <si>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</si>
  <si>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</si>
  <si>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</si>
  <si>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</si>
  <si>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</si>
  <si>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</si>
  <si>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</si>
  <si>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</si>
  <si>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</si>
  <si>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</si>
  <si>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</si>
  <si>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</si>
  <si>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</si>
  <si>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</si>
  <si>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</si>
  <si>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</si>
  <si>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</si>
  <si>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</si>
  <si>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</si>
  <si>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</si>
  <si>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</si>
  <si>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</si>
  <si>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</si>
  <si>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</si>
  <si>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</si>
  <si>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</si>
  <si>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</si>
  <si>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</si>
  <si>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</si>
  <si>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</si>
  <si>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</si>
  <si>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</si>
  <si>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</si>
  <si>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</si>
  <si>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</si>
  <si>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</si>
  <si>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</si>
  <si>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</si>
  <si>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</si>
  <si>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</si>
  <si>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</si>
  <si>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</si>
  <si>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</si>
  <si>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</si>
  <si>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</si>
  <si>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</si>
  <si>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</si>
  <si>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</si>
  <si>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</si>
  <si>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</si>
  <si>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</si>
  <si>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</si>
  <si>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</si>
  <si>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</si>
  <si>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</si>
  <si>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</si>
  <si>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</si>
  <si>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</si>
  <si>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</si>
  <si>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</si>
  <si>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</si>
  <si>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</si>
  <si>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</si>
  <si>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</si>
  <si>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</si>
  <si>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</si>
  <si>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</si>
  <si>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</si>
  <si>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</si>
  <si>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</si>
  <si>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</si>
  <si>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</si>
  <si>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</si>
  <si>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</si>
  <si>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</si>
  <si>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</si>
  <si>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</si>
  <si>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</si>
  <si>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</si>
  <si>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</si>
  <si>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</si>
  <si>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</si>
  <si>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</si>
  <si>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</si>
  <si>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</si>
  <si>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</si>
  <si>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</si>
  <si>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</si>
  <si>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</si>
  <si>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</si>
  <si>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</si>
  <si>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</si>
  <si>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</si>
  <si>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</si>
  <si>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</si>
  <si>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</si>
  <si>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</si>
  <si>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</si>
  <si>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</si>
  <si>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</si>
  <si>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</si>
  <si>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</si>
  <si>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</si>
  <si>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</si>
  <si>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</si>
  <si>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</si>
  <si>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</si>
  <si>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</si>
  <si>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</si>
  <si>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</si>
  <si>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</si>
  <si>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</si>
  <si>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</si>
  <si>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</si>
  <si>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</si>
  <si>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</si>
  <si>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</si>
  <si>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</si>
  <si>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</si>
  <si>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</si>
  <si>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</si>
  <si>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</si>
  <si>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</si>
  <si>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</si>
  <si>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</si>
  <si>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</si>
  <si>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</si>
  <si>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</si>
  <si>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</si>
  <si>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</si>
  <si>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</si>
  <si>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</si>
  <si>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</si>
  <si>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</si>
  <si>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</si>
  <si>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</si>
  <si>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</si>
  <si>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</si>
  <si>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</si>
  <si>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</si>
  <si>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</si>
  <si>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</si>
  <si>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</si>
  <si>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</si>
  <si>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</si>
  <si>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</si>
  <si>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</si>
  <si>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</si>
  <si>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</si>
  <si>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</si>
  <si>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</si>
  <si>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</si>
  <si>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</si>
  <si>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</si>
  <si>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</si>
  <si>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</si>
  <si>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</si>
  <si>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</si>
  <si>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</si>
  <si>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</si>
  <si>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</si>
  <si>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</si>
  <si>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</si>
  <si>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</si>
  <si>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</si>
  <si>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</si>
  <si>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</si>
  <si>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</si>
  <si>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</si>
  <si>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</si>
  <si>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</si>
  <si>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</si>
  <si>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</si>
  <si>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</si>
  <si>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</si>
  <si>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</si>
  <si>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</si>
  <si>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</si>
  <si>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</si>
  <si>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</si>
  <si>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</si>
  <si>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</si>
  <si>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</si>
  <si>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</si>
  <si>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</si>
  <si>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</si>
  <si>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</si>
  <si>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</si>
  <si>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</si>
  <si>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</si>
  <si>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</si>
  <si>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</si>
  <si>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</si>
  <si>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</si>
  <si>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</si>
  <si>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</si>
  <si>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</si>
  <si>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</si>
  <si>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</si>
  <si>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</si>
  <si>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</si>
  <si>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</si>
  <si>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</si>
  <si>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</si>
  <si>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</si>
  <si>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</si>
  <si>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</si>
  <si>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</si>
  <si>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</si>
  <si>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</si>
  <si>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</si>
  <si>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</si>
  <si>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</si>
  <si>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</si>
  <si>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</si>
  <si>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</si>
  <si>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</si>
  <si>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</si>
  <si>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</si>
  <si>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</si>
  <si>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</si>
  <si>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</si>
  <si>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</si>
  <si>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</si>
  <si>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</si>
  <si>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</si>
  <si>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</si>
  <si>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</si>
  <si>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</si>
  <si>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</si>
  <si>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</si>
  <si>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</si>
  <si>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</si>
  <si>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</si>
  <si>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</si>
  <si>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</si>
  <si>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</si>
  <si>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</si>
  <si>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</si>
  <si>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</si>
  <si>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</si>
  <si>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</si>
  <si>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</si>
  <si>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</si>
  <si>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</si>
  <si>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</si>
  <si>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</si>
  <si>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</si>
  <si>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</si>
  <si>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</si>
  <si>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</si>
  <si>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</si>
  <si>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</si>
  <si>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</si>
  <si>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</si>
  <si>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</si>
  <si>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</si>
  <si>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</si>
  <si>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</si>
  <si>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</si>
  <si>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</si>
  <si>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</si>
  <si>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</si>
  <si>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</si>
  <si>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</si>
  <si>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</si>
  <si>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</si>
  <si>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</si>
  <si>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</si>
  <si>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</si>
  <si>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</si>
  <si>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</si>
  <si>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</si>
  <si>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</si>
  <si>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</si>
  <si>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</si>
  <si>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</si>
  <si>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</si>
  <si>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</si>
  <si>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</si>
  <si>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</si>
  <si>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</si>
  <si>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</si>
  <si>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</si>
  <si>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</si>
  <si>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</si>
  <si>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</si>
  <si>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</si>
  <si>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</si>
  <si>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</si>
  <si>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</si>
  <si>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</si>
  <si>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</si>
  <si>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</si>
  <si>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</si>
  <si>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</si>
  <si>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</si>
  <si>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</si>
  <si>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</si>
  <si>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</si>
  <si>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</si>
  <si>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</si>
  <si>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</si>
  <si>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</si>
  <si>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</si>
  <si>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</si>
  <si>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</si>
  <si>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</si>
  <si>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</si>
  <si>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</si>
  <si>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</si>
  <si>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</si>
  <si>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</si>
  <si>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</si>
  <si>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</si>
  <si>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</si>
  <si>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</si>
  <si>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</si>
  <si>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</si>
  <si>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</si>
  <si>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</si>
  <si>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</si>
  <si>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</si>
  <si>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</si>
  <si>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</si>
  <si>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</si>
  <si>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</si>
  <si>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</si>
  <si>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</si>
  <si>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</si>
  <si>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</si>
  <si>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</si>
  <si>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</si>
  <si>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</si>
  <si>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</si>
  <si>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</si>
  <si>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</si>
  <si>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</si>
  <si>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</si>
  <si>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</si>
  <si>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</si>
  <si>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</si>
  <si>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</si>
  <si>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</si>
  <si>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</si>
  <si>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</si>
  <si>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</si>
  <si>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</si>
  <si>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</si>
  <si>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</si>
  <si>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</si>
  <si>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</si>
  <si>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</si>
  <si>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</si>
  <si>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</si>
  <si>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</si>
  <si>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</si>
  <si>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</si>
  <si>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</si>
  <si>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</si>
  <si>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</si>
  <si>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</si>
  <si>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</si>
  <si>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</si>
  <si>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</si>
  <si>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</si>
  <si>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</si>
  <si>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</si>
  <si>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</si>
  <si>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</si>
  <si>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</si>
  <si>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</si>
  <si>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</si>
  <si>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</si>
  <si>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</si>
  <si>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</si>
  <si>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</si>
  <si>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</si>
  <si>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</si>
  <si>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</si>
  <si>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</si>
  <si>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</si>
  <si>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</si>
  <si>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</si>
  <si>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</si>
  <si>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</si>
  <si>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</si>
  <si>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</si>
  <si>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</si>
  <si>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</si>
  <si>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</si>
  <si>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</si>
  <si>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</si>
  <si>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</si>
  <si>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</si>
  <si>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</si>
  <si>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</si>
  <si>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</si>
  <si>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</si>
  <si>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</si>
  <si>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</si>
  <si>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</si>
  <si>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</si>
  <si>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</si>
  <si>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</si>
  <si>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</si>
  <si>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</si>
  <si>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</si>
  <si>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</si>
  <si>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</si>
  <si>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</si>
  <si>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</si>
  <si>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</si>
  <si>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</si>
  <si>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</si>
  <si>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</si>
  <si>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</si>
  <si>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</si>
  <si>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</si>
  <si>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</si>
  <si>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</si>
  <si>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</si>
  <si>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</si>
  <si>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</si>
  <si>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</si>
  <si>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</si>
  <si>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</si>
  <si>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</si>
  <si>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</si>
  <si>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</si>
  <si>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</si>
  <si>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</si>
  <si>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</si>
  <si>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</si>
  <si>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</si>
  <si>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</si>
  <si>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</si>
  <si>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</si>
  <si>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</si>
  <si>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</si>
  <si>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</si>
  <si>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</si>
  <si>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</si>
  <si>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</si>
  <si>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</si>
  <si>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</si>
  <si>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</si>
  <si>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</si>
  <si>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</si>
  <si>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</si>
  <si>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</si>
  <si>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</si>
  <si>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</si>
  <si>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</si>
  <si>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</si>
  <si>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</si>
  <si>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</si>
  <si>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</si>
  <si>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</si>
  <si>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</si>
  <si>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</si>
  <si>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</si>
  <si>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</si>
  <si>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</si>
  <si>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</si>
  <si>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</si>
  <si>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</si>
  <si>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</si>
  <si>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</si>
  <si>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</si>
  <si>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</si>
  <si>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</si>
  <si>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</si>
  <si>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</si>
  <si>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</si>
  <si>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</si>
  <si>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</si>
  <si>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</si>
  <si>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</si>
  <si>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</si>
  <si>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</si>
  <si>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</si>
  <si>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</si>
  <si>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</si>
  <si>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</si>
  <si>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</si>
  <si>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</si>
  <si>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</si>
  <si>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</si>
  <si>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</si>
  <si>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</si>
  <si>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</si>
  <si>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</si>
  <si>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</si>
  <si>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</si>
  <si>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</si>
  <si>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</si>
  <si>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</si>
  <si>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</si>
  <si>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</si>
  <si>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</si>
  <si>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</si>
  <si>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</si>
  <si>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</si>
  <si>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</si>
  <si>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</si>
  <si>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</si>
  <si>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</si>
  <si>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</si>
  <si>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</si>
  <si>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</si>
  <si>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</si>
  <si>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</si>
  <si>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</si>
  <si>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</si>
  <si>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</si>
  <si>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</si>
  <si>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</si>
  <si>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</si>
  <si>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Central Variable:</t>
  </si>
  <si>
    <t>Variable ID</t>
  </si>
  <si>
    <t>Number of wells</t>
  </si>
  <si>
    <t>Required mass (mg)</t>
  </si>
  <si>
    <t>Vol for stock (mL)</t>
  </si>
  <si>
    <t>central_id</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</si>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</sst>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7">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5" fillId="0" borderId="0"/>
  </cellStyleXfs>
  <cellXfs count="704">
    <xf numFmtId="0" fontId="0" fillId="0" borderId="0" xfId="0"/>
    <xf numFmtId="0" fontId="21" fillId="0" borderId="0" xfId="0" applyFont="1"/>
    <xf numFmtId="0" fontId="21" fillId="0" borderId="0" xfId="0" applyFont="1" applyAlignment="1">
      <alignment horizontal="center"/>
    </xf>
    <xf numFmtId="0" fontId="21" fillId="0" borderId="6" xfId="0" applyFont="1" applyBorder="1"/>
    <xf numFmtId="0" fontId="21" fillId="0" borderId="8" xfId="0" applyFont="1" applyBorder="1"/>
    <xf numFmtId="0" fontId="21" fillId="0" borderId="7" xfId="0" applyFont="1" applyBorder="1"/>
    <xf numFmtId="0" fontId="21" fillId="0" borderId="14" xfId="0" applyFont="1" applyBorder="1"/>
    <xf numFmtId="0" fontId="21" fillId="0" borderId="15" xfId="0" applyFont="1" applyBorder="1"/>
    <xf numFmtId="0" fontId="22" fillId="0" borderId="0" xfId="0" applyFont="1"/>
    <xf numFmtId="0" fontId="22" fillId="0" borderId="15" xfId="0" applyFont="1" applyBorder="1"/>
    <xf numFmtId="0" fontId="21" fillId="0" borderId="8" xfId="0" applyFont="1" applyBorder="1" applyAlignment="1">
      <alignment horizontal="center"/>
    </xf>
    <xf numFmtId="0" fontId="21" fillId="0" borderId="3" xfId="0" applyFont="1" applyBorder="1"/>
    <xf numFmtId="0" fontId="21" fillId="0" borderId="13" xfId="0" applyFont="1" applyBorder="1"/>
    <xf numFmtId="0" fontId="21" fillId="0" borderId="24" xfId="0" applyFont="1" applyBorder="1"/>
    <xf numFmtId="0" fontId="24" fillId="0" borderId="0" xfId="0" applyFont="1"/>
    <xf numFmtId="0" fontId="22" fillId="0" borderId="10" xfId="0" applyFont="1" applyBorder="1" applyAlignment="1">
      <alignment horizontal="center"/>
    </xf>
    <xf numFmtId="0" fontId="22" fillId="0" borderId="27" xfId="0" applyFont="1" applyBorder="1"/>
    <xf numFmtId="0" fontId="21" fillId="0" borderId="3" xfId="0" applyFont="1" applyBorder="1" applyAlignment="1">
      <alignment horizontal="center"/>
    </xf>
    <xf numFmtId="0" fontId="22" fillId="0" borderId="27" xfId="0" applyFont="1" applyBorder="1" applyAlignment="1">
      <alignment horizontal="center"/>
    </xf>
    <xf numFmtId="0" fontId="22" fillId="0" borderId="32" xfId="0" applyFont="1" applyBorder="1"/>
    <xf numFmtId="0" fontId="22" fillId="2" borderId="0" xfId="0" applyFont="1" applyFill="1"/>
    <xf numFmtId="0" fontId="21" fillId="2" borderId="0" xfId="0" applyFont="1" applyFill="1"/>
    <xf numFmtId="0" fontId="21" fillId="2" borderId="0" xfId="0" applyFont="1" applyFill="1" applyAlignment="1">
      <alignment horizontal="center"/>
    </xf>
    <xf numFmtId="164" fontId="21" fillId="2" borderId="0" xfId="0" applyNumberFormat="1" applyFont="1" applyFill="1" applyAlignment="1">
      <alignment horizontal="center"/>
    </xf>
    <xf numFmtId="0" fontId="21" fillId="2" borderId="53" xfId="0" applyFont="1" applyFill="1" applyBorder="1"/>
    <xf numFmtId="0" fontId="21" fillId="0" borderId="55" xfId="0" applyFont="1" applyBorder="1" applyAlignment="1">
      <alignment horizontal="center"/>
    </xf>
    <xf numFmtId="0" fontId="21" fillId="0" borderId="55" xfId="0" applyFont="1" applyBorder="1"/>
    <xf numFmtId="0" fontId="21" fillId="2" borderId="63" xfId="0" applyFont="1" applyFill="1" applyBorder="1"/>
    <xf numFmtId="0" fontId="26" fillId="0" borderId="52" xfId="1" applyFont="1" applyBorder="1" applyAlignment="1">
      <alignment horizontal="center"/>
    </xf>
    <xf numFmtId="0" fontId="21" fillId="0" borderId="83" xfId="0" applyFont="1" applyBorder="1"/>
    <xf numFmtId="0" fontId="21" fillId="2" borderId="76" xfId="0" applyFont="1" applyFill="1" applyBorder="1" applyAlignment="1">
      <alignment horizontal="center"/>
    </xf>
    <xf numFmtId="0" fontId="22" fillId="2" borderId="0" xfId="0" applyFont="1" applyFill="1" applyAlignment="1">
      <alignment horizontal="left"/>
    </xf>
    <xf numFmtId="0" fontId="28" fillId="0" borderId="1" xfId="1" applyFont="1" applyBorder="1" applyAlignment="1">
      <alignment horizontal="center"/>
    </xf>
    <xf numFmtId="0" fontId="21" fillId="2" borderId="102" xfId="0" applyFont="1" applyFill="1" applyBorder="1" applyAlignment="1">
      <alignment horizontal="left"/>
    </xf>
    <xf numFmtId="0" fontId="21" fillId="2" borderId="103" xfId="0" applyFont="1" applyFill="1" applyBorder="1" applyAlignment="1">
      <alignment horizontal="center"/>
    </xf>
    <xf numFmtId="0" fontId="21" fillId="2" borderId="103" xfId="0" applyFont="1" applyFill="1" applyBorder="1"/>
    <xf numFmtId="0" fontId="21" fillId="2" borderId="104" xfId="0" applyFont="1" applyFill="1" applyBorder="1" applyAlignment="1">
      <alignment horizontal="left"/>
    </xf>
    <xf numFmtId="0" fontId="21" fillId="2" borderId="106" xfId="0" applyFont="1" applyFill="1" applyBorder="1"/>
    <xf numFmtId="0" fontId="21" fillId="2" borderId="107" xfId="0" applyFont="1" applyFill="1" applyBorder="1" applyAlignment="1">
      <alignment horizontal="left"/>
    </xf>
    <xf numFmtId="0" fontId="21" fillId="2" borderId="108" xfId="0" applyFont="1" applyFill="1" applyBorder="1" applyAlignment="1">
      <alignment horizontal="center"/>
    </xf>
    <xf numFmtId="0" fontId="21" fillId="2" borderId="109" xfId="0" applyFont="1" applyFill="1" applyBorder="1"/>
    <xf numFmtId="0" fontId="31" fillId="0" borderId="0" xfId="0" applyFont="1"/>
    <xf numFmtId="0" fontId="32" fillId="0" borderId="0" xfId="0" applyFont="1"/>
    <xf numFmtId="0" fontId="27" fillId="2" borderId="0" xfId="0" applyFont="1" applyFill="1"/>
    <xf numFmtId="0" fontId="21" fillId="2" borderId="0" xfId="0" applyFont="1" applyFill="1" applyProtection="1">
      <protection locked="0"/>
    </xf>
    <xf numFmtId="0" fontId="21" fillId="0" borderId="0" xfId="0" applyFont="1" applyProtection="1">
      <protection locked="0"/>
    </xf>
    <xf numFmtId="0" fontId="21" fillId="2" borderId="0" xfId="0" applyFont="1" applyFill="1" applyAlignment="1" applyProtection="1">
      <alignment horizontal="center"/>
      <protection locked="0"/>
    </xf>
    <xf numFmtId="0" fontId="22" fillId="2" borderId="0" xfId="0" applyFont="1" applyFill="1" applyProtection="1">
      <protection locked="0"/>
    </xf>
    <xf numFmtId="0" fontId="21" fillId="0" borderId="1" xfId="0" applyFont="1" applyBorder="1" applyProtection="1">
      <protection locked="0"/>
    </xf>
    <xf numFmtId="0" fontId="21" fillId="0" borderId="101" xfId="0" applyFont="1" applyBorder="1" applyProtection="1">
      <protection locked="0"/>
    </xf>
    <xf numFmtId="0" fontId="22" fillId="0" borderId="41" xfId="0" applyFont="1" applyBorder="1" applyProtection="1">
      <protection locked="0"/>
    </xf>
    <xf numFmtId="0" fontId="27" fillId="0" borderId="173" xfId="0" applyFont="1" applyBorder="1" applyProtection="1">
      <protection locked="0"/>
    </xf>
    <xf numFmtId="0" fontId="27" fillId="0" borderId="45" xfId="0" applyFont="1" applyBorder="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22" fillId="0" borderId="0" xfId="0" applyFont="1" applyProtection="1">
      <protection locked="0"/>
    </xf>
    <xf numFmtId="0" fontId="21" fillId="0" borderId="41" xfId="0" applyFont="1" applyBorder="1" applyAlignment="1" applyProtection="1">
      <alignment horizontal="center"/>
      <protection locked="0"/>
    </xf>
    <xf numFmtId="0" fontId="21" fillId="0" borderId="44" xfId="0" applyFont="1" applyBorder="1" applyAlignment="1" applyProtection="1">
      <alignment horizontal="center"/>
      <protection locked="0"/>
    </xf>
    <xf numFmtId="0" fontId="21" fillId="0" borderId="41" xfId="0" applyFont="1" applyBorder="1" applyProtection="1">
      <protection locked="0"/>
    </xf>
    <xf numFmtId="0" fontId="21" fillId="0" borderId="49" xfId="0" applyFont="1" applyBorder="1" applyAlignment="1" applyProtection="1">
      <alignment horizontal="center"/>
      <protection locked="0"/>
    </xf>
    <xf numFmtId="0" fontId="21" fillId="0" borderId="51" xfId="0" applyFont="1" applyBorder="1" applyProtection="1">
      <protection locked="0"/>
    </xf>
    <xf numFmtId="0" fontId="21" fillId="0" borderId="0" xfId="0" applyFont="1" applyAlignment="1" applyProtection="1">
      <alignment horizontal="center"/>
      <protection locked="0"/>
    </xf>
    <xf numFmtId="0" fontId="22" fillId="0" borderId="41" xfId="0" applyFont="1" applyBorder="1"/>
    <xf numFmtId="0" fontId="22" fillId="0" borderId="42" xfId="0" applyFont="1" applyBorder="1"/>
    <xf numFmtId="0" fontId="22" fillId="0" borderId="43" xfId="0" applyFont="1" applyBorder="1"/>
    <xf numFmtId="0" fontId="22" fillId="0" borderId="150" xfId="0" applyFont="1" applyBorder="1"/>
    <xf numFmtId="0" fontId="22" fillId="0" borderId="147" xfId="0" applyFont="1" applyBorder="1"/>
    <xf numFmtId="0" fontId="22" fillId="0" borderId="137" xfId="0" applyFont="1" applyBorder="1"/>
    <xf numFmtId="0" fontId="22" fillId="0" borderId="152" xfId="0" applyFont="1" applyBorder="1"/>
    <xf numFmtId="0" fontId="22" fillId="2" borderId="165" xfId="0" applyFont="1" applyFill="1" applyBorder="1"/>
    <xf numFmtId="0" fontId="22" fillId="2" borderId="149" xfId="0" applyFont="1" applyFill="1" applyBorder="1"/>
    <xf numFmtId="0" fontId="22" fillId="2" borderId="170" xfId="0" applyFont="1" applyFill="1" applyBorder="1"/>
    <xf numFmtId="0" fontId="22" fillId="2" borderId="166" xfId="0" applyFont="1" applyFill="1" applyBorder="1"/>
    <xf numFmtId="0" fontId="21" fillId="0" borderId="41" xfId="0" applyFont="1" applyBorder="1" applyAlignment="1">
      <alignment horizontal="center"/>
    </xf>
    <xf numFmtId="0" fontId="21" fillId="0" borderId="42" xfId="0" applyFont="1" applyBorder="1" applyAlignment="1">
      <alignment horizontal="center"/>
    </xf>
    <xf numFmtId="0" fontId="21" fillId="0" borderId="41" xfId="0" applyFont="1" applyBorder="1"/>
    <xf numFmtId="0" fontId="22" fillId="0" borderId="89" xfId="0" applyFont="1" applyBorder="1" applyAlignment="1">
      <alignment horizontal="center"/>
    </xf>
    <xf numFmtId="164" fontId="22" fillId="0" borderId="45" xfId="0" applyNumberFormat="1" applyFont="1" applyBorder="1" applyAlignment="1">
      <alignment horizontal="center"/>
    </xf>
    <xf numFmtId="0" fontId="21" fillId="0" borderId="89" xfId="0" applyFont="1" applyBorder="1" applyAlignment="1">
      <alignment horizontal="center"/>
    </xf>
    <xf numFmtId="164" fontId="21" fillId="0" borderId="45" xfId="0" applyNumberFormat="1" applyFont="1" applyBorder="1" applyAlignment="1">
      <alignment horizontal="center"/>
    </xf>
    <xf numFmtId="0" fontId="21" fillId="0" borderId="116" xfId="0" applyFont="1" applyBorder="1" applyAlignment="1">
      <alignment horizontal="center"/>
    </xf>
    <xf numFmtId="0" fontId="21" fillId="0" borderId="91" xfId="0" applyFont="1" applyBorder="1" applyAlignment="1">
      <alignment horizontal="center"/>
    </xf>
    <xf numFmtId="164" fontId="21" fillId="0" borderId="47" xfId="0" applyNumberFormat="1" applyFont="1" applyBorder="1" applyAlignment="1">
      <alignment horizontal="center"/>
    </xf>
    <xf numFmtId="0" fontId="21" fillId="0" borderId="158" xfId="0" applyFont="1" applyBorder="1" applyAlignment="1">
      <alignment horizontal="center"/>
    </xf>
    <xf numFmtId="0" fontId="21" fillId="0" borderId="159" xfId="0" applyFont="1" applyBorder="1" applyAlignment="1">
      <alignment horizontal="center"/>
    </xf>
    <xf numFmtId="0" fontId="21" fillId="0" borderId="148" xfId="0" applyFont="1" applyBorder="1" applyAlignment="1">
      <alignment horizontal="center"/>
    </xf>
    <xf numFmtId="0" fontId="21" fillId="0" borderId="157" xfId="0" applyFont="1" applyBorder="1" applyAlignment="1">
      <alignment horizontal="center"/>
    </xf>
    <xf numFmtId="164" fontId="21" fillId="0" borderId="0" xfId="0" applyNumberFormat="1" applyFont="1" applyAlignment="1">
      <alignment horizontal="center"/>
    </xf>
    <xf numFmtId="164" fontId="21" fillId="0" borderId="41" xfId="0" applyNumberFormat="1" applyFont="1" applyBorder="1" applyAlignment="1">
      <alignment horizontal="center"/>
    </xf>
    <xf numFmtId="0" fontId="22" fillId="0" borderId="44" xfId="0" applyFont="1" applyBorder="1" applyAlignment="1">
      <alignment horizontal="center"/>
    </xf>
    <xf numFmtId="0" fontId="21" fillId="0" borderId="50" xfId="0" applyFont="1" applyBorder="1" applyAlignment="1">
      <alignment horizontal="center"/>
    </xf>
    <xf numFmtId="0" fontId="21" fillId="0" borderId="8" xfId="0" applyFont="1" applyBorder="1" applyProtection="1">
      <protection locked="0"/>
    </xf>
    <xf numFmtId="0" fontId="21" fillId="10" borderId="73" xfId="0" applyFont="1" applyFill="1" applyBorder="1" applyProtection="1">
      <protection locked="0"/>
    </xf>
    <xf numFmtId="0" fontId="21" fillId="10" borderId="21" xfId="0" applyFont="1" applyFill="1" applyBorder="1" applyProtection="1">
      <protection locked="0"/>
    </xf>
    <xf numFmtId="0" fontId="21" fillId="10" borderId="17" xfId="0" applyFont="1" applyFill="1" applyBorder="1" applyProtection="1">
      <protection locked="0"/>
    </xf>
    <xf numFmtId="0" fontId="21" fillId="10" borderId="22" xfId="0" applyFont="1" applyFill="1" applyBorder="1" applyProtection="1">
      <protection locked="0"/>
    </xf>
    <xf numFmtId="0" fontId="21" fillId="10" borderId="30" xfId="0" applyFont="1" applyFill="1" applyBorder="1" applyProtection="1">
      <protection locked="0"/>
    </xf>
    <xf numFmtId="0" fontId="21" fillId="10" borderId="2" xfId="0" applyFont="1" applyFill="1" applyBorder="1" applyProtection="1">
      <protection locked="0"/>
    </xf>
    <xf numFmtId="0" fontId="13" fillId="10" borderId="30" xfId="0" applyFont="1" applyFill="1" applyBorder="1" applyProtection="1">
      <protection locked="0"/>
    </xf>
    <xf numFmtId="0" fontId="21" fillId="10" borderId="172" xfId="0" applyFont="1" applyFill="1" applyBorder="1" applyProtection="1">
      <protection locked="0"/>
    </xf>
    <xf numFmtId="0" fontId="21" fillId="10" borderId="120" xfId="0" applyFont="1" applyFill="1" applyBorder="1" applyProtection="1">
      <protection locked="0"/>
    </xf>
    <xf numFmtId="0" fontId="21" fillId="10" borderId="115" xfId="0" applyFont="1" applyFill="1" applyBorder="1" applyProtection="1">
      <protection locked="0"/>
    </xf>
    <xf numFmtId="0" fontId="21" fillId="10" borderId="171" xfId="0" applyFont="1" applyFill="1" applyBorder="1" applyProtection="1">
      <protection locked="0"/>
    </xf>
    <xf numFmtId="0" fontId="21" fillId="10" borderId="3" xfId="0" applyFont="1" applyFill="1" applyBorder="1" applyAlignment="1" applyProtection="1">
      <alignment horizontal="center"/>
      <protection locked="0"/>
    </xf>
    <xf numFmtId="0" fontId="21" fillId="10" borderId="1" xfId="0" applyFont="1" applyFill="1" applyBorder="1" applyAlignment="1" applyProtection="1">
      <alignment horizontal="center"/>
      <protection locked="0"/>
    </xf>
    <xf numFmtId="0" fontId="21" fillId="11" borderId="73" xfId="0" applyFont="1" applyFill="1" applyBorder="1" applyProtection="1">
      <protection locked="0"/>
    </xf>
    <xf numFmtId="0" fontId="21" fillId="11" borderId="86" xfId="0" applyFont="1" applyFill="1" applyBorder="1" applyProtection="1">
      <protection locked="0"/>
    </xf>
    <xf numFmtId="0" fontId="17" fillId="5" borderId="3" xfId="0" applyFont="1" applyFill="1" applyBorder="1" applyAlignment="1" applyProtection="1">
      <alignment horizontal="center"/>
      <protection locked="0"/>
    </xf>
    <xf numFmtId="0" fontId="22" fillId="0" borderId="41" xfId="0" applyFont="1" applyBorder="1" applyAlignment="1">
      <alignment horizontal="left"/>
    </xf>
    <xf numFmtId="0" fontId="35" fillId="0" borderId="176" xfId="0" applyFont="1" applyBorder="1"/>
    <xf numFmtId="0" fontId="35" fillId="0" borderId="176" xfId="0" applyFont="1" applyBorder="1" applyAlignment="1">
      <alignment horizontal="left"/>
    </xf>
    <xf numFmtId="0" fontId="22" fillId="0" borderId="34" xfId="0" applyFont="1" applyBorder="1" applyAlignment="1">
      <alignment horizontal="center"/>
    </xf>
    <xf numFmtId="0" fontId="22" fillId="0" borderId="35" xfId="0" applyFont="1" applyBorder="1" applyAlignment="1">
      <alignment horizontal="center"/>
    </xf>
    <xf numFmtId="0" fontId="22" fillId="0" borderId="15" xfId="0" applyFont="1" applyBorder="1" applyAlignment="1">
      <alignment horizontal="center"/>
    </xf>
    <xf numFmtId="0" fontId="22" fillId="0" borderId="59" xfId="0" applyFont="1" applyBorder="1" applyAlignment="1">
      <alignment horizontal="center"/>
    </xf>
    <xf numFmtId="0" fontId="22" fillId="0" borderId="38" xfId="0" applyFont="1" applyBorder="1" applyAlignment="1">
      <alignment horizontal="center"/>
    </xf>
    <xf numFmtId="0" fontId="22" fillId="0" borderId="96" xfId="0" applyFont="1" applyBorder="1" applyAlignment="1">
      <alignment horizontal="center"/>
    </xf>
    <xf numFmtId="164" fontId="21" fillId="0" borderId="39" xfId="0" applyNumberFormat="1" applyFont="1" applyBorder="1" applyAlignment="1">
      <alignment horizontal="center"/>
    </xf>
    <xf numFmtId="164" fontId="21" fillId="0" borderId="97" xfId="0" applyNumberFormat="1" applyFont="1" applyBorder="1" applyAlignment="1">
      <alignment horizontal="center"/>
    </xf>
    <xf numFmtId="164" fontId="21" fillId="0" borderId="40" xfId="0" applyNumberFormat="1" applyFont="1" applyBorder="1" applyAlignment="1">
      <alignment horizontal="center"/>
    </xf>
    <xf numFmtId="164" fontId="21" fillId="0" borderId="93" xfId="0" applyNumberFormat="1" applyFont="1" applyBorder="1" applyAlignment="1">
      <alignment horizontal="center"/>
    </xf>
    <xf numFmtId="164" fontId="21" fillId="0" borderId="53" xfId="0" applyNumberFormat="1" applyFont="1" applyBorder="1" applyAlignment="1">
      <alignment horizontal="center"/>
    </xf>
    <xf numFmtId="164" fontId="21" fillId="0" borderId="92" xfId="0" applyNumberFormat="1" applyFont="1" applyBorder="1" applyAlignment="1">
      <alignment horizontal="center"/>
    </xf>
    <xf numFmtId="164" fontId="21" fillId="0" borderId="126" xfId="0" applyNumberFormat="1" applyFont="1" applyBorder="1" applyAlignment="1">
      <alignment horizontal="center"/>
    </xf>
    <xf numFmtId="164" fontId="21" fillId="0" borderId="94" xfId="0" applyNumberFormat="1" applyFont="1" applyBorder="1" applyAlignment="1">
      <alignment horizontal="center"/>
    </xf>
    <xf numFmtId="164" fontId="21" fillId="0" borderId="101" xfId="0" applyNumberFormat="1" applyFont="1" applyBorder="1" applyAlignment="1">
      <alignment horizontal="center"/>
    </xf>
    <xf numFmtId="164" fontId="21" fillId="0" borderId="127" xfId="0" applyNumberFormat="1" applyFont="1" applyBorder="1" applyAlignment="1">
      <alignment horizontal="center"/>
    </xf>
    <xf numFmtId="164" fontId="21" fillId="0" borderId="62" xfId="0" applyNumberFormat="1" applyFont="1" applyBorder="1" applyAlignment="1">
      <alignment horizontal="center"/>
    </xf>
    <xf numFmtId="164" fontId="21" fillId="0" borderId="60" xfId="0" applyNumberFormat="1" applyFont="1" applyBorder="1" applyAlignment="1">
      <alignment horizontal="center"/>
    </xf>
    <xf numFmtId="164" fontId="22" fillId="0" borderId="129" xfId="0" applyNumberFormat="1" applyFont="1" applyBorder="1" applyAlignment="1">
      <alignment horizontal="center"/>
    </xf>
    <xf numFmtId="164" fontId="22" fillId="0" borderId="38" xfId="0" applyNumberFormat="1" applyFont="1" applyBorder="1" applyAlignment="1">
      <alignment horizontal="center"/>
    </xf>
    <xf numFmtId="164" fontId="22" fillId="0" borderId="130" xfId="0" applyNumberFormat="1" applyFont="1" applyBorder="1" applyAlignment="1">
      <alignment horizontal="center"/>
    </xf>
    <xf numFmtId="164" fontId="21" fillId="0" borderId="131" xfId="0" applyNumberFormat="1" applyFont="1" applyBorder="1" applyAlignment="1">
      <alignment horizontal="center"/>
    </xf>
    <xf numFmtId="164" fontId="21" fillId="0" borderId="132" xfId="0" applyNumberFormat="1" applyFont="1" applyBorder="1" applyAlignment="1">
      <alignment horizontal="center"/>
    </xf>
    <xf numFmtId="164" fontId="21" fillId="0" borderId="133" xfId="0" applyNumberFormat="1" applyFont="1" applyBorder="1" applyAlignment="1">
      <alignment horizontal="center"/>
    </xf>
    <xf numFmtId="164" fontId="21" fillId="0" borderId="134" xfId="0" applyNumberFormat="1" applyFont="1" applyBorder="1" applyAlignment="1">
      <alignment horizontal="center"/>
    </xf>
    <xf numFmtId="164" fontId="21" fillId="0" borderId="135" xfId="0" applyNumberFormat="1" applyFont="1" applyBorder="1" applyAlignment="1">
      <alignment horizontal="center"/>
    </xf>
    <xf numFmtId="164" fontId="21" fillId="0" borderId="128" xfId="0" applyNumberFormat="1" applyFont="1" applyBorder="1" applyAlignment="1">
      <alignment horizontal="center"/>
    </xf>
    <xf numFmtId="164" fontId="21" fillId="0" borderId="136" xfId="0" applyNumberFormat="1" applyFont="1" applyBorder="1" applyAlignment="1">
      <alignment horizontal="center"/>
    </xf>
    <xf numFmtId="164" fontId="21" fillId="0" borderId="125" xfId="0" applyNumberFormat="1" applyFont="1" applyBorder="1" applyAlignment="1">
      <alignment horizontal="center"/>
    </xf>
    <xf numFmtId="164" fontId="21" fillId="0" borderId="95" xfId="0" applyNumberFormat="1" applyFont="1" applyBorder="1" applyAlignment="1">
      <alignment horizontal="center"/>
    </xf>
    <xf numFmtId="0" fontId="27" fillId="0" borderId="178" xfId="0" applyFont="1" applyBorder="1"/>
    <xf numFmtId="0" fontId="27" fillId="0" borderId="179" xfId="0" applyFont="1" applyBorder="1"/>
    <xf numFmtId="0" fontId="27" fillId="0" borderId="168" xfId="0" applyFont="1" applyBorder="1" applyAlignment="1">
      <alignment horizontal="center"/>
    </xf>
    <xf numFmtId="0" fontId="27" fillId="0" borderId="182" xfId="0" applyFont="1" applyBorder="1" applyAlignment="1">
      <alignment horizontal="center"/>
    </xf>
    <xf numFmtId="0" fontId="22" fillId="0" borderId="186" xfId="0" applyFont="1" applyBorder="1"/>
    <xf numFmtId="0" fontId="27" fillId="0" borderId="190" xfId="0" applyFont="1" applyBorder="1"/>
    <xf numFmtId="0" fontId="27" fillId="0" borderId="191" xfId="0" applyFont="1" applyBorder="1"/>
    <xf numFmtId="0" fontId="34" fillId="0" borderId="0" xfId="0" applyFont="1"/>
    <xf numFmtId="0" fontId="21" fillId="2" borderId="105" xfId="0" applyFont="1" applyFill="1" applyBorder="1"/>
    <xf numFmtId="0" fontId="21" fillId="2" borderId="110" xfId="0" applyFont="1" applyFill="1" applyBorder="1"/>
    <xf numFmtId="164" fontId="21" fillId="0" borderId="198" xfId="0" applyNumberFormat="1" applyFont="1" applyBorder="1" applyAlignment="1">
      <alignment horizontal="center"/>
    </xf>
    <xf numFmtId="0" fontId="21" fillId="0" borderId="15" xfId="0" applyFont="1" applyBorder="1" applyProtection="1">
      <protection locked="0"/>
    </xf>
    <xf numFmtId="0" fontId="13" fillId="0" borderId="0" xfId="0" applyFont="1" applyProtection="1">
      <protection locked="0"/>
    </xf>
    <xf numFmtId="0" fontId="0" fillId="0" borderId="0" xfId="0" applyProtection="1">
      <protection locked="0"/>
    </xf>
    <xf numFmtId="0" fontId="17" fillId="0" borderId="0" xfId="0" applyFont="1"/>
    <xf numFmtId="0" fontId="22" fillId="2" borderId="0" xfId="0" applyFont="1" applyFill="1" applyAlignment="1">
      <alignment horizontal="center"/>
    </xf>
    <xf numFmtId="0" fontId="22" fillId="7" borderId="1" xfId="0" applyFont="1" applyFill="1" applyBorder="1" applyAlignment="1">
      <alignment horizontal="center" vertical="center"/>
    </xf>
    <xf numFmtId="0" fontId="21" fillId="2" borderId="24" xfId="0" applyFont="1" applyFill="1" applyBorder="1"/>
    <xf numFmtId="0" fontId="21" fillId="2" borderId="10" xfId="0" applyFont="1" applyFill="1" applyBorder="1"/>
    <xf numFmtId="0" fontId="22" fillId="0" borderId="0" xfId="0" applyFont="1" applyAlignment="1">
      <alignment horizontal="center"/>
    </xf>
    <xf numFmtId="0" fontId="22" fillId="4" borderId="1" xfId="0" applyFont="1" applyFill="1" applyBorder="1" applyAlignment="1">
      <alignment horizontal="center" vertical="center"/>
    </xf>
    <xf numFmtId="0" fontId="22" fillId="5" borderId="2" xfId="0" applyFont="1" applyFill="1" applyBorder="1" applyAlignment="1">
      <alignment horizontal="center"/>
    </xf>
    <xf numFmtId="0" fontId="22" fillId="6" borderId="1" xfId="0" applyFont="1" applyFill="1" applyBorder="1" applyAlignment="1">
      <alignment horizontal="center"/>
    </xf>
    <xf numFmtId="0" fontId="22" fillId="2" borderId="0" xfId="0" applyFont="1" applyFill="1" applyAlignment="1">
      <alignment horizontal="center" vertical="center"/>
    </xf>
    <xf numFmtId="0" fontId="22" fillId="8" borderId="117" xfId="0" applyFont="1" applyFill="1" applyBorder="1" applyAlignment="1">
      <alignment horizontal="center"/>
    </xf>
    <xf numFmtId="0" fontId="22" fillId="9" borderId="1" xfId="0" applyFont="1" applyFill="1" applyBorder="1" applyAlignment="1">
      <alignment horizontal="center"/>
    </xf>
    <xf numFmtId="0" fontId="21" fillId="2" borderId="71" xfId="0" applyFont="1" applyFill="1" applyBorder="1"/>
    <xf numFmtId="0" fontId="21" fillId="2" borderId="17" xfId="0" applyFont="1" applyFill="1" applyBorder="1"/>
    <xf numFmtId="0" fontId="21" fillId="0" borderId="20" xfId="0" applyFont="1" applyBorder="1"/>
    <xf numFmtId="0" fontId="21" fillId="0" borderId="19" xfId="0" applyFont="1" applyBorder="1"/>
    <xf numFmtId="0" fontId="21" fillId="2" borderId="26" xfId="0" applyFont="1" applyFill="1" applyBorder="1"/>
    <xf numFmtId="0" fontId="13" fillId="0" borderId="28" xfId="0" applyFont="1" applyBorder="1"/>
    <xf numFmtId="0" fontId="21" fillId="0" borderId="31" xfId="0" applyFont="1" applyBorder="1" applyAlignment="1">
      <alignment horizontal="center"/>
    </xf>
    <xf numFmtId="0" fontId="21" fillId="0" borderId="122" xfId="0" applyFont="1" applyBorder="1"/>
    <xf numFmtId="0" fontId="15" fillId="0" borderId="113" xfId="0" applyFont="1" applyBorder="1"/>
    <xf numFmtId="0" fontId="18" fillId="0" borderId="99" xfId="0" applyFont="1" applyBorder="1" applyAlignment="1">
      <alignment horizontal="center"/>
    </xf>
    <xf numFmtId="0" fontId="21" fillId="0" borderId="98" xfId="0" applyFont="1" applyBorder="1"/>
    <xf numFmtId="0" fontId="14" fillId="0" borderId="33" xfId="0" applyFont="1" applyBorder="1" applyAlignment="1">
      <alignment horizontal="center"/>
    </xf>
    <xf numFmtId="0" fontId="21" fillId="0" borderId="33" xfId="0" applyFont="1" applyBorder="1"/>
    <xf numFmtId="0" fontId="21" fillId="2" borderId="100" xfId="0" applyFont="1" applyFill="1" applyBorder="1"/>
    <xf numFmtId="0" fontId="13" fillId="0" borderId="29" xfId="0" applyFont="1" applyBorder="1"/>
    <xf numFmtId="0" fontId="21" fillId="0" borderId="15" xfId="0" applyFont="1" applyBorder="1" applyAlignment="1">
      <alignment horizontal="center"/>
    </xf>
    <xf numFmtId="2" fontId="21" fillId="0" borderId="7" xfId="0" applyNumberFormat="1" applyFont="1" applyBorder="1" applyAlignment="1">
      <alignment horizontal="center"/>
    </xf>
    <xf numFmtId="0" fontId="15" fillId="0" borderId="29" xfId="0" applyFont="1" applyBorder="1"/>
    <xf numFmtId="0" fontId="15" fillId="2" borderId="111" xfId="0" applyFont="1" applyFill="1" applyBorder="1"/>
    <xf numFmtId="0" fontId="21" fillId="2" borderId="69" xfId="0" applyFont="1" applyFill="1" applyBorder="1"/>
    <xf numFmtId="0" fontId="15" fillId="2" borderId="0" xfId="0" applyFont="1" applyFill="1"/>
    <xf numFmtId="0" fontId="21" fillId="2" borderId="112" xfId="0" applyFont="1" applyFill="1" applyBorder="1"/>
    <xf numFmtId="0" fontId="15" fillId="0" borderId="103" xfId="0" applyFont="1" applyBorder="1"/>
    <xf numFmtId="0" fontId="21" fillId="0" borderId="112" xfId="0" applyFont="1" applyBorder="1"/>
    <xf numFmtId="0" fontId="21" fillId="2" borderId="75" xfId="0" applyFont="1" applyFill="1" applyBorder="1"/>
    <xf numFmtId="0" fontId="13" fillId="0" borderId="37" xfId="0" applyFont="1" applyBorder="1"/>
    <xf numFmtId="0" fontId="21" fillId="2" borderId="87" xfId="0" applyFont="1" applyFill="1" applyBorder="1"/>
    <xf numFmtId="0" fontId="21" fillId="2" borderId="54" xfId="0" applyFont="1" applyFill="1" applyBorder="1"/>
    <xf numFmtId="165" fontId="21" fillId="2" borderId="88" xfId="0" applyNumberFormat="1" applyFont="1" applyFill="1" applyBorder="1"/>
    <xf numFmtId="0" fontId="13" fillId="0" borderId="111" xfId="0" applyFont="1" applyBorder="1"/>
    <xf numFmtId="0" fontId="21" fillId="0" borderId="69" xfId="0" applyFont="1" applyBorder="1"/>
    <xf numFmtId="0" fontId="15" fillId="0" borderId="15" xfId="0" applyFont="1" applyBorder="1"/>
    <xf numFmtId="0" fontId="13" fillId="2" borderId="0" xfId="0" applyFont="1" applyFill="1"/>
    <xf numFmtId="0" fontId="15" fillId="0" borderId="0" xfId="0" applyFont="1"/>
    <xf numFmtId="0" fontId="17" fillId="2" borderId="0" xfId="0" applyFont="1" applyFill="1"/>
    <xf numFmtId="0" fontId="21" fillId="0" borderId="118" xfId="0" applyFont="1" applyBorder="1"/>
    <xf numFmtId="0" fontId="14" fillId="0" borderId="31" xfId="0" applyFont="1" applyBorder="1"/>
    <xf numFmtId="0" fontId="21" fillId="0" borderId="113" xfId="0" applyFont="1" applyBorder="1"/>
    <xf numFmtId="0" fontId="21" fillId="2" borderId="121" xfId="0" applyFont="1" applyFill="1" applyBorder="1"/>
    <xf numFmtId="0" fontId="21" fillId="2" borderId="74" xfId="0" applyFont="1" applyFill="1" applyBorder="1"/>
    <xf numFmtId="0" fontId="21" fillId="2" borderId="119" xfId="0" applyFont="1" applyFill="1" applyBorder="1"/>
    <xf numFmtId="0" fontId="21" fillId="0" borderId="197" xfId="0" applyFont="1" applyBorder="1" applyAlignment="1" applyProtection="1">
      <alignment horizontal="center"/>
      <protection locked="0"/>
    </xf>
    <xf numFmtId="0" fontId="21" fillId="10" borderId="177" xfId="0" applyFont="1" applyFill="1" applyBorder="1" applyProtection="1">
      <protection locked="0"/>
    </xf>
    <xf numFmtId="0" fontId="21" fillId="10" borderId="183" xfId="0" applyFont="1" applyFill="1" applyBorder="1" applyAlignment="1" applyProtection="1">
      <alignment horizontal="center"/>
      <protection locked="0"/>
    </xf>
    <xf numFmtId="0" fontId="21" fillId="10" borderId="180" xfId="0" applyFont="1" applyFill="1" applyBorder="1" applyProtection="1">
      <protection locked="0"/>
    </xf>
    <xf numFmtId="0" fontId="21" fillId="10" borderId="184" xfId="0" applyFont="1" applyFill="1" applyBorder="1" applyAlignment="1" applyProtection="1">
      <alignment horizontal="center"/>
      <protection locked="0"/>
    </xf>
    <xf numFmtId="0" fontId="21" fillId="10" borderId="181" xfId="0" applyFont="1" applyFill="1" applyBorder="1" applyProtection="1">
      <protection locked="0"/>
    </xf>
    <xf numFmtId="0" fontId="21" fillId="10" borderId="185" xfId="0" applyFont="1" applyFill="1" applyBorder="1" applyAlignment="1" applyProtection="1">
      <alignment horizontal="center"/>
      <protection locked="0"/>
    </xf>
    <xf numFmtId="0" fontId="21" fillId="10" borderId="189" xfId="0" applyFont="1" applyFill="1" applyBorder="1" applyProtection="1">
      <protection locked="0"/>
    </xf>
    <xf numFmtId="0" fontId="21" fillId="10" borderId="188" xfId="0" applyFont="1" applyFill="1" applyBorder="1" applyProtection="1">
      <protection locked="0"/>
    </xf>
    <xf numFmtId="0" fontId="21" fillId="10" borderId="187" xfId="0" applyFont="1" applyFill="1" applyBorder="1" applyProtection="1">
      <protection locked="0"/>
    </xf>
    <xf numFmtId="0" fontId="21" fillId="10" borderId="192" xfId="0" applyFont="1" applyFill="1" applyBorder="1" applyProtection="1">
      <protection locked="0"/>
    </xf>
    <xf numFmtId="0" fontId="21" fillId="10" borderId="193" xfId="0" applyFont="1" applyFill="1" applyBorder="1" applyProtection="1">
      <protection locked="0"/>
    </xf>
    <xf numFmtId="0" fontId="21" fillId="10" borderId="194" xfId="0" applyFont="1" applyFill="1" applyBorder="1" applyProtection="1">
      <protection locked="0"/>
    </xf>
    <xf numFmtId="0" fontId="21" fillId="10" borderId="195" xfId="0" applyFont="1" applyFill="1" applyBorder="1" applyProtection="1">
      <protection locked="0"/>
    </xf>
    <xf numFmtId="0" fontId="21" fillId="2" borderId="72" xfId="0" applyFont="1" applyFill="1" applyBorder="1" applyProtection="1">
      <protection locked="0"/>
    </xf>
    <xf numFmtId="0" fontId="21" fillId="2" borderId="91" xfId="0" applyFont="1" applyFill="1" applyBorder="1" applyAlignment="1" applyProtection="1">
      <alignment horizontal="center"/>
      <protection locked="0"/>
    </xf>
    <xf numFmtId="0" fontId="21" fillId="0" borderId="10" xfId="0" applyFont="1" applyBorder="1" applyProtection="1">
      <protection locked="0"/>
    </xf>
    <xf numFmtId="0" fontId="21" fillId="0" borderId="24" xfId="0" applyFont="1" applyBorder="1" applyProtection="1">
      <protection locked="0"/>
    </xf>
    <xf numFmtId="0" fontId="11" fillId="0" borderId="0" xfId="0" applyFont="1" applyProtection="1">
      <protection locked="0"/>
    </xf>
    <xf numFmtId="0" fontId="10" fillId="0" borderId="10" xfId="0" applyFont="1" applyBorder="1"/>
    <xf numFmtId="0" fontId="21" fillId="0" borderId="199" xfId="0" applyFont="1" applyBorder="1"/>
    <xf numFmtId="0" fontId="10" fillId="0" borderId="202" xfId="0" applyFont="1" applyBorder="1"/>
    <xf numFmtId="0" fontId="9" fillId="2" borderId="0" xfId="0" applyFont="1" applyFill="1"/>
    <xf numFmtId="0" fontId="9" fillId="0" borderId="0" xfId="0" applyFont="1"/>
    <xf numFmtId="0" fontId="9" fillId="0" borderId="15" xfId="0" applyFont="1" applyBorder="1"/>
    <xf numFmtId="0" fontId="9" fillId="0" borderId="10" xfId="0" applyFont="1" applyBorder="1"/>
    <xf numFmtId="0" fontId="9" fillId="5" borderId="3" xfId="0" applyFont="1" applyFill="1" applyBorder="1" applyAlignment="1" applyProtection="1">
      <alignment horizontal="center"/>
      <protection locked="0"/>
    </xf>
    <xf numFmtId="0" fontId="9" fillId="6" borderId="1" xfId="0" applyFont="1" applyFill="1" applyBorder="1" applyAlignment="1" applyProtection="1">
      <alignment horizontal="center"/>
      <protection locked="0"/>
    </xf>
    <xf numFmtId="0" fontId="16" fillId="12" borderId="68" xfId="0" applyFont="1" applyFill="1" applyBorder="1" applyProtection="1">
      <protection locked="0"/>
    </xf>
    <xf numFmtId="0" fontId="19" fillId="12" borderId="4" xfId="0" applyFont="1" applyFill="1" applyBorder="1" applyProtection="1">
      <protection locked="0"/>
    </xf>
    <xf numFmtId="0" fontId="21" fillId="12" borderId="4" xfId="0" applyFont="1" applyFill="1" applyBorder="1" applyProtection="1">
      <protection locked="0"/>
    </xf>
    <xf numFmtId="0" fontId="21" fillId="12" borderId="67" xfId="0" applyFont="1" applyFill="1" applyBorder="1" applyProtection="1">
      <protection locked="0"/>
    </xf>
    <xf numFmtId="0" fontId="21" fillId="12" borderId="68" xfId="0" applyFont="1" applyFill="1" applyBorder="1" applyProtection="1">
      <protection locked="0"/>
    </xf>
    <xf numFmtId="0" fontId="21" fillId="12" borderId="5" xfId="0" applyFont="1" applyFill="1" applyBorder="1" applyProtection="1">
      <protection locked="0"/>
    </xf>
    <xf numFmtId="0" fontId="21" fillId="12" borderId="69" xfId="0" applyFont="1" applyFill="1" applyBorder="1" applyProtection="1">
      <protection locked="0"/>
    </xf>
    <xf numFmtId="0" fontId="21" fillId="12" borderId="64" xfId="0" applyFont="1" applyFill="1" applyBorder="1" applyProtection="1">
      <protection locked="0"/>
    </xf>
    <xf numFmtId="0" fontId="21" fillId="12" borderId="70" xfId="0" applyFont="1" applyFill="1" applyBorder="1" applyProtection="1">
      <protection locked="0"/>
    </xf>
    <xf numFmtId="0" fontId="21" fillId="12" borderId="65" xfId="0" applyFont="1" applyFill="1" applyBorder="1" applyProtection="1">
      <protection locked="0"/>
    </xf>
    <xf numFmtId="0" fontId="21" fillId="12" borderId="8" xfId="0" applyFont="1" applyFill="1" applyBorder="1" applyProtection="1">
      <protection locked="0"/>
    </xf>
    <xf numFmtId="0" fontId="21" fillId="12" borderId="6" xfId="0" applyFont="1" applyFill="1" applyBorder="1" applyProtection="1">
      <protection locked="0"/>
    </xf>
    <xf numFmtId="0" fontId="21" fillId="12" borderId="66" xfId="0" applyFont="1" applyFill="1" applyBorder="1" applyProtection="1">
      <protection locked="0"/>
    </xf>
    <xf numFmtId="0" fontId="19" fillId="12" borderId="64" xfId="0" applyFont="1" applyFill="1" applyBorder="1" applyProtection="1">
      <protection locked="0"/>
    </xf>
    <xf numFmtId="0" fontId="24" fillId="13" borderId="196" xfId="0" applyFont="1" applyFill="1" applyBorder="1" applyProtection="1">
      <protection locked="0"/>
    </xf>
    <xf numFmtId="0" fontId="19" fillId="12" borderId="65" xfId="0" applyFont="1" applyFill="1" applyBorder="1" applyProtection="1">
      <protection locked="0"/>
    </xf>
    <xf numFmtId="0" fontId="21" fillId="12" borderId="25" xfId="0" applyFont="1" applyFill="1" applyBorder="1" applyProtection="1">
      <protection locked="0"/>
    </xf>
    <xf numFmtId="0" fontId="21" fillId="12" borderId="78" xfId="0" applyFont="1" applyFill="1" applyBorder="1" applyProtection="1">
      <protection locked="0"/>
    </xf>
    <xf numFmtId="0" fontId="21" fillId="12" borderId="79" xfId="0" applyFont="1" applyFill="1" applyBorder="1" applyProtection="1">
      <protection locked="0"/>
    </xf>
    <xf numFmtId="0" fontId="21" fillId="12" borderId="80" xfId="0" applyFont="1" applyFill="1" applyBorder="1" applyProtection="1">
      <protection locked="0"/>
    </xf>
    <xf numFmtId="0" fontId="21" fillId="12" borderId="81" xfId="0" applyFont="1" applyFill="1" applyBorder="1" applyProtection="1">
      <protection locked="0"/>
    </xf>
    <xf numFmtId="0" fontId="19" fillId="12" borderId="82" xfId="0" applyFont="1" applyFill="1" applyBorder="1" applyProtection="1">
      <protection locked="0"/>
    </xf>
    <xf numFmtId="0" fontId="21" fillId="12" borderId="173" xfId="0" applyFont="1" applyFill="1" applyBorder="1" applyProtection="1">
      <protection locked="0"/>
    </xf>
    <xf numFmtId="0" fontId="9" fillId="12" borderId="45" xfId="0" applyFont="1" applyFill="1" applyBorder="1" applyProtection="1">
      <protection locked="0"/>
    </xf>
    <xf numFmtId="0" fontId="21" fillId="12" borderId="41" xfId="0" applyFont="1" applyFill="1" applyBorder="1" applyAlignment="1" applyProtection="1">
      <alignment horizontal="center"/>
      <protection locked="0"/>
    </xf>
    <xf numFmtId="0" fontId="21" fillId="12" borderId="44" xfId="0" applyFont="1" applyFill="1" applyBorder="1" applyAlignment="1" applyProtection="1">
      <alignment horizontal="center"/>
      <protection locked="0"/>
    </xf>
    <xf numFmtId="0" fontId="21" fillId="12" borderId="174" xfId="0" applyFont="1" applyFill="1" applyBorder="1" applyProtection="1">
      <protection locked="0"/>
    </xf>
    <xf numFmtId="0" fontId="9" fillId="12" borderId="46" xfId="0" applyFont="1" applyFill="1" applyBorder="1" applyProtection="1">
      <protection locked="0"/>
    </xf>
    <xf numFmtId="0" fontId="21" fillId="12" borderId="42" xfId="0" applyFont="1" applyFill="1" applyBorder="1" applyAlignment="1" applyProtection="1">
      <alignment horizontal="center"/>
      <protection locked="0"/>
    </xf>
    <xf numFmtId="0" fontId="21" fillId="12" borderId="48" xfId="0" applyFont="1" applyFill="1" applyBorder="1" applyAlignment="1" applyProtection="1">
      <alignment horizontal="center"/>
      <protection locked="0"/>
    </xf>
    <xf numFmtId="0" fontId="21" fillId="12" borderId="175" xfId="0" applyFont="1" applyFill="1" applyBorder="1"/>
    <xf numFmtId="0" fontId="9" fillId="12" borderId="47" xfId="0" applyFont="1" applyFill="1" applyBorder="1" applyProtection="1">
      <protection locked="0"/>
    </xf>
    <xf numFmtId="0" fontId="21" fillId="12" borderId="43" xfId="0" applyFont="1" applyFill="1" applyBorder="1" applyAlignment="1" applyProtection="1">
      <alignment horizontal="center"/>
      <protection locked="0"/>
    </xf>
    <xf numFmtId="0" fontId="21" fillId="12" borderId="49" xfId="0" applyFont="1" applyFill="1" applyBorder="1" applyAlignment="1" applyProtection="1">
      <alignment horizontal="center"/>
      <protection locked="0"/>
    </xf>
    <xf numFmtId="0" fontId="21" fillId="12" borderId="45" xfId="0" applyFont="1" applyFill="1" applyBorder="1" applyProtection="1">
      <protection locked="0"/>
    </xf>
    <xf numFmtId="0" fontId="12" fillId="12" borderId="44" xfId="0" applyFont="1" applyFill="1" applyBorder="1" applyAlignment="1" applyProtection="1">
      <alignment horizontal="center"/>
      <protection locked="0"/>
    </xf>
    <xf numFmtId="0" fontId="21" fillId="12" borderId="46" xfId="0" applyFont="1" applyFill="1" applyBorder="1" applyProtection="1">
      <protection locked="0"/>
    </xf>
    <xf numFmtId="0" fontId="21" fillId="12" borderId="89" xfId="0" applyFont="1" applyFill="1" applyBorder="1" applyAlignment="1" applyProtection="1">
      <alignment horizontal="center"/>
      <protection locked="0"/>
    </xf>
    <xf numFmtId="0" fontId="21" fillId="12" borderId="90" xfId="0" applyFont="1" applyFill="1" applyBorder="1" applyAlignment="1" applyProtection="1">
      <alignment horizontal="center"/>
      <protection locked="0"/>
    </xf>
    <xf numFmtId="0" fontId="21" fillId="12" borderId="144" xfId="0" applyFont="1" applyFill="1" applyBorder="1" applyProtection="1">
      <protection locked="0"/>
    </xf>
    <xf numFmtId="0" fontId="21" fillId="12" borderId="141" xfId="0" applyFont="1" applyFill="1" applyBorder="1" applyAlignment="1" applyProtection="1">
      <alignment horizontal="center"/>
      <protection locked="0"/>
    </xf>
    <xf numFmtId="0" fontId="21" fillId="12" borderId="143" xfId="0" applyFont="1" applyFill="1" applyBorder="1" applyAlignment="1" applyProtection="1">
      <alignment horizontal="center"/>
      <protection locked="0"/>
    </xf>
    <xf numFmtId="0" fontId="21" fillId="12" borderId="145" xfId="0" applyFont="1" applyFill="1" applyBorder="1" applyAlignment="1" applyProtection="1">
      <alignment horizontal="center"/>
      <protection locked="0"/>
    </xf>
    <xf numFmtId="0" fontId="21" fillId="12" borderId="146" xfId="0" applyFont="1" applyFill="1" applyBorder="1" applyProtection="1">
      <protection locked="0"/>
    </xf>
    <xf numFmtId="0" fontId="21" fillId="12" borderId="147" xfId="0" applyFont="1" applyFill="1" applyBorder="1" applyAlignment="1" applyProtection="1">
      <alignment horizontal="center"/>
      <protection locked="0"/>
    </xf>
    <xf numFmtId="0" fontId="21" fillId="12" borderId="151" xfId="0" applyFont="1" applyFill="1" applyBorder="1" applyAlignment="1" applyProtection="1">
      <alignment horizontal="center"/>
      <protection locked="0"/>
    </xf>
    <xf numFmtId="0" fontId="21" fillId="12" borderId="148" xfId="0" applyFont="1" applyFill="1" applyBorder="1" applyAlignment="1" applyProtection="1">
      <alignment horizontal="center"/>
      <protection locked="0"/>
    </xf>
    <xf numFmtId="0" fontId="21" fillId="12" borderId="139" xfId="0" applyFont="1" applyFill="1" applyBorder="1" applyProtection="1">
      <protection locked="0"/>
    </xf>
    <xf numFmtId="0" fontId="21" fillId="12" borderId="137" xfId="0" applyFont="1" applyFill="1" applyBorder="1" applyAlignment="1" applyProtection="1">
      <alignment horizontal="center"/>
      <protection locked="0"/>
    </xf>
    <xf numFmtId="0" fontId="21" fillId="12" borderId="138" xfId="0" applyFont="1" applyFill="1" applyBorder="1" applyAlignment="1" applyProtection="1">
      <alignment horizontal="center"/>
      <protection locked="0"/>
    </xf>
    <xf numFmtId="0" fontId="21" fillId="12" borderId="53" xfId="0" applyFont="1" applyFill="1" applyBorder="1" applyAlignment="1" applyProtection="1">
      <alignment horizontal="center"/>
      <protection locked="0"/>
    </xf>
    <xf numFmtId="0" fontId="21" fillId="12" borderId="155" xfId="0" applyFont="1" applyFill="1" applyBorder="1" applyProtection="1">
      <protection locked="0"/>
    </xf>
    <xf numFmtId="0" fontId="21" fillId="12" borderId="153" xfId="0" applyFont="1" applyFill="1" applyBorder="1" applyAlignment="1" applyProtection="1">
      <alignment horizontal="center"/>
      <protection locked="0"/>
    </xf>
    <xf numFmtId="0" fontId="21" fillId="12" borderId="154" xfId="0" applyFont="1" applyFill="1" applyBorder="1" applyAlignment="1" applyProtection="1">
      <alignment horizontal="center"/>
      <protection locked="0"/>
    </xf>
    <xf numFmtId="0" fontId="21" fillId="12" borderId="156" xfId="0" applyFont="1" applyFill="1" applyBorder="1" applyAlignment="1" applyProtection="1">
      <alignment horizontal="center"/>
      <protection locked="0"/>
    </xf>
    <xf numFmtId="0" fontId="21" fillId="12" borderId="47" xfId="0" applyFont="1" applyFill="1" applyBorder="1" applyProtection="1">
      <protection locked="0"/>
    </xf>
    <xf numFmtId="0" fontId="21" fillId="12" borderId="91" xfId="0" applyFont="1" applyFill="1" applyBorder="1" applyAlignment="1" applyProtection="1">
      <alignment horizontal="center"/>
      <protection locked="0"/>
    </xf>
    <xf numFmtId="0" fontId="21" fillId="12" borderId="164" xfId="0" applyFont="1" applyFill="1" applyBorder="1" applyProtection="1">
      <protection locked="0"/>
    </xf>
    <xf numFmtId="0" fontId="21" fillId="12" borderId="167" xfId="0" applyFont="1" applyFill="1" applyBorder="1" applyAlignment="1" applyProtection="1">
      <alignment horizontal="center"/>
      <protection locked="0"/>
    </xf>
    <xf numFmtId="0" fontId="21" fillId="12" borderId="162" xfId="0" applyFont="1" applyFill="1" applyBorder="1" applyAlignment="1" applyProtection="1">
      <alignment horizontal="center"/>
      <protection locked="0"/>
    </xf>
    <xf numFmtId="0" fontId="21" fillId="12" borderId="163" xfId="0" applyFont="1" applyFill="1" applyBorder="1" applyProtection="1">
      <protection locked="0"/>
    </xf>
    <xf numFmtId="0" fontId="21" fillId="12" borderId="149" xfId="0" applyFont="1" applyFill="1" applyBorder="1" applyAlignment="1" applyProtection="1">
      <alignment horizontal="center"/>
      <protection locked="0"/>
    </xf>
    <xf numFmtId="0" fontId="21" fillId="12" borderId="165" xfId="0" applyFont="1" applyFill="1" applyBorder="1" applyProtection="1">
      <protection locked="0"/>
    </xf>
    <xf numFmtId="0" fontId="21" fillId="12" borderId="168" xfId="0" applyFont="1" applyFill="1" applyBorder="1" applyAlignment="1" applyProtection="1">
      <alignment horizontal="center"/>
      <protection locked="0"/>
    </xf>
    <xf numFmtId="0" fontId="21" fillId="12" borderId="166" xfId="0" applyFont="1" applyFill="1" applyBorder="1" applyProtection="1">
      <protection locked="0"/>
    </xf>
    <xf numFmtId="0" fontId="21" fillId="12" borderId="169" xfId="0" applyFont="1" applyFill="1" applyBorder="1" applyAlignment="1" applyProtection="1">
      <alignment horizontal="center"/>
      <protection locked="0"/>
    </xf>
    <xf numFmtId="0" fontId="21" fillId="12" borderId="161" xfId="0" applyFont="1" applyFill="1" applyBorder="1" applyAlignment="1" applyProtection="1">
      <alignment horizontal="center"/>
      <protection locked="0"/>
    </xf>
    <xf numFmtId="0" fontId="21" fillId="12" borderId="200" xfId="0" applyFont="1" applyFill="1" applyBorder="1" applyProtection="1">
      <protection locked="0"/>
    </xf>
    <xf numFmtId="0" fontId="21" fillId="12" borderId="170" xfId="0" applyFont="1" applyFill="1" applyBorder="1" applyProtection="1">
      <protection locked="0"/>
    </xf>
    <xf numFmtId="0" fontId="21" fillId="12" borderId="149" xfId="0" applyFont="1" applyFill="1" applyBorder="1" applyProtection="1">
      <protection locked="0"/>
    </xf>
    <xf numFmtId="0" fontId="21" fillId="12" borderId="203" xfId="0" applyFont="1" applyFill="1" applyBorder="1" applyProtection="1">
      <protection locked="0"/>
    </xf>
    <xf numFmtId="0" fontId="21" fillId="12" borderId="204" xfId="0" applyFont="1" applyFill="1" applyBorder="1" applyProtection="1">
      <protection locked="0"/>
    </xf>
    <xf numFmtId="0" fontId="21" fillId="0" borderId="14" xfId="0" applyFont="1" applyBorder="1" applyProtection="1">
      <protection locked="0"/>
    </xf>
    <xf numFmtId="0" fontId="21" fillId="0" borderId="11" xfId="0" applyFont="1" applyBorder="1" applyProtection="1">
      <protection locked="0"/>
    </xf>
    <xf numFmtId="0" fontId="22" fillId="0" borderId="10" xfId="0" applyFont="1" applyBorder="1"/>
    <xf numFmtId="0" fontId="23" fillId="2" borderId="0" xfId="0" applyFont="1" applyFill="1"/>
    <xf numFmtId="0" fontId="23" fillId="0" borderId="0" xfId="0" applyFont="1"/>
    <xf numFmtId="0" fontId="0" fillId="2" borderId="0" xfId="0" applyFill="1"/>
    <xf numFmtId="0" fontId="24" fillId="0" borderId="14" xfId="0" applyFont="1" applyBorder="1"/>
    <xf numFmtId="0" fontId="0" fillId="0" borderId="10" xfId="0" applyBorder="1"/>
    <xf numFmtId="0" fontId="24" fillId="6" borderId="0" xfId="0" applyFont="1" applyFill="1"/>
    <xf numFmtId="0" fontId="9" fillId="5" borderId="0" xfId="0" applyFont="1" applyFill="1"/>
    <xf numFmtId="0" fontId="9" fillId="4" borderId="0" xfId="0" applyFont="1" applyFill="1"/>
    <xf numFmtId="0" fontId="9" fillId="9" borderId="0" xfId="0" applyFont="1" applyFill="1"/>
    <xf numFmtId="0" fontId="9" fillId="8" borderId="0" xfId="0" applyFont="1" applyFill="1"/>
    <xf numFmtId="0" fontId="9" fillId="7" borderId="0" xfId="0" applyFont="1" applyFill="1"/>
    <xf numFmtId="0" fontId="9" fillId="0" borderId="205" xfId="0" applyFont="1" applyBorder="1"/>
    <xf numFmtId="0" fontId="0" fillId="0" borderId="205" xfId="0" applyBorder="1"/>
    <xf numFmtId="0" fontId="24" fillId="7" borderId="205" xfId="0" applyFont="1" applyFill="1" applyBorder="1"/>
    <xf numFmtId="0" fontId="9" fillId="8" borderId="205" xfId="0" applyFont="1" applyFill="1" applyBorder="1"/>
    <xf numFmtId="0" fontId="9" fillId="9" borderId="205" xfId="0" applyFont="1" applyFill="1" applyBorder="1"/>
    <xf numFmtId="0" fontId="9" fillId="4" borderId="205" xfId="0" applyFont="1" applyFill="1" applyBorder="1"/>
    <xf numFmtId="0" fontId="9" fillId="5" borderId="205" xfId="0" applyFont="1" applyFill="1" applyBorder="1"/>
    <xf numFmtId="0" fontId="24" fillId="6" borderId="205" xfId="0" applyFont="1" applyFill="1" applyBorder="1"/>
    <xf numFmtId="0" fontId="21" fillId="0" borderId="206" xfId="0" applyFont="1" applyBorder="1"/>
    <xf numFmtId="0" fontId="24" fillId="2" borderId="0" xfId="0" applyFont="1" applyFill="1"/>
    <xf numFmtId="0" fontId="0" fillId="2" borderId="10" xfId="0" applyFill="1" applyBorder="1"/>
    <xf numFmtId="0" fontId="24" fillId="0" borderId="205" xfId="0" applyFont="1" applyBorder="1"/>
    <xf numFmtId="0" fontId="9" fillId="0" borderId="202" xfId="0" applyFont="1" applyBorder="1"/>
    <xf numFmtId="0" fontId="9" fillId="0" borderId="206" xfId="0" applyFont="1" applyBorder="1"/>
    <xf numFmtId="0" fontId="0" fillId="0" borderId="206" xfId="0" applyBorder="1" applyProtection="1">
      <protection locked="0"/>
    </xf>
    <xf numFmtId="0" fontId="0" fillId="2" borderId="0" xfId="0" applyFill="1" applyProtection="1">
      <protection locked="0"/>
    </xf>
    <xf numFmtId="0" fontId="8" fillId="0" borderId="0" xfId="0" applyFont="1"/>
    <xf numFmtId="0" fontId="13" fillId="7" borderId="43" xfId="0" applyFont="1" applyFill="1" applyBorder="1" applyAlignment="1">
      <alignment horizontal="center"/>
    </xf>
    <xf numFmtId="0" fontId="13" fillId="7" borderId="41" xfId="0" applyFont="1" applyFill="1" applyBorder="1" applyAlignment="1">
      <alignment horizontal="center"/>
    </xf>
    <xf numFmtId="0" fontId="13" fillId="7" borderId="42" xfId="0" applyFont="1" applyFill="1" applyBorder="1" applyAlignment="1">
      <alignment horizontal="center"/>
    </xf>
    <xf numFmtId="0" fontId="21" fillId="8" borderId="43" xfId="0" applyFont="1" applyFill="1" applyBorder="1" applyAlignment="1">
      <alignment horizontal="center"/>
    </xf>
    <xf numFmtId="0" fontId="21" fillId="8" borderId="41" xfId="0" applyFont="1" applyFill="1" applyBorder="1" applyAlignment="1">
      <alignment horizontal="center"/>
    </xf>
    <xf numFmtId="0" fontId="21" fillId="8" borderId="42" xfId="0" applyFont="1" applyFill="1" applyBorder="1" applyAlignment="1">
      <alignment horizontal="center"/>
    </xf>
    <xf numFmtId="0" fontId="21" fillId="9" borderId="142" xfId="0" applyFont="1" applyFill="1" applyBorder="1" applyAlignment="1">
      <alignment horizontal="center"/>
    </xf>
    <xf numFmtId="0" fontId="21" fillId="9" borderId="147" xfId="0" applyFont="1" applyFill="1" applyBorder="1" applyAlignment="1">
      <alignment horizontal="center"/>
    </xf>
    <xf numFmtId="0" fontId="21" fillId="9" borderId="137" xfId="0" applyFont="1" applyFill="1" applyBorder="1" applyAlignment="1">
      <alignment horizontal="center"/>
    </xf>
    <xf numFmtId="0" fontId="21" fillId="9" borderId="153" xfId="0" applyFont="1" applyFill="1" applyBorder="1" applyAlignment="1">
      <alignment horizontal="center"/>
    </xf>
    <xf numFmtId="0" fontId="21" fillId="4" borderId="43" xfId="0" applyFont="1" applyFill="1" applyBorder="1" applyAlignment="1">
      <alignment horizontal="center"/>
    </xf>
    <xf numFmtId="0" fontId="21" fillId="4" borderId="142" xfId="0" applyFont="1" applyFill="1" applyBorder="1" applyAlignment="1">
      <alignment horizontal="center"/>
    </xf>
    <xf numFmtId="0" fontId="21" fillId="4" borderId="147" xfId="0" applyFont="1" applyFill="1" applyBorder="1" applyAlignment="1">
      <alignment horizontal="center"/>
    </xf>
    <xf numFmtId="0" fontId="21" fillId="4" borderId="42" xfId="0" applyFont="1" applyFill="1" applyBorder="1" applyAlignment="1">
      <alignment horizontal="center"/>
    </xf>
    <xf numFmtId="0" fontId="21" fillId="5" borderId="160" xfId="0" applyFont="1" applyFill="1" applyBorder="1" applyAlignment="1">
      <alignment horizontal="center"/>
    </xf>
    <xf numFmtId="0" fontId="21" fillId="5" borderId="43" xfId="0" applyFont="1" applyFill="1" applyBorder="1" applyAlignment="1">
      <alignment horizontal="center"/>
    </xf>
    <xf numFmtId="0" fontId="21" fillId="5" borderId="142" xfId="0" applyFont="1" applyFill="1" applyBorder="1" applyAlignment="1">
      <alignment horizontal="center"/>
    </xf>
    <xf numFmtId="0" fontId="21" fillId="5" borderId="147" xfId="0" applyFont="1" applyFill="1" applyBorder="1" applyAlignment="1">
      <alignment horizontal="center"/>
    </xf>
    <xf numFmtId="0" fontId="21" fillId="5" borderId="140" xfId="0" applyFont="1" applyFill="1" applyBorder="1" applyAlignment="1">
      <alignment horizontal="center"/>
    </xf>
    <xf numFmtId="0" fontId="21" fillId="6" borderId="147" xfId="0" applyFont="1" applyFill="1" applyBorder="1" applyAlignment="1">
      <alignment horizontal="center"/>
    </xf>
    <xf numFmtId="0" fontId="21" fillId="6" borderId="141" xfId="0" applyFont="1" applyFill="1" applyBorder="1" applyAlignment="1">
      <alignment horizontal="center"/>
    </xf>
    <xf numFmtId="0" fontId="21" fillId="6" borderId="140" xfId="0" applyFont="1" applyFill="1" applyBorder="1" applyAlignment="1">
      <alignment horizontal="center"/>
    </xf>
    <xf numFmtId="0" fontId="21" fillId="0" borderId="18" xfId="0" applyFont="1" applyBorder="1" applyProtection="1">
      <protection locked="0"/>
    </xf>
    <xf numFmtId="0" fontId="7" fillId="0" borderId="3" xfId="0" applyFont="1" applyBorder="1" applyAlignment="1">
      <alignment horizontal="center"/>
    </xf>
    <xf numFmtId="0" fontId="21" fillId="2" borderId="59" xfId="0" applyFont="1" applyFill="1" applyBorder="1"/>
    <xf numFmtId="0" fontId="21" fillId="0" borderId="2" xfId="0" applyFont="1" applyBorder="1" applyAlignment="1">
      <alignment horizontal="center"/>
    </xf>
    <xf numFmtId="0" fontId="7" fillId="0" borderId="2" xfId="0" applyFont="1" applyBorder="1" applyAlignment="1">
      <alignment horizontal="center"/>
    </xf>
    <xf numFmtId="0" fontId="7" fillId="0" borderId="13" xfId="0" applyFont="1" applyBorder="1" applyAlignment="1">
      <alignment horizontal="center"/>
    </xf>
    <xf numFmtId="0" fontId="21" fillId="0" borderId="13" xfId="0" applyFont="1" applyBorder="1" applyAlignment="1">
      <alignment horizontal="center"/>
    </xf>
    <xf numFmtId="0" fontId="7" fillId="0" borderId="0" xfId="0" applyFont="1"/>
    <xf numFmtId="0" fontId="7" fillId="0" borderId="205" xfId="0" applyFont="1" applyBorder="1"/>
    <xf numFmtId="0" fontId="7" fillId="2" borderId="0" xfId="0" applyFont="1" applyFill="1"/>
    <xf numFmtId="0" fontId="7" fillId="2" borderId="205" xfId="0" applyFont="1" applyFill="1" applyBorder="1"/>
    <xf numFmtId="0" fontId="6" fillId="0" borderId="0" xfId="0" applyFont="1"/>
    <xf numFmtId="0" fontId="6" fillId="10" borderId="19" xfId="0" applyFont="1" applyFill="1" applyBorder="1" applyProtection="1">
      <protection locked="0"/>
    </xf>
    <xf numFmtId="0" fontId="6" fillId="10" borderId="21" xfId="0" applyFont="1" applyFill="1" applyBorder="1" applyProtection="1">
      <protection locked="0"/>
    </xf>
    <xf numFmtId="0" fontId="22" fillId="0" borderId="16" xfId="0" applyFont="1" applyBorder="1"/>
    <xf numFmtId="0" fontId="21" fillId="10" borderId="15" xfId="0" applyFont="1" applyFill="1" applyBorder="1" applyProtection="1">
      <protection locked="0"/>
    </xf>
    <xf numFmtId="0" fontId="21" fillId="10" borderId="13" xfId="0" applyFont="1" applyFill="1" applyBorder="1" applyProtection="1">
      <protection locked="0"/>
    </xf>
    <xf numFmtId="0" fontId="21" fillId="10" borderId="54" xfId="0" applyFont="1" applyFill="1" applyBorder="1" applyProtection="1">
      <protection locked="0"/>
    </xf>
    <xf numFmtId="0" fontId="22" fillId="0" borderId="211" xfId="0" applyFont="1" applyBorder="1"/>
    <xf numFmtId="0" fontId="21" fillId="10" borderId="71" xfId="0" applyFont="1" applyFill="1" applyBorder="1" applyProtection="1">
      <protection locked="0"/>
    </xf>
    <xf numFmtId="0" fontId="5" fillId="0" borderId="0" xfId="0" applyFont="1"/>
    <xf numFmtId="0" fontId="5" fillId="0" borderId="15" xfId="0" applyFont="1" applyBorder="1" applyAlignment="1">
      <alignment horizontal="center"/>
    </xf>
    <xf numFmtId="0" fontId="21" fillId="10" borderId="7" xfId="0" applyFont="1" applyFill="1" applyBorder="1" applyProtection="1">
      <protection locked="0"/>
    </xf>
    <xf numFmtId="0" fontId="5" fillId="2" borderId="0" xfId="0" applyFont="1" applyFill="1"/>
    <xf numFmtId="0" fontId="4" fillId="2" borderId="0" xfId="0" applyFont="1" applyFill="1"/>
    <xf numFmtId="0" fontId="4" fillId="0" borderId="0" xfId="0" applyFont="1"/>
    <xf numFmtId="0" fontId="4" fillId="10" borderId="123" xfId="0" applyFont="1" applyFill="1" applyBorder="1" applyProtection="1">
      <protection locked="0"/>
    </xf>
    <xf numFmtId="0" fontId="4" fillId="10" borderId="114" xfId="0" applyFont="1" applyFill="1" applyBorder="1" applyProtection="1">
      <protection locked="0"/>
    </xf>
    <xf numFmtId="0" fontId="4" fillId="10" borderId="15" xfId="0" applyFont="1" applyFill="1" applyBorder="1" applyAlignment="1" applyProtection="1">
      <alignment horizontal="center"/>
      <protection locked="0"/>
    </xf>
    <xf numFmtId="2" fontId="21" fillId="2" borderId="0" xfId="0" applyNumberFormat="1" applyFont="1" applyFill="1" applyAlignment="1">
      <alignment horizontal="center"/>
    </xf>
    <xf numFmtId="0" fontId="21" fillId="2" borderId="14" xfId="0" applyFont="1" applyFill="1" applyBorder="1"/>
    <xf numFmtId="0" fontId="24" fillId="2" borderId="14" xfId="0" applyFont="1" applyFill="1" applyBorder="1"/>
    <xf numFmtId="0" fontId="21" fillId="2" borderId="14" xfId="0" applyFont="1" applyFill="1" applyBorder="1" applyProtection="1">
      <protection locked="0"/>
    </xf>
    <xf numFmtId="0" fontId="21" fillId="2" borderId="11" xfId="0" applyFont="1" applyFill="1" applyBorder="1" applyProtection="1">
      <protection locked="0"/>
    </xf>
    <xf numFmtId="0" fontId="21" fillId="2" borderId="10" xfId="0" applyFont="1" applyFill="1" applyBorder="1" applyProtection="1">
      <protection locked="0"/>
    </xf>
    <xf numFmtId="0" fontId="21" fillId="2" borderId="15" xfId="0" applyFont="1" applyFill="1" applyBorder="1"/>
    <xf numFmtId="0" fontId="24" fillId="2" borderId="15" xfId="0" applyFont="1" applyFill="1" applyBorder="1"/>
    <xf numFmtId="0" fontId="21" fillId="2" borderId="206" xfId="0" applyFont="1" applyFill="1" applyBorder="1" applyProtection="1">
      <protection locked="0"/>
    </xf>
    <xf numFmtId="0" fontId="21" fillId="2" borderId="206" xfId="0" applyFont="1" applyFill="1" applyBorder="1"/>
    <xf numFmtId="0" fontId="21" fillId="2" borderId="58" xfId="0" applyFont="1" applyFill="1" applyBorder="1" applyProtection="1">
      <protection locked="0"/>
    </xf>
    <xf numFmtId="0" fontId="21" fillId="2" borderId="57" xfId="0" applyFont="1" applyFill="1" applyBorder="1" applyProtection="1">
      <protection locked="0"/>
    </xf>
    <xf numFmtId="0" fontId="21" fillId="0" borderId="170" xfId="0" applyFont="1" applyBorder="1" applyProtection="1">
      <protection locked="0"/>
    </xf>
    <xf numFmtId="0" fontId="21" fillId="0" borderId="149" xfId="0" applyFont="1" applyBorder="1" applyProtection="1">
      <protection locked="0"/>
    </xf>
    <xf numFmtId="0" fontId="21" fillId="0" borderId="204" xfId="0" applyFont="1" applyBorder="1" applyProtection="1">
      <protection locked="0"/>
    </xf>
    <xf numFmtId="0" fontId="7" fillId="0" borderId="0" xfId="0" applyFont="1" applyProtection="1">
      <protection locked="0"/>
    </xf>
    <xf numFmtId="0" fontId="4" fillId="0" borderId="0" xfId="0" applyFont="1" applyProtection="1">
      <protection locked="0"/>
    </xf>
    <xf numFmtId="0" fontId="7" fillId="0" borderId="205" xfId="0" applyFont="1" applyBorder="1" applyProtection="1">
      <protection locked="0"/>
    </xf>
    <xf numFmtId="0" fontId="9" fillId="0" borderId="0" xfId="0" applyFont="1" applyProtection="1">
      <protection locked="0"/>
    </xf>
    <xf numFmtId="0" fontId="9" fillId="0" borderId="205" xfId="0" applyFont="1" applyBorder="1" applyProtection="1">
      <protection locked="0"/>
    </xf>
    <xf numFmtId="0" fontId="9" fillId="0" borderId="206" xfId="0" applyFont="1" applyBorder="1" applyProtection="1">
      <protection locked="0"/>
    </xf>
    <xf numFmtId="0" fontId="3" fillId="0" borderId="29" xfId="0" applyFont="1" applyBorder="1"/>
    <xf numFmtId="0" fontId="21" fillId="7" borderId="217" xfId="0" applyFont="1" applyFill="1" applyBorder="1"/>
    <xf numFmtId="0" fontId="21" fillId="8" borderId="217" xfId="0" applyFont="1" applyFill="1" applyBorder="1"/>
    <xf numFmtId="0" fontId="21" fillId="9" borderId="217" xfId="0" applyFont="1" applyFill="1" applyBorder="1"/>
    <xf numFmtId="0" fontId="21" fillId="4" borderId="217" xfId="0" applyFont="1" applyFill="1" applyBorder="1"/>
    <xf numFmtId="0" fontId="21" fillId="4" borderId="218" xfId="0" applyFont="1" applyFill="1" applyBorder="1"/>
    <xf numFmtId="0" fontId="21" fillId="5" borderId="219" xfId="0" applyFont="1" applyFill="1" applyBorder="1"/>
    <xf numFmtId="0" fontId="21" fillId="5" borderId="217" xfId="0" applyFont="1" applyFill="1" applyBorder="1"/>
    <xf numFmtId="0" fontId="21" fillId="5" borderId="218" xfId="0" applyFont="1" applyFill="1" applyBorder="1"/>
    <xf numFmtId="0" fontId="21" fillId="6" borderId="217" xfId="0" applyFont="1" applyFill="1" applyBorder="1"/>
    <xf numFmtId="0" fontId="21" fillId="6" borderId="218" xfId="0" applyFont="1" applyFill="1" applyBorder="1"/>
    <xf numFmtId="0" fontId="3" fillId="12" borderId="212" xfId="0" applyFont="1" applyFill="1" applyBorder="1" applyProtection="1">
      <protection locked="0"/>
    </xf>
    <xf numFmtId="0" fontId="3" fillId="12" borderId="173" xfId="0" applyFont="1" applyFill="1" applyBorder="1" applyProtection="1">
      <protection locked="0"/>
    </xf>
    <xf numFmtId="0" fontId="22" fillId="0" borderId="16" xfId="0" applyFont="1" applyBorder="1" applyAlignment="1">
      <alignment horizontal="center"/>
    </xf>
    <xf numFmtId="0" fontId="27" fillId="0" borderId="223" xfId="0" applyFont="1" applyBorder="1" applyAlignment="1">
      <alignment horizontal="center"/>
    </xf>
    <xf numFmtId="0" fontId="27" fillId="0" borderId="224" xfId="0" applyFont="1" applyBorder="1" applyAlignment="1">
      <alignment horizontal="center"/>
    </xf>
    <xf numFmtId="0" fontId="21" fillId="10" borderId="222" xfId="0" applyFont="1" applyFill="1" applyBorder="1" applyAlignment="1" applyProtection="1">
      <alignment horizontal="center"/>
      <protection locked="0"/>
    </xf>
    <xf numFmtId="0" fontId="21" fillId="10" borderId="225" xfId="0" applyFont="1" applyFill="1" applyBorder="1" applyAlignment="1" applyProtection="1">
      <alignment horizontal="center"/>
      <protection locked="0"/>
    </xf>
    <xf numFmtId="0" fontId="21" fillId="10" borderId="226" xfId="0" applyFont="1" applyFill="1" applyBorder="1" applyAlignment="1" applyProtection="1">
      <alignment horizontal="center"/>
      <protection locked="0"/>
    </xf>
    <xf numFmtId="0" fontId="21" fillId="0" borderId="87" xfId="0" applyFont="1" applyBorder="1" applyAlignment="1">
      <alignment horizontal="center"/>
    </xf>
    <xf numFmtId="0" fontId="3" fillId="12" borderId="45" xfId="0" applyFont="1" applyFill="1" applyBorder="1" applyProtection="1">
      <protection locked="0"/>
    </xf>
    <xf numFmtId="1" fontId="22" fillId="2" borderId="0" xfId="0" applyNumberFormat="1" applyFont="1" applyFill="1" applyAlignment="1" applyProtection="1">
      <alignment horizontal="center"/>
      <protection locked="0"/>
    </xf>
    <xf numFmtId="1" fontId="21" fillId="2" borderId="0" xfId="0" applyNumberFormat="1" applyFont="1" applyFill="1" applyAlignment="1" applyProtection="1">
      <alignment horizontal="center"/>
      <protection locked="0"/>
    </xf>
    <xf numFmtId="0" fontId="22" fillId="2" borderId="0" xfId="0" applyFont="1" applyFill="1" applyAlignment="1" applyProtection="1">
      <alignment horizontal="center"/>
      <protection locked="0"/>
    </xf>
    <xf numFmtId="0" fontId="21" fillId="2" borderId="232" xfId="0" applyFont="1" applyFill="1" applyBorder="1" applyAlignment="1" applyProtection="1">
      <alignment horizontal="center"/>
      <protection locked="0"/>
    </xf>
    <xf numFmtId="0" fontId="21" fillId="2" borderId="233" xfId="0" applyFont="1" applyFill="1" applyBorder="1" applyAlignment="1" applyProtection="1">
      <alignment horizontal="center"/>
      <protection locked="0"/>
    </xf>
    <xf numFmtId="0" fontId="21" fillId="2" borderId="234" xfId="0" applyFont="1" applyFill="1" applyBorder="1" applyAlignment="1" applyProtection="1">
      <alignment horizontal="center"/>
      <protection locked="0"/>
    </xf>
    <xf numFmtId="0" fontId="21" fillId="2" borderId="220" xfId="0" applyFont="1" applyFill="1" applyBorder="1" applyProtection="1">
      <protection locked="0"/>
    </xf>
    <xf numFmtId="0" fontId="21" fillId="2" borderId="236" xfId="0" applyFont="1" applyFill="1" applyBorder="1" applyAlignment="1" applyProtection="1">
      <alignment horizontal="center"/>
      <protection locked="0"/>
    </xf>
    <xf numFmtId="0" fontId="21" fillId="2" borderId="235" xfId="0" applyFont="1" applyFill="1" applyBorder="1" applyProtection="1">
      <protection locked="0"/>
    </xf>
    <xf numFmtId="0" fontId="21" fillId="2" borderId="228" xfId="0" applyFont="1" applyFill="1" applyBorder="1" applyAlignment="1">
      <alignment horizontal="center"/>
    </xf>
    <xf numFmtId="0" fontId="21" fillId="2" borderId="231" xfId="0" applyFont="1" applyFill="1" applyBorder="1" applyAlignment="1">
      <alignment horizontal="center"/>
    </xf>
    <xf numFmtId="0" fontId="21" fillId="2" borderId="230" xfId="0" applyFont="1" applyFill="1" applyBorder="1" applyAlignment="1">
      <alignment horizontal="center"/>
    </xf>
    <xf numFmtId="0" fontId="21" fillId="2" borderId="237" xfId="0" applyFont="1" applyFill="1" applyBorder="1" applyAlignment="1">
      <alignment horizontal="center"/>
    </xf>
    <xf numFmtId="0" fontId="3" fillId="2" borderId="228" xfId="0" applyFont="1" applyFill="1" applyBorder="1" applyAlignment="1">
      <alignment horizontal="center"/>
    </xf>
    <xf numFmtId="0" fontId="3" fillId="2" borderId="231" xfId="0" applyFont="1" applyFill="1" applyBorder="1" applyAlignment="1">
      <alignment horizontal="center"/>
    </xf>
    <xf numFmtId="0" fontId="3" fillId="2" borderId="230" xfId="0" applyFont="1" applyFill="1" applyBorder="1" applyAlignment="1">
      <alignment horizontal="center"/>
    </xf>
    <xf numFmtId="0" fontId="3" fillId="2" borderId="237" xfId="0" applyFont="1" applyFill="1" applyBorder="1" applyAlignment="1">
      <alignment horizontal="center"/>
    </xf>
    <xf numFmtId="0" fontId="22" fillId="2" borderId="227" xfId="0" applyFont="1" applyFill="1" applyBorder="1" applyAlignment="1">
      <alignment horizontal="center"/>
    </xf>
    <xf numFmtId="0" fontId="21" fillId="2" borderId="221" xfId="0" applyFont="1" applyFill="1" applyBorder="1" applyProtection="1">
      <protection locked="0"/>
    </xf>
    <xf numFmtId="0" fontId="21" fillId="2" borderId="228" xfId="0" applyFont="1" applyFill="1" applyBorder="1" applyProtection="1">
      <protection locked="0"/>
    </xf>
    <xf numFmtId="0" fontId="21" fillId="2" borderId="231" xfId="0" applyFont="1" applyFill="1" applyBorder="1" applyProtection="1">
      <protection locked="0"/>
    </xf>
    <xf numFmtId="0" fontId="21" fillId="2" borderId="230" xfId="0" applyFont="1" applyFill="1" applyBorder="1" applyProtection="1">
      <protection locked="0"/>
    </xf>
    <xf numFmtId="0" fontId="22" fillId="2" borderId="53" xfId="0" applyFont="1" applyFill="1" applyBorder="1" applyProtection="1">
      <protection locked="0"/>
    </xf>
    <xf numFmtId="0" fontId="22" fillId="2" borderId="229" xfId="0" applyFont="1" applyFill="1" applyBorder="1" applyProtection="1">
      <protection locked="0"/>
    </xf>
    <xf numFmtId="0" fontId="2" fillId="12" borderId="215" xfId="0" applyFont="1" applyFill="1" applyBorder="1" applyProtection="1">
      <protection locked="0"/>
    </xf>
    <xf numFmtId="0" fontId="2" fillId="12" borderId="216" xfId="0" applyFont="1" applyFill="1" applyBorder="1" applyProtection="1">
      <protection locked="0"/>
    </xf>
    <xf numFmtId="0" fontId="2" fillId="12" borderId="212" xfId="0" applyFont="1" applyFill="1" applyBorder="1" applyProtection="1">
      <protection locked="0"/>
    </xf>
    <xf numFmtId="0" fontId="2" fillId="12" borderId="213" xfId="0" applyFont="1" applyFill="1" applyBorder="1" applyProtection="1">
      <protection locked="0"/>
    </xf>
    <xf numFmtId="0" fontId="21" fillId="2" borderId="239" xfId="0" applyFont="1" applyFill="1" applyBorder="1" applyProtection="1">
      <protection locked="0"/>
    </xf>
    <xf numFmtId="0" fontId="1" fillId="0" borderId="0" xfId="0" applyFont="1"/>
    <xf numFmtId="0" fontId="1" fillId="7" borderId="1" xfId="0" applyFont="1" applyFill="1" applyBorder="1" applyAlignment="1" applyProtection="1">
      <alignment horizontal="center" vertical="center"/>
      <protection locked="0"/>
    </xf>
    <xf numFmtId="0" fontId="1" fillId="7" borderId="240" xfId="0" applyFont="1" applyFill="1" applyBorder="1"/>
    <xf numFmtId="0" fontId="21" fillId="12" borderId="242" xfId="0" applyFont="1" applyFill="1" applyBorder="1"/>
    <xf numFmtId="0" fontId="21" fillId="12" borderId="200" xfId="0" applyFont="1" applyFill="1" applyBorder="1"/>
    <xf numFmtId="0" fontId="21" fillId="12" borderId="243" xfId="0" applyFont="1" applyFill="1" applyBorder="1"/>
    <xf numFmtId="0" fontId="21" fillId="12" borderId="244" xfId="0" applyFont="1" applyFill="1" applyBorder="1"/>
    <xf numFmtId="0" fontId="21" fillId="12" borderId="248" xfId="0" applyFont="1" applyFill="1" applyBorder="1"/>
    <xf numFmtId="0" fontId="21" fillId="2" borderId="0" xfId="0" applyFont="1" applyFill="1" applyAlignment="1">
      <alignment horizontal="left"/>
    </xf>
    <xf numFmtId="165" fontId="21" fillId="14" borderId="36" xfId="0" applyNumberFormat="1" applyFont="1" applyFill="1" applyBorder="1" applyAlignment="1">
      <alignment horizontal="center"/>
    </xf>
    <xf numFmtId="165" fontId="21" fillId="14" borderId="61"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2" borderId="12" xfId="0" applyFont="1" applyFill="1" applyBorder="1"/>
    <xf numFmtId="0" fontId="1" fillId="7" borderId="11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protection locked="0"/>
    </xf>
    <xf numFmtId="0" fontId="1" fillId="2" borderId="0" xfId="0" applyFont="1" applyFill="1"/>
    <xf numFmtId="0" fontId="10" fillId="2" borderId="10" xfId="0" applyFont="1" applyFill="1" applyBorder="1"/>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1" fillId="12" borderId="227" xfId="0" applyFont="1" applyFill="1" applyBorder="1" applyAlignment="1" applyProtection="1">
      <alignment horizontal="center"/>
      <protection locked="0"/>
    </xf>
    <xf numFmtId="0" fontId="1" fillId="0" borderId="0" xfId="0" applyFont="1" applyAlignment="1">
      <alignment horizontal="center"/>
    </xf>
    <xf numFmtId="0" fontId="26" fillId="0" borderId="0" xfId="1" applyFont="1" applyAlignment="1">
      <alignment horizontal="center"/>
    </xf>
    <xf numFmtId="0" fontId="33" fillId="0" borderId="0" xfId="0" applyFont="1"/>
    <xf numFmtId="0" fontId="34" fillId="0" borderId="0" xfId="1" applyFont="1" applyAlignment="1">
      <alignment horizontal="center"/>
    </xf>
    <xf numFmtId="0" fontId="31" fillId="0" borderId="0" xfId="0" applyFont="1" applyAlignment="1">
      <alignment horizontal="center"/>
    </xf>
    <xf numFmtId="0" fontId="29" fillId="0" borderId="0" xfId="0" applyFont="1"/>
    <xf numFmtId="0" fontId="21" fillId="7" borderId="216" xfId="0" applyFont="1" applyFill="1" applyBorder="1"/>
    <xf numFmtId="0" fontId="21" fillId="12" borderId="214" xfId="0" applyFont="1" applyFill="1" applyBorder="1" applyProtection="1">
      <protection locked="0"/>
    </xf>
    <xf numFmtId="0" fontId="1" fillId="12" borderId="214" xfId="0" applyFont="1" applyFill="1" applyBorder="1" applyProtection="1">
      <protection locked="0"/>
    </xf>
    <xf numFmtId="0" fontId="1" fillId="12" borderId="241" xfId="0" applyFont="1" applyFill="1" applyBorder="1" applyProtection="1">
      <protection locked="0"/>
    </xf>
    <xf numFmtId="0" fontId="21" fillId="12" borderId="241" xfId="0" applyFont="1" applyFill="1" applyBorder="1" applyProtection="1">
      <protection locked="0"/>
    </xf>
    <xf numFmtId="0" fontId="21" fillId="12" borderId="245" xfId="0" applyFont="1" applyFill="1" applyBorder="1" applyProtection="1">
      <protection locked="0"/>
    </xf>
    <xf numFmtId="0" fontId="21" fillId="12" borderId="227" xfId="0" applyFont="1" applyFill="1" applyBorder="1" applyProtection="1">
      <protection locked="0"/>
    </xf>
    <xf numFmtId="0" fontId="21" fillId="12" borderId="229" xfId="0" applyFont="1" applyFill="1" applyBorder="1" applyProtection="1">
      <protection locked="0"/>
    </xf>
    <xf numFmtId="0" fontId="21" fillId="12" borderId="246" xfId="0" applyFont="1" applyFill="1" applyBorder="1" applyProtection="1">
      <protection locked="0"/>
    </xf>
    <xf numFmtId="0" fontId="1" fillId="12" borderId="245" xfId="0" applyFont="1" applyFill="1" applyBorder="1" applyProtection="1">
      <protection locked="0"/>
    </xf>
    <xf numFmtId="0" fontId="1" fillId="12" borderId="227" xfId="0" applyFont="1" applyFill="1" applyBorder="1" applyProtection="1">
      <protection locked="0"/>
    </xf>
    <xf numFmtId="0" fontId="1" fillId="12" borderId="246" xfId="0" applyFont="1" applyFill="1" applyBorder="1" applyProtection="1">
      <protection locked="0"/>
    </xf>
    <xf numFmtId="0" fontId="21" fillId="12" borderId="247" xfId="0" applyFont="1" applyFill="1" applyBorder="1" applyProtection="1">
      <protection locked="0"/>
    </xf>
    <xf numFmtId="0" fontId="21" fillId="2" borderId="249" xfId="0" applyFont="1" applyFill="1" applyBorder="1" applyProtection="1">
      <protection locked="0"/>
    </xf>
    <xf numFmtId="0" fontId="21" fillId="8" borderId="216" xfId="0" applyFont="1" applyFill="1" applyBorder="1"/>
    <xf numFmtId="0" fontId="21" fillId="9" borderId="216" xfId="0" applyFont="1" applyFill="1" applyBorder="1"/>
    <xf numFmtId="0" fontId="1" fillId="9" borderId="1" xfId="0" applyFont="1" applyFill="1" applyBorder="1" applyAlignment="1" applyProtection="1">
      <alignment horizontal="center"/>
      <protection locked="0"/>
    </xf>
    <xf numFmtId="0" fontId="27" fillId="0" borderId="212" xfId="0" applyFont="1" applyBorder="1" applyProtection="1">
      <protection locked="0"/>
    </xf>
    <xf numFmtId="0" fontId="27" fillId="0" borderId="215" xfId="0" applyFont="1" applyBorder="1" applyProtection="1">
      <protection locked="0"/>
    </xf>
    <xf numFmtId="0" fontId="22" fillId="0" borderId="41"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1" fillId="0" borderId="3" xfId="0" applyFont="1" applyBorder="1" applyAlignment="1">
      <alignment horizontal="center"/>
    </xf>
    <xf numFmtId="0" fontId="21" fillId="2" borderId="3" xfId="0" applyFont="1" applyFill="1" applyBorder="1" applyAlignment="1">
      <alignment horizontal="center"/>
    </xf>
    <xf numFmtId="0" fontId="9" fillId="2" borderId="0" xfId="0" applyFont="1" applyFill="1" applyProtection="1">
      <protection locked="0"/>
    </xf>
    <xf numFmtId="0" fontId="21" fillId="0" borderId="250" xfId="0" applyFont="1" applyBorder="1" applyAlignment="1">
      <alignment horizontal="center"/>
    </xf>
    <xf numFmtId="0" fontId="21" fillId="10" borderId="55" xfId="0" applyFont="1" applyFill="1" applyBorder="1" applyAlignment="1" applyProtection="1">
      <alignment horizontal="center"/>
      <protection locked="0"/>
    </xf>
    <xf numFmtId="0" fontId="21" fillId="10" borderId="253" xfId="0" applyFont="1" applyFill="1" applyBorder="1" applyAlignment="1" applyProtection="1">
      <alignment horizontal="center"/>
      <protection locked="0"/>
    </xf>
    <xf numFmtId="2" fontId="21" fillId="0" borderId="254" xfId="0" applyNumberFormat="1" applyFont="1" applyBorder="1" applyAlignment="1">
      <alignment horizontal="center"/>
    </xf>
    <xf numFmtId="0" fontId="21" fillId="0" borderId="253" xfId="0" applyFont="1" applyBorder="1" applyProtection="1">
      <protection locked="0"/>
    </xf>
    <xf numFmtId="0" fontId="21" fillId="0" borderId="255" xfId="0" applyFont="1" applyBorder="1" applyProtection="1">
      <protection locked="0"/>
    </xf>
    <xf numFmtId="0" fontId="1" fillId="0" borderId="7" xfId="0" applyFont="1" applyBorder="1"/>
    <xf numFmtId="0" fontId="1" fillId="0" borderId="15" xfId="0" applyFont="1" applyBorder="1"/>
    <xf numFmtId="0" fontId="1" fillId="10" borderId="124" xfId="0" applyFont="1" applyFill="1" applyBorder="1" applyProtection="1">
      <protection locked="0"/>
    </xf>
    <xf numFmtId="0" fontId="1" fillId="10" borderId="251" xfId="0" applyFont="1" applyFill="1" applyBorder="1" applyProtection="1">
      <protection locked="0"/>
    </xf>
    <xf numFmtId="0" fontId="12" fillId="0" borderId="199" xfId="0" applyFont="1" applyBorder="1"/>
    <xf numFmtId="0" fontId="21" fillId="12" borderId="260" xfId="0" applyFont="1" applyFill="1" applyBorder="1" applyProtection="1">
      <protection locked="0"/>
    </xf>
    <xf numFmtId="0" fontId="21" fillId="12" borderId="261" xfId="0" applyFont="1" applyFill="1" applyBorder="1" applyProtection="1">
      <protection locked="0"/>
    </xf>
    <xf numFmtId="0" fontId="21" fillId="12" borderId="262" xfId="0" applyFont="1" applyFill="1" applyBorder="1" applyProtection="1">
      <protection locked="0"/>
    </xf>
    <xf numFmtId="0" fontId="21" fillId="12" borderId="263" xfId="0" applyFont="1" applyFill="1" applyBorder="1" applyProtection="1">
      <protection locked="0"/>
    </xf>
    <xf numFmtId="0" fontId="1" fillId="10" borderId="56" xfId="0" applyFont="1" applyFill="1" applyBorder="1" applyProtection="1">
      <protection locked="0"/>
    </xf>
    <xf numFmtId="0" fontId="1" fillId="10" borderId="252" xfId="0" applyFont="1" applyFill="1" applyBorder="1" applyProtection="1">
      <protection locked="0"/>
    </xf>
    <xf numFmtId="0" fontId="21" fillId="12" borderId="264" xfId="0" applyFont="1" applyFill="1" applyBorder="1" applyProtection="1">
      <protection locked="0"/>
    </xf>
    <xf numFmtId="0" fontId="21" fillId="12" borderId="265" xfId="0" applyFont="1" applyFill="1" applyBorder="1" applyProtection="1">
      <protection locked="0"/>
    </xf>
    <xf numFmtId="0" fontId="10" fillId="12" borderId="265" xfId="0" applyFont="1" applyFill="1" applyBorder="1" applyProtection="1">
      <protection locked="0"/>
    </xf>
    <xf numFmtId="0" fontId="21" fillId="12" borderId="266" xfId="0" applyFont="1" applyFill="1" applyBorder="1" applyProtection="1">
      <protection locked="0"/>
    </xf>
    <xf numFmtId="0" fontId="7" fillId="0" borderId="15" xfId="0" applyFont="1" applyBorder="1" applyAlignment="1">
      <alignment horizontal="center"/>
    </xf>
    <xf numFmtId="0" fontId="21" fillId="0" borderId="227" xfId="0" applyFont="1" applyBorder="1" applyAlignment="1">
      <alignment horizontal="center"/>
    </xf>
    <xf numFmtId="0" fontId="21" fillId="0" borderId="227" xfId="0" applyFont="1" applyBorder="1" applyProtection="1">
      <protection locked="0"/>
    </xf>
    <xf numFmtId="0" fontId="1" fillId="0" borderId="227" xfId="0" applyFont="1" applyBorder="1"/>
    <xf numFmtId="0" fontId="7" fillId="0" borderId="227" xfId="0" applyFont="1" applyBorder="1" applyAlignment="1">
      <alignment horizontal="center"/>
    </xf>
    <xf numFmtId="0" fontId="21" fillId="12" borderId="228" xfId="0" applyFont="1" applyFill="1" applyBorder="1" applyProtection="1">
      <protection locked="0"/>
    </xf>
    <xf numFmtId="0" fontId="21" fillId="0" borderId="208" xfId="0" applyFont="1" applyBorder="1" applyProtection="1">
      <protection locked="0"/>
    </xf>
    <xf numFmtId="0" fontId="21" fillId="0" borderId="209" xfId="0" applyFont="1" applyBorder="1" applyProtection="1">
      <protection locked="0"/>
    </xf>
    <xf numFmtId="0" fontId="21" fillId="0" borderId="210" xfId="0" applyFont="1" applyBorder="1" applyProtection="1">
      <protection locked="0"/>
    </xf>
    <xf numFmtId="0" fontId="1" fillId="0" borderId="267" xfId="0" applyFont="1" applyBorder="1"/>
    <xf numFmtId="0" fontId="21" fillId="0" borderId="267" xfId="0" applyFont="1" applyBorder="1" applyAlignment="1">
      <alignment horizontal="center"/>
    </xf>
    <xf numFmtId="0" fontId="21" fillId="0" borderId="267" xfId="0" applyFont="1" applyBorder="1"/>
    <xf numFmtId="0" fontId="21" fillId="2" borderId="6" xfId="0" applyFont="1" applyFill="1" applyBorder="1" applyAlignment="1">
      <alignment horizontal="center"/>
    </xf>
    <xf numFmtId="0" fontId="7" fillId="2" borderId="8" xfId="0" applyFont="1" applyFill="1" applyBorder="1" applyAlignment="1">
      <alignment horizontal="center"/>
    </xf>
    <xf numFmtId="0" fontId="1" fillId="2" borderId="15" xfId="0" applyFont="1" applyFill="1" applyBorder="1" applyAlignment="1">
      <alignment horizontal="center"/>
    </xf>
    <xf numFmtId="0" fontId="1" fillId="2" borderId="257" xfId="0" applyFont="1" applyFill="1" applyBorder="1" applyAlignment="1">
      <alignment horizontal="center"/>
    </xf>
    <xf numFmtId="0" fontId="1" fillId="2" borderId="63" xfId="0" applyFont="1" applyFill="1" applyBorder="1" applyAlignment="1">
      <alignment horizontal="center"/>
    </xf>
    <xf numFmtId="0" fontId="1" fillId="2" borderId="58" xfId="0" applyFont="1" applyFill="1" applyBorder="1" applyAlignment="1">
      <alignment horizontal="center"/>
    </xf>
    <xf numFmtId="0" fontId="21" fillId="2" borderId="1" xfId="0" applyFont="1" applyFill="1" applyBorder="1" applyAlignment="1">
      <alignment horizontal="center"/>
    </xf>
    <xf numFmtId="0" fontId="7" fillId="2" borderId="3" xfId="0" applyFont="1" applyFill="1" applyBorder="1" applyAlignment="1">
      <alignment horizontal="center"/>
    </xf>
    <xf numFmtId="0" fontId="21" fillId="2" borderId="13" xfId="0" applyFont="1" applyFill="1" applyBorder="1" applyAlignment="1">
      <alignment horizontal="center"/>
    </xf>
    <xf numFmtId="0" fontId="21" fillId="2" borderId="56" xfId="0" applyFont="1" applyFill="1" applyBorder="1" applyAlignment="1">
      <alignment horizontal="center"/>
    </xf>
    <xf numFmtId="0" fontId="21" fillId="2" borderId="112" xfId="0" applyFont="1" applyFill="1" applyBorder="1" applyAlignment="1">
      <alignment horizontal="center"/>
    </xf>
    <xf numFmtId="0" fontId="1" fillId="2" borderId="259" xfId="0" applyFont="1" applyFill="1" applyBorder="1" applyAlignment="1">
      <alignment horizontal="center"/>
    </xf>
    <xf numFmtId="0" fontId="1" fillId="2" borderId="112" xfId="0" applyFont="1" applyFill="1" applyBorder="1" applyAlignment="1">
      <alignment horizontal="center"/>
    </xf>
    <xf numFmtId="0" fontId="12" fillId="2" borderId="1" xfId="0" applyFont="1" applyFill="1" applyBorder="1" applyAlignment="1">
      <alignment horizontal="center"/>
    </xf>
    <xf numFmtId="0" fontId="21" fillId="2" borderId="207" xfId="0" applyFont="1" applyFill="1" applyBorder="1" applyAlignment="1">
      <alignment horizontal="center"/>
    </xf>
    <xf numFmtId="0" fontId="21" fillId="2" borderId="201" xfId="0" applyFont="1" applyFill="1" applyBorder="1" applyAlignment="1">
      <alignment horizontal="center"/>
    </xf>
    <xf numFmtId="0" fontId="21" fillId="2" borderId="258" xfId="0" applyFont="1" applyFill="1" applyBorder="1" applyAlignment="1">
      <alignment horizontal="center"/>
    </xf>
    <xf numFmtId="0" fontId="21" fillId="2" borderId="63" xfId="0" applyFont="1" applyFill="1" applyBorder="1" applyAlignment="1">
      <alignment horizontal="center"/>
    </xf>
    <xf numFmtId="0" fontId="21" fillId="2" borderId="9" xfId="0" applyFont="1" applyFill="1" applyBorder="1"/>
    <xf numFmtId="164" fontId="21" fillId="2" borderId="10" xfId="0" applyNumberFormat="1" applyFont="1" applyFill="1" applyBorder="1"/>
    <xf numFmtId="164" fontId="21" fillId="2" borderId="0" xfId="0" applyNumberFormat="1" applyFont="1" applyFill="1"/>
    <xf numFmtId="164" fontId="21" fillId="2" borderId="256" xfId="0" applyNumberFormat="1" applyFont="1" applyFill="1" applyBorder="1"/>
    <xf numFmtId="0" fontId="1" fillId="2" borderId="256" xfId="0" applyFont="1" applyFill="1" applyBorder="1"/>
    <xf numFmtId="0" fontId="1" fillId="2" borderId="269" xfId="0" applyFont="1" applyFill="1" applyBorder="1" applyAlignment="1">
      <alignment horizontal="center"/>
    </xf>
    <xf numFmtId="0" fontId="21" fillId="2" borderId="270" xfId="0" applyFont="1" applyFill="1" applyBorder="1" applyAlignment="1">
      <alignment horizontal="center"/>
    </xf>
    <xf numFmtId="0" fontId="12" fillId="2" borderId="271" xfId="0" applyFont="1" applyFill="1" applyBorder="1" applyAlignment="1">
      <alignment horizontal="center"/>
    </xf>
    <xf numFmtId="0" fontId="21" fillId="2" borderId="268" xfId="0" applyFont="1" applyFill="1" applyBorder="1"/>
    <xf numFmtId="0" fontId="7" fillId="2" borderId="270" xfId="0" applyFont="1" applyFill="1" applyBorder="1" applyAlignment="1">
      <alignment horizontal="center"/>
    </xf>
    <xf numFmtId="0" fontId="21" fillId="2" borderId="272" xfId="0" applyFont="1" applyFill="1" applyBorder="1" applyAlignment="1">
      <alignment horizontal="center"/>
    </xf>
    <xf numFmtId="164" fontId="21" fillId="2" borderId="268" xfId="0" applyNumberFormat="1" applyFont="1" applyFill="1" applyBorder="1"/>
    <xf numFmtId="0" fontId="21" fillId="2" borderId="269" xfId="0" applyFont="1" applyFill="1" applyBorder="1" applyAlignment="1">
      <alignment horizontal="center"/>
    </xf>
    <xf numFmtId="0" fontId="1" fillId="2" borderId="274" xfId="0" applyFont="1" applyFill="1" applyBorder="1" applyAlignment="1">
      <alignment horizontal="center"/>
    </xf>
    <xf numFmtId="0" fontId="21" fillId="2" borderId="275" xfId="0" applyFont="1" applyFill="1" applyBorder="1" applyAlignment="1">
      <alignment horizontal="center"/>
    </xf>
    <xf numFmtId="0" fontId="21" fillId="2" borderId="276" xfId="0" applyFont="1" applyFill="1" applyBorder="1" applyAlignment="1">
      <alignment horizontal="center"/>
    </xf>
    <xf numFmtId="164" fontId="21" fillId="2" borderId="277" xfId="0" applyNumberFormat="1" applyFont="1" applyFill="1" applyBorder="1"/>
    <xf numFmtId="0" fontId="1" fillId="2" borderId="275" xfId="0" applyFont="1" applyFill="1" applyBorder="1" applyAlignment="1">
      <alignment horizontal="center"/>
    </xf>
    <xf numFmtId="0" fontId="21" fillId="2" borderId="277" xfId="0" applyFont="1" applyFill="1" applyBorder="1" applyAlignment="1">
      <alignment horizontal="center"/>
    </xf>
    <xf numFmtId="0" fontId="21" fillId="2" borderId="278" xfId="0" applyFont="1" applyFill="1" applyBorder="1" applyAlignment="1">
      <alignment horizontal="center"/>
    </xf>
    <xf numFmtId="0" fontId="1" fillId="2" borderId="279" xfId="0" applyFont="1" applyFill="1" applyBorder="1" applyAlignment="1">
      <alignment horizontal="center"/>
    </xf>
    <xf numFmtId="0" fontId="21" fillId="2" borderId="273" xfId="0" applyFont="1" applyFill="1" applyBorder="1" applyAlignment="1">
      <alignment horizontal="center"/>
    </xf>
    <xf numFmtId="0" fontId="1" fillId="2" borderId="278" xfId="0" applyFont="1" applyFill="1" applyBorder="1" applyAlignment="1">
      <alignment horizontal="center"/>
    </xf>
    <xf numFmtId="0" fontId="1" fillId="2" borderId="273" xfId="0" applyFont="1" applyFill="1" applyBorder="1" applyAlignment="1">
      <alignment horizontal="center"/>
    </xf>
    <xf numFmtId="0" fontId="1" fillId="2" borderId="277" xfId="0" applyFont="1" applyFill="1" applyBorder="1"/>
    <xf numFmtId="0" fontId="10" fillId="2" borderId="281" xfId="0" applyFont="1" applyFill="1" applyBorder="1"/>
    <xf numFmtId="0" fontId="21" fillId="2" borderId="282" xfId="0" applyFont="1" applyFill="1" applyBorder="1"/>
    <xf numFmtId="0" fontId="21" fillId="2" borderId="283" xfId="0" applyFont="1" applyFill="1" applyBorder="1"/>
    <xf numFmtId="164" fontId="21" fillId="2" borderId="281" xfId="0" applyNumberFormat="1" applyFont="1" applyFill="1" applyBorder="1"/>
    <xf numFmtId="164" fontId="21" fillId="2" borderId="283" xfId="0" applyNumberFormat="1" applyFont="1" applyFill="1" applyBorder="1"/>
    <xf numFmtId="164" fontId="21" fillId="2" borderId="284" xfId="0" applyNumberFormat="1" applyFont="1" applyFill="1" applyBorder="1"/>
    <xf numFmtId="164" fontId="21" fillId="2" borderId="285" xfId="0" applyNumberFormat="1" applyFont="1" applyFill="1" applyBorder="1"/>
    <xf numFmtId="164" fontId="21" fillId="2" borderId="280" xfId="0" applyNumberFormat="1" applyFont="1" applyFill="1" applyBorder="1"/>
    <xf numFmtId="0" fontId="1" fillId="2" borderId="284" xfId="0" applyFont="1" applyFill="1" applyBorder="1"/>
    <xf numFmtId="0" fontId="1" fillId="2" borderId="285" xfId="0" applyFont="1" applyFill="1" applyBorder="1"/>
    <xf numFmtId="0" fontId="1" fillId="2" borderId="280" xfId="0" applyFont="1" applyFill="1" applyBorder="1"/>
    <xf numFmtId="0" fontId="1" fillId="2" borderId="287" xfId="0" applyFont="1" applyFill="1" applyBorder="1" applyAlignment="1">
      <alignment horizontal="center"/>
    </xf>
    <xf numFmtId="0" fontId="1" fillId="2" borderId="288" xfId="0" applyFont="1" applyFill="1" applyBorder="1" applyAlignment="1">
      <alignment horizontal="center"/>
    </xf>
    <xf numFmtId="0" fontId="21" fillId="2" borderId="289" xfId="0" applyFont="1" applyFill="1" applyBorder="1" applyAlignment="1">
      <alignment horizontal="center"/>
    </xf>
    <xf numFmtId="0" fontId="1" fillId="2" borderId="290" xfId="0" applyFont="1" applyFill="1" applyBorder="1"/>
    <xf numFmtId="0" fontId="1" fillId="2" borderId="286" xfId="0" applyFont="1" applyFill="1" applyBorder="1"/>
    <xf numFmtId="0" fontId="1" fillId="7" borderId="3" xfId="0" applyFont="1" applyFill="1" applyBorder="1" applyAlignment="1" applyProtection="1">
      <alignment horizontal="center" vertical="center"/>
      <protection locked="0"/>
    </xf>
    <xf numFmtId="0" fontId="21" fillId="0" borderId="10" xfId="0" applyFont="1" applyBorder="1"/>
    <xf numFmtId="0" fontId="1" fillId="4" borderId="291" xfId="0" applyFont="1" applyFill="1" applyBorder="1" applyAlignment="1" applyProtection="1">
      <alignment horizontal="center" vertical="center"/>
      <protection locked="0"/>
    </xf>
    <xf numFmtId="0" fontId="1" fillId="8" borderId="8" xfId="0" applyFont="1" applyFill="1" applyBorder="1" applyAlignment="1" applyProtection="1">
      <alignment horizontal="center"/>
      <protection locked="0"/>
    </xf>
    <xf numFmtId="0" fontId="1" fillId="4" borderId="292" xfId="0" applyFont="1" applyFill="1" applyBorder="1" applyAlignment="1" applyProtection="1">
      <alignment horizontal="center"/>
      <protection locked="0"/>
    </xf>
    <xf numFmtId="0" fontId="17" fillId="0" borderId="10" xfId="0" applyFont="1" applyBorder="1"/>
    <xf numFmtId="0" fontId="9" fillId="6" borderId="6" xfId="0" applyFont="1" applyFill="1" applyBorder="1" applyAlignment="1" applyProtection="1">
      <alignment horizontal="center"/>
      <protection locked="0"/>
    </xf>
    <xf numFmtId="0" fontId="38" fillId="0" borderId="293" xfId="0" applyFont="1" applyBorder="1" applyAlignment="1" applyProtection="1">
      <alignment horizontal="center"/>
      <protection locked="0"/>
    </xf>
    <xf numFmtId="0" fontId="39" fillId="0" borderId="294" xfId="0" applyFont="1" applyBorder="1" applyAlignment="1" applyProtection="1">
      <alignment horizontal="center"/>
      <protection locked="0"/>
    </xf>
    <xf numFmtId="0" fontId="41" fillId="0" borderId="296" xfId="0" applyFont="1" applyBorder="1" applyAlignment="1" applyProtection="1">
      <alignment horizontal="center"/>
      <protection locked="0"/>
    </xf>
    <xf numFmtId="0" fontId="1" fillId="9" borderId="295" xfId="0" applyFont="1" applyFill="1" applyBorder="1" applyAlignment="1" applyProtection="1">
      <alignment horizontal="center"/>
      <protection locked="0"/>
    </xf>
    <xf numFmtId="0" fontId="9" fillId="5" borderId="297" xfId="0" applyFont="1" applyFill="1" applyBorder="1" applyAlignment="1" applyProtection="1">
      <alignment horizontal="center"/>
      <protection locked="0"/>
    </xf>
    <xf numFmtId="0" fontId="40" fillId="0" borderId="294" xfId="0" applyFont="1" applyBorder="1" applyAlignment="1" applyProtection="1">
      <alignment horizontal="center"/>
      <protection locked="0"/>
    </xf>
    <xf numFmtId="0" fontId="9" fillId="2" borderId="12" xfId="0" applyFont="1" applyFill="1" applyBorder="1"/>
    <xf numFmtId="0" fontId="21" fillId="12" borderId="299" xfId="0" applyFont="1" applyFill="1" applyBorder="1" applyProtection="1">
      <protection locked="0"/>
    </xf>
    <xf numFmtId="0" fontId="42" fillId="2" borderId="12" xfId="0" applyFont="1" applyFill="1" applyBorder="1"/>
    <xf numFmtId="0" fontId="27" fillId="0" borderId="227" xfId="0" applyFont="1" applyBorder="1" applyProtection="1">
      <protection locked="0"/>
    </xf>
    <xf numFmtId="0" fontId="27" fillId="0" borderId="227" xfId="0" applyFont="1" applyBorder="1" applyAlignment="1" applyProtection="1">
      <alignment horizontal="center"/>
      <protection locked="0"/>
    </xf>
    <xf numFmtId="164" fontId="35" fillId="0" borderId="227" xfId="0" applyNumberFormat="1" applyFont="1" applyBorder="1" applyAlignment="1">
      <alignment horizontal="center"/>
    </xf>
    <xf numFmtId="0" fontId="27" fillId="0" borderId="227" xfId="0" applyFont="1" applyBorder="1"/>
    <xf numFmtId="0" fontId="1" fillId="2" borderId="0" xfId="0" applyFont="1" applyFill="1" applyAlignment="1" applyProtection="1">
      <alignment horizontal="center"/>
      <protection locked="0"/>
    </xf>
    <xf numFmtId="0" fontId="27" fillId="2" borderId="227" xfId="0" applyFont="1" applyFill="1" applyBorder="1" applyAlignment="1" applyProtection="1">
      <alignment horizontal="center"/>
      <protection locked="0"/>
    </xf>
    <xf numFmtId="164" fontId="21" fillId="0" borderId="301" xfId="0" applyNumberFormat="1" applyFont="1" applyBorder="1" applyAlignment="1">
      <alignment horizontal="center"/>
    </xf>
    <xf numFmtId="0" fontId="21" fillId="0" borderId="300" xfId="0" applyFont="1" applyBorder="1" applyAlignment="1">
      <alignment horizontal="center"/>
    </xf>
    <xf numFmtId="164" fontId="21" fillId="0" borderId="302" xfId="0" applyNumberFormat="1" applyFont="1" applyBorder="1" applyAlignment="1">
      <alignment horizontal="center"/>
    </xf>
    <xf numFmtId="164" fontId="21" fillId="0" borderId="227" xfId="0" applyNumberFormat="1" applyFont="1" applyBorder="1" applyAlignment="1">
      <alignment horizontal="center"/>
    </xf>
    <xf numFmtId="164" fontId="21" fillId="0" borderId="303" xfId="0" applyNumberFormat="1" applyFont="1" applyBorder="1" applyAlignment="1">
      <alignment horizontal="center"/>
    </xf>
    <xf numFmtId="0" fontId="35" fillId="0" borderId="228" xfId="0" applyFont="1" applyBorder="1" applyAlignment="1">
      <alignment horizontal="center"/>
    </xf>
    <xf numFmtId="0" fontId="21" fillId="0" borderId="228" xfId="0" applyFont="1" applyBorder="1" applyAlignment="1">
      <alignment horizontal="center"/>
    </xf>
    <xf numFmtId="0" fontId="21" fillId="0" borderId="305" xfId="0" applyFont="1" applyBorder="1" applyAlignment="1">
      <alignment horizontal="center"/>
    </xf>
    <xf numFmtId="0" fontId="35" fillId="15" borderId="238" xfId="0" applyFont="1" applyFill="1" applyBorder="1" applyAlignment="1" applyProtection="1">
      <alignment horizontal="center"/>
      <protection locked="0"/>
    </xf>
    <xf numFmtId="0" fontId="1" fillId="2" borderId="238" xfId="0" applyFont="1" applyFill="1" applyBorder="1" applyAlignment="1">
      <alignment horizontal="center"/>
    </xf>
    <xf numFmtId="0" fontId="1" fillId="2" borderId="304" xfId="0" applyFont="1" applyFill="1" applyBorder="1" applyAlignment="1">
      <alignment horizontal="center"/>
    </xf>
    <xf numFmtId="1" fontId="27" fillId="15" borderId="232" xfId="0" applyNumberFormat="1" applyFont="1" applyFill="1" applyBorder="1" applyAlignment="1" applyProtection="1">
      <alignment horizontal="center"/>
      <protection locked="0"/>
    </xf>
    <xf numFmtId="0" fontId="35" fillId="15" borderId="220" xfId="0" applyFont="1" applyFill="1" applyBorder="1" applyProtection="1">
      <protection locked="0"/>
    </xf>
    <xf numFmtId="0" fontId="1" fillId="2" borderId="220" xfId="0" applyFont="1" applyFill="1" applyBorder="1"/>
    <xf numFmtId="0" fontId="1" fillId="2" borderId="307" xfId="0" applyFont="1" applyFill="1" applyBorder="1"/>
    <xf numFmtId="0" fontId="35" fillId="15" borderId="308" xfId="0" applyFont="1" applyFill="1" applyBorder="1" applyAlignment="1">
      <alignment horizontal="center"/>
    </xf>
    <xf numFmtId="0" fontId="22" fillId="2" borderId="220" xfId="0" applyFont="1" applyFill="1" applyBorder="1"/>
    <xf numFmtId="0" fontId="22" fillId="2" borderId="228" xfId="0" applyFont="1" applyFill="1" applyBorder="1" applyAlignment="1">
      <alignment horizontal="center"/>
    </xf>
    <xf numFmtId="0" fontId="1" fillId="2" borderId="228" xfId="0" applyFont="1" applyFill="1" applyBorder="1" applyAlignment="1">
      <alignment horizontal="center"/>
    </xf>
    <xf numFmtId="0" fontId="1" fillId="2" borderId="305" xfId="0" applyFont="1" applyFill="1" applyBorder="1" applyAlignment="1">
      <alignment horizontal="center"/>
    </xf>
    <xf numFmtId="0" fontId="27" fillId="2" borderId="238" xfId="0" applyFont="1" applyFill="1" applyBorder="1" applyAlignment="1" applyProtection="1">
      <alignment horizontal="center"/>
      <protection locked="0"/>
    </xf>
    <xf numFmtId="0" fontId="27" fillId="0" borderId="238" xfId="0" applyFont="1" applyBorder="1" applyProtection="1">
      <protection locked="0"/>
    </xf>
    <xf numFmtId="0" fontId="35" fillId="0" borderId="232" xfId="0" applyFont="1" applyBorder="1" applyAlignment="1">
      <alignment horizontal="center"/>
    </xf>
    <xf numFmtId="0" fontId="1" fillId="2" borderId="232" xfId="0" applyFont="1" applyFill="1" applyBorder="1" applyAlignment="1">
      <alignment horizontal="center"/>
    </xf>
    <xf numFmtId="0" fontId="1" fillId="2" borderId="306" xfId="0" applyFont="1" applyFill="1" applyBorder="1" applyAlignment="1">
      <alignment horizontal="center"/>
    </xf>
    <xf numFmtId="0" fontId="1" fillId="12" borderId="238" xfId="0" applyFont="1" applyFill="1" applyBorder="1" applyProtection="1">
      <protection locked="0"/>
    </xf>
    <xf numFmtId="0" fontId="1" fillId="12" borderId="227" xfId="0" applyFont="1" applyFill="1" applyBorder="1"/>
    <xf numFmtId="0" fontId="1" fillId="12" borderId="220" xfId="0" applyFont="1" applyFill="1" applyBorder="1" applyAlignment="1" applyProtection="1">
      <alignment horizontal="center"/>
      <protection locked="0"/>
    </xf>
    <xf numFmtId="0" fontId="1" fillId="12" borderId="304" xfId="0" applyFont="1" applyFill="1" applyBorder="1" applyProtection="1">
      <protection locked="0"/>
    </xf>
    <xf numFmtId="0" fontId="1" fillId="12" borderId="303" xfId="0" applyFont="1" applyFill="1" applyBorder="1" applyProtection="1">
      <protection locked="0"/>
    </xf>
    <xf numFmtId="0" fontId="1" fillId="12" borderId="303" xfId="0" applyFont="1" applyFill="1" applyBorder="1"/>
    <xf numFmtId="0" fontId="1" fillId="12" borderId="303" xfId="0" applyFont="1" applyFill="1" applyBorder="1" applyAlignment="1" applyProtection="1">
      <alignment horizontal="center"/>
      <protection locked="0"/>
    </xf>
    <xf numFmtId="0" fontId="1" fillId="12" borderId="307" xfId="0" applyFont="1" applyFill="1" applyBorder="1" applyAlignment="1" applyProtection="1">
      <alignment horizontal="center"/>
      <protection locked="0"/>
    </xf>
    <xf numFmtId="0" fontId="1" fillId="12" borderId="232" xfId="0" applyFont="1" applyFill="1" applyBorder="1" applyAlignment="1" applyProtection="1">
      <alignment horizontal="center"/>
      <protection locked="0"/>
    </xf>
    <xf numFmtId="0" fontId="1" fillId="12" borderId="306" xfId="0" applyFont="1" applyFill="1" applyBorder="1" applyAlignment="1" applyProtection="1">
      <alignment horizontal="center"/>
      <protection locked="0"/>
    </xf>
    <xf numFmtId="0" fontId="1" fillId="12" borderId="238" xfId="0" applyFont="1" applyFill="1" applyBorder="1" applyAlignment="1" applyProtection="1">
      <alignment horizontal="center"/>
      <protection locked="0"/>
    </xf>
    <xf numFmtId="0" fontId="1" fillId="12" borderId="304" xfId="0" applyFont="1" applyFill="1" applyBorder="1" applyAlignment="1" applyProtection="1">
      <alignment horizontal="center"/>
      <protection locked="0"/>
    </xf>
    <xf numFmtId="0" fontId="27" fillId="0" borderId="220" xfId="0" applyFont="1" applyBorder="1" applyAlignment="1" applyProtection="1">
      <alignment horizontal="center"/>
      <protection locked="0"/>
    </xf>
    <xf numFmtId="0" fontId="27" fillId="0" borderId="311" xfId="0" applyFont="1" applyBorder="1" applyAlignment="1" applyProtection="1">
      <alignment horizontal="center"/>
      <protection locked="0"/>
    </xf>
    <xf numFmtId="0" fontId="21" fillId="12" borderId="312" xfId="0" applyFont="1" applyFill="1" applyBorder="1" applyAlignment="1" applyProtection="1">
      <alignment horizontal="center"/>
      <protection locked="0"/>
    </xf>
    <xf numFmtId="0" fontId="27" fillId="0" borderId="313" xfId="0" applyFont="1" applyBorder="1" applyAlignment="1" applyProtection="1">
      <alignment horizontal="center"/>
      <protection locked="0"/>
    </xf>
    <xf numFmtId="0" fontId="21" fillId="12" borderId="313" xfId="0" applyFont="1" applyFill="1" applyBorder="1" applyAlignment="1" applyProtection="1">
      <alignment horizontal="center"/>
      <protection locked="0"/>
    </xf>
    <xf numFmtId="0" fontId="21" fillId="12" borderId="310" xfId="0" applyFont="1" applyFill="1" applyBorder="1" applyAlignment="1" applyProtection="1">
      <alignment horizontal="center"/>
      <protection locked="0"/>
    </xf>
    <xf numFmtId="0" fontId="21" fillId="12" borderId="314" xfId="0" applyFont="1" applyFill="1" applyBorder="1" applyAlignment="1" applyProtection="1">
      <alignment horizontal="center"/>
      <protection locked="0"/>
    </xf>
    <xf numFmtId="0" fontId="21" fillId="12" borderId="315" xfId="0" applyFont="1" applyFill="1" applyBorder="1" applyAlignment="1" applyProtection="1">
      <alignment horizontal="center"/>
      <protection locked="0"/>
    </xf>
    <xf numFmtId="0" fontId="21" fillId="12" borderId="159" xfId="0" applyFont="1" applyFill="1" applyBorder="1" applyAlignment="1" applyProtection="1">
      <alignment horizontal="center"/>
      <protection locked="0"/>
    </xf>
    <xf numFmtId="0" fontId="21" fillId="12" borderId="316" xfId="0" applyFont="1" applyFill="1" applyBorder="1" applyAlignment="1" applyProtection="1">
      <alignment horizontal="center"/>
      <protection locked="0"/>
    </xf>
    <xf numFmtId="0" fontId="21" fillId="12" borderId="317" xfId="0" applyFont="1" applyFill="1" applyBorder="1" applyAlignment="1" applyProtection="1">
      <alignment horizontal="center"/>
      <protection locked="0"/>
    </xf>
    <xf numFmtId="0" fontId="21" fillId="12" borderId="318" xfId="0" applyFont="1" applyFill="1" applyBorder="1" applyAlignment="1" applyProtection="1">
      <alignment horizontal="center"/>
      <protection locked="0"/>
    </xf>
    <xf numFmtId="0" fontId="21" fillId="12" borderId="319" xfId="0" applyFont="1" applyFill="1" applyBorder="1" applyAlignment="1" applyProtection="1">
      <alignment horizontal="center"/>
      <protection locked="0"/>
    </xf>
    <xf numFmtId="0" fontId="6" fillId="0" borderId="0" xfId="0" applyFont="1" applyProtection="1">
      <protection locked="0"/>
    </xf>
    <xf numFmtId="0" fontId="9" fillId="0" borderId="256" xfId="0" applyFont="1" applyBorder="1"/>
    <xf numFmtId="0" fontId="9" fillId="0" borderId="256" xfId="0" applyFont="1" applyBorder="1" applyAlignment="1">
      <alignment horizontal="center"/>
    </xf>
    <xf numFmtId="0" fontId="42" fillId="2" borderId="298" xfId="0" applyFont="1" applyFill="1" applyBorder="1" applyProtection="1">
      <protection locked="0"/>
    </xf>
    <xf numFmtId="0" fontId="43" fillId="0" borderId="298" xfId="0" applyFont="1" applyBorder="1" applyAlignment="1" applyProtection="1">
      <alignment horizontal="center"/>
      <protection locked="0"/>
    </xf>
    <xf numFmtId="0" fontId="44" fillId="0" borderId="293" xfId="0" applyFont="1" applyBorder="1" applyAlignment="1" applyProtection="1">
      <alignment horizontal="center" vertical="center"/>
      <protection locked="0"/>
    </xf>
    <xf numFmtId="165" fontId="1" fillId="6" borderId="220" xfId="0" applyNumberFormat="1" applyFont="1" applyFill="1" applyBorder="1" applyAlignment="1">
      <alignment horizontal="center"/>
    </xf>
    <xf numFmtId="164" fontId="1" fillId="2" borderId="308" xfId="0" applyNumberFormat="1" applyFont="1" applyFill="1" applyBorder="1" applyAlignment="1">
      <alignment horizontal="center"/>
    </xf>
    <xf numFmtId="164" fontId="1" fillId="2" borderId="309" xfId="0" applyNumberFormat="1" applyFont="1" applyFill="1" applyBorder="1" applyAlignment="1">
      <alignment horizontal="center"/>
    </xf>
    <xf numFmtId="164" fontId="1" fillId="2" borderId="228" xfId="0" applyNumberFormat="1" applyFont="1" applyFill="1" applyBorder="1" applyAlignment="1">
      <alignment horizontal="center"/>
    </xf>
    <xf numFmtId="164" fontId="1" fillId="2" borderId="305" xfId="0" applyNumberFormat="1" applyFont="1" applyFill="1" applyBorder="1" applyAlignment="1">
      <alignment horizontal="center"/>
    </xf>
    <xf numFmtId="0" fontId="21" fillId="0" borderId="13" xfId="0" applyFont="1" applyBorder="1"/>
    <xf numFmtId="0" fontId="21" fillId="0" borderId="3" xfId="0" applyFont="1" applyBorder="1"/>
    <xf numFmtId="0" fontId="21" fillId="3" borderId="23" xfId="0" applyFont="1" applyFill="1" applyBorder="1"/>
    <xf numFmtId="0" fontId="21" fillId="3" borderId="14" xfId="0" applyFont="1" applyFill="1" applyBorder="1"/>
    <xf numFmtId="0" fontId="21" fillId="3" borderId="84" xfId="0" applyFont="1" applyFill="1" applyBorder="1"/>
    <xf numFmtId="0" fontId="21" fillId="3" borderId="85" xfId="0" applyFont="1" applyFill="1" applyBorder="1"/>
    <xf numFmtId="0" fontId="22" fillId="0" borderId="0" xfId="0" applyFont="1" applyAlignment="1">
      <alignment horizontal="left"/>
    </xf>
    <xf numFmtId="0" fontId="21" fillId="0" borderId="29" xfId="0" applyFont="1" applyBorder="1"/>
    <xf numFmtId="0" fontId="22" fillId="2" borderId="0" xfId="0" applyFont="1" applyFill="1" applyAlignment="1">
      <alignment horizontal="left"/>
    </xf>
    <xf numFmtId="0" fontId="21" fillId="0" borderId="14" xfId="0" applyFont="1" applyBorder="1"/>
    <xf numFmtId="0" fontId="21" fillId="0" borderId="11" xfId="0" applyFont="1" applyBorder="1"/>
    <xf numFmtId="0" fontId="21" fillId="0" borderId="18" xfId="0" applyFont="1" applyBorder="1"/>
    <xf numFmtId="0" fontId="21" fillId="0" borderId="20" xfId="0" applyFont="1" applyBorder="1"/>
    <xf numFmtId="0" fontId="22" fillId="0" borderId="15" xfId="0" applyFont="1" applyBorder="1"/>
    <xf numFmtId="0" fontId="22"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F6" sqref="F6"/>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1258</v>
      </c>
      <c r="T1" s="156"/>
    </row>
    <row r="2" spans="1:20" ht="17" thickBot="1">
      <c r="A2" s="21">
        <v>1</v>
      </c>
      <c r="C2" s="21"/>
      <c r="D2" s="60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3" t="s">
        <v>1160</v>
      </c>
      <c r="E3" s="606"/>
      <c r="F3" s="462"/>
      <c r="G3" s="462"/>
      <c r="H3" s="462"/>
      <c r="I3" s="462"/>
      <c r="J3" s="462"/>
      <c r="K3" s="462"/>
      <c r="L3" s="462"/>
      <c r="M3" s="474"/>
      <c r="N3" s="462"/>
      <c r="O3" s="462"/>
      <c r="P3" s="462"/>
      <c r="Q3" s="158"/>
      <c r="R3" s="21"/>
    </row>
    <row r="4" spans="1:20" ht="17" thickBot="1">
      <c r="A4" s="21">
        <v>3</v>
      </c>
      <c r="C4" s="7"/>
      <c r="D4" s="614" t="s">
        <v>1159</v>
      </c>
      <c r="E4" s="473" t="s">
        <v>2073</v>
      </c>
      <c r="F4" s="619"/>
      <c r="G4" s="619"/>
      <c r="H4" s="619"/>
      <c r="I4" s="619"/>
      <c r="J4" s="619"/>
      <c r="K4" s="621" t="s">
        <v>2074</v>
      </c>
      <c r="L4" s="619"/>
      <c r="M4" s="681" t="s">
        <v>46</v>
      </c>
      <c r="N4" s="619"/>
      <c r="O4" s="619"/>
      <c r="P4" s="619"/>
      <c r="Q4" s="682" t="s">
        <v>1159</v>
      </c>
      <c r="R4" s="7"/>
      <c r="S4" s="618" t="s">
        <v>1159</v>
      </c>
      <c r="T4" s="160"/>
    </row>
    <row r="5" spans="1:20" ht="17" thickTop="1">
      <c r="A5" s="21">
        <v>4</v>
      </c>
      <c r="C5" s="161">
        <v>47</v>
      </c>
      <c r="D5" s="608"/>
      <c r="E5" s="236"/>
      <c r="F5" s="237"/>
      <c r="G5" s="238"/>
      <c r="H5" s="239"/>
      <c r="I5" s="240"/>
      <c r="J5" s="238"/>
      <c r="K5" s="238"/>
      <c r="L5" s="239"/>
      <c r="M5" s="620"/>
      <c r="N5" s="238"/>
      <c r="O5" s="238"/>
      <c r="P5" s="241"/>
      <c r="Q5" s="617"/>
      <c r="R5" s="162">
        <v>55</v>
      </c>
      <c r="S5" s="612"/>
      <c r="T5" s="163">
        <v>63</v>
      </c>
    </row>
    <row r="6" spans="1:20">
      <c r="A6" s="21">
        <v>5</v>
      </c>
      <c r="C6" s="161">
        <v>48</v>
      </c>
      <c r="D6" s="476"/>
      <c r="E6" s="242"/>
      <c r="F6" s="243"/>
      <c r="G6" s="243"/>
      <c r="H6" s="244"/>
      <c r="I6" s="242"/>
      <c r="J6" s="243"/>
      <c r="K6" s="243"/>
      <c r="L6" s="244"/>
      <c r="M6" s="242"/>
      <c r="N6" s="243"/>
      <c r="O6" s="243"/>
      <c r="P6" s="245"/>
      <c r="Q6" s="234"/>
      <c r="R6" s="162">
        <v>56</v>
      </c>
      <c r="S6" s="235"/>
      <c r="T6" s="163">
        <v>64</v>
      </c>
    </row>
    <row r="7" spans="1:20">
      <c r="A7" s="21">
        <v>6</v>
      </c>
      <c r="C7" s="161">
        <v>49</v>
      </c>
      <c r="D7" s="475"/>
      <c r="E7" s="246"/>
      <c r="F7" s="247"/>
      <c r="G7" s="247"/>
      <c r="H7" s="247"/>
      <c r="I7" s="247"/>
      <c r="J7" s="247"/>
      <c r="K7" s="247"/>
      <c r="L7" s="247"/>
      <c r="M7" s="247"/>
      <c r="N7" s="247"/>
      <c r="O7" s="247"/>
      <c r="P7" s="248"/>
      <c r="Q7" s="107"/>
      <c r="R7" s="162">
        <v>57</v>
      </c>
      <c r="S7" s="235"/>
      <c r="T7" s="163">
        <v>65</v>
      </c>
    </row>
    <row r="8" spans="1:20">
      <c r="A8" s="21">
        <v>7</v>
      </c>
      <c r="C8" s="161">
        <v>50</v>
      </c>
      <c r="D8" s="476"/>
      <c r="E8" s="242"/>
      <c r="F8" s="249"/>
      <c r="G8" s="242"/>
      <c r="H8" s="249"/>
      <c r="I8" s="242"/>
      <c r="J8" s="249"/>
      <c r="K8" s="242"/>
      <c r="L8" s="249"/>
      <c r="M8" s="242"/>
      <c r="N8" s="250"/>
      <c r="O8" s="242"/>
      <c r="P8" s="251"/>
      <c r="Q8" s="107"/>
      <c r="R8" s="162">
        <v>58</v>
      </c>
      <c r="S8" s="235"/>
      <c r="T8" s="163">
        <v>66</v>
      </c>
    </row>
    <row r="9" spans="1:20">
      <c r="A9" s="21">
        <v>8</v>
      </c>
      <c r="C9" s="161">
        <v>51</v>
      </c>
      <c r="D9" s="475"/>
      <c r="E9" s="246"/>
      <c r="F9" s="247"/>
      <c r="G9" s="246"/>
      <c r="H9" s="247"/>
      <c r="I9" s="246"/>
      <c r="J9" s="247"/>
      <c r="K9" s="246"/>
      <c r="L9" s="247"/>
      <c r="M9" s="246"/>
      <c r="N9" s="250"/>
      <c r="O9" s="246"/>
      <c r="P9" s="252"/>
      <c r="Q9" s="107"/>
      <c r="R9" s="162">
        <v>59</v>
      </c>
      <c r="S9" s="235"/>
      <c r="T9" s="163">
        <v>67</v>
      </c>
    </row>
    <row r="10" spans="1:20">
      <c r="A10" s="21">
        <v>9</v>
      </c>
      <c r="C10" s="161">
        <v>52</v>
      </c>
      <c r="D10" s="476"/>
      <c r="E10" s="242"/>
      <c r="F10" s="243"/>
      <c r="G10" s="243"/>
      <c r="H10" s="243"/>
      <c r="I10" s="243"/>
      <c r="J10" s="243"/>
      <c r="K10" s="243"/>
      <c r="L10" s="243"/>
      <c r="M10" s="243"/>
      <c r="N10" s="250"/>
      <c r="O10" s="243"/>
      <c r="P10" s="245"/>
      <c r="Q10" s="107"/>
      <c r="R10" s="162">
        <v>60</v>
      </c>
      <c r="S10" s="235"/>
      <c r="T10" s="163">
        <v>68</v>
      </c>
    </row>
    <row r="11" spans="1:20">
      <c r="A11" s="21">
        <v>10</v>
      </c>
      <c r="C11" s="161">
        <v>53</v>
      </c>
      <c r="D11" s="475"/>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10"/>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683" t="s">
        <v>1160</v>
      </c>
      <c r="E13" s="609"/>
      <c r="F13" s="472"/>
      <c r="G13" s="472"/>
      <c r="H13" s="472"/>
      <c r="I13" s="472"/>
      <c r="J13" s="472"/>
      <c r="K13" s="472"/>
      <c r="L13" s="472"/>
      <c r="M13" s="472"/>
      <c r="N13" s="472"/>
      <c r="O13" s="472"/>
      <c r="P13" s="472"/>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5" t="s">
        <v>1160</v>
      </c>
      <c r="E15" s="616"/>
      <c r="F15" s="505"/>
      <c r="G15" s="505"/>
      <c r="H15" s="505"/>
      <c r="I15" s="505"/>
      <c r="J15" s="505"/>
      <c r="K15" s="505"/>
      <c r="L15" s="505"/>
      <c r="M15" s="505"/>
      <c r="N15" s="505"/>
      <c r="O15" s="505"/>
      <c r="P15" s="505"/>
      <c r="Q15" s="21"/>
      <c r="R15" s="21"/>
    </row>
    <row r="16" spans="1:20">
      <c r="A16" s="21">
        <v>15</v>
      </c>
      <c r="C16" s="21"/>
      <c r="D16" s="611"/>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1148</v>
      </c>
      <c r="E18" s="21"/>
      <c r="F18" s="21"/>
      <c r="G18" s="21"/>
      <c r="H18" s="695" t="s">
        <v>49</v>
      </c>
      <c r="I18" s="695"/>
      <c r="J18" s="695"/>
      <c r="K18" s="21"/>
      <c r="L18" s="697" t="s">
        <v>14</v>
      </c>
      <c r="M18" s="697"/>
      <c r="N18" s="697"/>
      <c r="O18" s="697"/>
      <c r="P18" s="697"/>
      <c r="Q18" s="697"/>
      <c r="R18" s="20" t="s">
        <v>1147</v>
      </c>
      <c r="S18" s="167"/>
    </row>
    <row r="19" spans="1:19" ht="17" thickBot="1">
      <c r="A19" s="21">
        <v>18</v>
      </c>
      <c r="C19" s="168"/>
      <c r="D19" s="700" t="s">
        <v>490</v>
      </c>
      <c r="E19" s="701"/>
      <c r="F19" s="170">
        <f>J33</f>
        <v>100</v>
      </c>
      <c r="G19" s="171"/>
      <c r="H19" s="172" t="s">
        <v>1149</v>
      </c>
      <c r="I19" s="169"/>
      <c r="J19" s="373"/>
      <c r="K19" s="21"/>
      <c r="L19" s="173" t="s">
        <v>15</v>
      </c>
      <c r="M19" s="174" t="s">
        <v>0</v>
      </c>
      <c r="N19" s="175" t="s">
        <v>1007</v>
      </c>
      <c r="O19" s="176" t="s">
        <v>946</v>
      </c>
      <c r="P19" s="177" t="s">
        <v>17</v>
      </c>
      <c r="Q19" s="178" t="s">
        <v>1033</v>
      </c>
      <c r="R19" s="179" t="s">
        <v>20</v>
      </c>
      <c r="S19" s="180" t="s">
        <v>501</v>
      </c>
    </row>
    <row r="20" spans="1:19">
      <c r="A20" s="21">
        <v>19</v>
      </c>
      <c r="C20" s="168"/>
      <c r="D20" s="689" t="s">
        <v>491</v>
      </c>
      <c r="E20" s="690"/>
      <c r="F20" s="93">
        <v>300</v>
      </c>
      <c r="G20" s="171"/>
      <c r="H20" s="411" t="s">
        <v>1849</v>
      </c>
      <c r="I20" s="11"/>
      <c r="J20" s="374"/>
      <c r="K20" s="168"/>
      <c r="L20" s="382" t="s">
        <v>23</v>
      </c>
      <c r="M20" s="387"/>
      <c r="N20" s="388"/>
      <c r="O20" s="389"/>
      <c r="P20" s="383"/>
      <c r="Q20" s="183">
        <f>P20*$F$27</f>
        <v>0</v>
      </c>
      <c r="R20" s="3"/>
      <c r="S20" s="363"/>
    </row>
    <row r="21" spans="1:19">
      <c r="A21" s="21">
        <v>20</v>
      </c>
      <c r="C21" s="168"/>
      <c r="D21" s="698" t="s">
        <v>492</v>
      </c>
      <c r="E21" s="699"/>
      <c r="F21" s="94">
        <v>25</v>
      </c>
      <c r="G21" s="171"/>
      <c r="H21" s="184" t="s">
        <v>947</v>
      </c>
      <c r="I21" s="11"/>
      <c r="J21" s="92"/>
      <c r="K21" s="168"/>
      <c r="L21" s="511">
        <v>1</v>
      </c>
      <c r="M21" s="522"/>
      <c r="N21" s="529"/>
      <c r="O21" s="103"/>
      <c r="P21" s="104"/>
      <c r="Q21" s="183">
        <f t="shared" ref="Q21:Q30" si="0">P21*$F$27</f>
        <v>0</v>
      </c>
      <c r="R21" s="48" t="e">
        <f>SLOPE('Calibration Curves'!$C$2:$C$16,'Calibration Curves'!$D$2:$D$16)</f>
        <v>#DIV/0!</v>
      </c>
      <c r="S21" s="49" t="e">
        <f>RSQ('Calibration Curves'!$C$2:$C$16,'Calibration Curves'!$D$2:$D$16)</f>
        <v>#DIV/0!</v>
      </c>
    </row>
    <row r="22" spans="1:19">
      <c r="A22" s="21">
        <v>21</v>
      </c>
      <c r="C22" s="168"/>
      <c r="D22" s="696" t="s">
        <v>493</v>
      </c>
      <c r="E22" s="690"/>
      <c r="F22" s="95">
        <v>500</v>
      </c>
      <c r="G22" s="171"/>
      <c r="H22" s="185" t="s">
        <v>948</v>
      </c>
      <c r="I22" s="186"/>
      <c r="J22" s="93"/>
      <c r="K22" s="168"/>
      <c r="L22" s="362">
        <v>2</v>
      </c>
      <c r="M22" s="522"/>
      <c r="N22" s="529"/>
      <c r="O22" s="103"/>
      <c r="P22" s="104"/>
      <c r="Q22" s="183">
        <f t="shared" si="0"/>
        <v>0</v>
      </c>
      <c r="R22" s="48" t="e">
        <f>SLOPE('Calibration Curves'!$C$32:$C$46,'Calibration Curves'!$D$32:$D$46)</f>
        <v>#DIV/0!</v>
      </c>
      <c r="S22" s="49" t="e">
        <f>RSQ('Calibration Curves'!$C$32:$C$46,'Calibration Curves'!$D$32:$D$46)</f>
        <v>#DIV/0!</v>
      </c>
    </row>
    <row r="23" spans="1:19">
      <c r="A23" s="21">
        <v>22</v>
      </c>
      <c r="C23" s="168"/>
      <c r="D23" s="691" t="s">
        <v>494</v>
      </c>
      <c r="E23" s="692"/>
      <c r="F23" s="105">
        <v>0</v>
      </c>
      <c r="G23" s="24"/>
      <c r="H23" s="187" t="s">
        <v>52</v>
      </c>
      <c r="I23" s="188"/>
      <c r="J23" s="93"/>
      <c r="K23" s="168"/>
      <c r="L23" s="362">
        <v>3</v>
      </c>
      <c r="M23" s="522"/>
      <c r="N23" s="529"/>
      <c r="O23" s="103"/>
      <c r="P23" s="104"/>
      <c r="Q23" s="183">
        <f t="shared" si="0"/>
        <v>0</v>
      </c>
      <c r="R23" s="48" t="e">
        <f>SLOPE('Calibration Curves'!$C$62:$C$76,'Calibration Curves'!$D$62:$D$76)</f>
        <v>#DIV/0!</v>
      </c>
      <c r="S23" s="49" t="e">
        <f>RSQ('Calibration Curves'!$C$62:$C$76,'Calibration Curves'!$D$62:$D$76)</f>
        <v>#DIV/0!</v>
      </c>
    </row>
    <row r="24" spans="1:19">
      <c r="A24" s="21">
        <v>23</v>
      </c>
      <c r="C24" s="24"/>
      <c r="D24" s="693" t="s">
        <v>495</v>
      </c>
      <c r="E24" s="694"/>
      <c r="F24" s="106">
        <v>0</v>
      </c>
      <c r="G24" s="24"/>
      <c r="H24" s="189" t="s">
        <v>479</v>
      </c>
      <c r="I24" s="190"/>
      <c r="J24" s="93"/>
      <c r="K24" s="191"/>
      <c r="L24" s="362">
        <v>4</v>
      </c>
      <c r="M24" s="522"/>
      <c r="N24" s="529"/>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698" t="s">
        <v>496</v>
      </c>
      <c r="E25" s="699"/>
      <c r="F25" s="96">
        <v>2</v>
      </c>
      <c r="G25" s="24"/>
      <c r="H25" s="189" t="s">
        <v>1030</v>
      </c>
      <c r="I25" s="11"/>
      <c r="J25" s="93" t="s">
        <v>1031</v>
      </c>
      <c r="K25" s="168"/>
      <c r="L25" s="362">
        <v>5</v>
      </c>
      <c r="M25" s="522"/>
      <c r="N25" s="529"/>
      <c r="O25" s="103"/>
      <c r="P25" s="104"/>
      <c r="Q25" s="183">
        <f t="shared" si="0"/>
        <v>0</v>
      </c>
      <c r="R25" s="48" t="e">
        <f>SLOPE('Calibration Curves'!$C$107:$C$121,'Calibration Curves'!$D$107:$D$121)</f>
        <v>#DIV/0!</v>
      </c>
      <c r="S25" s="49" t="e">
        <f>RSQ('Calibration Curves'!$C$107:$C$121,'Calibration Curves'!$D$107:$D$121)</f>
        <v>#DIV/0!</v>
      </c>
    </row>
    <row r="26" spans="1:19">
      <c r="A26" s="21">
        <v>25</v>
      </c>
      <c r="C26" s="24"/>
      <c r="D26" s="689" t="s">
        <v>497</v>
      </c>
      <c r="E26" s="690"/>
      <c r="F26" s="97">
        <v>2</v>
      </c>
      <c r="G26" s="191"/>
      <c r="H26" s="192" t="s">
        <v>1042</v>
      </c>
      <c r="I26" s="7"/>
      <c r="J26" s="98"/>
      <c r="K26" s="168"/>
      <c r="L26" s="362">
        <v>6</v>
      </c>
      <c r="M26" s="522"/>
      <c r="N26" s="529"/>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1064</v>
      </c>
      <c r="I27" s="11"/>
      <c r="J27" s="96" t="s">
        <v>1067</v>
      </c>
      <c r="K27" s="168"/>
      <c r="L27" s="17">
        <v>7</v>
      </c>
      <c r="M27" s="522"/>
      <c r="N27" s="529"/>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1065</v>
      </c>
      <c r="I28" s="197"/>
      <c r="J28" s="99"/>
      <c r="K28" s="168"/>
      <c r="L28" s="17">
        <v>8</v>
      </c>
      <c r="M28" s="522"/>
      <c r="N28" s="529"/>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1028</v>
      </c>
      <c r="I29" s="4"/>
      <c r="J29" s="93"/>
      <c r="K29" s="168"/>
      <c r="L29" s="17">
        <v>9</v>
      </c>
      <c r="M29" s="522"/>
      <c r="N29" s="529"/>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1029</v>
      </c>
      <c r="J30" s="100" t="b">
        <v>1</v>
      </c>
      <c r="K30" s="171"/>
      <c r="L30" s="514">
        <v>10</v>
      </c>
      <c r="M30" s="523"/>
      <c r="N30" s="530"/>
      <c r="O30" s="515"/>
      <c r="P30" s="516"/>
      <c r="Q30" s="517">
        <f t="shared" si="0"/>
        <v>0</v>
      </c>
      <c r="R30" s="518" t="e">
        <f>SLOPE('Calibration Curves'!$C$182:$C$196,'Calibration Curves'!$D$182:$D$196)</f>
        <v>#DIV/0!</v>
      </c>
      <c r="S30" s="519" t="e">
        <f>RSQ('Calibration Curves'!$C$182:$C$196,'Calibration Curves'!$D$182:$D$196)</f>
        <v>#DIV/0!</v>
      </c>
    </row>
    <row r="31" spans="1:19">
      <c r="A31" s="21">
        <v>30</v>
      </c>
      <c r="C31" s="21"/>
      <c r="D31" s="201"/>
      <c r="E31" s="21"/>
      <c r="F31" s="21"/>
      <c r="G31" s="168"/>
      <c r="H31" s="361" t="s">
        <v>2080</v>
      </c>
      <c r="I31" s="169"/>
      <c r="J31" s="101">
        <v>10</v>
      </c>
      <c r="K31" s="21"/>
      <c r="L31" s="22"/>
      <c r="M31" s="513"/>
      <c r="N31" s="513"/>
      <c r="O31" s="46"/>
      <c r="P31" s="46"/>
      <c r="Q31" s="390"/>
      <c r="R31" s="44"/>
      <c r="S31" s="44"/>
    </row>
    <row r="32" spans="1:19" ht="17" thickBot="1">
      <c r="A32" s="21">
        <v>31</v>
      </c>
      <c r="C32" s="21"/>
      <c r="D32" s="201"/>
      <c r="E32" s="21"/>
      <c r="F32" s="21"/>
      <c r="G32" s="168"/>
      <c r="H32" s="1" t="str">
        <f>IF(H31="Preplated loading (mol%):", "Reaction scale (µmol):", "Preplated ligand loading (mol%):")</f>
        <v>Preplated ligand loading (mol%):</v>
      </c>
      <c r="J32" s="202">
        <f>J34/J31*100</f>
        <v>10</v>
      </c>
      <c r="K32" s="21"/>
      <c r="L32" s="22"/>
      <c r="M32" s="513"/>
      <c r="N32" s="513"/>
      <c r="O32" s="46"/>
      <c r="P32" s="46"/>
      <c r="Q32" s="390"/>
      <c r="R32" s="44"/>
      <c r="S32" s="44"/>
    </row>
    <row r="33" spans="1:20" ht="17" thickBot="1">
      <c r="A33" s="21">
        <v>32</v>
      </c>
      <c r="C33" s="21"/>
      <c r="D33" s="21"/>
      <c r="E33" s="21"/>
      <c r="F33" s="21"/>
      <c r="G33" s="21"/>
      <c r="H33" s="203" t="s">
        <v>1032</v>
      </c>
      <c r="I33" s="204"/>
      <c r="J33" s="102">
        <v>100</v>
      </c>
      <c r="K33" s="21"/>
      <c r="L33" s="22"/>
      <c r="M33" s="513"/>
      <c r="N33" s="513"/>
      <c r="O33" s="46"/>
      <c r="P33" s="46"/>
      <c r="Q33" s="390"/>
      <c r="R33" s="44"/>
      <c r="S33" s="44"/>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qKc5Ahl18X1qqbpW9PcXpYN+4XmX9tjT6YILP9PNdlOYdZHwnCKlFgliT+xTmDAF/NCh1d+tZdKKOxu1qtr1vQ==" saltValue="MzquUHQdWWjeH1nICnHRZQ==" spinCount="100000" sheet="1" objects="1" scenarios="1"/>
  <mergeCells count="10">
    <mergeCell ref="L18:Q18"/>
    <mergeCell ref="D25:E25"/>
    <mergeCell ref="D19:E19"/>
    <mergeCell ref="D20:E20"/>
    <mergeCell ref="D21:E21"/>
    <mergeCell ref="D26:E26"/>
    <mergeCell ref="D23:E23"/>
    <mergeCell ref="D24:E24"/>
    <mergeCell ref="H18:J18"/>
    <mergeCell ref="D22:E22"/>
  </mergeCells>
  <phoneticPr fontId="20"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G3" sqref="G3"/>
    </sheetView>
  </sheetViews>
  <sheetFormatPr baseColWidth="10" defaultRowHeight="16"/>
  <cols>
    <col min="1" max="1" width="11.6640625" style="479" customWidth="1"/>
    <col min="2" max="2" width="17" style="477" customWidth="1"/>
    <col min="3" max="3" width="16" style="477" customWidth="1"/>
    <col min="4" max="4" width="14.6640625" style="477" hidden="1" customWidth="1"/>
    <col min="5" max="5" width="8.33203125" style="477" customWidth="1"/>
    <col min="6" max="6" width="10.83203125" style="479"/>
    <col min="7" max="7" width="15.83203125" style="479" customWidth="1"/>
    <col min="8" max="8" width="15.1640625" style="479" customWidth="1"/>
    <col min="9" max="9" width="22.6640625" style="479" customWidth="1"/>
    <col min="10" max="10" width="22.5" style="479" hidden="1" customWidth="1"/>
    <col min="11" max="11" width="21.33203125" style="479" hidden="1" customWidth="1"/>
    <col min="12" max="12" width="16.1640625" style="479" customWidth="1"/>
    <col min="13" max="13" width="18" style="477" customWidth="1"/>
    <col min="14" max="14" width="24.6640625" style="626" customWidth="1"/>
    <col min="15" max="15" width="17.1640625" style="626" customWidth="1"/>
    <col min="16" max="16" width="20.83203125" style="479" customWidth="1"/>
    <col min="17" max="17" width="18" style="626" customWidth="1"/>
    <col min="18" max="18" width="18.33203125" style="477" customWidth="1"/>
    <col min="19" max="19" width="21.1640625" style="477" customWidth="1"/>
    <col min="20" max="20" width="9.6640625" style="477" customWidth="1"/>
    <col min="21" max="16384" width="10.83203125" style="477"/>
  </cols>
  <sheetData>
    <row r="1" spans="1:19" s="20" customFormat="1">
      <c r="A1" s="645" t="s">
        <v>2075</v>
      </c>
      <c r="B1" s="649" t="s">
        <v>0</v>
      </c>
      <c r="C1" s="622" t="s">
        <v>1850</v>
      </c>
      <c r="D1" s="625" t="s">
        <v>1008</v>
      </c>
      <c r="E1" s="622" t="s">
        <v>1007</v>
      </c>
      <c r="F1" s="623" t="s">
        <v>1</v>
      </c>
      <c r="G1" s="623" t="s">
        <v>32</v>
      </c>
      <c r="H1" s="665" t="s">
        <v>4</v>
      </c>
      <c r="I1" s="650" t="s">
        <v>5</v>
      </c>
      <c r="J1" s="624" t="s">
        <v>33</v>
      </c>
      <c r="K1" s="633" t="s">
        <v>6</v>
      </c>
      <c r="L1" s="636" t="s">
        <v>1889</v>
      </c>
      <c r="M1" s="640" t="s">
        <v>1890</v>
      </c>
      <c r="N1" s="639" t="s">
        <v>1877</v>
      </c>
      <c r="O1" s="627" t="s">
        <v>2076</v>
      </c>
      <c r="P1" s="645" t="s">
        <v>2077</v>
      </c>
      <c r="Q1" s="648" t="s">
        <v>1852</v>
      </c>
      <c r="R1" s="644" t="s">
        <v>2078</v>
      </c>
      <c r="S1" s="643" t="s">
        <v>1878</v>
      </c>
    </row>
    <row r="2" spans="1:19">
      <c r="A2" s="646">
        <v>1</v>
      </c>
      <c r="B2" s="653"/>
      <c r="C2" s="499"/>
      <c r="D2" s="654" t="str">
        <f>VLOOKUP(3,'Plate Planning'!$A$1:$S$35,13,FALSE)</f>
        <v>substrate_1</v>
      </c>
      <c r="E2" s="499"/>
      <c r="F2" s="482"/>
      <c r="G2" s="482"/>
      <c r="H2" s="655"/>
      <c r="I2" s="651">
        <f>G2*LOOKUP("Reaction scale (µmol):",'Plate Planning'!$H$31:$H$32,'Plate Planning'!$J$31:$J$32)/100</f>
        <v>0</v>
      </c>
      <c r="J2" s="631" t="str">
        <f t="shared" ref="J2:J33" si="0">IF(I2=0, "",I2*F2/1000)</f>
        <v/>
      </c>
      <c r="K2" s="634" t="str">
        <f>IFERROR(IF(H2=0, J2/H2, I2/#REF!), "")</f>
        <v/>
      </c>
      <c r="L2" s="637" t="s">
        <v>1891</v>
      </c>
      <c r="M2" s="641"/>
      <c r="N2" s="661"/>
      <c r="O2" s="482"/>
      <c r="P2" s="687">
        <f t="shared" ref="P2:P33" si="1">O2*I2*F2/1000*2</f>
        <v>0</v>
      </c>
      <c r="Q2" s="663"/>
      <c r="R2" s="684" t="str">
        <f>IFERROR(IF(H2=0,Q2/F2/N2-Q2/1000,Q2/F2/N2-Q2/1000/H2), "")</f>
        <v/>
      </c>
      <c r="S2" s="685" t="str">
        <f t="shared" ref="S2:S33" si="2">IFERROR(I2/N2, "")</f>
        <v/>
      </c>
    </row>
    <row r="3" spans="1:19">
      <c r="A3" s="646">
        <v>2</v>
      </c>
      <c r="B3" s="653"/>
      <c r="C3" s="499"/>
      <c r="D3" s="654" t="str">
        <f>VLOOKUP(3,'Plate Planning'!$A$1:$S$35,13,FALSE)</f>
        <v>substrate_1</v>
      </c>
      <c r="E3" s="499"/>
      <c r="F3" s="482"/>
      <c r="G3" s="482"/>
      <c r="H3" s="655"/>
      <c r="I3" s="651">
        <f>G3*LOOKUP("Reaction scale (µmol):",'Plate Planning'!$H$31:$H$32,'Plate Planning'!$J$31:$J$32)/100</f>
        <v>0</v>
      </c>
      <c r="J3" s="631" t="str">
        <f t="shared" si="0"/>
        <v/>
      </c>
      <c r="K3" s="634" t="str">
        <f>IFERROR(IF(#REF!=0, J3/H3, I3/#REF!), "")</f>
        <v/>
      </c>
      <c r="L3" s="637" t="s">
        <v>1891</v>
      </c>
      <c r="M3" s="641"/>
      <c r="N3" s="661"/>
      <c r="O3" s="482"/>
      <c r="P3" s="687">
        <f t="shared" si="1"/>
        <v>0</v>
      </c>
      <c r="Q3" s="663"/>
      <c r="R3" s="684" t="str">
        <f t="shared" ref="R3:R66" si="3">IFERROR(IF(H3=0,Q3/F3/N3-Q3/1000,Q3/F3/N3-Q3/1000/H3), "")</f>
        <v/>
      </c>
      <c r="S3" s="685" t="str">
        <f t="shared" si="2"/>
        <v/>
      </c>
    </row>
    <row r="4" spans="1:19">
      <c r="A4" s="646">
        <v>3</v>
      </c>
      <c r="B4" s="653"/>
      <c r="C4" s="499"/>
      <c r="D4" s="654" t="str">
        <f>VLOOKUP(3,'Plate Planning'!$A$1:$S$35,13,FALSE)</f>
        <v>substrate_1</v>
      </c>
      <c r="E4" s="499"/>
      <c r="F4" s="482"/>
      <c r="G4" s="482"/>
      <c r="H4" s="655"/>
      <c r="I4" s="651">
        <f>G4*LOOKUP("Reaction scale (µmol):",'Plate Planning'!$H$31:$H$32,'Plate Planning'!$J$31:$J$32)/100</f>
        <v>0</v>
      </c>
      <c r="J4" s="631" t="str">
        <f t="shared" si="0"/>
        <v/>
      </c>
      <c r="K4" s="634" t="str">
        <f>IFERROR(IF(#REF!=0, J4/H4, I4/#REF!), "")</f>
        <v/>
      </c>
      <c r="L4" s="637" t="s">
        <v>1891</v>
      </c>
      <c r="M4" s="641"/>
      <c r="N4" s="661"/>
      <c r="O4" s="482"/>
      <c r="P4" s="687">
        <f t="shared" si="1"/>
        <v>0</v>
      </c>
      <c r="Q4" s="663"/>
      <c r="R4" s="684" t="str">
        <f t="shared" si="3"/>
        <v/>
      </c>
      <c r="S4" s="685" t="str">
        <f t="shared" si="2"/>
        <v/>
      </c>
    </row>
    <row r="5" spans="1:19">
      <c r="A5" s="646">
        <v>4</v>
      </c>
      <c r="B5" s="653"/>
      <c r="C5" s="499"/>
      <c r="D5" s="654" t="str">
        <f>VLOOKUP(3,'Plate Planning'!$A$1:$S$35,13,FALSE)</f>
        <v>substrate_1</v>
      </c>
      <c r="E5" s="499"/>
      <c r="F5" s="482"/>
      <c r="G5" s="482"/>
      <c r="H5" s="655"/>
      <c r="I5" s="651">
        <f>G5*LOOKUP("Reaction scale (µmol):",'Plate Planning'!$H$31:$H$32,'Plate Planning'!$J$31:$J$32)/100</f>
        <v>0</v>
      </c>
      <c r="J5" s="631" t="str">
        <f t="shared" si="0"/>
        <v/>
      </c>
      <c r="K5" s="634" t="str">
        <f>IFERROR(IF(#REF!=0, J5/H5, I5/#REF!), "")</f>
        <v/>
      </c>
      <c r="L5" s="637" t="s">
        <v>1891</v>
      </c>
      <c r="M5" s="641"/>
      <c r="N5" s="661"/>
      <c r="O5" s="482"/>
      <c r="P5" s="687">
        <f t="shared" si="1"/>
        <v>0</v>
      </c>
      <c r="Q5" s="663"/>
      <c r="R5" s="684" t="str">
        <f t="shared" si="3"/>
        <v/>
      </c>
      <c r="S5" s="685" t="str">
        <f t="shared" si="2"/>
        <v/>
      </c>
    </row>
    <row r="6" spans="1:19">
      <c r="A6" s="646">
        <v>5</v>
      </c>
      <c r="B6" s="653"/>
      <c r="C6" s="499"/>
      <c r="D6" s="654" t="str">
        <f>VLOOKUP(3,'Plate Planning'!$A$1:$S$35,13,FALSE)</f>
        <v>substrate_1</v>
      </c>
      <c r="E6" s="499"/>
      <c r="F6" s="482"/>
      <c r="G6" s="482"/>
      <c r="H6" s="655"/>
      <c r="I6" s="651">
        <f>G6*LOOKUP("Reaction scale (µmol):",'Plate Planning'!$H$31:$H$32,'Plate Planning'!$J$31:$J$32)/100</f>
        <v>0</v>
      </c>
      <c r="J6" s="631" t="str">
        <f t="shared" si="0"/>
        <v/>
      </c>
      <c r="K6" s="634" t="str">
        <f>IFERROR(IF(#REF!=0, J6/H6, I6/#REF!), "")</f>
        <v/>
      </c>
      <c r="L6" s="637" t="s">
        <v>1891</v>
      </c>
      <c r="M6" s="641"/>
      <c r="N6" s="661"/>
      <c r="O6" s="482"/>
      <c r="P6" s="687">
        <f t="shared" si="1"/>
        <v>0</v>
      </c>
      <c r="Q6" s="663"/>
      <c r="R6" s="684" t="str">
        <f t="shared" si="3"/>
        <v/>
      </c>
      <c r="S6" s="685" t="str">
        <f t="shared" si="2"/>
        <v/>
      </c>
    </row>
    <row r="7" spans="1:19">
      <c r="A7" s="646">
        <v>6</v>
      </c>
      <c r="B7" s="653"/>
      <c r="C7" s="499"/>
      <c r="D7" s="654" t="str">
        <f>VLOOKUP(3,'Plate Planning'!$A$1:$S$35,13,FALSE)</f>
        <v>substrate_1</v>
      </c>
      <c r="E7" s="499"/>
      <c r="F7" s="482"/>
      <c r="G7" s="482"/>
      <c r="H7" s="655"/>
      <c r="I7" s="651">
        <f>G7*LOOKUP("Reaction scale (µmol):",'Plate Planning'!$H$31:$H$32,'Plate Planning'!$J$31:$J$32)/100</f>
        <v>0</v>
      </c>
      <c r="J7" s="631" t="str">
        <f t="shared" si="0"/>
        <v/>
      </c>
      <c r="K7" s="634" t="str">
        <f>IFERROR(IF(#REF!=0, J7/H7, I7/#REF!), "")</f>
        <v/>
      </c>
      <c r="L7" s="637" t="s">
        <v>1891</v>
      </c>
      <c r="M7" s="641"/>
      <c r="N7" s="661"/>
      <c r="O7" s="482"/>
      <c r="P7" s="687">
        <f t="shared" si="1"/>
        <v>0</v>
      </c>
      <c r="Q7" s="663"/>
      <c r="R7" s="684" t="str">
        <f t="shared" si="3"/>
        <v/>
      </c>
      <c r="S7" s="685" t="str">
        <f t="shared" si="2"/>
        <v/>
      </c>
    </row>
    <row r="8" spans="1:19">
      <c r="A8" s="646">
        <v>7</v>
      </c>
      <c r="B8" s="653"/>
      <c r="C8" s="499"/>
      <c r="D8" s="654" t="str">
        <f>VLOOKUP(3,'Plate Planning'!$A$1:$S$35,13,FALSE)</f>
        <v>substrate_1</v>
      </c>
      <c r="E8" s="499"/>
      <c r="F8" s="482"/>
      <c r="G8" s="482"/>
      <c r="H8" s="655"/>
      <c r="I8" s="651">
        <f>G8*LOOKUP("Reaction scale (µmol):",'Plate Planning'!$H$31:$H$32,'Plate Planning'!$J$31:$J$32)/100</f>
        <v>0</v>
      </c>
      <c r="J8" s="631" t="str">
        <f t="shared" si="0"/>
        <v/>
      </c>
      <c r="K8" s="634" t="str">
        <f>IFERROR(IF(#REF!=0, J8/H8, I8/#REF!), "")</f>
        <v/>
      </c>
      <c r="L8" s="637" t="s">
        <v>1891</v>
      </c>
      <c r="M8" s="641"/>
      <c r="N8" s="661"/>
      <c r="O8" s="482"/>
      <c r="P8" s="687">
        <f t="shared" si="1"/>
        <v>0</v>
      </c>
      <c r="Q8" s="663"/>
      <c r="R8" s="684" t="str">
        <f t="shared" si="3"/>
        <v/>
      </c>
      <c r="S8" s="685" t="str">
        <f t="shared" si="2"/>
        <v/>
      </c>
    </row>
    <row r="9" spans="1:19">
      <c r="A9" s="646">
        <v>8</v>
      </c>
      <c r="B9" s="653"/>
      <c r="C9" s="499"/>
      <c r="D9" s="654" t="str">
        <f>VLOOKUP(3,'Plate Planning'!$A$1:$S$35,13,FALSE)</f>
        <v>substrate_1</v>
      </c>
      <c r="E9" s="499"/>
      <c r="F9" s="482"/>
      <c r="G9" s="482"/>
      <c r="H9" s="655"/>
      <c r="I9" s="651">
        <f>G9*LOOKUP("Reaction scale (µmol):",'Plate Planning'!$H$31:$H$32,'Plate Planning'!$J$31:$J$32)/100</f>
        <v>0</v>
      </c>
      <c r="J9" s="631" t="str">
        <f t="shared" si="0"/>
        <v/>
      </c>
      <c r="K9" s="634" t="str">
        <f>IFERROR(IF(#REF!=0, J9/H9, I9/#REF!), "")</f>
        <v/>
      </c>
      <c r="L9" s="637" t="s">
        <v>1891</v>
      </c>
      <c r="M9" s="641"/>
      <c r="N9" s="661"/>
      <c r="O9" s="482"/>
      <c r="P9" s="687">
        <f t="shared" si="1"/>
        <v>0</v>
      </c>
      <c r="Q9" s="663"/>
      <c r="R9" s="684" t="str">
        <f t="shared" si="3"/>
        <v/>
      </c>
      <c r="S9" s="685" t="str">
        <f t="shared" si="2"/>
        <v/>
      </c>
    </row>
    <row r="10" spans="1:19">
      <c r="A10" s="646">
        <v>9</v>
      </c>
      <c r="B10" s="653"/>
      <c r="C10" s="499"/>
      <c r="D10" s="654" t="str">
        <f>VLOOKUP(3,'Plate Planning'!$A$1:$S$35,13,FALSE)</f>
        <v>substrate_1</v>
      </c>
      <c r="E10" s="499"/>
      <c r="F10" s="482"/>
      <c r="G10" s="482"/>
      <c r="H10" s="655"/>
      <c r="I10" s="651">
        <f>G10*LOOKUP("Reaction scale (µmol):",'Plate Planning'!$H$31:$H$32,'Plate Planning'!$J$31:$J$32)/100</f>
        <v>0</v>
      </c>
      <c r="J10" s="631" t="str">
        <f t="shared" si="0"/>
        <v/>
      </c>
      <c r="K10" s="634" t="str">
        <f>IFERROR(IF(#REF!=0, J10/H10, I10/#REF!), "")</f>
        <v/>
      </c>
      <c r="L10" s="637" t="s">
        <v>1891</v>
      </c>
      <c r="M10" s="641"/>
      <c r="N10" s="661"/>
      <c r="O10" s="482"/>
      <c r="P10" s="687">
        <f t="shared" si="1"/>
        <v>0</v>
      </c>
      <c r="Q10" s="663"/>
      <c r="R10" s="684" t="str">
        <f t="shared" si="3"/>
        <v/>
      </c>
      <c r="S10" s="685" t="str">
        <f t="shared" si="2"/>
        <v/>
      </c>
    </row>
    <row r="11" spans="1:19">
      <c r="A11" s="646">
        <v>10</v>
      </c>
      <c r="B11" s="653"/>
      <c r="C11" s="499"/>
      <c r="D11" s="654" t="str">
        <f>VLOOKUP(3,'Plate Planning'!$A$1:$S$35,13,FALSE)</f>
        <v>substrate_1</v>
      </c>
      <c r="E11" s="499"/>
      <c r="F11" s="482"/>
      <c r="G11" s="482"/>
      <c r="H11" s="655"/>
      <c r="I11" s="651">
        <f>G11*LOOKUP("Reaction scale (µmol):",'Plate Planning'!$H$31:$H$32,'Plate Planning'!$J$31:$J$32)/100</f>
        <v>0</v>
      </c>
      <c r="J11" s="631" t="str">
        <f t="shared" si="0"/>
        <v/>
      </c>
      <c r="K11" s="634" t="str">
        <f>IFERROR(IF(#REF!=0, J11/H11, I11/#REF!), "")</f>
        <v/>
      </c>
      <c r="L11" s="637" t="s">
        <v>1891</v>
      </c>
      <c r="M11" s="641"/>
      <c r="N11" s="661"/>
      <c r="O11" s="482"/>
      <c r="P11" s="687">
        <f t="shared" si="1"/>
        <v>0</v>
      </c>
      <c r="Q11" s="663"/>
      <c r="R11" s="684" t="str">
        <f t="shared" si="3"/>
        <v/>
      </c>
      <c r="S11" s="685" t="str">
        <f t="shared" si="2"/>
        <v/>
      </c>
    </row>
    <row r="12" spans="1:19">
      <c r="A12" s="646">
        <v>11</v>
      </c>
      <c r="B12" s="653"/>
      <c r="C12" s="499"/>
      <c r="D12" s="654" t="str">
        <f>VLOOKUP(3,'Plate Planning'!$A$1:$S$35,13,FALSE)</f>
        <v>substrate_1</v>
      </c>
      <c r="E12" s="499"/>
      <c r="F12" s="482"/>
      <c r="G12" s="482"/>
      <c r="H12" s="655"/>
      <c r="I12" s="651">
        <f>G12*LOOKUP("Reaction scale (µmol):",'Plate Planning'!$H$31:$H$32,'Plate Planning'!$J$31:$J$32)/100</f>
        <v>0</v>
      </c>
      <c r="J12" s="631" t="str">
        <f t="shared" si="0"/>
        <v/>
      </c>
      <c r="K12" s="634" t="str">
        <f>IFERROR(IF(#REF!=0, J12/H12, I12/#REF!), "")</f>
        <v/>
      </c>
      <c r="L12" s="637" t="s">
        <v>1891</v>
      </c>
      <c r="M12" s="641"/>
      <c r="N12" s="661"/>
      <c r="O12" s="482"/>
      <c r="P12" s="687">
        <f t="shared" si="1"/>
        <v>0</v>
      </c>
      <c r="Q12" s="663"/>
      <c r="R12" s="684" t="str">
        <f t="shared" si="3"/>
        <v/>
      </c>
      <c r="S12" s="685" t="str">
        <f t="shared" si="2"/>
        <v/>
      </c>
    </row>
    <row r="13" spans="1:19">
      <c r="A13" s="646">
        <v>12</v>
      </c>
      <c r="B13" s="653"/>
      <c r="C13" s="499"/>
      <c r="D13" s="654" t="str">
        <f>VLOOKUP(3,'Plate Planning'!$A$1:$S$35,13,FALSE)</f>
        <v>substrate_1</v>
      </c>
      <c r="E13" s="499"/>
      <c r="F13" s="482"/>
      <c r="G13" s="482"/>
      <c r="H13" s="655"/>
      <c r="I13" s="651">
        <f>G13*LOOKUP("Reaction scale (µmol):",'Plate Planning'!$H$31:$H$32,'Plate Planning'!$J$31:$J$32)/100</f>
        <v>0</v>
      </c>
      <c r="J13" s="631" t="str">
        <f t="shared" si="0"/>
        <v/>
      </c>
      <c r="K13" s="634" t="str">
        <f>IFERROR(IF(#REF!=0, J13/H13, I13/#REF!), "")</f>
        <v/>
      </c>
      <c r="L13" s="637" t="s">
        <v>1891</v>
      </c>
      <c r="M13" s="641"/>
      <c r="N13" s="661"/>
      <c r="O13" s="482"/>
      <c r="P13" s="687">
        <f t="shared" si="1"/>
        <v>0</v>
      </c>
      <c r="Q13" s="663"/>
      <c r="R13" s="684" t="str">
        <f t="shared" si="3"/>
        <v/>
      </c>
      <c r="S13" s="685" t="str">
        <f t="shared" si="2"/>
        <v/>
      </c>
    </row>
    <row r="14" spans="1:19">
      <c r="A14" s="646">
        <v>13</v>
      </c>
      <c r="B14" s="653"/>
      <c r="C14" s="499"/>
      <c r="D14" s="654" t="str">
        <f>VLOOKUP(3,'Plate Planning'!$A$1:$S$35,13,FALSE)</f>
        <v>substrate_1</v>
      </c>
      <c r="E14" s="499"/>
      <c r="F14" s="482"/>
      <c r="G14" s="482"/>
      <c r="H14" s="655"/>
      <c r="I14" s="651">
        <f>G14*LOOKUP("Reaction scale (µmol):",'Plate Planning'!$H$31:$H$32,'Plate Planning'!$J$31:$J$32)/100</f>
        <v>0</v>
      </c>
      <c r="J14" s="631" t="str">
        <f t="shared" si="0"/>
        <v/>
      </c>
      <c r="K14" s="634" t="str">
        <f>IFERROR(IF(#REF!=0, J14/H14, I14/#REF!), "")</f>
        <v/>
      </c>
      <c r="L14" s="637" t="s">
        <v>1891</v>
      </c>
      <c r="M14" s="641"/>
      <c r="N14" s="661"/>
      <c r="O14" s="482"/>
      <c r="P14" s="687">
        <f t="shared" si="1"/>
        <v>0</v>
      </c>
      <c r="Q14" s="663"/>
      <c r="R14" s="684" t="str">
        <f t="shared" si="3"/>
        <v/>
      </c>
      <c r="S14" s="685" t="str">
        <f t="shared" si="2"/>
        <v/>
      </c>
    </row>
    <row r="15" spans="1:19">
      <c r="A15" s="646">
        <v>14</v>
      </c>
      <c r="B15" s="653"/>
      <c r="C15" s="499"/>
      <c r="D15" s="654" t="str">
        <f>VLOOKUP(3,'Plate Planning'!$A$1:$S$35,13,FALSE)</f>
        <v>substrate_1</v>
      </c>
      <c r="E15" s="499"/>
      <c r="F15" s="482"/>
      <c r="G15" s="482"/>
      <c r="H15" s="655"/>
      <c r="I15" s="651">
        <f>G15*LOOKUP("Reaction scale (µmol):",'Plate Planning'!$H$31:$H$32,'Plate Planning'!$J$31:$J$32)/100</f>
        <v>0</v>
      </c>
      <c r="J15" s="631" t="str">
        <f t="shared" si="0"/>
        <v/>
      </c>
      <c r="K15" s="634" t="str">
        <f>IFERROR(IF(#REF!=0, J15/H15, I15/#REF!), "")</f>
        <v/>
      </c>
      <c r="L15" s="637" t="s">
        <v>1891</v>
      </c>
      <c r="M15" s="641"/>
      <c r="N15" s="661"/>
      <c r="O15" s="482"/>
      <c r="P15" s="687">
        <f t="shared" si="1"/>
        <v>0</v>
      </c>
      <c r="Q15" s="663"/>
      <c r="R15" s="684" t="str">
        <f t="shared" si="3"/>
        <v/>
      </c>
      <c r="S15" s="685" t="str">
        <f t="shared" si="2"/>
        <v/>
      </c>
    </row>
    <row r="16" spans="1:19">
      <c r="A16" s="646">
        <v>15</v>
      </c>
      <c r="B16" s="653"/>
      <c r="C16" s="499"/>
      <c r="D16" s="654" t="str">
        <f>VLOOKUP(3,'Plate Planning'!$A$1:$S$35,13,FALSE)</f>
        <v>substrate_1</v>
      </c>
      <c r="E16" s="499"/>
      <c r="F16" s="482"/>
      <c r="G16" s="482"/>
      <c r="H16" s="655"/>
      <c r="I16" s="651">
        <f>G16*LOOKUP("Reaction scale (µmol):",'Plate Planning'!$H$31:$H$32,'Plate Planning'!$J$31:$J$32)/100</f>
        <v>0</v>
      </c>
      <c r="J16" s="631" t="str">
        <f t="shared" si="0"/>
        <v/>
      </c>
      <c r="K16" s="634" t="str">
        <f>IFERROR(IF(#REF!=0, J16/H16, I16/#REF!), "")</f>
        <v/>
      </c>
      <c r="L16" s="637" t="s">
        <v>1891</v>
      </c>
      <c r="M16" s="641"/>
      <c r="N16" s="661"/>
      <c r="O16" s="482"/>
      <c r="P16" s="687">
        <f t="shared" si="1"/>
        <v>0</v>
      </c>
      <c r="Q16" s="663"/>
      <c r="R16" s="684" t="str">
        <f t="shared" si="3"/>
        <v/>
      </c>
      <c r="S16" s="685" t="str">
        <f t="shared" si="2"/>
        <v/>
      </c>
    </row>
    <row r="17" spans="1:19">
      <c r="A17" s="646">
        <v>16</v>
      </c>
      <c r="B17" s="653"/>
      <c r="C17" s="499"/>
      <c r="D17" s="654" t="str">
        <f>VLOOKUP(3,'Plate Planning'!$A$1:$S$35,13,FALSE)</f>
        <v>substrate_1</v>
      </c>
      <c r="E17" s="499"/>
      <c r="F17" s="482"/>
      <c r="G17" s="482"/>
      <c r="H17" s="655"/>
      <c r="I17" s="651">
        <f>G17*LOOKUP("Reaction scale (µmol):",'Plate Planning'!$H$31:$H$32,'Plate Planning'!$J$31:$J$32)/100</f>
        <v>0</v>
      </c>
      <c r="J17" s="631" t="str">
        <f t="shared" si="0"/>
        <v/>
      </c>
      <c r="K17" s="634" t="str">
        <f>IFERROR(IF(#REF!=0, J17/H17, I17/#REF!), "")</f>
        <v/>
      </c>
      <c r="L17" s="637" t="s">
        <v>1891</v>
      </c>
      <c r="M17" s="641"/>
      <c r="N17" s="661"/>
      <c r="O17" s="482"/>
      <c r="P17" s="687">
        <f t="shared" si="1"/>
        <v>0</v>
      </c>
      <c r="Q17" s="663"/>
      <c r="R17" s="684" t="str">
        <f t="shared" si="3"/>
        <v/>
      </c>
      <c r="S17" s="685" t="str">
        <f t="shared" si="2"/>
        <v/>
      </c>
    </row>
    <row r="18" spans="1:19">
      <c r="A18" s="646">
        <v>17</v>
      </c>
      <c r="B18" s="653"/>
      <c r="C18" s="499"/>
      <c r="D18" s="654" t="str">
        <f>VLOOKUP(3,'Plate Planning'!$A$1:$S$35,13,FALSE)</f>
        <v>substrate_1</v>
      </c>
      <c r="E18" s="499"/>
      <c r="F18" s="482"/>
      <c r="G18" s="482"/>
      <c r="H18" s="655"/>
      <c r="I18" s="651">
        <f>G18*LOOKUP("Reaction scale (µmol):",'Plate Planning'!$H$31:$H$32,'Plate Planning'!$J$31:$J$32)/100</f>
        <v>0</v>
      </c>
      <c r="J18" s="631" t="str">
        <f t="shared" si="0"/>
        <v/>
      </c>
      <c r="K18" s="634" t="str">
        <f>IFERROR(IF(#REF!=0, J18/H18, I18/#REF!), "")</f>
        <v/>
      </c>
      <c r="L18" s="637" t="s">
        <v>1891</v>
      </c>
      <c r="M18" s="641"/>
      <c r="N18" s="661"/>
      <c r="O18" s="482"/>
      <c r="P18" s="687">
        <f t="shared" si="1"/>
        <v>0</v>
      </c>
      <c r="Q18" s="663"/>
      <c r="R18" s="684" t="str">
        <f t="shared" si="3"/>
        <v/>
      </c>
      <c r="S18" s="685" t="str">
        <f t="shared" si="2"/>
        <v/>
      </c>
    </row>
    <row r="19" spans="1:19">
      <c r="A19" s="646">
        <v>18</v>
      </c>
      <c r="B19" s="653"/>
      <c r="C19" s="499"/>
      <c r="D19" s="654" t="str">
        <f>VLOOKUP(3,'Plate Planning'!$A$1:$S$35,13,FALSE)</f>
        <v>substrate_1</v>
      </c>
      <c r="E19" s="499"/>
      <c r="F19" s="482"/>
      <c r="G19" s="482"/>
      <c r="H19" s="655"/>
      <c r="I19" s="651">
        <f>G19*LOOKUP("Reaction scale (µmol):",'Plate Planning'!$H$31:$H$32,'Plate Planning'!$J$31:$J$32)/100</f>
        <v>0</v>
      </c>
      <c r="J19" s="631" t="str">
        <f t="shared" si="0"/>
        <v/>
      </c>
      <c r="K19" s="634" t="str">
        <f>IFERROR(IF(#REF!=0, J19/H19, I19/#REF!), "")</f>
        <v/>
      </c>
      <c r="L19" s="637" t="s">
        <v>1891</v>
      </c>
      <c r="M19" s="641"/>
      <c r="N19" s="661"/>
      <c r="O19" s="482"/>
      <c r="P19" s="687">
        <f t="shared" si="1"/>
        <v>0</v>
      </c>
      <c r="Q19" s="663"/>
      <c r="R19" s="684" t="str">
        <f t="shared" si="3"/>
        <v/>
      </c>
      <c r="S19" s="685" t="str">
        <f t="shared" si="2"/>
        <v/>
      </c>
    </row>
    <row r="20" spans="1:19">
      <c r="A20" s="646">
        <v>19</v>
      </c>
      <c r="B20" s="653"/>
      <c r="C20" s="499"/>
      <c r="D20" s="654" t="str">
        <f>VLOOKUP(3,'Plate Planning'!$A$1:$S$35,13,FALSE)</f>
        <v>substrate_1</v>
      </c>
      <c r="E20" s="499"/>
      <c r="F20" s="482"/>
      <c r="G20" s="482"/>
      <c r="H20" s="655"/>
      <c r="I20" s="651">
        <f>G20*LOOKUP("Reaction scale (µmol):",'Plate Planning'!$H$31:$H$32,'Plate Planning'!$J$31:$J$32)/100</f>
        <v>0</v>
      </c>
      <c r="J20" s="631" t="str">
        <f t="shared" si="0"/>
        <v/>
      </c>
      <c r="K20" s="634" t="str">
        <f>IFERROR(IF(#REF!=0, J20/H20, I20/#REF!), "")</f>
        <v/>
      </c>
      <c r="L20" s="637" t="s">
        <v>1891</v>
      </c>
      <c r="M20" s="641"/>
      <c r="N20" s="661"/>
      <c r="O20" s="482"/>
      <c r="P20" s="687">
        <f t="shared" si="1"/>
        <v>0</v>
      </c>
      <c r="Q20" s="663"/>
      <c r="R20" s="684" t="str">
        <f t="shared" si="3"/>
        <v/>
      </c>
      <c r="S20" s="685" t="str">
        <f t="shared" si="2"/>
        <v/>
      </c>
    </row>
    <row r="21" spans="1:19">
      <c r="A21" s="646">
        <v>20</v>
      </c>
      <c r="B21" s="653"/>
      <c r="C21" s="499"/>
      <c r="D21" s="654" t="str">
        <f>VLOOKUP(3,'Plate Planning'!$A$1:$S$35,13,FALSE)</f>
        <v>substrate_1</v>
      </c>
      <c r="E21" s="499"/>
      <c r="F21" s="482"/>
      <c r="G21" s="482"/>
      <c r="H21" s="655"/>
      <c r="I21" s="651">
        <f>G21*LOOKUP("Reaction scale (µmol):",'Plate Planning'!$H$31:$H$32,'Plate Planning'!$J$31:$J$32)/100</f>
        <v>0</v>
      </c>
      <c r="J21" s="631" t="str">
        <f t="shared" si="0"/>
        <v/>
      </c>
      <c r="K21" s="634" t="str">
        <f>IFERROR(IF(#REF!=0, J21/H21, I21/#REF!), "")</f>
        <v/>
      </c>
      <c r="L21" s="637" t="s">
        <v>1891</v>
      </c>
      <c r="M21" s="641"/>
      <c r="N21" s="661"/>
      <c r="O21" s="482"/>
      <c r="P21" s="687">
        <f t="shared" si="1"/>
        <v>0</v>
      </c>
      <c r="Q21" s="663"/>
      <c r="R21" s="684" t="str">
        <f t="shared" si="3"/>
        <v/>
      </c>
      <c r="S21" s="685" t="str">
        <f t="shared" si="2"/>
        <v/>
      </c>
    </row>
    <row r="22" spans="1:19">
      <c r="A22" s="646">
        <v>21</v>
      </c>
      <c r="B22" s="653"/>
      <c r="C22" s="499"/>
      <c r="D22" s="654" t="str">
        <f>VLOOKUP(3,'Plate Planning'!$A$1:$S$35,13,FALSE)</f>
        <v>substrate_1</v>
      </c>
      <c r="E22" s="499"/>
      <c r="F22" s="482"/>
      <c r="G22" s="482"/>
      <c r="H22" s="655"/>
      <c r="I22" s="651">
        <f>G22*LOOKUP("Reaction scale (µmol):",'Plate Planning'!$H$31:$H$32,'Plate Planning'!$J$31:$J$32)/100</f>
        <v>0</v>
      </c>
      <c r="J22" s="631" t="str">
        <f t="shared" si="0"/>
        <v/>
      </c>
      <c r="K22" s="634" t="str">
        <f>IFERROR(IF(#REF!=0, J22/H22, I22/#REF!), "")</f>
        <v/>
      </c>
      <c r="L22" s="637" t="s">
        <v>1891</v>
      </c>
      <c r="M22" s="641"/>
      <c r="N22" s="661"/>
      <c r="O22" s="482"/>
      <c r="P22" s="687">
        <f t="shared" si="1"/>
        <v>0</v>
      </c>
      <c r="Q22" s="663"/>
      <c r="R22" s="684" t="str">
        <f t="shared" si="3"/>
        <v/>
      </c>
      <c r="S22" s="685" t="str">
        <f t="shared" si="2"/>
        <v/>
      </c>
    </row>
    <row r="23" spans="1:19">
      <c r="A23" s="646">
        <v>22</v>
      </c>
      <c r="B23" s="653"/>
      <c r="C23" s="499"/>
      <c r="D23" s="654" t="str">
        <f>VLOOKUP(3,'Plate Planning'!$A$1:$S$35,13,FALSE)</f>
        <v>substrate_1</v>
      </c>
      <c r="E23" s="499"/>
      <c r="F23" s="482"/>
      <c r="G23" s="482"/>
      <c r="H23" s="655"/>
      <c r="I23" s="651">
        <f>G23*LOOKUP("Reaction scale (µmol):",'Plate Planning'!$H$31:$H$32,'Plate Planning'!$J$31:$J$32)/100</f>
        <v>0</v>
      </c>
      <c r="J23" s="631" t="str">
        <f t="shared" si="0"/>
        <v/>
      </c>
      <c r="K23" s="634" t="str">
        <f>IFERROR(IF(#REF!=0, J23/H23, I23/#REF!), "")</f>
        <v/>
      </c>
      <c r="L23" s="637" t="s">
        <v>1891</v>
      </c>
      <c r="M23" s="641"/>
      <c r="N23" s="661"/>
      <c r="O23" s="482"/>
      <c r="P23" s="687">
        <f t="shared" si="1"/>
        <v>0</v>
      </c>
      <c r="Q23" s="663"/>
      <c r="R23" s="684" t="str">
        <f t="shared" si="3"/>
        <v/>
      </c>
      <c r="S23" s="685" t="str">
        <f t="shared" si="2"/>
        <v/>
      </c>
    </row>
    <row r="24" spans="1:19">
      <c r="A24" s="646">
        <v>23</v>
      </c>
      <c r="B24" s="653"/>
      <c r="C24" s="499"/>
      <c r="D24" s="654" t="str">
        <f>VLOOKUP(3,'Plate Planning'!$A$1:$S$35,13,FALSE)</f>
        <v>substrate_1</v>
      </c>
      <c r="E24" s="499"/>
      <c r="F24" s="482"/>
      <c r="G24" s="482"/>
      <c r="H24" s="655"/>
      <c r="I24" s="651">
        <f>G24*LOOKUP("Reaction scale (µmol):",'Plate Planning'!$H$31:$H$32,'Plate Planning'!$J$31:$J$32)/100</f>
        <v>0</v>
      </c>
      <c r="J24" s="631" t="str">
        <f t="shared" si="0"/>
        <v/>
      </c>
      <c r="K24" s="634" t="str">
        <f>IFERROR(IF(#REF!=0, J24/H24, I24/#REF!), "")</f>
        <v/>
      </c>
      <c r="L24" s="637" t="s">
        <v>1891</v>
      </c>
      <c r="M24" s="641"/>
      <c r="N24" s="661"/>
      <c r="O24" s="482"/>
      <c r="P24" s="687">
        <f t="shared" si="1"/>
        <v>0</v>
      </c>
      <c r="Q24" s="663"/>
      <c r="R24" s="684" t="str">
        <f t="shared" si="3"/>
        <v/>
      </c>
      <c r="S24" s="685" t="str">
        <f t="shared" si="2"/>
        <v/>
      </c>
    </row>
    <row r="25" spans="1:19">
      <c r="A25" s="646">
        <v>24</v>
      </c>
      <c r="B25" s="653"/>
      <c r="C25" s="499"/>
      <c r="D25" s="654" t="str">
        <f>VLOOKUP(3,'Plate Planning'!$A$1:$S$35,13,FALSE)</f>
        <v>substrate_1</v>
      </c>
      <c r="E25" s="499"/>
      <c r="F25" s="482"/>
      <c r="G25" s="482"/>
      <c r="H25" s="655"/>
      <c r="I25" s="651">
        <f>G25*LOOKUP("Reaction scale (µmol):",'Plate Planning'!$H$31:$H$32,'Plate Planning'!$J$31:$J$32)/100</f>
        <v>0</v>
      </c>
      <c r="J25" s="631" t="str">
        <f t="shared" si="0"/>
        <v/>
      </c>
      <c r="K25" s="634" t="str">
        <f>IFERROR(IF(#REF!=0, J25/H25, I25/#REF!), "")</f>
        <v/>
      </c>
      <c r="L25" s="637" t="s">
        <v>1891</v>
      </c>
      <c r="M25" s="641"/>
      <c r="N25" s="661"/>
      <c r="O25" s="482"/>
      <c r="P25" s="687">
        <f t="shared" si="1"/>
        <v>0</v>
      </c>
      <c r="Q25" s="663"/>
      <c r="R25" s="684" t="str">
        <f t="shared" si="3"/>
        <v/>
      </c>
      <c r="S25" s="685" t="str">
        <f t="shared" si="2"/>
        <v/>
      </c>
    </row>
    <row r="26" spans="1:19">
      <c r="A26" s="646">
        <v>25</v>
      </c>
      <c r="B26" s="653"/>
      <c r="C26" s="499"/>
      <c r="D26" s="654" t="str">
        <f>VLOOKUP(3,'Plate Planning'!$A$1:$S$35,13,FALSE)</f>
        <v>substrate_1</v>
      </c>
      <c r="E26" s="499"/>
      <c r="F26" s="482"/>
      <c r="G26" s="482"/>
      <c r="H26" s="655"/>
      <c r="I26" s="651">
        <f>G26*LOOKUP("Reaction scale (µmol):",'Plate Planning'!$H$31:$H$32,'Plate Planning'!$J$31:$J$32)/100</f>
        <v>0</v>
      </c>
      <c r="J26" s="631" t="str">
        <f t="shared" si="0"/>
        <v/>
      </c>
      <c r="K26" s="634" t="str">
        <f>IFERROR(IF(#REF!=0, J26/H26, I26/#REF!), "")</f>
        <v/>
      </c>
      <c r="L26" s="637" t="s">
        <v>1891</v>
      </c>
      <c r="M26" s="641"/>
      <c r="N26" s="661"/>
      <c r="O26" s="482"/>
      <c r="P26" s="687">
        <f t="shared" si="1"/>
        <v>0</v>
      </c>
      <c r="Q26" s="663"/>
      <c r="R26" s="684" t="str">
        <f t="shared" si="3"/>
        <v/>
      </c>
      <c r="S26" s="685" t="str">
        <f t="shared" si="2"/>
        <v/>
      </c>
    </row>
    <row r="27" spans="1:19">
      <c r="A27" s="646">
        <v>26</v>
      </c>
      <c r="B27" s="653"/>
      <c r="C27" s="499"/>
      <c r="D27" s="654" t="str">
        <f>VLOOKUP(3,'Plate Planning'!$A$1:$S$35,13,FALSE)</f>
        <v>substrate_1</v>
      </c>
      <c r="E27" s="499"/>
      <c r="F27" s="482"/>
      <c r="G27" s="482"/>
      <c r="H27" s="655"/>
      <c r="I27" s="651">
        <f>G27*LOOKUP("Reaction scale (µmol):",'Plate Planning'!$H$31:$H$32,'Plate Planning'!$J$31:$J$32)/100</f>
        <v>0</v>
      </c>
      <c r="J27" s="631" t="str">
        <f t="shared" si="0"/>
        <v/>
      </c>
      <c r="K27" s="634" t="str">
        <f>IFERROR(IF(#REF!=0, J27/H27, I27/#REF!), "")</f>
        <v/>
      </c>
      <c r="L27" s="637" t="s">
        <v>1891</v>
      </c>
      <c r="M27" s="641"/>
      <c r="N27" s="661"/>
      <c r="O27" s="482"/>
      <c r="P27" s="687">
        <f t="shared" si="1"/>
        <v>0</v>
      </c>
      <c r="Q27" s="663"/>
      <c r="R27" s="684" t="str">
        <f t="shared" si="3"/>
        <v/>
      </c>
      <c r="S27" s="685" t="str">
        <f t="shared" si="2"/>
        <v/>
      </c>
    </row>
    <row r="28" spans="1:19">
      <c r="A28" s="646">
        <v>27</v>
      </c>
      <c r="B28" s="653"/>
      <c r="C28" s="499"/>
      <c r="D28" s="654" t="str">
        <f>VLOOKUP(3,'Plate Planning'!$A$1:$S$35,13,FALSE)</f>
        <v>substrate_1</v>
      </c>
      <c r="E28" s="499"/>
      <c r="F28" s="482"/>
      <c r="G28" s="482"/>
      <c r="H28" s="655"/>
      <c r="I28" s="651">
        <f>G28*LOOKUP("Reaction scale (µmol):",'Plate Planning'!$H$31:$H$32,'Plate Planning'!$J$31:$J$32)/100</f>
        <v>0</v>
      </c>
      <c r="J28" s="631" t="str">
        <f t="shared" si="0"/>
        <v/>
      </c>
      <c r="K28" s="634" t="str">
        <f>IFERROR(IF(#REF!=0, J28/H28, I28/#REF!), "")</f>
        <v/>
      </c>
      <c r="L28" s="637" t="s">
        <v>1891</v>
      </c>
      <c r="M28" s="641"/>
      <c r="N28" s="661"/>
      <c r="O28" s="482"/>
      <c r="P28" s="687">
        <f t="shared" si="1"/>
        <v>0</v>
      </c>
      <c r="Q28" s="663"/>
      <c r="R28" s="684" t="str">
        <f t="shared" si="3"/>
        <v/>
      </c>
      <c r="S28" s="685" t="str">
        <f t="shared" si="2"/>
        <v/>
      </c>
    </row>
    <row r="29" spans="1:19">
      <c r="A29" s="646">
        <v>28</v>
      </c>
      <c r="B29" s="653"/>
      <c r="C29" s="499"/>
      <c r="D29" s="654" t="str">
        <f>VLOOKUP(3,'Plate Planning'!$A$1:$S$35,13,FALSE)</f>
        <v>substrate_1</v>
      </c>
      <c r="E29" s="499"/>
      <c r="F29" s="482"/>
      <c r="G29" s="482"/>
      <c r="H29" s="655"/>
      <c r="I29" s="651">
        <f>G29*LOOKUP("Reaction scale (µmol):",'Plate Planning'!$H$31:$H$32,'Plate Planning'!$J$31:$J$32)/100</f>
        <v>0</v>
      </c>
      <c r="J29" s="631" t="str">
        <f t="shared" si="0"/>
        <v/>
      </c>
      <c r="K29" s="634" t="str">
        <f>IFERROR(IF(#REF!=0, J29/H29, I29/#REF!), "")</f>
        <v/>
      </c>
      <c r="L29" s="637" t="s">
        <v>1891</v>
      </c>
      <c r="M29" s="641"/>
      <c r="N29" s="661"/>
      <c r="O29" s="482"/>
      <c r="P29" s="687">
        <f t="shared" si="1"/>
        <v>0</v>
      </c>
      <c r="Q29" s="663"/>
      <c r="R29" s="684" t="str">
        <f t="shared" si="3"/>
        <v/>
      </c>
      <c r="S29" s="685" t="str">
        <f t="shared" si="2"/>
        <v/>
      </c>
    </row>
    <row r="30" spans="1:19">
      <c r="A30" s="646">
        <v>29</v>
      </c>
      <c r="B30" s="653"/>
      <c r="C30" s="499"/>
      <c r="D30" s="654" t="str">
        <f>VLOOKUP(3,'Plate Planning'!$A$1:$S$35,13,FALSE)</f>
        <v>substrate_1</v>
      </c>
      <c r="E30" s="499"/>
      <c r="F30" s="482"/>
      <c r="G30" s="482"/>
      <c r="H30" s="655"/>
      <c r="I30" s="651">
        <f>G30*LOOKUP("Reaction scale (µmol):",'Plate Planning'!$H$31:$H$32,'Plate Planning'!$J$31:$J$32)/100</f>
        <v>0</v>
      </c>
      <c r="J30" s="631" t="str">
        <f t="shared" si="0"/>
        <v/>
      </c>
      <c r="K30" s="634" t="str">
        <f>IFERROR(IF(#REF!=0, J30/H30, I30/#REF!), "")</f>
        <v/>
      </c>
      <c r="L30" s="637" t="s">
        <v>1891</v>
      </c>
      <c r="M30" s="641"/>
      <c r="N30" s="661"/>
      <c r="O30" s="482"/>
      <c r="P30" s="687">
        <f t="shared" si="1"/>
        <v>0</v>
      </c>
      <c r="Q30" s="663"/>
      <c r="R30" s="684" t="str">
        <f t="shared" si="3"/>
        <v/>
      </c>
      <c r="S30" s="685" t="str">
        <f t="shared" si="2"/>
        <v/>
      </c>
    </row>
    <row r="31" spans="1:19">
      <c r="A31" s="646">
        <v>30</v>
      </c>
      <c r="B31" s="653"/>
      <c r="C31" s="499"/>
      <c r="D31" s="654" t="str">
        <f>VLOOKUP(3,'Plate Planning'!$A$1:$S$35,13,FALSE)</f>
        <v>substrate_1</v>
      </c>
      <c r="E31" s="499"/>
      <c r="F31" s="482"/>
      <c r="G31" s="482"/>
      <c r="H31" s="655"/>
      <c r="I31" s="651">
        <f>G31*LOOKUP("Reaction scale (µmol):",'Plate Planning'!$H$31:$H$32,'Plate Planning'!$J$31:$J$32)/100</f>
        <v>0</v>
      </c>
      <c r="J31" s="631" t="str">
        <f t="shared" si="0"/>
        <v/>
      </c>
      <c r="K31" s="634" t="str">
        <f>IFERROR(IF(#REF!=0, J31/H31, I31/#REF!), "")</f>
        <v/>
      </c>
      <c r="L31" s="637" t="s">
        <v>1891</v>
      </c>
      <c r="M31" s="641"/>
      <c r="N31" s="661"/>
      <c r="O31" s="482"/>
      <c r="P31" s="687">
        <f t="shared" si="1"/>
        <v>0</v>
      </c>
      <c r="Q31" s="663"/>
      <c r="R31" s="684" t="str">
        <f t="shared" si="3"/>
        <v/>
      </c>
      <c r="S31" s="685" t="str">
        <f t="shared" si="2"/>
        <v/>
      </c>
    </row>
    <row r="32" spans="1:19">
      <c r="A32" s="646">
        <v>31</v>
      </c>
      <c r="B32" s="653"/>
      <c r="C32" s="499"/>
      <c r="D32" s="654" t="str">
        <f>VLOOKUP(3,'Plate Planning'!$A$1:$S$35,13,FALSE)</f>
        <v>substrate_1</v>
      </c>
      <c r="E32" s="499"/>
      <c r="F32" s="482"/>
      <c r="G32" s="482"/>
      <c r="H32" s="655"/>
      <c r="I32" s="651">
        <f>G32*LOOKUP("Reaction scale (µmol):",'Plate Planning'!$H$31:$H$32,'Plate Planning'!$J$31:$J$32)/100</f>
        <v>0</v>
      </c>
      <c r="J32" s="631" t="str">
        <f t="shared" si="0"/>
        <v/>
      </c>
      <c r="K32" s="634" t="str">
        <f>IFERROR(IF(#REF!=0, J32/H32, I32/#REF!), "")</f>
        <v/>
      </c>
      <c r="L32" s="637" t="s">
        <v>1891</v>
      </c>
      <c r="M32" s="641"/>
      <c r="N32" s="661"/>
      <c r="O32" s="482"/>
      <c r="P32" s="687">
        <f t="shared" si="1"/>
        <v>0</v>
      </c>
      <c r="Q32" s="663"/>
      <c r="R32" s="684" t="str">
        <f t="shared" si="3"/>
        <v/>
      </c>
      <c r="S32" s="685" t="str">
        <f t="shared" si="2"/>
        <v/>
      </c>
    </row>
    <row r="33" spans="1:19">
      <c r="A33" s="646">
        <v>32</v>
      </c>
      <c r="B33" s="653"/>
      <c r="C33" s="499"/>
      <c r="D33" s="654" t="str">
        <f>VLOOKUP(3,'Plate Planning'!$A$1:$S$35,13,FALSE)</f>
        <v>substrate_1</v>
      </c>
      <c r="E33" s="499"/>
      <c r="F33" s="482"/>
      <c r="G33" s="482"/>
      <c r="H33" s="655"/>
      <c r="I33" s="651">
        <f>G33*LOOKUP("Reaction scale (µmol):",'Plate Planning'!$H$31:$H$32,'Plate Planning'!$J$31:$J$32)/100</f>
        <v>0</v>
      </c>
      <c r="J33" s="631" t="str">
        <f t="shared" si="0"/>
        <v/>
      </c>
      <c r="K33" s="634" t="str">
        <f>IFERROR(IF(#REF!=0, J33/H33, I33/#REF!), "")</f>
        <v/>
      </c>
      <c r="L33" s="637" t="s">
        <v>1891</v>
      </c>
      <c r="M33" s="641"/>
      <c r="N33" s="661"/>
      <c r="O33" s="482"/>
      <c r="P33" s="687">
        <f t="shared" si="1"/>
        <v>0</v>
      </c>
      <c r="Q33" s="663"/>
      <c r="R33" s="684" t="str">
        <f t="shared" si="3"/>
        <v/>
      </c>
      <c r="S33" s="685" t="str">
        <f t="shared" si="2"/>
        <v/>
      </c>
    </row>
    <row r="34" spans="1:19">
      <c r="A34" s="646">
        <v>33</v>
      </c>
      <c r="B34" s="653"/>
      <c r="C34" s="499"/>
      <c r="D34" s="654" t="str">
        <f>VLOOKUP(3,'Plate Planning'!$A$1:$S$35,13,FALSE)</f>
        <v>substrate_1</v>
      </c>
      <c r="E34" s="499"/>
      <c r="F34" s="482"/>
      <c r="G34" s="482"/>
      <c r="H34" s="655"/>
      <c r="I34" s="651">
        <f>G34*LOOKUP("Reaction scale (µmol):",'Plate Planning'!$H$31:$H$32,'Plate Planning'!$J$31:$J$32)/100</f>
        <v>0</v>
      </c>
      <c r="J34" s="631" t="str">
        <f t="shared" ref="J34:J65" si="4">IF(I34=0, "",I34*F34/1000)</f>
        <v/>
      </c>
      <c r="K34" s="634" t="str">
        <f>IFERROR(IF(#REF!=0, J34/H34, I34/#REF!), "")</f>
        <v/>
      </c>
      <c r="L34" s="637" t="s">
        <v>1891</v>
      </c>
      <c r="M34" s="641"/>
      <c r="N34" s="661"/>
      <c r="O34" s="482"/>
      <c r="P34" s="687">
        <f t="shared" ref="P34:P65" si="5">O34*I34*F34/1000*2</f>
        <v>0</v>
      </c>
      <c r="Q34" s="663"/>
      <c r="R34" s="684" t="str">
        <f t="shared" si="3"/>
        <v/>
      </c>
      <c r="S34" s="685" t="str">
        <f t="shared" ref="S34:S65" si="6">IFERROR(I34/N34, "")</f>
        <v/>
      </c>
    </row>
    <row r="35" spans="1:19">
      <c r="A35" s="646">
        <v>34</v>
      </c>
      <c r="B35" s="653"/>
      <c r="C35" s="499"/>
      <c r="D35" s="654" t="str">
        <f>VLOOKUP(3,'Plate Planning'!$A$1:$S$35,13,FALSE)</f>
        <v>substrate_1</v>
      </c>
      <c r="E35" s="499"/>
      <c r="F35" s="482"/>
      <c r="G35" s="482"/>
      <c r="H35" s="655"/>
      <c r="I35" s="651">
        <f>G35*LOOKUP("Reaction scale (µmol):",'Plate Planning'!$H$31:$H$32,'Plate Planning'!$J$31:$J$32)/100</f>
        <v>0</v>
      </c>
      <c r="J35" s="631" t="str">
        <f t="shared" si="4"/>
        <v/>
      </c>
      <c r="K35" s="634" t="str">
        <f>IFERROR(IF(#REF!=0, J35/H35, I35/#REF!), "")</f>
        <v/>
      </c>
      <c r="L35" s="637" t="s">
        <v>1891</v>
      </c>
      <c r="M35" s="641"/>
      <c r="N35" s="661"/>
      <c r="O35" s="482"/>
      <c r="P35" s="687">
        <f t="shared" si="5"/>
        <v>0</v>
      </c>
      <c r="Q35" s="663"/>
      <c r="R35" s="684" t="str">
        <f t="shared" si="3"/>
        <v/>
      </c>
      <c r="S35" s="685" t="str">
        <f t="shared" si="6"/>
        <v/>
      </c>
    </row>
    <row r="36" spans="1:19">
      <c r="A36" s="646">
        <v>35</v>
      </c>
      <c r="B36" s="653"/>
      <c r="C36" s="499"/>
      <c r="D36" s="654" t="str">
        <f>VLOOKUP(3,'Plate Planning'!$A$1:$S$35,13,FALSE)</f>
        <v>substrate_1</v>
      </c>
      <c r="E36" s="499"/>
      <c r="F36" s="482"/>
      <c r="G36" s="482"/>
      <c r="H36" s="655"/>
      <c r="I36" s="651">
        <f>G36*LOOKUP("Reaction scale (µmol):",'Plate Planning'!$H$31:$H$32,'Plate Planning'!$J$31:$J$32)/100</f>
        <v>0</v>
      </c>
      <c r="J36" s="631" t="str">
        <f t="shared" si="4"/>
        <v/>
      </c>
      <c r="K36" s="634" t="str">
        <f>IFERROR(IF(#REF!=0, J36/H36, I36/#REF!), "")</f>
        <v/>
      </c>
      <c r="L36" s="637" t="s">
        <v>1891</v>
      </c>
      <c r="M36" s="641"/>
      <c r="N36" s="661"/>
      <c r="O36" s="482"/>
      <c r="P36" s="687">
        <f t="shared" si="5"/>
        <v>0</v>
      </c>
      <c r="Q36" s="663"/>
      <c r="R36" s="684" t="str">
        <f t="shared" si="3"/>
        <v/>
      </c>
      <c r="S36" s="685" t="str">
        <f t="shared" si="6"/>
        <v/>
      </c>
    </row>
    <row r="37" spans="1:19">
      <c r="A37" s="646">
        <v>36</v>
      </c>
      <c r="B37" s="653"/>
      <c r="C37" s="499"/>
      <c r="D37" s="654" t="str">
        <f>VLOOKUP(3,'Plate Planning'!$A$1:$S$35,13,FALSE)</f>
        <v>substrate_1</v>
      </c>
      <c r="E37" s="499"/>
      <c r="F37" s="482"/>
      <c r="G37" s="482"/>
      <c r="H37" s="655"/>
      <c r="I37" s="651">
        <f>G37*LOOKUP("Reaction scale (µmol):",'Plate Planning'!$H$31:$H$32,'Plate Planning'!$J$31:$J$32)/100</f>
        <v>0</v>
      </c>
      <c r="J37" s="631" t="str">
        <f t="shared" si="4"/>
        <v/>
      </c>
      <c r="K37" s="634" t="str">
        <f>IFERROR(IF(#REF!=0, J37/H37, I37/#REF!), "")</f>
        <v/>
      </c>
      <c r="L37" s="637" t="s">
        <v>1891</v>
      </c>
      <c r="M37" s="641"/>
      <c r="N37" s="661"/>
      <c r="O37" s="482"/>
      <c r="P37" s="687">
        <f t="shared" si="5"/>
        <v>0</v>
      </c>
      <c r="Q37" s="663"/>
      <c r="R37" s="684" t="str">
        <f t="shared" si="3"/>
        <v/>
      </c>
      <c r="S37" s="685" t="str">
        <f t="shared" si="6"/>
        <v/>
      </c>
    </row>
    <row r="38" spans="1:19">
      <c r="A38" s="646">
        <v>37</v>
      </c>
      <c r="B38" s="653"/>
      <c r="C38" s="499"/>
      <c r="D38" s="654" t="str">
        <f>VLOOKUP(3,'Plate Planning'!$A$1:$S$35,13,FALSE)</f>
        <v>substrate_1</v>
      </c>
      <c r="E38" s="499"/>
      <c r="F38" s="482"/>
      <c r="G38" s="482"/>
      <c r="H38" s="655"/>
      <c r="I38" s="651">
        <f>G38*LOOKUP("Reaction scale (µmol):",'Plate Planning'!$H$31:$H$32,'Plate Planning'!$J$31:$J$32)/100</f>
        <v>0</v>
      </c>
      <c r="J38" s="631" t="str">
        <f t="shared" si="4"/>
        <v/>
      </c>
      <c r="K38" s="634" t="str">
        <f>IFERROR(IF(#REF!=0, J38/H38, I38/#REF!), "")</f>
        <v/>
      </c>
      <c r="L38" s="637" t="s">
        <v>1891</v>
      </c>
      <c r="M38" s="641"/>
      <c r="N38" s="661"/>
      <c r="O38" s="482"/>
      <c r="P38" s="687">
        <f t="shared" si="5"/>
        <v>0</v>
      </c>
      <c r="Q38" s="663"/>
      <c r="R38" s="684" t="str">
        <f t="shared" si="3"/>
        <v/>
      </c>
      <c r="S38" s="685" t="str">
        <f t="shared" si="6"/>
        <v/>
      </c>
    </row>
    <row r="39" spans="1:19">
      <c r="A39" s="646">
        <v>38</v>
      </c>
      <c r="B39" s="653"/>
      <c r="C39" s="499"/>
      <c r="D39" s="654" t="str">
        <f>VLOOKUP(3,'Plate Planning'!$A$1:$S$35,13,FALSE)</f>
        <v>substrate_1</v>
      </c>
      <c r="E39" s="499"/>
      <c r="F39" s="482"/>
      <c r="G39" s="482"/>
      <c r="H39" s="655"/>
      <c r="I39" s="651">
        <f>G39*LOOKUP("Reaction scale (µmol):",'Plate Planning'!$H$31:$H$32,'Plate Planning'!$J$31:$J$32)/100</f>
        <v>0</v>
      </c>
      <c r="J39" s="631" t="str">
        <f t="shared" si="4"/>
        <v/>
      </c>
      <c r="K39" s="634" t="str">
        <f>IFERROR(IF(#REF!=0, J39/H39, I39/#REF!), "")</f>
        <v/>
      </c>
      <c r="L39" s="637" t="s">
        <v>1891</v>
      </c>
      <c r="M39" s="641"/>
      <c r="N39" s="661"/>
      <c r="O39" s="482"/>
      <c r="P39" s="687">
        <f t="shared" si="5"/>
        <v>0</v>
      </c>
      <c r="Q39" s="663"/>
      <c r="R39" s="684" t="str">
        <f t="shared" si="3"/>
        <v/>
      </c>
      <c r="S39" s="685" t="str">
        <f t="shared" si="6"/>
        <v/>
      </c>
    </row>
    <row r="40" spans="1:19">
      <c r="A40" s="646">
        <v>39</v>
      </c>
      <c r="B40" s="653"/>
      <c r="C40" s="499"/>
      <c r="D40" s="654" t="str">
        <f>VLOOKUP(3,'Plate Planning'!$A$1:$S$35,13,FALSE)</f>
        <v>substrate_1</v>
      </c>
      <c r="E40" s="499"/>
      <c r="F40" s="482"/>
      <c r="G40" s="482"/>
      <c r="H40" s="655"/>
      <c r="I40" s="651">
        <f>G40*LOOKUP("Reaction scale (µmol):",'Plate Planning'!$H$31:$H$32,'Plate Planning'!$J$31:$J$32)/100</f>
        <v>0</v>
      </c>
      <c r="J40" s="631" t="str">
        <f t="shared" si="4"/>
        <v/>
      </c>
      <c r="K40" s="634" t="str">
        <f>IFERROR(IF(#REF!=0, J40/H40, I40/#REF!), "")</f>
        <v/>
      </c>
      <c r="L40" s="637" t="s">
        <v>1891</v>
      </c>
      <c r="M40" s="641"/>
      <c r="N40" s="661"/>
      <c r="O40" s="482"/>
      <c r="P40" s="687">
        <f t="shared" si="5"/>
        <v>0</v>
      </c>
      <c r="Q40" s="663"/>
      <c r="R40" s="684" t="str">
        <f t="shared" si="3"/>
        <v/>
      </c>
      <c r="S40" s="685" t="str">
        <f t="shared" si="6"/>
        <v/>
      </c>
    </row>
    <row r="41" spans="1:19">
      <c r="A41" s="646">
        <v>40</v>
      </c>
      <c r="B41" s="653"/>
      <c r="C41" s="499"/>
      <c r="D41" s="654" t="str">
        <f>VLOOKUP(3,'Plate Planning'!$A$1:$S$35,13,FALSE)</f>
        <v>substrate_1</v>
      </c>
      <c r="E41" s="499"/>
      <c r="F41" s="482"/>
      <c r="G41" s="482"/>
      <c r="H41" s="655"/>
      <c r="I41" s="651">
        <f>G41*LOOKUP("Reaction scale (µmol):",'Plate Planning'!$H$31:$H$32,'Plate Planning'!$J$31:$J$32)/100</f>
        <v>0</v>
      </c>
      <c r="J41" s="631" t="str">
        <f t="shared" si="4"/>
        <v/>
      </c>
      <c r="K41" s="634" t="str">
        <f>IFERROR(IF(#REF!=0, J41/H41, I41/#REF!), "")</f>
        <v/>
      </c>
      <c r="L41" s="637" t="s">
        <v>1891</v>
      </c>
      <c r="M41" s="641"/>
      <c r="N41" s="661"/>
      <c r="O41" s="482"/>
      <c r="P41" s="687">
        <f t="shared" si="5"/>
        <v>0</v>
      </c>
      <c r="Q41" s="663"/>
      <c r="R41" s="684" t="str">
        <f t="shared" si="3"/>
        <v/>
      </c>
      <c r="S41" s="685" t="str">
        <f t="shared" si="6"/>
        <v/>
      </c>
    </row>
    <row r="42" spans="1:19">
      <c r="A42" s="646">
        <v>41</v>
      </c>
      <c r="B42" s="653"/>
      <c r="C42" s="499"/>
      <c r="D42" s="654" t="str">
        <f>VLOOKUP(3,'Plate Planning'!$A$1:$S$35,13,FALSE)</f>
        <v>substrate_1</v>
      </c>
      <c r="E42" s="499"/>
      <c r="F42" s="482"/>
      <c r="G42" s="482"/>
      <c r="H42" s="655"/>
      <c r="I42" s="651">
        <f>G42*LOOKUP("Reaction scale (µmol):",'Plate Planning'!$H$31:$H$32,'Plate Planning'!$J$31:$J$32)/100</f>
        <v>0</v>
      </c>
      <c r="J42" s="631" t="str">
        <f t="shared" si="4"/>
        <v/>
      </c>
      <c r="K42" s="634" t="str">
        <f>IFERROR(IF(#REF!=0, J42/H42, I42/#REF!), "")</f>
        <v/>
      </c>
      <c r="L42" s="637" t="s">
        <v>1891</v>
      </c>
      <c r="M42" s="641"/>
      <c r="N42" s="661"/>
      <c r="O42" s="482"/>
      <c r="P42" s="687">
        <f t="shared" si="5"/>
        <v>0</v>
      </c>
      <c r="Q42" s="663"/>
      <c r="R42" s="684" t="str">
        <f t="shared" si="3"/>
        <v/>
      </c>
      <c r="S42" s="685" t="str">
        <f t="shared" si="6"/>
        <v/>
      </c>
    </row>
    <row r="43" spans="1:19">
      <c r="A43" s="646">
        <v>42</v>
      </c>
      <c r="B43" s="653"/>
      <c r="C43" s="499"/>
      <c r="D43" s="654" t="str">
        <f>VLOOKUP(3,'Plate Planning'!$A$1:$S$35,13,FALSE)</f>
        <v>substrate_1</v>
      </c>
      <c r="E43" s="499"/>
      <c r="F43" s="482"/>
      <c r="G43" s="482"/>
      <c r="H43" s="655"/>
      <c r="I43" s="651">
        <f>G43*LOOKUP("Reaction scale (µmol):",'Plate Planning'!$H$31:$H$32,'Plate Planning'!$J$31:$J$32)/100</f>
        <v>0</v>
      </c>
      <c r="J43" s="631" t="str">
        <f t="shared" si="4"/>
        <v/>
      </c>
      <c r="K43" s="634" t="str">
        <f>IFERROR(IF(#REF!=0, J43/H43, I43/#REF!), "")</f>
        <v/>
      </c>
      <c r="L43" s="637" t="s">
        <v>1891</v>
      </c>
      <c r="M43" s="641"/>
      <c r="N43" s="661"/>
      <c r="O43" s="482"/>
      <c r="P43" s="687">
        <f t="shared" si="5"/>
        <v>0</v>
      </c>
      <c r="Q43" s="663"/>
      <c r="R43" s="684" t="str">
        <f t="shared" si="3"/>
        <v/>
      </c>
      <c r="S43" s="685" t="str">
        <f t="shared" si="6"/>
        <v/>
      </c>
    </row>
    <row r="44" spans="1:19">
      <c r="A44" s="646">
        <v>43</v>
      </c>
      <c r="B44" s="653"/>
      <c r="C44" s="499"/>
      <c r="D44" s="654" t="str">
        <f>VLOOKUP(3,'Plate Planning'!$A$1:$S$35,13,FALSE)</f>
        <v>substrate_1</v>
      </c>
      <c r="E44" s="499"/>
      <c r="F44" s="482"/>
      <c r="G44" s="482"/>
      <c r="H44" s="655"/>
      <c r="I44" s="651">
        <f>G44*LOOKUP("Reaction scale (µmol):",'Plate Planning'!$H$31:$H$32,'Plate Planning'!$J$31:$J$32)/100</f>
        <v>0</v>
      </c>
      <c r="J44" s="631" t="str">
        <f t="shared" si="4"/>
        <v/>
      </c>
      <c r="K44" s="634" t="str">
        <f>IFERROR(IF(#REF!=0, J44/H44, I44/#REF!), "")</f>
        <v/>
      </c>
      <c r="L44" s="637" t="s">
        <v>1891</v>
      </c>
      <c r="M44" s="641"/>
      <c r="N44" s="661"/>
      <c r="O44" s="482"/>
      <c r="P44" s="687">
        <f t="shared" si="5"/>
        <v>0</v>
      </c>
      <c r="Q44" s="663"/>
      <c r="R44" s="684" t="str">
        <f t="shared" si="3"/>
        <v/>
      </c>
      <c r="S44" s="685" t="str">
        <f t="shared" si="6"/>
        <v/>
      </c>
    </row>
    <row r="45" spans="1:19">
      <c r="A45" s="646">
        <v>44</v>
      </c>
      <c r="B45" s="653"/>
      <c r="C45" s="499"/>
      <c r="D45" s="654" t="str">
        <f>VLOOKUP(3,'Plate Planning'!$A$1:$S$35,13,FALSE)</f>
        <v>substrate_1</v>
      </c>
      <c r="E45" s="499"/>
      <c r="F45" s="482"/>
      <c r="G45" s="482"/>
      <c r="H45" s="655"/>
      <c r="I45" s="651">
        <f>G45*LOOKUP("Reaction scale (µmol):",'Plate Planning'!$H$31:$H$32,'Plate Planning'!$J$31:$J$32)/100</f>
        <v>0</v>
      </c>
      <c r="J45" s="631" t="str">
        <f t="shared" si="4"/>
        <v/>
      </c>
      <c r="K45" s="634" t="str">
        <f>IFERROR(IF(#REF!=0, J45/H45, I45/#REF!), "")</f>
        <v/>
      </c>
      <c r="L45" s="637" t="s">
        <v>1891</v>
      </c>
      <c r="M45" s="641"/>
      <c r="N45" s="661"/>
      <c r="O45" s="482"/>
      <c r="P45" s="687">
        <f t="shared" si="5"/>
        <v>0</v>
      </c>
      <c r="Q45" s="663"/>
      <c r="R45" s="684" t="str">
        <f t="shared" si="3"/>
        <v/>
      </c>
      <c r="S45" s="685" t="str">
        <f t="shared" si="6"/>
        <v/>
      </c>
    </row>
    <row r="46" spans="1:19">
      <c r="A46" s="646">
        <v>45</v>
      </c>
      <c r="B46" s="653"/>
      <c r="C46" s="499"/>
      <c r="D46" s="654" t="str">
        <f>VLOOKUP(3,'Plate Planning'!$A$1:$S$35,13,FALSE)</f>
        <v>substrate_1</v>
      </c>
      <c r="E46" s="499"/>
      <c r="F46" s="482"/>
      <c r="G46" s="482"/>
      <c r="H46" s="655"/>
      <c r="I46" s="651">
        <f>G46*LOOKUP("Reaction scale (µmol):",'Plate Planning'!$H$31:$H$32,'Plate Planning'!$J$31:$J$32)/100</f>
        <v>0</v>
      </c>
      <c r="J46" s="631" t="str">
        <f t="shared" si="4"/>
        <v/>
      </c>
      <c r="K46" s="634" t="str">
        <f>IFERROR(IF(#REF!=0, J46/H46, I46/#REF!), "")</f>
        <v/>
      </c>
      <c r="L46" s="637" t="s">
        <v>1891</v>
      </c>
      <c r="M46" s="641"/>
      <c r="N46" s="661"/>
      <c r="O46" s="482"/>
      <c r="P46" s="687">
        <f t="shared" si="5"/>
        <v>0</v>
      </c>
      <c r="Q46" s="663"/>
      <c r="R46" s="684" t="str">
        <f t="shared" si="3"/>
        <v/>
      </c>
      <c r="S46" s="685" t="str">
        <f t="shared" si="6"/>
        <v/>
      </c>
    </row>
    <row r="47" spans="1:19">
      <c r="A47" s="646">
        <v>46</v>
      </c>
      <c r="B47" s="653"/>
      <c r="C47" s="499"/>
      <c r="D47" s="654" t="str">
        <f>VLOOKUP(3,'Plate Planning'!$A$1:$S$35,13,FALSE)</f>
        <v>substrate_1</v>
      </c>
      <c r="E47" s="499"/>
      <c r="F47" s="482"/>
      <c r="G47" s="482"/>
      <c r="H47" s="655"/>
      <c r="I47" s="651">
        <f>G47*LOOKUP("Reaction scale (µmol):",'Plate Planning'!$H$31:$H$32,'Plate Planning'!$J$31:$J$32)/100</f>
        <v>0</v>
      </c>
      <c r="J47" s="631" t="str">
        <f t="shared" si="4"/>
        <v/>
      </c>
      <c r="K47" s="634" t="str">
        <f>IFERROR(IF(#REF!=0, J47/H47, I47/#REF!), "")</f>
        <v/>
      </c>
      <c r="L47" s="637" t="s">
        <v>1891</v>
      </c>
      <c r="M47" s="641"/>
      <c r="N47" s="661"/>
      <c r="O47" s="482"/>
      <c r="P47" s="687">
        <f t="shared" si="5"/>
        <v>0</v>
      </c>
      <c r="Q47" s="663"/>
      <c r="R47" s="684" t="str">
        <f t="shared" si="3"/>
        <v/>
      </c>
      <c r="S47" s="685" t="str">
        <f t="shared" si="6"/>
        <v/>
      </c>
    </row>
    <row r="48" spans="1:19">
      <c r="A48" s="646">
        <v>47</v>
      </c>
      <c r="B48" s="653"/>
      <c r="C48" s="499"/>
      <c r="D48" s="654" t="str">
        <f>VLOOKUP(3,'Plate Planning'!$A$1:$S$35,13,FALSE)</f>
        <v>substrate_1</v>
      </c>
      <c r="E48" s="499"/>
      <c r="F48" s="482"/>
      <c r="G48" s="482"/>
      <c r="H48" s="655"/>
      <c r="I48" s="651">
        <f>G48*LOOKUP("Reaction scale (µmol):",'Plate Planning'!$H$31:$H$32,'Plate Planning'!$J$31:$J$32)/100</f>
        <v>0</v>
      </c>
      <c r="J48" s="631" t="str">
        <f t="shared" si="4"/>
        <v/>
      </c>
      <c r="K48" s="634" t="str">
        <f>IFERROR(IF(#REF!=0, J48/H48, I48/#REF!), "")</f>
        <v/>
      </c>
      <c r="L48" s="637" t="s">
        <v>1891</v>
      </c>
      <c r="M48" s="641"/>
      <c r="N48" s="661"/>
      <c r="O48" s="482"/>
      <c r="P48" s="687">
        <f t="shared" si="5"/>
        <v>0</v>
      </c>
      <c r="Q48" s="663"/>
      <c r="R48" s="684" t="str">
        <f t="shared" si="3"/>
        <v/>
      </c>
      <c r="S48" s="685" t="str">
        <f t="shared" si="6"/>
        <v/>
      </c>
    </row>
    <row r="49" spans="1:19">
      <c r="A49" s="646">
        <v>48</v>
      </c>
      <c r="B49" s="653"/>
      <c r="C49" s="499"/>
      <c r="D49" s="654" t="str">
        <f>VLOOKUP(3,'Plate Planning'!$A$1:$S$35,13,FALSE)</f>
        <v>substrate_1</v>
      </c>
      <c r="E49" s="499"/>
      <c r="F49" s="482"/>
      <c r="G49" s="482"/>
      <c r="H49" s="655"/>
      <c r="I49" s="651">
        <f>G49*LOOKUP("Reaction scale (µmol):",'Plate Planning'!$H$31:$H$32,'Plate Planning'!$J$31:$J$32)/100</f>
        <v>0</v>
      </c>
      <c r="J49" s="631" t="str">
        <f t="shared" si="4"/>
        <v/>
      </c>
      <c r="K49" s="634" t="str">
        <f>IFERROR(IF(#REF!=0, J49/H49, I49/#REF!), "")</f>
        <v/>
      </c>
      <c r="L49" s="637" t="s">
        <v>1891</v>
      </c>
      <c r="M49" s="641"/>
      <c r="N49" s="661"/>
      <c r="O49" s="482"/>
      <c r="P49" s="687">
        <f t="shared" si="5"/>
        <v>0</v>
      </c>
      <c r="Q49" s="663"/>
      <c r="R49" s="684" t="str">
        <f t="shared" si="3"/>
        <v/>
      </c>
      <c r="S49" s="685" t="str">
        <f t="shared" si="6"/>
        <v/>
      </c>
    </row>
    <row r="50" spans="1:19">
      <c r="A50" s="646">
        <v>49</v>
      </c>
      <c r="B50" s="653"/>
      <c r="C50" s="499"/>
      <c r="D50" s="654" t="str">
        <f>VLOOKUP(3,'Plate Planning'!$A$1:$S$35,13,FALSE)</f>
        <v>substrate_1</v>
      </c>
      <c r="E50" s="499"/>
      <c r="F50" s="482"/>
      <c r="G50" s="482"/>
      <c r="H50" s="655"/>
      <c r="I50" s="651">
        <f>G50*LOOKUP("Reaction scale (µmol):",'Plate Planning'!$H$31:$H$32,'Plate Planning'!$J$31:$J$32)/100</f>
        <v>0</v>
      </c>
      <c r="J50" s="631" t="str">
        <f t="shared" si="4"/>
        <v/>
      </c>
      <c r="K50" s="634" t="str">
        <f>IFERROR(IF(#REF!=0, J50/H50, I50/#REF!), "")</f>
        <v/>
      </c>
      <c r="L50" s="637" t="s">
        <v>1891</v>
      </c>
      <c r="M50" s="641"/>
      <c r="N50" s="661"/>
      <c r="O50" s="482"/>
      <c r="P50" s="687">
        <f t="shared" si="5"/>
        <v>0</v>
      </c>
      <c r="Q50" s="663"/>
      <c r="R50" s="684" t="str">
        <f t="shared" si="3"/>
        <v/>
      </c>
      <c r="S50" s="685" t="str">
        <f t="shared" si="6"/>
        <v/>
      </c>
    </row>
    <row r="51" spans="1:19">
      <c r="A51" s="646">
        <v>50</v>
      </c>
      <c r="B51" s="653"/>
      <c r="C51" s="499"/>
      <c r="D51" s="654" t="str">
        <f>VLOOKUP(3,'Plate Planning'!$A$1:$S$35,13,FALSE)</f>
        <v>substrate_1</v>
      </c>
      <c r="E51" s="499"/>
      <c r="F51" s="482"/>
      <c r="G51" s="482"/>
      <c r="H51" s="655"/>
      <c r="I51" s="651">
        <f>G51*LOOKUP("Reaction scale (µmol):",'Plate Planning'!$H$31:$H$32,'Plate Planning'!$J$31:$J$32)/100</f>
        <v>0</v>
      </c>
      <c r="J51" s="631" t="str">
        <f t="shared" si="4"/>
        <v/>
      </c>
      <c r="K51" s="634" t="str">
        <f>IFERROR(IF(#REF!=0, J51/H51, I51/#REF!), "")</f>
        <v/>
      </c>
      <c r="L51" s="637" t="s">
        <v>1891</v>
      </c>
      <c r="M51" s="641"/>
      <c r="N51" s="661"/>
      <c r="O51" s="482"/>
      <c r="P51" s="687">
        <f t="shared" si="5"/>
        <v>0</v>
      </c>
      <c r="Q51" s="663"/>
      <c r="R51" s="684" t="str">
        <f t="shared" si="3"/>
        <v/>
      </c>
      <c r="S51" s="685" t="str">
        <f t="shared" si="6"/>
        <v/>
      </c>
    </row>
    <row r="52" spans="1:19">
      <c r="A52" s="646">
        <v>51</v>
      </c>
      <c r="B52" s="653"/>
      <c r="C52" s="499"/>
      <c r="D52" s="654" t="str">
        <f>VLOOKUP(3,'Plate Planning'!$A$1:$S$35,13,FALSE)</f>
        <v>substrate_1</v>
      </c>
      <c r="E52" s="499"/>
      <c r="F52" s="482"/>
      <c r="G52" s="482"/>
      <c r="H52" s="655"/>
      <c r="I52" s="651">
        <f>G52*LOOKUP("Reaction scale (µmol):",'Plate Planning'!$H$31:$H$32,'Plate Planning'!$J$31:$J$32)/100</f>
        <v>0</v>
      </c>
      <c r="J52" s="631" t="str">
        <f t="shared" si="4"/>
        <v/>
      </c>
      <c r="K52" s="634" t="str">
        <f>IFERROR(IF(#REF!=0, J52/H52, I52/#REF!), "")</f>
        <v/>
      </c>
      <c r="L52" s="637" t="s">
        <v>1891</v>
      </c>
      <c r="M52" s="641"/>
      <c r="N52" s="661"/>
      <c r="O52" s="482"/>
      <c r="P52" s="687">
        <f t="shared" si="5"/>
        <v>0</v>
      </c>
      <c r="Q52" s="663"/>
      <c r="R52" s="684" t="str">
        <f t="shared" si="3"/>
        <v/>
      </c>
      <c r="S52" s="685" t="str">
        <f t="shared" si="6"/>
        <v/>
      </c>
    </row>
    <row r="53" spans="1:19">
      <c r="A53" s="646">
        <v>52</v>
      </c>
      <c r="B53" s="653"/>
      <c r="C53" s="499"/>
      <c r="D53" s="654" t="str">
        <f>VLOOKUP(3,'Plate Planning'!$A$1:$S$35,13,FALSE)</f>
        <v>substrate_1</v>
      </c>
      <c r="E53" s="499"/>
      <c r="F53" s="482"/>
      <c r="G53" s="482"/>
      <c r="H53" s="655"/>
      <c r="I53" s="651">
        <f>G53*LOOKUP("Reaction scale (µmol):",'Plate Planning'!$H$31:$H$32,'Plate Planning'!$J$31:$J$32)/100</f>
        <v>0</v>
      </c>
      <c r="J53" s="631" t="str">
        <f t="shared" si="4"/>
        <v/>
      </c>
      <c r="K53" s="634" t="str">
        <f>IFERROR(IF(#REF!=0, J53/H53, I53/#REF!), "")</f>
        <v/>
      </c>
      <c r="L53" s="637" t="s">
        <v>1891</v>
      </c>
      <c r="M53" s="641"/>
      <c r="N53" s="661"/>
      <c r="O53" s="482"/>
      <c r="P53" s="687">
        <f t="shared" si="5"/>
        <v>0</v>
      </c>
      <c r="Q53" s="663"/>
      <c r="R53" s="684" t="str">
        <f t="shared" si="3"/>
        <v/>
      </c>
      <c r="S53" s="685" t="str">
        <f t="shared" si="6"/>
        <v/>
      </c>
    </row>
    <row r="54" spans="1:19">
      <c r="A54" s="646">
        <v>53</v>
      </c>
      <c r="B54" s="653"/>
      <c r="C54" s="499"/>
      <c r="D54" s="654" t="str">
        <f>VLOOKUP(3,'Plate Planning'!$A$1:$S$35,13,FALSE)</f>
        <v>substrate_1</v>
      </c>
      <c r="E54" s="499"/>
      <c r="F54" s="482"/>
      <c r="G54" s="482"/>
      <c r="H54" s="655"/>
      <c r="I54" s="651">
        <f>G54*LOOKUP("Reaction scale (µmol):",'Plate Planning'!$H$31:$H$32,'Plate Planning'!$J$31:$J$32)/100</f>
        <v>0</v>
      </c>
      <c r="J54" s="631" t="str">
        <f t="shared" si="4"/>
        <v/>
      </c>
      <c r="K54" s="634" t="str">
        <f>IFERROR(IF(#REF!=0, J54/H54, I54/#REF!), "")</f>
        <v/>
      </c>
      <c r="L54" s="637" t="s">
        <v>1891</v>
      </c>
      <c r="M54" s="641"/>
      <c r="N54" s="661"/>
      <c r="O54" s="482"/>
      <c r="P54" s="687">
        <f t="shared" si="5"/>
        <v>0</v>
      </c>
      <c r="Q54" s="663"/>
      <c r="R54" s="684" t="str">
        <f t="shared" si="3"/>
        <v/>
      </c>
      <c r="S54" s="685" t="str">
        <f t="shared" si="6"/>
        <v/>
      </c>
    </row>
    <row r="55" spans="1:19">
      <c r="A55" s="646">
        <v>54</v>
      </c>
      <c r="B55" s="653"/>
      <c r="C55" s="499"/>
      <c r="D55" s="654" t="str">
        <f>VLOOKUP(3,'Plate Planning'!$A$1:$S$35,13,FALSE)</f>
        <v>substrate_1</v>
      </c>
      <c r="E55" s="499"/>
      <c r="F55" s="482"/>
      <c r="G55" s="482"/>
      <c r="H55" s="655"/>
      <c r="I55" s="651">
        <f>G55*LOOKUP("Reaction scale (µmol):",'Plate Planning'!$H$31:$H$32,'Plate Planning'!$J$31:$J$32)/100</f>
        <v>0</v>
      </c>
      <c r="J55" s="631" t="str">
        <f t="shared" si="4"/>
        <v/>
      </c>
      <c r="K55" s="634" t="str">
        <f>IFERROR(IF(#REF!=0, J55/H55, I55/#REF!), "")</f>
        <v/>
      </c>
      <c r="L55" s="637" t="s">
        <v>1891</v>
      </c>
      <c r="M55" s="641"/>
      <c r="N55" s="661"/>
      <c r="O55" s="482"/>
      <c r="P55" s="687">
        <f t="shared" si="5"/>
        <v>0</v>
      </c>
      <c r="Q55" s="663"/>
      <c r="R55" s="684" t="str">
        <f t="shared" si="3"/>
        <v/>
      </c>
      <c r="S55" s="685" t="str">
        <f t="shared" si="6"/>
        <v/>
      </c>
    </row>
    <row r="56" spans="1:19">
      <c r="A56" s="646">
        <v>55</v>
      </c>
      <c r="B56" s="653"/>
      <c r="C56" s="499"/>
      <c r="D56" s="654" t="str">
        <f>VLOOKUP(3,'Plate Planning'!$A$1:$S$35,13,FALSE)</f>
        <v>substrate_1</v>
      </c>
      <c r="E56" s="499"/>
      <c r="F56" s="482"/>
      <c r="G56" s="482"/>
      <c r="H56" s="655"/>
      <c r="I56" s="651">
        <f>G56*LOOKUP("Reaction scale (µmol):",'Plate Planning'!$H$31:$H$32,'Plate Planning'!$J$31:$J$32)/100</f>
        <v>0</v>
      </c>
      <c r="J56" s="631" t="str">
        <f t="shared" si="4"/>
        <v/>
      </c>
      <c r="K56" s="634" t="str">
        <f>IFERROR(IF(#REF!=0, J56/H56, I56/#REF!), "")</f>
        <v/>
      </c>
      <c r="L56" s="637" t="s">
        <v>1891</v>
      </c>
      <c r="M56" s="641"/>
      <c r="N56" s="661"/>
      <c r="O56" s="482"/>
      <c r="P56" s="687">
        <f t="shared" si="5"/>
        <v>0</v>
      </c>
      <c r="Q56" s="663"/>
      <c r="R56" s="684" t="str">
        <f t="shared" si="3"/>
        <v/>
      </c>
      <c r="S56" s="685" t="str">
        <f t="shared" si="6"/>
        <v/>
      </c>
    </row>
    <row r="57" spans="1:19">
      <c r="A57" s="646">
        <v>56</v>
      </c>
      <c r="B57" s="653"/>
      <c r="C57" s="499"/>
      <c r="D57" s="654" t="str">
        <f>VLOOKUP(3,'Plate Planning'!$A$1:$S$35,13,FALSE)</f>
        <v>substrate_1</v>
      </c>
      <c r="E57" s="499"/>
      <c r="F57" s="482"/>
      <c r="G57" s="482"/>
      <c r="H57" s="655"/>
      <c r="I57" s="651">
        <f>G57*LOOKUP("Reaction scale (µmol):",'Plate Planning'!$H$31:$H$32,'Plate Planning'!$J$31:$J$32)/100</f>
        <v>0</v>
      </c>
      <c r="J57" s="631" t="str">
        <f t="shared" si="4"/>
        <v/>
      </c>
      <c r="K57" s="634" t="str">
        <f>IFERROR(IF(#REF!=0, J57/H57, I57/#REF!), "")</f>
        <v/>
      </c>
      <c r="L57" s="637" t="s">
        <v>1891</v>
      </c>
      <c r="M57" s="641"/>
      <c r="N57" s="661"/>
      <c r="O57" s="482"/>
      <c r="P57" s="687">
        <f t="shared" si="5"/>
        <v>0</v>
      </c>
      <c r="Q57" s="663"/>
      <c r="R57" s="684" t="str">
        <f t="shared" si="3"/>
        <v/>
      </c>
      <c r="S57" s="685" t="str">
        <f t="shared" si="6"/>
        <v/>
      </c>
    </row>
    <row r="58" spans="1:19">
      <c r="A58" s="646">
        <v>57</v>
      </c>
      <c r="B58" s="653"/>
      <c r="C58" s="499"/>
      <c r="D58" s="654" t="str">
        <f>VLOOKUP(3,'Plate Planning'!$A$1:$S$35,13,FALSE)</f>
        <v>substrate_1</v>
      </c>
      <c r="E58" s="499"/>
      <c r="F58" s="482"/>
      <c r="G58" s="482"/>
      <c r="H58" s="655"/>
      <c r="I58" s="651">
        <f>G58*LOOKUP("Reaction scale (µmol):",'Plate Planning'!$H$31:$H$32,'Plate Planning'!$J$31:$J$32)/100</f>
        <v>0</v>
      </c>
      <c r="J58" s="631" t="str">
        <f t="shared" si="4"/>
        <v/>
      </c>
      <c r="K58" s="634" t="str">
        <f>IFERROR(IF(#REF!=0, J58/H58, I58/#REF!), "")</f>
        <v/>
      </c>
      <c r="L58" s="637" t="s">
        <v>1891</v>
      </c>
      <c r="M58" s="641"/>
      <c r="N58" s="661"/>
      <c r="O58" s="482"/>
      <c r="P58" s="687">
        <f t="shared" si="5"/>
        <v>0</v>
      </c>
      <c r="Q58" s="663"/>
      <c r="R58" s="684" t="str">
        <f t="shared" si="3"/>
        <v/>
      </c>
      <c r="S58" s="685" t="str">
        <f t="shared" si="6"/>
        <v/>
      </c>
    </row>
    <row r="59" spans="1:19">
      <c r="A59" s="646">
        <v>58</v>
      </c>
      <c r="B59" s="653"/>
      <c r="C59" s="499"/>
      <c r="D59" s="654" t="str">
        <f>VLOOKUP(3,'Plate Planning'!$A$1:$S$35,13,FALSE)</f>
        <v>substrate_1</v>
      </c>
      <c r="E59" s="499"/>
      <c r="F59" s="482"/>
      <c r="G59" s="482"/>
      <c r="H59" s="655"/>
      <c r="I59" s="651">
        <f>G59*LOOKUP("Reaction scale (µmol):",'Plate Planning'!$H$31:$H$32,'Plate Planning'!$J$31:$J$32)/100</f>
        <v>0</v>
      </c>
      <c r="J59" s="631" t="str">
        <f t="shared" si="4"/>
        <v/>
      </c>
      <c r="K59" s="634" t="str">
        <f>IFERROR(IF(#REF!=0, J59/H59, I59/#REF!), "")</f>
        <v/>
      </c>
      <c r="L59" s="637" t="s">
        <v>1891</v>
      </c>
      <c r="M59" s="641"/>
      <c r="N59" s="661"/>
      <c r="O59" s="482"/>
      <c r="P59" s="687">
        <f t="shared" si="5"/>
        <v>0</v>
      </c>
      <c r="Q59" s="663"/>
      <c r="R59" s="684" t="str">
        <f t="shared" si="3"/>
        <v/>
      </c>
      <c r="S59" s="685" t="str">
        <f t="shared" si="6"/>
        <v/>
      </c>
    </row>
    <row r="60" spans="1:19">
      <c r="A60" s="646">
        <v>59</v>
      </c>
      <c r="B60" s="653"/>
      <c r="C60" s="499"/>
      <c r="D60" s="654" t="str">
        <f>VLOOKUP(3,'Plate Planning'!$A$1:$S$35,13,FALSE)</f>
        <v>substrate_1</v>
      </c>
      <c r="E60" s="499"/>
      <c r="F60" s="482"/>
      <c r="G60" s="482"/>
      <c r="H60" s="655"/>
      <c r="I60" s="651">
        <f>G60*LOOKUP("Reaction scale (µmol):",'Plate Planning'!$H$31:$H$32,'Plate Planning'!$J$31:$J$32)/100</f>
        <v>0</v>
      </c>
      <c r="J60" s="631" t="str">
        <f t="shared" si="4"/>
        <v/>
      </c>
      <c r="K60" s="634" t="str">
        <f>IFERROR(IF(#REF!=0, J60/H60, I60/#REF!), "")</f>
        <v/>
      </c>
      <c r="L60" s="637" t="s">
        <v>1891</v>
      </c>
      <c r="M60" s="641"/>
      <c r="N60" s="661"/>
      <c r="O60" s="482"/>
      <c r="P60" s="687">
        <f t="shared" si="5"/>
        <v>0</v>
      </c>
      <c r="Q60" s="663"/>
      <c r="R60" s="684" t="str">
        <f t="shared" si="3"/>
        <v/>
      </c>
      <c r="S60" s="685" t="str">
        <f t="shared" si="6"/>
        <v/>
      </c>
    </row>
    <row r="61" spans="1:19">
      <c r="A61" s="646">
        <v>60</v>
      </c>
      <c r="B61" s="653"/>
      <c r="C61" s="499"/>
      <c r="D61" s="654" t="str">
        <f>VLOOKUP(3,'Plate Planning'!$A$1:$S$35,13,FALSE)</f>
        <v>substrate_1</v>
      </c>
      <c r="E61" s="499"/>
      <c r="F61" s="482"/>
      <c r="G61" s="482"/>
      <c r="H61" s="655"/>
      <c r="I61" s="651">
        <f>G61*LOOKUP("Reaction scale (µmol):",'Plate Planning'!$H$31:$H$32,'Plate Planning'!$J$31:$J$32)/100</f>
        <v>0</v>
      </c>
      <c r="J61" s="631" t="str">
        <f t="shared" si="4"/>
        <v/>
      </c>
      <c r="K61" s="634" t="str">
        <f>IFERROR(IF(#REF!=0, J61/H61, I61/#REF!), "")</f>
        <v/>
      </c>
      <c r="L61" s="637" t="s">
        <v>1891</v>
      </c>
      <c r="M61" s="641"/>
      <c r="N61" s="661"/>
      <c r="O61" s="482"/>
      <c r="P61" s="687">
        <f t="shared" si="5"/>
        <v>0</v>
      </c>
      <c r="Q61" s="663"/>
      <c r="R61" s="684" t="str">
        <f t="shared" si="3"/>
        <v/>
      </c>
      <c r="S61" s="685" t="str">
        <f t="shared" si="6"/>
        <v/>
      </c>
    </row>
    <row r="62" spans="1:19">
      <c r="A62" s="646">
        <v>61</v>
      </c>
      <c r="B62" s="653"/>
      <c r="C62" s="499"/>
      <c r="D62" s="654" t="str">
        <f>VLOOKUP(3,'Plate Planning'!$A$1:$S$35,13,FALSE)</f>
        <v>substrate_1</v>
      </c>
      <c r="E62" s="499"/>
      <c r="F62" s="482"/>
      <c r="G62" s="482"/>
      <c r="H62" s="655"/>
      <c r="I62" s="651">
        <f>G62*LOOKUP("Reaction scale (µmol):",'Plate Planning'!$H$31:$H$32,'Plate Planning'!$J$31:$J$32)/100</f>
        <v>0</v>
      </c>
      <c r="J62" s="631" t="str">
        <f t="shared" si="4"/>
        <v/>
      </c>
      <c r="K62" s="634" t="str">
        <f>IFERROR(IF(#REF!=0, J62/H62, I62/#REF!), "")</f>
        <v/>
      </c>
      <c r="L62" s="637" t="s">
        <v>1891</v>
      </c>
      <c r="M62" s="641"/>
      <c r="N62" s="661"/>
      <c r="O62" s="482"/>
      <c r="P62" s="687">
        <f t="shared" si="5"/>
        <v>0</v>
      </c>
      <c r="Q62" s="663"/>
      <c r="R62" s="684" t="str">
        <f t="shared" si="3"/>
        <v/>
      </c>
      <c r="S62" s="685" t="str">
        <f t="shared" si="6"/>
        <v/>
      </c>
    </row>
    <row r="63" spans="1:19">
      <c r="A63" s="646">
        <v>62</v>
      </c>
      <c r="B63" s="653"/>
      <c r="C63" s="499"/>
      <c r="D63" s="654" t="str">
        <f>VLOOKUP(3,'Plate Planning'!$A$1:$S$35,13,FALSE)</f>
        <v>substrate_1</v>
      </c>
      <c r="E63" s="499"/>
      <c r="F63" s="482"/>
      <c r="G63" s="482"/>
      <c r="H63" s="655"/>
      <c r="I63" s="651">
        <f>G63*LOOKUP("Reaction scale (µmol):",'Plate Planning'!$H$31:$H$32,'Plate Planning'!$J$31:$J$32)/100</f>
        <v>0</v>
      </c>
      <c r="J63" s="631" t="str">
        <f t="shared" si="4"/>
        <v/>
      </c>
      <c r="K63" s="634" t="str">
        <f>IFERROR(IF(#REF!=0, J63/H63, I63/#REF!), "")</f>
        <v/>
      </c>
      <c r="L63" s="637" t="s">
        <v>1891</v>
      </c>
      <c r="M63" s="641"/>
      <c r="N63" s="661"/>
      <c r="O63" s="482"/>
      <c r="P63" s="687">
        <f t="shared" si="5"/>
        <v>0</v>
      </c>
      <c r="Q63" s="663"/>
      <c r="R63" s="684" t="str">
        <f t="shared" si="3"/>
        <v/>
      </c>
      <c r="S63" s="685" t="str">
        <f t="shared" si="6"/>
        <v/>
      </c>
    </row>
    <row r="64" spans="1:19">
      <c r="A64" s="646">
        <v>63</v>
      </c>
      <c r="B64" s="653"/>
      <c r="C64" s="499"/>
      <c r="D64" s="654" t="str">
        <f>VLOOKUP(3,'Plate Planning'!$A$1:$S$35,13,FALSE)</f>
        <v>substrate_1</v>
      </c>
      <c r="E64" s="499"/>
      <c r="F64" s="482"/>
      <c r="G64" s="482"/>
      <c r="H64" s="655"/>
      <c r="I64" s="651">
        <f>G64*LOOKUP("Reaction scale (µmol):",'Plate Planning'!$H$31:$H$32,'Plate Planning'!$J$31:$J$32)/100</f>
        <v>0</v>
      </c>
      <c r="J64" s="631" t="str">
        <f t="shared" si="4"/>
        <v/>
      </c>
      <c r="K64" s="634" t="str">
        <f>IFERROR(IF(#REF!=0, J64/H64, I64/#REF!), "")</f>
        <v/>
      </c>
      <c r="L64" s="637" t="s">
        <v>1891</v>
      </c>
      <c r="M64" s="641"/>
      <c r="N64" s="661"/>
      <c r="O64" s="482"/>
      <c r="P64" s="687">
        <f t="shared" si="5"/>
        <v>0</v>
      </c>
      <c r="Q64" s="663"/>
      <c r="R64" s="684" t="str">
        <f t="shared" si="3"/>
        <v/>
      </c>
      <c r="S64" s="685" t="str">
        <f t="shared" si="6"/>
        <v/>
      </c>
    </row>
    <row r="65" spans="1:19">
      <c r="A65" s="646">
        <v>64</v>
      </c>
      <c r="B65" s="653"/>
      <c r="C65" s="499"/>
      <c r="D65" s="654" t="str">
        <f>VLOOKUP(3,'Plate Planning'!$A$1:$S$35,13,FALSE)</f>
        <v>substrate_1</v>
      </c>
      <c r="E65" s="499"/>
      <c r="F65" s="482"/>
      <c r="G65" s="482"/>
      <c r="H65" s="655"/>
      <c r="I65" s="651">
        <f>G65*LOOKUP("Reaction scale (µmol):",'Plate Planning'!$H$31:$H$32,'Plate Planning'!$J$31:$J$32)/100</f>
        <v>0</v>
      </c>
      <c r="J65" s="631" t="str">
        <f t="shared" si="4"/>
        <v/>
      </c>
      <c r="K65" s="634" t="str">
        <f>IFERROR(IF(#REF!=0, J65/H65, I65/#REF!), "")</f>
        <v/>
      </c>
      <c r="L65" s="637" t="s">
        <v>1891</v>
      </c>
      <c r="M65" s="641"/>
      <c r="N65" s="661"/>
      <c r="O65" s="482"/>
      <c r="P65" s="687">
        <f t="shared" si="5"/>
        <v>0</v>
      </c>
      <c r="Q65" s="663"/>
      <c r="R65" s="684" t="str">
        <f t="shared" si="3"/>
        <v/>
      </c>
      <c r="S65" s="685" t="str">
        <f t="shared" si="6"/>
        <v/>
      </c>
    </row>
    <row r="66" spans="1:19">
      <c r="A66" s="646">
        <v>65</v>
      </c>
      <c r="B66" s="653"/>
      <c r="C66" s="499"/>
      <c r="D66" s="654" t="str">
        <f>VLOOKUP(3,'Plate Planning'!$A$1:$S$35,13,FALSE)</f>
        <v>substrate_1</v>
      </c>
      <c r="E66" s="499"/>
      <c r="F66" s="482"/>
      <c r="G66" s="482"/>
      <c r="H66" s="655"/>
      <c r="I66" s="651">
        <f>G66*LOOKUP("Reaction scale (µmol):",'Plate Planning'!$H$31:$H$32,'Plate Planning'!$J$31:$J$32)/100</f>
        <v>0</v>
      </c>
      <c r="J66" s="631" t="str">
        <f t="shared" ref="J66:J97" si="7">IF(I66=0, "",I66*F66/1000)</f>
        <v/>
      </c>
      <c r="K66" s="634" t="str">
        <f>IFERROR(IF(#REF!=0, J66/H66, I66/#REF!), "")</f>
        <v/>
      </c>
      <c r="L66" s="637" t="s">
        <v>1891</v>
      </c>
      <c r="M66" s="641"/>
      <c r="N66" s="661"/>
      <c r="O66" s="482"/>
      <c r="P66" s="687">
        <f t="shared" ref="P66:P97" si="8">O66*I66*F66/1000*2</f>
        <v>0</v>
      </c>
      <c r="Q66" s="663"/>
      <c r="R66" s="684" t="str">
        <f t="shared" si="3"/>
        <v/>
      </c>
      <c r="S66" s="685" t="str">
        <f t="shared" ref="S66:S97" si="9">IFERROR(I66/N66, "")</f>
        <v/>
      </c>
    </row>
    <row r="67" spans="1:19">
      <c r="A67" s="646">
        <v>66</v>
      </c>
      <c r="B67" s="653"/>
      <c r="C67" s="499"/>
      <c r="D67" s="654" t="str">
        <f>VLOOKUP(3,'Plate Planning'!$A$1:$S$35,13,FALSE)</f>
        <v>substrate_1</v>
      </c>
      <c r="E67" s="499"/>
      <c r="F67" s="482"/>
      <c r="G67" s="482"/>
      <c r="H67" s="655"/>
      <c r="I67" s="651">
        <f>G67*LOOKUP("Reaction scale (µmol):",'Plate Planning'!$H$31:$H$32,'Plate Planning'!$J$31:$J$32)/100</f>
        <v>0</v>
      </c>
      <c r="J67" s="631" t="str">
        <f t="shared" si="7"/>
        <v/>
      </c>
      <c r="K67" s="634" t="str">
        <f>IFERROR(IF(#REF!=0, J67/H67, I67/#REF!), "")</f>
        <v/>
      </c>
      <c r="L67" s="637" t="s">
        <v>1891</v>
      </c>
      <c r="M67" s="641"/>
      <c r="N67" s="661"/>
      <c r="O67" s="482"/>
      <c r="P67" s="687">
        <f t="shared" si="8"/>
        <v>0</v>
      </c>
      <c r="Q67" s="663"/>
      <c r="R67" s="684" t="str">
        <f t="shared" ref="R67:R97" si="10">IFERROR(IF(H67=0,Q67/F67/N67-Q67/1000,Q67/F67/N67-Q67/1000/H67), "")</f>
        <v/>
      </c>
      <c r="S67" s="685" t="str">
        <f t="shared" si="9"/>
        <v/>
      </c>
    </row>
    <row r="68" spans="1:19">
      <c r="A68" s="646">
        <v>67</v>
      </c>
      <c r="B68" s="653"/>
      <c r="C68" s="499"/>
      <c r="D68" s="654" t="str">
        <f>VLOOKUP(3,'Plate Planning'!$A$1:$S$35,13,FALSE)</f>
        <v>substrate_1</v>
      </c>
      <c r="E68" s="499"/>
      <c r="F68" s="482"/>
      <c r="G68" s="482"/>
      <c r="H68" s="655"/>
      <c r="I68" s="651">
        <f>G68*LOOKUP("Reaction scale (µmol):",'Plate Planning'!$H$31:$H$32,'Plate Planning'!$J$31:$J$32)/100</f>
        <v>0</v>
      </c>
      <c r="J68" s="631" t="str">
        <f t="shared" si="7"/>
        <v/>
      </c>
      <c r="K68" s="634" t="str">
        <f>IFERROR(IF(#REF!=0, J68/H68, I68/#REF!), "")</f>
        <v/>
      </c>
      <c r="L68" s="637" t="s">
        <v>1891</v>
      </c>
      <c r="M68" s="641"/>
      <c r="N68" s="661"/>
      <c r="O68" s="482"/>
      <c r="P68" s="687">
        <f t="shared" si="8"/>
        <v>0</v>
      </c>
      <c r="Q68" s="663"/>
      <c r="R68" s="684" t="str">
        <f t="shared" si="10"/>
        <v/>
      </c>
      <c r="S68" s="685" t="str">
        <f t="shared" si="9"/>
        <v/>
      </c>
    </row>
    <row r="69" spans="1:19">
      <c r="A69" s="646">
        <v>68</v>
      </c>
      <c r="B69" s="653"/>
      <c r="C69" s="499"/>
      <c r="D69" s="654" t="str">
        <f>VLOOKUP(3,'Plate Planning'!$A$1:$S$35,13,FALSE)</f>
        <v>substrate_1</v>
      </c>
      <c r="E69" s="499"/>
      <c r="F69" s="482"/>
      <c r="G69" s="482"/>
      <c r="H69" s="655"/>
      <c r="I69" s="651">
        <f>G69*LOOKUP("Reaction scale (µmol):",'Plate Planning'!$H$31:$H$32,'Plate Planning'!$J$31:$J$32)/100</f>
        <v>0</v>
      </c>
      <c r="J69" s="631" t="str">
        <f t="shared" si="7"/>
        <v/>
      </c>
      <c r="K69" s="634" t="str">
        <f>IFERROR(IF(#REF!=0, J69/H69, I69/#REF!), "")</f>
        <v/>
      </c>
      <c r="L69" s="637" t="s">
        <v>1891</v>
      </c>
      <c r="M69" s="641"/>
      <c r="N69" s="661"/>
      <c r="O69" s="482"/>
      <c r="P69" s="687">
        <f t="shared" si="8"/>
        <v>0</v>
      </c>
      <c r="Q69" s="663"/>
      <c r="R69" s="684" t="str">
        <f t="shared" si="10"/>
        <v/>
      </c>
      <c r="S69" s="685" t="str">
        <f t="shared" si="9"/>
        <v/>
      </c>
    </row>
    <row r="70" spans="1:19">
      <c r="A70" s="646">
        <v>69</v>
      </c>
      <c r="B70" s="653"/>
      <c r="C70" s="499"/>
      <c r="D70" s="654" t="str">
        <f>VLOOKUP(3,'Plate Planning'!$A$1:$S$35,13,FALSE)</f>
        <v>substrate_1</v>
      </c>
      <c r="E70" s="499"/>
      <c r="F70" s="482"/>
      <c r="G70" s="482"/>
      <c r="H70" s="655"/>
      <c r="I70" s="651">
        <f>G70*LOOKUP("Reaction scale (µmol):",'Plate Planning'!$H$31:$H$32,'Plate Planning'!$J$31:$J$32)/100</f>
        <v>0</v>
      </c>
      <c r="J70" s="631" t="str">
        <f t="shared" si="7"/>
        <v/>
      </c>
      <c r="K70" s="634" t="str">
        <f>IFERROR(IF(#REF!=0, J70/H70, I70/#REF!), "")</f>
        <v/>
      </c>
      <c r="L70" s="637" t="s">
        <v>1891</v>
      </c>
      <c r="M70" s="641"/>
      <c r="N70" s="661"/>
      <c r="O70" s="482"/>
      <c r="P70" s="687">
        <f t="shared" si="8"/>
        <v>0</v>
      </c>
      <c r="Q70" s="663"/>
      <c r="R70" s="684" t="str">
        <f t="shared" si="10"/>
        <v/>
      </c>
      <c r="S70" s="685" t="str">
        <f t="shared" si="9"/>
        <v/>
      </c>
    </row>
    <row r="71" spans="1:19">
      <c r="A71" s="646">
        <v>70</v>
      </c>
      <c r="B71" s="653"/>
      <c r="C71" s="499"/>
      <c r="D71" s="654" t="str">
        <f>VLOOKUP(3,'Plate Planning'!$A$1:$S$35,13,FALSE)</f>
        <v>substrate_1</v>
      </c>
      <c r="E71" s="499"/>
      <c r="F71" s="482"/>
      <c r="G71" s="482"/>
      <c r="H71" s="655"/>
      <c r="I71" s="651">
        <f>G71*LOOKUP("Reaction scale (µmol):",'Plate Planning'!$H$31:$H$32,'Plate Planning'!$J$31:$J$32)/100</f>
        <v>0</v>
      </c>
      <c r="J71" s="631" t="str">
        <f t="shared" si="7"/>
        <v/>
      </c>
      <c r="K71" s="634" t="str">
        <f>IFERROR(IF(#REF!=0, J71/H71, I71/#REF!), "")</f>
        <v/>
      </c>
      <c r="L71" s="637" t="s">
        <v>1891</v>
      </c>
      <c r="M71" s="641"/>
      <c r="N71" s="661"/>
      <c r="O71" s="482"/>
      <c r="P71" s="687">
        <f t="shared" si="8"/>
        <v>0</v>
      </c>
      <c r="Q71" s="663"/>
      <c r="R71" s="684" t="str">
        <f t="shared" si="10"/>
        <v/>
      </c>
      <c r="S71" s="685" t="str">
        <f t="shared" si="9"/>
        <v/>
      </c>
    </row>
    <row r="72" spans="1:19">
      <c r="A72" s="646">
        <v>71</v>
      </c>
      <c r="B72" s="653"/>
      <c r="C72" s="499"/>
      <c r="D72" s="654" t="str">
        <f>VLOOKUP(3,'Plate Planning'!$A$1:$S$35,13,FALSE)</f>
        <v>substrate_1</v>
      </c>
      <c r="E72" s="499"/>
      <c r="F72" s="482"/>
      <c r="G72" s="482"/>
      <c r="H72" s="655"/>
      <c r="I72" s="651">
        <f>G72*LOOKUP("Reaction scale (µmol):",'Plate Planning'!$H$31:$H$32,'Plate Planning'!$J$31:$J$32)/100</f>
        <v>0</v>
      </c>
      <c r="J72" s="631" t="str">
        <f t="shared" si="7"/>
        <v/>
      </c>
      <c r="K72" s="634" t="str">
        <f>IFERROR(IF(#REF!=0, J72/H72, I72/#REF!), "")</f>
        <v/>
      </c>
      <c r="L72" s="637" t="s">
        <v>1891</v>
      </c>
      <c r="M72" s="641"/>
      <c r="N72" s="661"/>
      <c r="O72" s="482"/>
      <c r="P72" s="687">
        <f t="shared" si="8"/>
        <v>0</v>
      </c>
      <c r="Q72" s="663"/>
      <c r="R72" s="684" t="str">
        <f t="shared" si="10"/>
        <v/>
      </c>
      <c r="S72" s="685" t="str">
        <f t="shared" si="9"/>
        <v/>
      </c>
    </row>
    <row r="73" spans="1:19">
      <c r="A73" s="646">
        <v>72</v>
      </c>
      <c r="B73" s="653"/>
      <c r="C73" s="499"/>
      <c r="D73" s="654" t="str">
        <f>VLOOKUP(3,'Plate Planning'!$A$1:$S$35,13,FALSE)</f>
        <v>substrate_1</v>
      </c>
      <c r="E73" s="499"/>
      <c r="F73" s="482"/>
      <c r="G73" s="482"/>
      <c r="H73" s="655"/>
      <c r="I73" s="651">
        <f>G73*LOOKUP("Reaction scale (µmol):",'Plate Planning'!$H$31:$H$32,'Plate Planning'!$J$31:$J$32)/100</f>
        <v>0</v>
      </c>
      <c r="J73" s="631" t="str">
        <f t="shared" si="7"/>
        <v/>
      </c>
      <c r="K73" s="634" t="str">
        <f>IFERROR(IF(#REF!=0, J73/H73, I73/#REF!), "")</f>
        <v/>
      </c>
      <c r="L73" s="637" t="s">
        <v>1891</v>
      </c>
      <c r="M73" s="641"/>
      <c r="N73" s="661"/>
      <c r="O73" s="482"/>
      <c r="P73" s="687">
        <f t="shared" si="8"/>
        <v>0</v>
      </c>
      <c r="Q73" s="663"/>
      <c r="R73" s="684" t="str">
        <f t="shared" si="10"/>
        <v/>
      </c>
      <c r="S73" s="685" t="str">
        <f t="shared" si="9"/>
        <v/>
      </c>
    </row>
    <row r="74" spans="1:19">
      <c r="A74" s="646">
        <v>73</v>
      </c>
      <c r="B74" s="653"/>
      <c r="C74" s="499"/>
      <c r="D74" s="654" t="str">
        <f>VLOOKUP(3,'Plate Planning'!$A$1:$S$35,13,FALSE)</f>
        <v>substrate_1</v>
      </c>
      <c r="E74" s="499"/>
      <c r="F74" s="482"/>
      <c r="G74" s="482"/>
      <c r="H74" s="655"/>
      <c r="I74" s="651">
        <f>G74*LOOKUP("Reaction scale (µmol):",'Plate Planning'!$H$31:$H$32,'Plate Planning'!$J$31:$J$32)/100</f>
        <v>0</v>
      </c>
      <c r="J74" s="631" t="str">
        <f t="shared" si="7"/>
        <v/>
      </c>
      <c r="K74" s="634" t="str">
        <f>IFERROR(IF(#REF!=0, J74/H74, I74/#REF!), "")</f>
        <v/>
      </c>
      <c r="L74" s="637" t="s">
        <v>1891</v>
      </c>
      <c r="M74" s="641"/>
      <c r="N74" s="661"/>
      <c r="O74" s="482"/>
      <c r="P74" s="687">
        <f t="shared" si="8"/>
        <v>0</v>
      </c>
      <c r="Q74" s="663"/>
      <c r="R74" s="684" t="str">
        <f t="shared" si="10"/>
        <v/>
      </c>
      <c r="S74" s="685" t="str">
        <f t="shared" si="9"/>
        <v/>
      </c>
    </row>
    <row r="75" spans="1:19">
      <c r="A75" s="646">
        <v>74</v>
      </c>
      <c r="B75" s="653"/>
      <c r="C75" s="499"/>
      <c r="D75" s="654" t="str">
        <f>VLOOKUP(3,'Plate Planning'!$A$1:$S$35,13,FALSE)</f>
        <v>substrate_1</v>
      </c>
      <c r="E75" s="499"/>
      <c r="F75" s="482"/>
      <c r="G75" s="482"/>
      <c r="H75" s="655"/>
      <c r="I75" s="651">
        <f>G75*LOOKUP("Reaction scale (µmol):",'Plate Planning'!$H$31:$H$32,'Plate Planning'!$J$31:$J$32)/100</f>
        <v>0</v>
      </c>
      <c r="J75" s="631" t="str">
        <f t="shared" si="7"/>
        <v/>
      </c>
      <c r="K75" s="634" t="str">
        <f>IFERROR(IF(#REF!=0, J75/H75, I75/#REF!), "")</f>
        <v/>
      </c>
      <c r="L75" s="637" t="s">
        <v>1891</v>
      </c>
      <c r="M75" s="641"/>
      <c r="N75" s="661"/>
      <c r="O75" s="482"/>
      <c r="P75" s="687">
        <f t="shared" si="8"/>
        <v>0</v>
      </c>
      <c r="Q75" s="663"/>
      <c r="R75" s="684" t="str">
        <f t="shared" si="10"/>
        <v/>
      </c>
      <c r="S75" s="685" t="str">
        <f t="shared" si="9"/>
        <v/>
      </c>
    </row>
    <row r="76" spans="1:19">
      <c r="A76" s="646">
        <v>75</v>
      </c>
      <c r="B76" s="653"/>
      <c r="C76" s="499"/>
      <c r="D76" s="654" t="str">
        <f>VLOOKUP(3,'Plate Planning'!$A$1:$S$35,13,FALSE)</f>
        <v>substrate_1</v>
      </c>
      <c r="E76" s="499"/>
      <c r="F76" s="482"/>
      <c r="G76" s="482"/>
      <c r="H76" s="655"/>
      <c r="I76" s="651">
        <f>G76*LOOKUP("Reaction scale (µmol):",'Plate Planning'!$H$31:$H$32,'Plate Planning'!$J$31:$J$32)/100</f>
        <v>0</v>
      </c>
      <c r="J76" s="631" t="str">
        <f t="shared" si="7"/>
        <v/>
      </c>
      <c r="K76" s="634" t="str">
        <f>IFERROR(IF(#REF!=0, J76/H76, I76/#REF!), "")</f>
        <v/>
      </c>
      <c r="L76" s="637" t="s">
        <v>1891</v>
      </c>
      <c r="M76" s="641"/>
      <c r="N76" s="661"/>
      <c r="O76" s="482"/>
      <c r="P76" s="687">
        <f t="shared" si="8"/>
        <v>0</v>
      </c>
      <c r="Q76" s="663"/>
      <c r="R76" s="684" t="str">
        <f t="shared" si="10"/>
        <v/>
      </c>
      <c r="S76" s="685" t="str">
        <f t="shared" si="9"/>
        <v/>
      </c>
    </row>
    <row r="77" spans="1:19">
      <c r="A77" s="646">
        <v>76</v>
      </c>
      <c r="B77" s="653"/>
      <c r="C77" s="499"/>
      <c r="D77" s="654" t="str">
        <f>VLOOKUP(3,'Plate Planning'!$A$1:$S$35,13,FALSE)</f>
        <v>substrate_1</v>
      </c>
      <c r="E77" s="499"/>
      <c r="F77" s="482"/>
      <c r="G77" s="482"/>
      <c r="H77" s="655"/>
      <c r="I77" s="651">
        <f>G77*LOOKUP("Reaction scale (µmol):",'Plate Planning'!$H$31:$H$32,'Plate Planning'!$J$31:$J$32)/100</f>
        <v>0</v>
      </c>
      <c r="J77" s="631" t="str">
        <f t="shared" si="7"/>
        <v/>
      </c>
      <c r="K77" s="634" t="str">
        <f>IFERROR(IF(#REF!=0, J77/H77, I77/#REF!), "")</f>
        <v/>
      </c>
      <c r="L77" s="637" t="s">
        <v>1891</v>
      </c>
      <c r="M77" s="641"/>
      <c r="N77" s="661"/>
      <c r="O77" s="482"/>
      <c r="P77" s="687">
        <f t="shared" si="8"/>
        <v>0</v>
      </c>
      <c r="Q77" s="663"/>
      <c r="R77" s="684" t="str">
        <f t="shared" si="10"/>
        <v/>
      </c>
      <c r="S77" s="685" t="str">
        <f t="shared" si="9"/>
        <v/>
      </c>
    </row>
    <row r="78" spans="1:19">
      <c r="A78" s="646">
        <v>77</v>
      </c>
      <c r="B78" s="653"/>
      <c r="C78" s="499"/>
      <c r="D78" s="654" t="str">
        <f>VLOOKUP(3,'Plate Planning'!$A$1:$S$35,13,FALSE)</f>
        <v>substrate_1</v>
      </c>
      <c r="E78" s="499"/>
      <c r="F78" s="482"/>
      <c r="G78" s="482"/>
      <c r="H78" s="655"/>
      <c r="I78" s="651">
        <f>G78*LOOKUP("Reaction scale (µmol):",'Plate Planning'!$H$31:$H$32,'Plate Planning'!$J$31:$J$32)/100</f>
        <v>0</v>
      </c>
      <c r="J78" s="631" t="str">
        <f t="shared" si="7"/>
        <v/>
      </c>
      <c r="K78" s="634" t="str">
        <f>IFERROR(IF(#REF!=0, J78/H78, I78/#REF!), "")</f>
        <v/>
      </c>
      <c r="L78" s="637" t="s">
        <v>1891</v>
      </c>
      <c r="M78" s="641"/>
      <c r="N78" s="661"/>
      <c r="O78" s="482"/>
      <c r="P78" s="687">
        <f t="shared" si="8"/>
        <v>0</v>
      </c>
      <c r="Q78" s="663"/>
      <c r="R78" s="684" t="str">
        <f t="shared" si="10"/>
        <v/>
      </c>
      <c r="S78" s="685" t="str">
        <f t="shared" si="9"/>
        <v/>
      </c>
    </row>
    <row r="79" spans="1:19">
      <c r="A79" s="646">
        <v>78</v>
      </c>
      <c r="B79" s="653"/>
      <c r="C79" s="499"/>
      <c r="D79" s="654" t="str">
        <f>VLOOKUP(3,'Plate Planning'!$A$1:$S$35,13,FALSE)</f>
        <v>substrate_1</v>
      </c>
      <c r="E79" s="499"/>
      <c r="F79" s="482"/>
      <c r="G79" s="482"/>
      <c r="H79" s="655"/>
      <c r="I79" s="651">
        <f>G79*LOOKUP("Reaction scale (µmol):",'Plate Planning'!$H$31:$H$32,'Plate Planning'!$J$31:$J$32)/100</f>
        <v>0</v>
      </c>
      <c r="J79" s="631" t="str">
        <f t="shared" si="7"/>
        <v/>
      </c>
      <c r="K79" s="634" t="str">
        <f>IFERROR(IF(#REF!=0, J79/H79, I79/#REF!), "")</f>
        <v/>
      </c>
      <c r="L79" s="637" t="s">
        <v>1891</v>
      </c>
      <c r="M79" s="641"/>
      <c r="N79" s="661"/>
      <c r="O79" s="482"/>
      <c r="P79" s="687">
        <f t="shared" si="8"/>
        <v>0</v>
      </c>
      <c r="Q79" s="663"/>
      <c r="R79" s="684" t="str">
        <f t="shared" si="10"/>
        <v/>
      </c>
      <c r="S79" s="685" t="str">
        <f t="shared" si="9"/>
        <v/>
      </c>
    </row>
    <row r="80" spans="1:19">
      <c r="A80" s="646">
        <v>79</v>
      </c>
      <c r="B80" s="653"/>
      <c r="C80" s="499"/>
      <c r="D80" s="654" t="str">
        <f>VLOOKUP(3,'Plate Planning'!$A$1:$S$35,13,FALSE)</f>
        <v>substrate_1</v>
      </c>
      <c r="E80" s="499"/>
      <c r="F80" s="482"/>
      <c r="G80" s="482"/>
      <c r="H80" s="655"/>
      <c r="I80" s="651">
        <f>G80*LOOKUP("Reaction scale (µmol):",'Plate Planning'!$H$31:$H$32,'Plate Planning'!$J$31:$J$32)/100</f>
        <v>0</v>
      </c>
      <c r="J80" s="631" t="str">
        <f t="shared" si="7"/>
        <v/>
      </c>
      <c r="K80" s="634" t="str">
        <f>IFERROR(IF(#REF!=0, J80/H80, I80/#REF!), "")</f>
        <v/>
      </c>
      <c r="L80" s="637" t="s">
        <v>1891</v>
      </c>
      <c r="M80" s="641"/>
      <c r="N80" s="661"/>
      <c r="O80" s="482"/>
      <c r="P80" s="687">
        <f t="shared" si="8"/>
        <v>0</v>
      </c>
      <c r="Q80" s="663"/>
      <c r="R80" s="684" t="str">
        <f t="shared" si="10"/>
        <v/>
      </c>
      <c r="S80" s="685" t="str">
        <f t="shared" si="9"/>
        <v/>
      </c>
    </row>
    <row r="81" spans="1:19">
      <c r="A81" s="646">
        <v>80</v>
      </c>
      <c r="B81" s="653"/>
      <c r="C81" s="499"/>
      <c r="D81" s="654" t="str">
        <f>VLOOKUP(3,'Plate Planning'!$A$1:$S$35,13,FALSE)</f>
        <v>substrate_1</v>
      </c>
      <c r="E81" s="499"/>
      <c r="F81" s="482"/>
      <c r="G81" s="482"/>
      <c r="H81" s="655"/>
      <c r="I81" s="651">
        <f>G81*LOOKUP("Reaction scale (µmol):",'Plate Planning'!$H$31:$H$32,'Plate Planning'!$J$31:$J$32)/100</f>
        <v>0</v>
      </c>
      <c r="J81" s="631" t="str">
        <f t="shared" si="7"/>
        <v/>
      </c>
      <c r="K81" s="634" t="str">
        <f>IFERROR(IF(#REF!=0, J81/H81, I81/#REF!), "")</f>
        <v/>
      </c>
      <c r="L81" s="637" t="s">
        <v>1891</v>
      </c>
      <c r="M81" s="641"/>
      <c r="N81" s="661"/>
      <c r="O81" s="482"/>
      <c r="P81" s="687">
        <f t="shared" si="8"/>
        <v>0</v>
      </c>
      <c r="Q81" s="663"/>
      <c r="R81" s="684" t="str">
        <f t="shared" si="10"/>
        <v/>
      </c>
      <c r="S81" s="685" t="str">
        <f t="shared" si="9"/>
        <v/>
      </c>
    </row>
    <row r="82" spans="1:19">
      <c r="A82" s="646">
        <v>81</v>
      </c>
      <c r="B82" s="653"/>
      <c r="C82" s="499"/>
      <c r="D82" s="654" t="str">
        <f>VLOOKUP(3,'Plate Planning'!$A$1:$S$35,13,FALSE)</f>
        <v>substrate_1</v>
      </c>
      <c r="E82" s="499"/>
      <c r="F82" s="482"/>
      <c r="G82" s="482"/>
      <c r="H82" s="655"/>
      <c r="I82" s="651">
        <f>G82*LOOKUP("Reaction scale (µmol):",'Plate Planning'!$H$31:$H$32,'Plate Planning'!$J$31:$J$32)/100</f>
        <v>0</v>
      </c>
      <c r="J82" s="631" t="str">
        <f t="shared" si="7"/>
        <v/>
      </c>
      <c r="K82" s="634" t="str">
        <f>IFERROR(IF(#REF!=0, J82/H82, I82/#REF!), "")</f>
        <v/>
      </c>
      <c r="L82" s="637" t="s">
        <v>1891</v>
      </c>
      <c r="M82" s="641"/>
      <c r="N82" s="661"/>
      <c r="O82" s="482"/>
      <c r="P82" s="687">
        <f t="shared" si="8"/>
        <v>0</v>
      </c>
      <c r="Q82" s="663"/>
      <c r="R82" s="684" t="str">
        <f t="shared" si="10"/>
        <v/>
      </c>
      <c r="S82" s="685" t="str">
        <f t="shared" si="9"/>
        <v/>
      </c>
    </row>
    <row r="83" spans="1:19">
      <c r="A83" s="646">
        <v>82</v>
      </c>
      <c r="B83" s="653"/>
      <c r="C83" s="499"/>
      <c r="D83" s="654" t="str">
        <f>VLOOKUP(3,'Plate Planning'!$A$1:$S$35,13,FALSE)</f>
        <v>substrate_1</v>
      </c>
      <c r="E83" s="499"/>
      <c r="F83" s="482"/>
      <c r="G83" s="482"/>
      <c r="H83" s="655"/>
      <c r="I83" s="651">
        <f>G83*LOOKUP("Reaction scale (µmol):",'Plate Planning'!$H$31:$H$32,'Plate Planning'!$J$31:$J$32)/100</f>
        <v>0</v>
      </c>
      <c r="J83" s="631" t="str">
        <f t="shared" si="7"/>
        <v/>
      </c>
      <c r="K83" s="634" t="str">
        <f>IFERROR(IF(#REF!=0, J83/H83, I83/#REF!), "")</f>
        <v/>
      </c>
      <c r="L83" s="637" t="s">
        <v>1891</v>
      </c>
      <c r="M83" s="641"/>
      <c r="N83" s="661"/>
      <c r="O83" s="482"/>
      <c r="P83" s="687">
        <f t="shared" si="8"/>
        <v>0</v>
      </c>
      <c r="Q83" s="663"/>
      <c r="R83" s="684" t="str">
        <f t="shared" si="10"/>
        <v/>
      </c>
      <c r="S83" s="685" t="str">
        <f t="shared" si="9"/>
        <v/>
      </c>
    </row>
    <row r="84" spans="1:19">
      <c r="A84" s="646">
        <v>83</v>
      </c>
      <c r="B84" s="653"/>
      <c r="C84" s="499"/>
      <c r="D84" s="654" t="str">
        <f>VLOOKUP(3,'Plate Planning'!$A$1:$S$35,13,FALSE)</f>
        <v>substrate_1</v>
      </c>
      <c r="E84" s="499"/>
      <c r="F84" s="482"/>
      <c r="G84" s="482"/>
      <c r="H84" s="655"/>
      <c r="I84" s="651">
        <f>G84*LOOKUP("Reaction scale (µmol):",'Plate Planning'!$H$31:$H$32,'Plate Planning'!$J$31:$J$32)/100</f>
        <v>0</v>
      </c>
      <c r="J84" s="631" t="str">
        <f t="shared" si="7"/>
        <v/>
      </c>
      <c r="K84" s="634" t="str">
        <f>IFERROR(IF(#REF!=0, J84/H84, I84/#REF!), "")</f>
        <v/>
      </c>
      <c r="L84" s="637" t="s">
        <v>1891</v>
      </c>
      <c r="M84" s="641"/>
      <c r="N84" s="661"/>
      <c r="O84" s="482"/>
      <c r="P84" s="687">
        <f t="shared" si="8"/>
        <v>0</v>
      </c>
      <c r="Q84" s="663"/>
      <c r="R84" s="684" t="str">
        <f t="shared" si="10"/>
        <v/>
      </c>
      <c r="S84" s="685" t="str">
        <f t="shared" si="9"/>
        <v/>
      </c>
    </row>
    <row r="85" spans="1:19">
      <c r="A85" s="646">
        <v>84</v>
      </c>
      <c r="B85" s="653"/>
      <c r="C85" s="499"/>
      <c r="D85" s="654" t="str">
        <f>VLOOKUP(3,'Plate Planning'!$A$1:$S$35,13,FALSE)</f>
        <v>substrate_1</v>
      </c>
      <c r="E85" s="499"/>
      <c r="F85" s="482"/>
      <c r="G85" s="482"/>
      <c r="H85" s="655"/>
      <c r="I85" s="651">
        <f>G85*LOOKUP("Reaction scale (µmol):",'Plate Planning'!$H$31:$H$32,'Plate Planning'!$J$31:$J$32)/100</f>
        <v>0</v>
      </c>
      <c r="J85" s="631" t="str">
        <f t="shared" si="7"/>
        <v/>
      </c>
      <c r="K85" s="634" t="str">
        <f>IFERROR(IF(#REF!=0, J85/H85, I85/#REF!), "")</f>
        <v/>
      </c>
      <c r="L85" s="637" t="s">
        <v>1891</v>
      </c>
      <c r="M85" s="641"/>
      <c r="N85" s="661"/>
      <c r="O85" s="482"/>
      <c r="P85" s="687">
        <f t="shared" si="8"/>
        <v>0</v>
      </c>
      <c r="Q85" s="663"/>
      <c r="R85" s="684" t="str">
        <f t="shared" si="10"/>
        <v/>
      </c>
      <c r="S85" s="685" t="str">
        <f t="shared" si="9"/>
        <v/>
      </c>
    </row>
    <row r="86" spans="1:19">
      <c r="A86" s="646">
        <v>85</v>
      </c>
      <c r="B86" s="653"/>
      <c r="C86" s="499"/>
      <c r="D86" s="654" t="str">
        <f>VLOOKUP(3,'Plate Planning'!$A$1:$S$35,13,FALSE)</f>
        <v>substrate_1</v>
      </c>
      <c r="E86" s="499"/>
      <c r="F86" s="482"/>
      <c r="G86" s="482"/>
      <c r="H86" s="655"/>
      <c r="I86" s="651">
        <f>G86*LOOKUP("Reaction scale (µmol):",'Plate Planning'!$H$31:$H$32,'Plate Planning'!$J$31:$J$32)/100</f>
        <v>0</v>
      </c>
      <c r="J86" s="631" t="str">
        <f t="shared" si="7"/>
        <v/>
      </c>
      <c r="K86" s="634" t="str">
        <f>IFERROR(IF(#REF!=0, J86/H86, I86/#REF!), "")</f>
        <v/>
      </c>
      <c r="L86" s="637" t="s">
        <v>1891</v>
      </c>
      <c r="M86" s="641"/>
      <c r="N86" s="661"/>
      <c r="O86" s="482"/>
      <c r="P86" s="687">
        <f t="shared" si="8"/>
        <v>0</v>
      </c>
      <c r="Q86" s="663"/>
      <c r="R86" s="684" t="str">
        <f t="shared" si="10"/>
        <v/>
      </c>
      <c r="S86" s="685" t="str">
        <f t="shared" si="9"/>
        <v/>
      </c>
    </row>
    <row r="87" spans="1:19">
      <c r="A87" s="646">
        <v>86</v>
      </c>
      <c r="B87" s="653"/>
      <c r="C87" s="499"/>
      <c r="D87" s="654" t="str">
        <f>VLOOKUP(3,'Plate Planning'!$A$1:$S$35,13,FALSE)</f>
        <v>substrate_1</v>
      </c>
      <c r="E87" s="499"/>
      <c r="F87" s="482"/>
      <c r="G87" s="482"/>
      <c r="H87" s="655"/>
      <c r="I87" s="651">
        <f>G87*LOOKUP("Reaction scale (µmol):",'Plate Planning'!$H$31:$H$32,'Plate Planning'!$J$31:$J$32)/100</f>
        <v>0</v>
      </c>
      <c r="J87" s="631" t="str">
        <f t="shared" si="7"/>
        <v/>
      </c>
      <c r="K87" s="634" t="str">
        <f>IFERROR(IF(#REF!=0, J87/H87, I87/#REF!), "")</f>
        <v/>
      </c>
      <c r="L87" s="637" t="s">
        <v>1891</v>
      </c>
      <c r="M87" s="641"/>
      <c r="N87" s="661"/>
      <c r="O87" s="482"/>
      <c r="P87" s="687">
        <f t="shared" si="8"/>
        <v>0</v>
      </c>
      <c r="Q87" s="663"/>
      <c r="R87" s="684" t="str">
        <f t="shared" si="10"/>
        <v/>
      </c>
      <c r="S87" s="685" t="str">
        <f t="shared" si="9"/>
        <v/>
      </c>
    </row>
    <row r="88" spans="1:19">
      <c r="A88" s="646">
        <v>87</v>
      </c>
      <c r="B88" s="653"/>
      <c r="C88" s="499"/>
      <c r="D88" s="654" t="str">
        <f>VLOOKUP(3,'Plate Planning'!$A$1:$S$35,13,FALSE)</f>
        <v>substrate_1</v>
      </c>
      <c r="E88" s="499"/>
      <c r="F88" s="482"/>
      <c r="G88" s="482"/>
      <c r="H88" s="655"/>
      <c r="I88" s="651">
        <f>G88*LOOKUP("Reaction scale (µmol):",'Plate Planning'!$H$31:$H$32,'Plate Planning'!$J$31:$J$32)/100</f>
        <v>0</v>
      </c>
      <c r="J88" s="631" t="str">
        <f t="shared" si="7"/>
        <v/>
      </c>
      <c r="K88" s="634" t="str">
        <f>IFERROR(IF(#REF!=0, J88/H88, I88/#REF!), "")</f>
        <v/>
      </c>
      <c r="L88" s="637" t="s">
        <v>1891</v>
      </c>
      <c r="M88" s="641"/>
      <c r="N88" s="661"/>
      <c r="O88" s="482"/>
      <c r="P88" s="687">
        <f t="shared" si="8"/>
        <v>0</v>
      </c>
      <c r="Q88" s="663"/>
      <c r="R88" s="684" t="str">
        <f t="shared" si="10"/>
        <v/>
      </c>
      <c r="S88" s="685" t="str">
        <f t="shared" si="9"/>
        <v/>
      </c>
    </row>
    <row r="89" spans="1:19">
      <c r="A89" s="646">
        <v>88</v>
      </c>
      <c r="B89" s="653"/>
      <c r="C89" s="499"/>
      <c r="D89" s="654" t="str">
        <f>VLOOKUP(3,'Plate Planning'!$A$1:$S$35,13,FALSE)</f>
        <v>substrate_1</v>
      </c>
      <c r="E89" s="499"/>
      <c r="F89" s="482"/>
      <c r="G89" s="482"/>
      <c r="H89" s="655"/>
      <c r="I89" s="651">
        <f>G89*LOOKUP("Reaction scale (µmol):",'Plate Planning'!$H$31:$H$32,'Plate Planning'!$J$31:$J$32)/100</f>
        <v>0</v>
      </c>
      <c r="J89" s="631" t="str">
        <f t="shared" si="7"/>
        <v/>
      </c>
      <c r="K89" s="634" t="str">
        <f>IFERROR(IF(#REF!=0, J89/H89, I89/#REF!), "")</f>
        <v/>
      </c>
      <c r="L89" s="637" t="s">
        <v>1891</v>
      </c>
      <c r="M89" s="641"/>
      <c r="N89" s="661"/>
      <c r="O89" s="482"/>
      <c r="P89" s="687">
        <f t="shared" si="8"/>
        <v>0</v>
      </c>
      <c r="Q89" s="663"/>
      <c r="R89" s="684" t="str">
        <f t="shared" si="10"/>
        <v/>
      </c>
      <c r="S89" s="685" t="str">
        <f t="shared" si="9"/>
        <v/>
      </c>
    </row>
    <row r="90" spans="1:19">
      <c r="A90" s="646">
        <v>89</v>
      </c>
      <c r="B90" s="653"/>
      <c r="C90" s="499"/>
      <c r="D90" s="654" t="str">
        <f>VLOOKUP(3,'Plate Planning'!$A$1:$S$35,13,FALSE)</f>
        <v>substrate_1</v>
      </c>
      <c r="E90" s="499"/>
      <c r="F90" s="482"/>
      <c r="G90" s="482"/>
      <c r="H90" s="655"/>
      <c r="I90" s="651">
        <f>G90*LOOKUP("Reaction scale (µmol):",'Plate Planning'!$H$31:$H$32,'Plate Planning'!$J$31:$J$32)/100</f>
        <v>0</v>
      </c>
      <c r="J90" s="631" t="str">
        <f t="shared" si="7"/>
        <v/>
      </c>
      <c r="K90" s="634" t="str">
        <f>IFERROR(IF(#REF!=0, J90/H90, I90/#REF!), "")</f>
        <v/>
      </c>
      <c r="L90" s="637" t="s">
        <v>1891</v>
      </c>
      <c r="M90" s="641"/>
      <c r="N90" s="661"/>
      <c r="O90" s="482"/>
      <c r="P90" s="687">
        <f t="shared" si="8"/>
        <v>0</v>
      </c>
      <c r="Q90" s="663"/>
      <c r="R90" s="684" t="str">
        <f t="shared" si="10"/>
        <v/>
      </c>
      <c r="S90" s="685" t="str">
        <f t="shared" si="9"/>
        <v/>
      </c>
    </row>
    <row r="91" spans="1:19">
      <c r="A91" s="646">
        <v>90</v>
      </c>
      <c r="B91" s="653"/>
      <c r="C91" s="499"/>
      <c r="D91" s="654" t="str">
        <f>VLOOKUP(3,'Plate Planning'!$A$1:$S$35,13,FALSE)</f>
        <v>substrate_1</v>
      </c>
      <c r="E91" s="499"/>
      <c r="F91" s="482"/>
      <c r="G91" s="482"/>
      <c r="H91" s="655"/>
      <c r="I91" s="651">
        <f>G91*LOOKUP("Reaction scale (µmol):",'Plate Planning'!$H$31:$H$32,'Plate Planning'!$J$31:$J$32)/100</f>
        <v>0</v>
      </c>
      <c r="J91" s="631" t="str">
        <f t="shared" si="7"/>
        <v/>
      </c>
      <c r="K91" s="634" t="str">
        <f>IFERROR(IF(#REF!=0, J91/H91, I91/#REF!), "")</f>
        <v/>
      </c>
      <c r="L91" s="637" t="s">
        <v>1891</v>
      </c>
      <c r="M91" s="641"/>
      <c r="N91" s="661"/>
      <c r="O91" s="482"/>
      <c r="P91" s="687">
        <f t="shared" si="8"/>
        <v>0</v>
      </c>
      <c r="Q91" s="663"/>
      <c r="R91" s="684" t="str">
        <f t="shared" si="10"/>
        <v/>
      </c>
      <c r="S91" s="685" t="str">
        <f t="shared" si="9"/>
        <v/>
      </c>
    </row>
    <row r="92" spans="1:19">
      <c r="A92" s="646">
        <v>91</v>
      </c>
      <c r="B92" s="653"/>
      <c r="C92" s="499"/>
      <c r="D92" s="654" t="str">
        <f>VLOOKUP(3,'Plate Planning'!$A$1:$S$35,13,FALSE)</f>
        <v>substrate_1</v>
      </c>
      <c r="E92" s="499"/>
      <c r="F92" s="482"/>
      <c r="G92" s="482"/>
      <c r="H92" s="655"/>
      <c r="I92" s="651">
        <f>G92*LOOKUP("Reaction scale (µmol):",'Plate Planning'!$H$31:$H$32,'Plate Planning'!$J$31:$J$32)/100</f>
        <v>0</v>
      </c>
      <c r="J92" s="631" t="str">
        <f t="shared" si="7"/>
        <v/>
      </c>
      <c r="K92" s="634" t="str">
        <f>IFERROR(IF(#REF!=0, J92/H92, I92/#REF!), "")</f>
        <v/>
      </c>
      <c r="L92" s="637" t="s">
        <v>1891</v>
      </c>
      <c r="M92" s="641"/>
      <c r="N92" s="661"/>
      <c r="O92" s="482"/>
      <c r="P92" s="687">
        <f t="shared" si="8"/>
        <v>0</v>
      </c>
      <c r="Q92" s="663"/>
      <c r="R92" s="684" t="str">
        <f t="shared" si="10"/>
        <v/>
      </c>
      <c r="S92" s="685" t="str">
        <f t="shared" si="9"/>
        <v/>
      </c>
    </row>
    <row r="93" spans="1:19">
      <c r="A93" s="646">
        <v>92</v>
      </c>
      <c r="B93" s="653"/>
      <c r="C93" s="499"/>
      <c r="D93" s="654" t="str">
        <f>VLOOKUP(3,'Plate Planning'!$A$1:$S$35,13,FALSE)</f>
        <v>substrate_1</v>
      </c>
      <c r="E93" s="499"/>
      <c r="F93" s="482"/>
      <c r="G93" s="482"/>
      <c r="H93" s="655"/>
      <c r="I93" s="651">
        <f>G93*LOOKUP("Reaction scale (µmol):",'Plate Planning'!$H$31:$H$32,'Plate Planning'!$J$31:$J$32)/100</f>
        <v>0</v>
      </c>
      <c r="J93" s="631" t="str">
        <f t="shared" si="7"/>
        <v/>
      </c>
      <c r="K93" s="634" t="str">
        <f>IFERROR(IF(#REF!=0, J93/H93, I93/#REF!), "")</f>
        <v/>
      </c>
      <c r="L93" s="637" t="s">
        <v>1891</v>
      </c>
      <c r="M93" s="641"/>
      <c r="N93" s="661"/>
      <c r="O93" s="482"/>
      <c r="P93" s="687">
        <f t="shared" si="8"/>
        <v>0</v>
      </c>
      <c r="Q93" s="663"/>
      <c r="R93" s="684" t="str">
        <f t="shared" si="10"/>
        <v/>
      </c>
      <c r="S93" s="685" t="str">
        <f t="shared" si="9"/>
        <v/>
      </c>
    </row>
    <row r="94" spans="1:19">
      <c r="A94" s="646">
        <v>93</v>
      </c>
      <c r="B94" s="653"/>
      <c r="C94" s="499"/>
      <c r="D94" s="654" t="str">
        <f>VLOOKUP(3,'Plate Planning'!$A$1:$S$35,13,FALSE)</f>
        <v>substrate_1</v>
      </c>
      <c r="E94" s="499"/>
      <c r="F94" s="482"/>
      <c r="G94" s="482"/>
      <c r="H94" s="655"/>
      <c r="I94" s="651">
        <f>G94*LOOKUP("Reaction scale (µmol):",'Plate Planning'!$H$31:$H$32,'Plate Planning'!$J$31:$J$32)/100</f>
        <v>0</v>
      </c>
      <c r="J94" s="631" t="str">
        <f t="shared" si="7"/>
        <v/>
      </c>
      <c r="K94" s="634" t="str">
        <f>IFERROR(IF(#REF!=0, J94/H94, I94/#REF!), "")</f>
        <v/>
      </c>
      <c r="L94" s="637" t="s">
        <v>1891</v>
      </c>
      <c r="M94" s="641"/>
      <c r="N94" s="661"/>
      <c r="O94" s="482"/>
      <c r="P94" s="687">
        <f t="shared" si="8"/>
        <v>0</v>
      </c>
      <c r="Q94" s="663"/>
      <c r="R94" s="684" t="str">
        <f t="shared" si="10"/>
        <v/>
      </c>
      <c r="S94" s="685" t="str">
        <f t="shared" si="9"/>
        <v/>
      </c>
    </row>
    <row r="95" spans="1:19">
      <c r="A95" s="646">
        <v>94</v>
      </c>
      <c r="B95" s="653"/>
      <c r="C95" s="499"/>
      <c r="D95" s="654" t="str">
        <f>VLOOKUP(3,'Plate Planning'!$A$1:$S$35,13,FALSE)</f>
        <v>substrate_1</v>
      </c>
      <c r="E95" s="499"/>
      <c r="F95" s="482"/>
      <c r="G95" s="482"/>
      <c r="H95" s="655"/>
      <c r="I95" s="651">
        <f>G95*LOOKUP("Reaction scale (µmol):",'Plate Planning'!$H$31:$H$32,'Plate Planning'!$J$31:$J$32)/100</f>
        <v>0</v>
      </c>
      <c r="J95" s="631" t="str">
        <f t="shared" si="7"/>
        <v/>
      </c>
      <c r="K95" s="634" t="str">
        <f>IFERROR(IF(#REF!=0, J95/H95, I95/#REF!), "")</f>
        <v/>
      </c>
      <c r="L95" s="637" t="s">
        <v>1891</v>
      </c>
      <c r="M95" s="641"/>
      <c r="N95" s="661"/>
      <c r="O95" s="482"/>
      <c r="P95" s="687">
        <f t="shared" si="8"/>
        <v>0</v>
      </c>
      <c r="Q95" s="663"/>
      <c r="R95" s="684" t="str">
        <f t="shared" si="10"/>
        <v/>
      </c>
      <c r="S95" s="685" t="str">
        <f t="shared" si="9"/>
        <v/>
      </c>
    </row>
    <row r="96" spans="1:19">
      <c r="A96" s="646">
        <v>95</v>
      </c>
      <c r="B96" s="653"/>
      <c r="C96" s="499"/>
      <c r="D96" s="654" t="str">
        <f>VLOOKUP(3,'Plate Planning'!$A$1:$S$35,13,FALSE)</f>
        <v>substrate_1</v>
      </c>
      <c r="E96" s="499"/>
      <c r="F96" s="482"/>
      <c r="G96" s="482"/>
      <c r="H96" s="655"/>
      <c r="I96" s="651">
        <f>G96*LOOKUP("Reaction scale (µmol):",'Plate Planning'!$H$31:$H$32,'Plate Planning'!$J$31:$J$32)/100</f>
        <v>0</v>
      </c>
      <c r="J96" s="631" t="str">
        <f t="shared" si="7"/>
        <v/>
      </c>
      <c r="K96" s="634" t="str">
        <f>IFERROR(IF(#REF!=0, J96/H96, I96/#REF!), "")</f>
        <v/>
      </c>
      <c r="L96" s="637" t="s">
        <v>1891</v>
      </c>
      <c r="M96" s="641"/>
      <c r="N96" s="661"/>
      <c r="O96" s="482"/>
      <c r="P96" s="687">
        <f t="shared" si="8"/>
        <v>0</v>
      </c>
      <c r="Q96" s="663"/>
      <c r="R96" s="684" t="str">
        <f t="shared" si="10"/>
        <v/>
      </c>
      <c r="S96" s="685" t="str">
        <f t="shared" si="9"/>
        <v/>
      </c>
    </row>
    <row r="97" spans="1:19" ht="17" thickBot="1">
      <c r="A97" s="647">
        <v>96</v>
      </c>
      <c r="B97" s="656"/>
      <c r="C97" s="657"/>
      <c r="D97" s="658" t="str">
        <f>VLOOKUP(3,'Plate Planning'!$A$1:$S$35,13,FALSE)</f>
        <v>substrate_1</v>
      </c>
      <c r="E97" s="657"/>
      <c r="F97" s="659"/>
      <c r="G97" s="659"/>
      <c r="H97" s="660"/>
      <c r="I97" s="652">
        <f>G97*LOOKUP("Reaction scale (µmol):",'Plate Planning'!$H$31:$H$32,'Plate Planning'!$J$31:$J$32)/100</f>
        <v>0</v>
      </c>
      <c r="J97" s="632" t="str">
        <f t="shared" si="7"/>
        <v/>
      </c>
      <c r="K97" s="635" t="str">
        <f>IFERROR(IF(#REF!=0, J97/H97, I97/#REF!), "")</f>
        <v/>
      </c>
      <c r="L97" s="638" t="s">
        <v>1891</v>
      </c>
      <c r="M97" s="642"/>
      <c r="N97" s="662"/>
      <c r="O97" s="659"/>
      <c r="P97" s="688">
        <f t="shared" si="8"/>
        <v>0</v>
      </c>
      <c r="Q97" s="664"/>
      <c r="R97" s="684" t="str">
        <f t="shared" si="10"/>
        <v/>
      </c>
      <c r="S97" s="686"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1157</v>
      </c>
      <c r="B1" s="508" t="s">
        <v>9</v>
      </c>
      <c r="C1" s="507" t="s">
        <v>0</v>
      </c>
      <c r="D1" s="506" t="s">
        <v>1850</v>
      </c>
      <c r="E1" s="51" t="s">
        <v>1008</v>
      </c>
      <c r="F1" s="52" t="s">
        <v>1007</v>
      </c>
      <c r="G1" s="53" t="s">
        <v>1</v>
      </c>
      <c r="H1" s="54" t="s">
        <v>32</v>
      </c>
      <c r="I1" s="668" t="s">
        <v>4</v>
      </c>
      <c r="J1" s="666" t="s">
        <v>499</v>
      </c>
      <c r="K1" s="76" t="s">
        <v>5</v>
      </c>
      <c r="L1" s="77" t="s">
        <v>33</v>
      </c>
      <c r="M1" s="89" t="s">
        <v>6</v>
      </c>
      <c r="N1" s="432" t="s">
        <v>1877</v>
      </c>
      <c r="O1" s="434" t="s">
        <v>1878</v>
      </c>
      <c r="P1" s="449" t="s">
        <v>1879</v>
      </c>
      <c r="Q1" s="455" t="s">
        <v>1889</v>
      </c>
      <c r="R1" s="454" t="s">
        <v>1890</v>
      </c>
      <c r="S1" s="47"/>
      <c r="T1" s="47"/>
      <c r="U1" s="55"/>
      <c r="V1" s="55"/>
      <c r="W1" s="55"/>
      <c r="X1" s="55"/>
      <c r="Y1" s="55"/>
      <c r="Z1" s="55"/>
      <c r="AA1" s="55"/>
      <c r="AB1" s="55"/>
      <c r="AC1" s="55"/>
      <c r="AD1" s="55"/>
      <c r="AE1" s="55"/>
      <c r="AF1" s="55"/>
    </row>
    <row r="2" spans="1:32">
      <c r="A2" s="62" t="s">
        <v>1158</v>
      </c>
      <c r="B2" s="73">
        <v>1</v>
      </c>
      <c r="C2" s="456"/>
      <c r="D2" s="422"/>
      <c r="E2" s="423"/>
      <c r="F2" s="431"/>
      <c r="G2" s="260"/>
      <c r="H2" s="261"/>
      <c r="I2" s="669"/>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1880</v>
      </c>
      <c r="Q2" s="451" t="s">
        <v>1891</v>
      </c>
      <c r="R2" s="438"/>
    </row>
    <row r="3" spans="1:32">
      <c r="A3" s="62" t="s">
        <v>1039</v>
      </c>
      <c r="B3" s="73">
        <v>2</v>
      </c>
      <c r="C3" s="456"/>
      <c r="D3" s="458"/>
      <c r="E3" s="423"/>
      <c r="F3" s="259"/>
      <c r="G3" s="260"/>
      <c r="H3" s="261"/>
      <c r="I3" s="669"/>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1880</v>
      </c>
      <c r="Q3" s="451" t="s">
        <v>1891</v>
      </c>
      <c r="R3" s="438"/>
    </row>
    <row r="4" spans="1:32">
      <c r="B4" s="73">
        <v>3</v>
      </c>
      <c r="C4" s="456"/>
      <c r="D4" s="458"/>
      <c r="E4" s="258"/>
      <c r="F4" s="259"/>
      <c r="G4" s="260"/>
      <c r="H4" s="261"/>
      <c r="I4" s="669"/>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1880</v>
      </c>
      <c r="Q4" s="451" t="s">
        <v>1891</v>
      </c>
      <c r="R4" s="438"/>
    </row>
    <row r="5" spans="1:32">
      <c r="B5" s="73">
        <v>4</v>
      </c>
      <c r="C5" s="456"/>
      <c r="D5" s="458"/>
      <c r="E5" s="258"/>
      <c r="F5" s="259"/>
      <c r="G5" s="260"/>
      <c r="H5" s="261"/>
      <c r="I5" s="669"/>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1880</v>
      </c>
      <c r="Q5" s="451" t="s">
        <v>1891</v>
      </c>
      <c r="R5" s="438"/>
    </row>
    <row r="6" spans="1:32">
      <c r="B6" s="73">
        <v>5</v>
      </c>
      <c r="C6" s="456"/>
      <c r="D6" s="458"/>
      <c r="E6" s="258"/>
      <c r="F6" s="259"/>
      <c r="G6" s="260"/>
      <c r="H6" s="261"/>
      <c r="I6" s="669"/>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1880</v>
      </c>
      <c r="Q6" s="451" t="s">
        <v>1891</v>
      </c>
      <c r="R6" s="438"/>
    </row>
    <row r="7" spans="1:32">
      <c r="B7" s="73">
        <v>6</v>
      </c>
      <c r="C7" s="456"/>
      <c r="D7" s="458"/>
      <c r="E7" s="258"/>
      <c r="F7" s="259"/>
      <c r="G7" s="260"/>
      <c r="H7" s="261"/>
      <c r="I7" s="669"/>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1880</v>
      </c>
      <c r="Q7" s="451" t="s">
        <v>1891</v>
      </c>
      <c r="R7" s="438"/>
    </row>
    <row r="8" spans="1:32">
      <c r="B8" s="73">
        <v>7</v>
      </c>
      <c r="C8" s="456"/>
      <c r="D8" s="458"/>
      <c r="E8" s="258"/>
      <c r="F8" s="259"/>
      <c r="G8" s="260"/>
      <c r="H8" s="261"/>
      <c r="I8" s="669"/>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1880</v>
      </c>
      <c r="Q8" s="451" t="s">
        <v>1891</v>
      </c>
      <c r="R8" s="438"/>
    </row>
    <row r="9" spans="1:32">
      <c r="B9" s="73">
        <v>8</v>
      </c>
      <c r="C9" s="456"/>
      <c r="D9" s="458"/>
      <c r="E9" s="258"/>
      <c r="F9" s="259"/>
      <c r="G9" s="260"/>
      <c r="H9" s="261"/>
      <c r="I9" s="669"/>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1880</v>
      </c>
      <c r="Q9" s="451" t="s">
        <v>1891</v>
      </c>
      <c r="R9" s="438"/>
    </row>
    <row r="10" spans="1:32">
      <c r="B10" s="73">
        <v>9</v>
      </c>
      <c r="C10" s="456"/>
      <c r="D10" s="458"/>
      <c r="E10" s="258"/>
      <c r="F10" s="259"/>
      <c r="G10" s="260"/>
      <c r="H10" s="261"/>
      <c r="I10" s="669"/>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1880</v>
      </c>
      <c r="Q10" s="451" t="s">
        <v>1891</v>
      </c>
      <c r="R10" s="438"/>
    </row>
    <row r="11" spans="1:32" ht="17" thickBot="1">
      <c r="A11" s="63"/>
      <c r="B11" s="74">
        <v>10</v>
      </c>
      <c r="C11" s="457"/>
      <c r="D11" s="459"/>
      <c r="E11" s="262"/>
      <c r="F11" s="263"/>
      <c r="G11" s="264"/>
      <c r="H11" s="265"/>
      <c r="I11" s="670"/>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1880</v>
      </c>
      <c r="Q11" s="460" t="s">
        <v>1891</v>
      </c>
      <c r="R11" s="440"/>
    </row>
    <row r="12" spans="1:32">
      <c r="A12" s="64" t="s">
        <v>1140</v>
      </c>
      <c r="B12" s="339">
        <v>11</v>
      </c>
      <c r="C12" s="463" t="str">
        <f>IF(VLOOKUP(2,'Plate Planning'!$A$2:$T$16,5,FALSE)=0,"",VLOOKUP(2,'Plate Planning'!$A$2:$T$16,5,FALSE))</f>
        <v/>
      </c>
      <c r="D12" s="490"/>
      <c r="E12" s="266" t="str">
        <f t="shared" ref="E12:E23" si="3">IF(v1_col="column variable", "", v1_col)</f>
        <v/>
      </c>
      <c r="F12" s="267"/>
      <c r="G12" s="268"/>
      <c r="H12" s="269"/>
      <c r="I12" s="671"/>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1891</v>
      </c>
      <c r="R12" s="450"/>
    </row>
    <row r="13" spans="1:32">
      <c r="A13" s="62" t="s">
        <v>1150</v>
      </c>
      <c r="B13" s="340">
        <v>12</v>
      </c>
      <c r="C13" s="412" t="str">
        <f>IF(VLOOKUP(2,'Plate Planning'!$A$2:$T$16,6,FALSE)=0,"",VLOOKUP(2,'Plate Planning'!$A$2:$T$16,6,FALSE))</f>
        <v/>
      </c>
      <c r="D13" s="490"/>
      <c r="E13" s="266" t="str">
        <f t="shared" si="3"/>
        <v/>
      </c>
      <c r="F13" s="259"/>
      <c r="G13" s="260"/>
      <c r="H13" s="261"/>
      <c r="I13" s="669"/>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1891</v>
      </c>
      <c r="R13" s="438"/>
    </row>
    <row r="14" spans="1:32">
      <c r="A14" s="108">
        <v>1</v>
      </c>
      <c r="B14" s="340">
        <v>13</v>
      </c>
      <c r="C14" s="412" t="str">
        <f>IF(VLOOKUP(2,'Plate Planning'!$A$2:$T$16,7,FALSE)=0,"",VLOOKUP(2,'Plate Planning'!$A$2:$T$16,7,FALSE))</f>
        <v/>
      </c>
      <c r="D14" s="490"/>
      <c r="E14" s="266" t="str">
        <f t="shared" si="3"/>
        <v/>
      </c>
      <c r="F14" s="259"/>
      <c r="G14" s="260"/>
      <c r="H14" s="261"/>
      <c r="I14" s="669"/>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1891</v>
      </c>
      <c r="R14" s="438"/>
    </row>
    <row r="15" spans="1:32">
      <c r="B15" s="340">
        <v>14</v>
      </c>
      <c r="C15" s="412" t="str">
        <f>IF(VLOOKUP(2,'Plate Planning'!$A$2:$T$16,8,FALSE)=0,"",VLOOKUP(2,'Plate Planning'!$A$2:$T$16,8,FALSE))</f>
        <v/>
      </c>
      <c r="D15" s="490"/>
      <c r="E15" s="266" t="str">
        <f t="shared" si="3"/>
        <v/>
      </c>
      <c r="F15" s="259"/>
      <c r="G15" s="260"/>
      <c r="H15" s="261"/>
      <c r="I15" s="669"/>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1891</v>
      </c>
      <c r="R15" s="438"/>
    </row>
    <row r="16" spans="1:32">
      <c r="B16" s="340">
        <v>15</v>
      </c>
      <c r="C16" s="412" t="str">
        <f>IF(VLOOKUP(2,'Plate Planning'!$A$2:$T$16,9,FALSE)=0,"",VLOOKUP(2,'Plate Planning'!$A$2:$T$16,9,FALSE))</f>
        <v/>
      </c>
      <c r="D16" s="490"/>
      <c r="E16" s="266" t="str">
        <f t="shared" si="3"/>
        <v/>
      </c>
      <c r="F16" s="270"/>
      <c r="G16" s="260"/>
      <c r="H16" s="271"/>
      <c r="I16" s="669"/>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1891</v>
      </c>
      <c r="R16" s="438"/>
    </row>
    <row r="17" spans="1:18">
      <c r="B17" s="340">
        <v>16</v>
      </c>
      <c r="C17" s="412" t="str">
        <f>IF(VLOOKUP(2,'Plate Planning'!$A$2:$T$16,10,FALSE)=0,"",VLOOKUP(2,'Plate Planning'!$A$2:$T$16,10,FALSE))</f>
        <v/>
      </c>
      <c r="D17" s="490"/>
      <c r="E17" s="266" t="str">
        <f t="shared" si="3"/>
        <v/>
      </c>
      <c r="F17" s="270"/>
      <c r="G17" s="260"/>
      <c r="H17" s="261"/>
      <c r="I17" s="669"/>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1891</v>
      </c>
      <c r="R17" s="438"/>
    </row>
    <row r="18" spans="1:18">
      <c r="B18" s="340">
        <v>17</v>
      </c>
      <c r="C18" s="412" t="str">
        <f>IF(VLOOKUP(2,'Plate Planning'!$A$2:$T$16,11,FALSE)=0,"",VLOOKUP(2,'Plate Planning'!$A$2:$T$16,11,FALSE))</f>
        <v/>
      </c>
      <c r="D18" s="490"/>
      <c r="E18" s="266" t="str">
        <f t="shared" si="3"/>
        <v/>
      </c>
      <c r="F18" s="270"/>
      <c r="G18" s="260"/>
      <c r="H18" s="261"/>
      <c r="I18" s="669"/>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1891</v>
      </c>
      <c r="R18" s="438"/>
    </row>
    <row r="19" spans="1:18">
      <c r="B19" s="340">
        <v>18</v>
      </c>
      <c r="C19" s="412" t="str">
        <f>IF(VLOOKUP(2,'Plate Planning'!$A$2:$T$16,12,FALSE)=0,"",VLOOKUP(2,'Plate Planning'!$A$2:$T$16,12,FALSE))</f>
        <v/>
      </c>
      <c r="D19" s="490"/>
      <c r="E19" s="266" t="str">
        <f t="shared" si="3"/>
        <v/>
      </c>
      <c r="F19" s="270"/>
      <c r="G19" s="260"/>
      <c r="H19" s="261"/>
      <c r="I19" s="669"/>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1891</v>
      </c>
      <c r="R19" s="438"/>
    </row>
    <row r="20" spans="1:18">
      <c r="B20" s="340">
        <v>19</v>
      </c>
      <c r="C20" s="412" t="str">
        <f>IF(VLOOKUP(2,'Plate Planning'!$A$2:$T$16,13,FALSE)=0,"",VLOOKUP(2,'Plate Planning'!$A$2:$T$16,13,FALSE))</f>
        <v/>
      </c>
      <c r="D20" s="490"/>
      <c r="E20" s="266" t="str">
        <f t="shared" si="3"/>
        <v/>
      </c>
      <c r="F20" s="270"/>
      <c r="G20" s="260"/>
      <c r="H20" s="261"/>
      <c r="I20" s="669"/>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1891</v>
      </c>
      <c r="R20" s="438"/>
    </row>
    <row r="21" spans="1:18">
      <c r="B21" s="340">
        <v>20</v>
      </c>
      <c r="C21" s="412" t="str">
        <f>IF(VLOOKUP(2,'Plate Planning'!$A$2:$T$16,14,FALSE)=0,"",VLOOKUP(2,'Plate Planning'!$A$2:$T$16,14,FALSE))</f>
        <v/>
      </c>
      <c r="D21" s="490"/>
      <c r="E21" s="266" t="str">
        <f t="shared" si="3"/>
        <v/>
      </c>
      <c r="F21" s="270"/>
      <c r="G21" s="260"/>
      <c r="H21" s="261"/>
      <c r="I21" s="669"/>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1891</v>
      </c>
      <c r="R21" s="438"/>
    </row>
    <row r="22" spans="1:18">
      <c r="B22" s="340">
        <v>21</v>
      </c>
      <c r="C22" s="412" t="str">
        <f>IF(VLOOKUP(2,'Plate Planning'!$A$2:$T$16,15,FALSE)=0,"",VLOOKUP(2,'Plate Planning'!$A$2:$T$16,15,FALSE))</f>
        <v/>
      </c>
      <c r="D22" s="491"/>
      <c r="E22" s="266" t="str">
        <f t="shared" si="3"/>
        <v/>
      </c>
      <c r="F22" s="270"/>
      <c r="G22" s="260"/>
      <c r="H22" s="261"/>
      <c r="I22" s="669"/>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1891</v>
      </c>
      <c r="R22" s="438"/>
    </row>
    <row r="23" spans="1:18" ht="17" thickBot="1">
      <c r="A23" s="63"/>
      <c r="B23" s="341">
        <v>22</v>
      </c>
      <c r="C23" s="489" t="str">
        <f>IF(VLOOKUP(2,'Plate Planning'!$A$2:$T$16,16,FALSE)=0,"",VLOOKUP(2,'Plate Planning'!$A$2:$T$16,16,FALSE))</f>
        <v/>
      </c>
      <c r="D23" s="492"/>
      <c r="E23" s="464" t="str">
        <f t="shared" si="3"/>
        <v/>
      </c>
      <c r="F23" s="272"/>
      <c r="G23" s="264"/>
      <c r="H23" s="265"/>
      <c r="I23" s="670"/>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1891</v>
      </c>
      <c r="R23" s="440"/>
    </row>
    <row r="24" spans="1:18">
      <c r="A24" s="64" t="s">
        <v>1140</v>
      </c>
      <c r="B24" s="342">
        <v>23</v>
      </c>
      <c r="C24" s="413" t="str">
        <f>IF(VLOOKUP(12,'Plate Planning'!$A$2:$T$16,5,FALSE)=0,"",VLOOKUP(12,'Plate Planning'!$A$2:$T$16,5,FALSE))</f>
        <v/>
      </c>
      <c r="D24" s="490"/>
      <c r="E24" s="266" t="str">
        <f t="shared" ref="E24:E35" si="4">IF(v2_col="column variable", "", v2_col)</f>
        <v/>
      </c>
      <c r="F24" s="267"/>
      <c r="G24" s="268"/>
      <c r="H24" s="269"/>
      <c r="I24" s="671"/>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1891</v>
      </c>
      <c r="R24" s="450"/>
    </row>
    <row r="25" spans="1:18">
      <c r="A25" s="62" t="s">
        <v>1150</v>
      </c>
      <c r="B25" s="343">
        <v>24</v>
      </c>
      <c r="C25" s="413" t="str">
        <f>IF(VLOOKUP(12,'Plate Planning'!$A$2:$T$16,6,FALSE)=0,"",VLOOKUP(12,'Plate Planning'!$A$2:$T$16,6,FALSE))</f>
        <v/>
      </c>
      <c r="D25" s="490"/>
      <c r="E25" s="266" t="str">
        <f t="shared" si="4"/>
        <v/>
      </c>
      <c r="F25" s="259"/>
      <c r="G25" s="260"/>
      <c r="H25" s="261"/>
      <c r="I25" s="669"/>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1891</v>
      </c>
      <c r="R25" s="438"/>
    </row>
    <row r="26" spans="1:18">
      <c r="A26" s="108">
        <v>2</v>
      </c>
      <c r="B26" s="343">
        <v>25</v>
      </c>
      <c r="C26" s="413" t="str">
        <f>IF(VLOOKUP(12,'Plate Planning'!$A$2:$T$16,7,FALSE)=0,"",VLOOKUP(12,'Plate Planning'!$A$2:$T$16,7,FALSE))</f>
        <v/>
      </c>
      <c r="D26" s="490"/>
      <c r="E26" s="266" t="str">
        <f t="shared" si="4"/>
        <v/>
      </c>
      <c r="F26" s="259"/>
      <c r="G26" s="260"/>
      <c r="H26" s="261"/>
      <c r="I26" s="669"/>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1891</v>
      </c>
      <c r="R26" s="438"/>
    </row>
    <row r="27" spans="1:18">
      <c r="B27" s="343">
        <v>26</v>
      </c>
      <c r="C27" s="413" t="str">
        <f>IF(VLOOKUP(12,'Plate Planning'!$A$2:$T$16,8,FALSE)=0,"",VLOOKUP(12,'Plate Planning'!$A$2:$T$16,8,FALSE))</f>
        <v/>
      </c>
      <c r="D27" s="490"/>
      <c r="E27" s="266" t="str">
        <f t="shared" si="4"/>
        <v/>
      </c>
      <c r="F27" s="259"/>
      <c r="G27" s="260"/>
      <c r="H27" s="261"/>
      <c r="I27" s="669"/>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1891</v>
      </c>
      <c r="R27" s="438"/>
    </row>
    <row r="28" spans="1:18">
      <c r="B28" s="343">
        <v>27</v>
      </c>
      <c r="C28" s="413" t="str">
        <f>IF(VLOOKUP(12,'Plate Planning'!$A$2:$T$16,9,FALSE)=0,"",VLOOKUP(12,'Plate Planning'!$A$2:$T$16,9,FALSE))</f>
        <v/>
      </c>
      <c r="D28" s="490"/>
      <c r="E28" s="266" t="str">
        <f t="shared" si="4"/>
        <v/>
      </c>
      <c r="F28" s="270"/>
      <c r="G28" s="260"/>
      <c r="H28" s="261"/>
      <c r="I28" s="669"/>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1891</v>
      </c>
      <c r="R28" s="438"/>
    </row>
    <row r="29" spans="1:18">
      <c r="B29" s="343">
        <v>28</v>
      </c>
      <c r="C29" s="413" t="str">
        <f>IF(VLOOKUP(12,'Plate Planning'!$A$2:$T$16,10,FALSE)=0,"",VLOOKUP(12,'Plate Planning'!$A$2:$T$16,10,FALSE))</f>
        <v/>
      </c>
      <c r="D29" s="490"/>
      <c r="E29" s="266" t="str">
        <f t="shared" si="4"/>
        <v/>
      </c>
      <c r="F29" s="270"/>
      <c r="G29" s="260"/>
      <c r="H29" s="261"/>
      <c r="I29" s="669"/>
      <c r="J29" s="667"/>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1891</v>
      </c>
      <c r="R29" s="438"/>
    </row>
    <row r="30" spans="1:18">
      <c r="B30" s="343">
        <v>29</v>
      </c>
      <c r="C30" s="413" t="str">
        <f>IF(VLOOKUP(12,'Plate Planning'!$A$2:$T$16,11,FALSE)=0,"",VLOOKUP(12,'Plate Planning'!$A$2:$T$16,11,FALSE))</f>
        <v/>
      </c>
      <c r="D30" s="490"/>
      <c r="E30" s="266" t="str">
        <f t="shared" si="4"/>
        <v/>
      </c>
      <c r="F30" s="270"/>
      <c r="G30" s="260"/>
      <c r="H30" s="261"/>
      <c r="I30" s="669"/>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1891</v>
      </c>
      <c r="R30" s="438"/>
    </row>
    <row r="31" spans="1:18">
      <c r="B31" s="343">
        <v>30</v>
      </c>
      <c r="C31" s="413" t="str">
        <f>IF(VLOOKUP(12,'Plate Planning'!$A$2:$T$16,12,FALSE)=0,"",VLOOKUP(12,'Plate Planning'!$A$2:$T$16,12,FALSE))</f>
        <v/>
      </c>
      <c r="D31" s="490"/>
      <c r="E31" s="266" t="str">
        <f t="shared" si="4"/>
        <v/>
      </c>
      <c r="F31" s="270"/>
      <c r="G31" s="260"/>
      <c r="H31" s="261"/>
      <c r="I31" s="669"/>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1891</v>
      </c>
      <c r="R31" s="438"/>
    </row>
    <row r="32" spans="1:18">
      <c r="B32" s="343">
        <v>31</v>
      </c>
      <c r="C32" s="413" t="str">
        <f>IF(VLOOKUP(12,'Plate Planning'!$A$2:$T$16,13,FALSE)=0,"",VLOOKUP(12,'Plate Planning'!$A$2:$T$16,13,FALSE))</f>
        <v/>
      </c>
      <c r="D32" s="490"/>
      <c r="E32" s="266" t="str">
        <f t="shared" si="4"/>
        <v/>
      </c>
      <c r="F32" s="270"/>
      <c r="G32" s="260"/>
      <c r="H32" s="261"/>
      <c r="I32" s="669"/>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1891</v>
      </c>
      <c r="R32" s="438"/>
    </row>
    <row r="33" spans="1:18">
      <c r="B33" s="343">
        <v>32</v>
      </c>
      <c r="C33" s="413" t="str">
        <f>IF(VLOOKUP(12,'Plate Planning'!$A$2:$T$16,14,FALSE)=0,"",VLOOKUP(12,'Plate Planning'!$A$2:$T$16,14,FALSE))</f>
        <v/>
      </c>
      <c r="D33" s="490"/>
      <c r="E33" s="266" t="str">
        <f t="shared" si="4"/>
        <v/>
      </c>
      <c r="F33" s="270"/>
      <c r="G33" s="260"/>
      <c r="H33" s="261"/>
      <c r="I33" s="669"/>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1891</v>
      </c>
      <c r="R33" s="438"/>
    </row>
    <row r="34" spans="1:18">
      <c r="B34" s="343">
        <v>33</v>
      </c>
      <c r="C34" s="413" t="str">
        <f>IF(VLOOKUP(12,'Plate Planning'!$A$2:$T$16,15,FALSE)=0,"",VLOOKUP(12,'Plate Planning'!$A$2:$T$16,15,FALSE))</f>
        <v/>
      </c>
      <c r="D34" s="490"/>
      <c r="E34" s="266" t="str">
        <f t="shared" si="4"/>
        <v/>
      </c>
      <c r="F34" s="270"/>
      <c r="G34" s="260"/>
      <c r="H34" s="261"/>
      <c r="I34" s="669"/>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1891</v>
      </c>
      <c r="R34" s="438"/>
    </row>
    <row r="35" spans="1:18" ht="17" thickBot="1">
      <c r="A35" s="63"/>
      <c r="B35" s="344">
        <v>34</v>
      </c>
      <c r="C35" s="503" t="str">
        <f>IF(VLOOKUP(12,'Plate Planning'!$A$2:$T$16,16,FALSE)=0,"",VLOOKUP(12,'Plate Planning'!$A$2:$T$16,16,FALSE))</f>
        <v/>
      </c>
      <c r="D35" s="493"/>
      <c r="E35" s="464" t="str">
        <f t="shared" si="4"/>
        <v/>
      </c>
      <c r="F35" s="272"/>
      <c r="G35" s="264"/>
      <c r="H35" s="265"/>
      <c r="I35" s="670"/>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02" t="s">
        <v>1891</v>
      </c>
      <c r="R35" s="440"/>
    </row>
    <row r="36" spans="1:18">
      <c r="A36" s="109" t="s">
        <v>1140</v>
      </c>
      <c r="B36" s="345">
        <v>35</v>
      </c>
      <c r="C36" s="414" t="str">
        <f>IF(VLOOKUP(14,'Plate Planning'!$A$2:$T$16,5,FALSE)=0,"",VLOOKUP(14,'Plate Planning'!$A$2:$T$16,5,FALSE))</f>
        <v/>
      </c>
      <c r="D36" s="494"/>
      <c r="E36" s="465" t="str">
        <f t="shared" ref="E36:E47" si="5">IF(v3_col="column variable", "", v3_col)</f>
        <v/>
      </c>
      <c r="F36" s="275"/>
      <c r="G36" s="276"/>
      <c r="H36" s="277"/>
      <c r="I36" s="672"/>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1891</v>
      </c>
      <c r="R36" s="450"/>
    </row>
    <row r="37" spans="1:18">
      <c r="A37" s="109" t="s">
        <v>1150</v>
      </c>
      <c r="B37" s="346">
        <v>36</v>
      </c>
      <c r="C37" s="414" t="str">
        <f>IF(VLOOKUP(14,'Plate Planning'!$A$2:$T$16,6,FALSE)=0,"",VLOOKUP(14,'Plate Planning'!$A$2:$T$16,6,FALSE))</f>
        <v/>
      </c>
      <c r="D37" s="495"/>
      <c r="E37" s="465" t="str">
        <f t="shared" si="5"/>
        <v/>
      </c>
      <c r="F37" s="279"/>
      <c r="G37" s="280"/>
      <c r="H37" s="281"/>
      <c r="I37" s="673"/>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1891</v>
      </c>
      <c r="R37" s="438"/>
    </row>
    <row r="38" spans="1:18">
      <c r="A38" s="110">
        <v>3</v>
      </c>
      <c r="B38" s="346">
        <v>37</v>
      </c>
      <c r="C38" s="414" t="str">
        <f>IF(VLOOKUP(14,'Plate Planning'!$A$2:$T$16,7,FALSE)=0,"",VLOOKUP(14,'Plate Planning'!$A$2:$T$16,7,FALSE))</f>
        <v/>
      </c>
      <c r="D38" s="495"/>
      <c r="E38" s="465" t="str">
        <f t="shared" si="5"/>
        <v/>
      </c>
      <c r="F38" s="279"/>
      <c r="G38" s="280"/>
      <c r="H38" s="281"/>
      <c r="I38" s="673"/>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1891</v>
      </c>
      <c r="R38" s="438"/>
    </row>
    <row r="39" spans="1:18">
      <c r="A39" s="66"/>
      <c r="B39" s="346">
        <v>38</v>
      </c>
      <c r="C39" s="414" t="str">
        <f>IF(VLOOKUP(14,'Plate Planning'!$A$2:$T$16,8,FALSE)=0,"",VLOOKUP(14,'Plate Planning'!$A$2:$T$16,8,FALSE))</f>
        <v/>
      </c>
      <c r="D39" s="496"/>
      <c r="E39" s="465" t="str">
        <f t="shared" si="5"/>
        <v/>
      </c>
      <c r="F39" s="279"/>
      <c r="G39" s="280"/>
      <c r="H39" s="281"/>
      <c r="I39" s="673"/>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1891</v>
      </c>
      <c r="R39" s="438"/>
    </row>
    <row r="40" spans="1:18">
      <c r="A40" s="67"/>
      <c r="B40" s="347">
        <v>39</v>
      </c>
      <c r="C40" s="414" t="str">
        <f>IF(VLOOKUP(14,'Plate Planning'!$A$2:$T$16,9,FALSE)=0,"",VLOOKUP(14,'Plate Planning'!$A$2:$T$16,9,FALSE))</f>
        <v/>
      </c>
      <c r="D40" s="495"/>
      <c r="E40" s="465" t="str">
        <f t="shared" si="5"/>
        <v/>
      </c>
      <c r="F40" s="283"/>
      <c r="G40" s="284"/>
      <c r="H40" s="285"/>
      <c r="I40" s="674"/>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1891</v>
      </c>
      <c r="R40" s="438"/>
    </row>
    <row r="41" spans="1:18">
      <c r="A41" s="65"/>
      <c r="B41" s="346">
        <v>40</v>
      </c>
      <c r="C41" s="414" t="str">
        <f>IF(VLOOKUP(14,'Plate Planning'!$A$2:$T$16,10,FALSE)=0,"",VLOOKUP(14,'Plate Planning'!$A$2:$T$16,10,FALSE))</f>
        <v/>
      </c>
      <c r="D41" s="495"/>
      <c r="E41" s="465" t="str">
        <f t="shared" si="5"/>
        <v/>
      </c>
      <c r="F41" s="279"/>
      <c r="G41" s="280"/>
      <c r="H41" s="281"/>
      <c r="I41" s="673"/>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1891</v>
      </c>
      <c r="R41" s="438"/>
    </row>
    <row r="42" spans="1:18">
      <c r="A42" s="67"/>
      <c r="B42" s="347">
        <v>41</v>
      </c>
      <c r="C42" s="414" t="str">
        <f>IF(VLOOKUP(14,'Plate Planning'!$A$2:$T$16,11,FALSE)=0,"",VLOOKUP(14,'Plate Planning'!$A$2:$T$16,11,FALSE))</f>
        <v/>
      </c>
      <c r="D42" s="495"/>
      <c r="E42" s="465" t="str">
        <f t="shared" si="5"/>
        <v/>
      </c>
      <c r="F42" s="283"/>
      <c r="G42" s="284"/>
      <c r="H42" s="285"/>
      <c r="I42" s="674"/>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1891</v>
      </c>
      <c r="R42" s="438"/>
    </row>
    <row r="43" spans="1:18">
      <c r="A43" s="65"/>
      <c r="B43" s="346">
        <v>42</v>
      </c>
      <c r="C43" s="414" t="str">
        <f>IF(VLOOKUP(14,'Plate Planning'!$A$2:$T$16,12,FALSE)=0,"",VLOOKUP(14,'Plate Planning'!$A$2:$T$16,12,FALSE))</f>
        <v/>
      </c>
      <c r="D43" s="495"/>
      <c r="E43" s="465" t="str">
        <f t="shared" si="5"/>
        <v/>
      </c>
      <c r="F43" s="279"/>
      <c r="G43" s="280"/>
      <c r="H43" s="281"/>
      <c r="I43" s="673"/>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1891</v>
      </c>
      <c r="R43" s="438"/>
    </row>
    <row r="44" spans="1:18">
      <c r="A44" s="67"/>
      <c r="B44" s="347">
        <v>43</v>
      </c>
      <c r="C44" s="414" t="str">
        <f>IF(VLOOKUP(14,'Plate Planning'!$A$2:$T$16,13,FALSE)=0,"",VLOOKUP(14,'Plate Planning'!$A$2:$T$16,13,FALSE))</f>
        <v/>
      </c>
      <c r="D44" s="495"/>
      <c r="E44" s="465" t="str">
        <f t="shared" si="5"/>
        <v/>
      </c>
      <c r="F44" s="283"/>
      <c r="G44" s="284"/>
      <c r="H44" s="285"/>
      <c r="I44" s="674"/>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1891</v>
      </c>
      <c r="R44" s="438"/>
    </row>
    <row r="45" spans="1:18">
      <c r="A45" s="65"/>
      <c r="B45" s="346">
        <v>44</v>
      </c>
      <c r="C45" s="414" t="str">
        <f>IF(VLOOKUP(14,'Plate Planning'!$A$2:$T$16,14,FALSE)=0,"",VLOOKUP(14,'Plate Planning'!$A$2:$T$16,14,FALSE))</f>
        <v/>
      </c>
      <c r="D45" s="495"/>
      <c r="E45" s="465" t="str">
        <f t="shared" si="5"/>
        <v/>
      </c>
      <c r="F45" s="279"/>
      <c r="G45" s="280"/>
      <c r="H45" s="281"/>
      <c r="I45" s="673"/>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1891</v>
      </c>
      <c r="R45" s="438"/>
    </row>
    <row r="46" spans="1:18">
      <c r="A46" s="67"/>
      <c r="B46" s="347">
        <v>45</v>
      </c>
      <c r="C46" s="414" t="str">
        <f>IF(VLOOKUP(14,'Plate Planning'!$A$2:$T$16,15,FALSE)=0,"",VLOOKUP(14,'Plate Planning'!$A$2:$T$16,15,FALSE))</f>
        <v/>
      </c>
      <c r="D46" s="495"/>
      <c r="E46" s="465" t="str">
        <f t="shared" si="5"/>
        <v/>
      </c>
      <c r="F46" s="283"/>
      <c r="G46" s="284"/>
      <c r="H46" s="285"/>
      <c r="I46" s="674"/>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1891</v>
      </c>
      <c r="R46" s="438"/>
    </row>
    <row r="47" spans="1:18" ht="17" thickBot="1">
      <c r="A47" s="68"/>
      <c r="B47" s="348">
        <v>46</v>
      </c>
      <c r="C47" s="504" t="str">
        <f>IF(VLOOKUP(14,'Plate Planning'!$A$2:$T$16,16,FALSE)=0,"",VLOOKUP(14,'Plate Planning'!$A$2:$T$16,16,FALSE))</f>
        <v/>
      </c>
      <c r="D47" s="497"/>
      <c r="E47" s="466" t="str">
        <f t="shared" si="5"/>
        <v/>
      </c>
      <c r="F47" s="287"/>
      <c r="G47" s="288"/>
      <c r="H47" s="289"/>
      <c r="I47" s="675"/>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02" t="s">
        <v>1891</v>
      </c>
      <c r="R47" s="440"/>
    </row>
    <row r="48" spans="1:18">
      <c r="A48" s="109" t="s">
        <v>1141</v>
      </c>
      <c r="B48" s="349">
        <v>47</v>
      </c>
      <c r="C48" s="415" t="str">
        <f>IF(VLOOKUP(4,'Plate Planning'!$A$2:$T$16,4,FALSE)=0,"",VLOOKUP(4,'Plate Planning'!$A$2:$T$16,4,FALSE))</f>
        <v/>
      </c>
      <c r="D48" s="498"/>
      <c r="E48" s="465" t="str">
        <f t="shared" ref="E48:E55" si="6">IF(v4_row="row variable", "", v4_row)</f>
        <v/>
      </c>
      <c r="F48" s="291"/>
      <c r="G48" s="268"/>
      <c r="H48" s="269"/>
      <c r="I48" s="671"/>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1881</v>
      </c>
      <c r="Q48" s="453" t="s">
        <v>1891</v>
      </c>
      <c r="R48" s="450"/>
    </row>
    <row r="49" spans="1:32">
      <c r="A49" s="109" t="s">
        <v>1150</v>
      </c>
      <c r="B49" s="350">
        <v>48</v>
      </c>
      <c r="C49" s="415" t="str">
        <f>IF(VLOOKUP(5,'Plate Planning'!$A$2:$T$16,4,FALSE)=0,"",VLOOKUP(5,'Plate Planning'!$A$2:$T$16,4,FALSE))</f>
        <v/>
      </c>
      <c r="D49" s="499"/>
      <c r="E49" s="465" t="str">
        <f t="shared" si="6"/>
        <v/>
      </c>
      <c r="F49" s="270"/>
      <c r="G49" s="260"/>
      <c r="H49" s="261"/>
      <c r="I49" s="669"/>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1882</v>
      </c>
      <c r="Q49" s="451" t="s">
        <v>1891</v>
      </c>
      <c r="R49" s="438"/>
    </row>
    <row r="50" spans="1:32">
      <c r="A50" s="110">
        <v>1</v>
      </c>
      <c r="B50" s="351">
        <v>49</v>
      </c>
      <c r="C50" s="415" t="str">
        <f>IF(VLOOKUP(6,'Plate Planning'!$A$2:$T$16,4,FALSE)=0,"",VLOOKUP(6,'Plate Planning'!$A$2:$T$16,4,FALSE))</f>
        <v/>
      </c>
      <c r="D50" s="499"/>
      <c r="E50" s="465" t="str">
        <f t="shared" si="6"/>
        <v/>
      </c>
      <c r="F50" s="270"/>
      <c r="G50" s="260"/>
      <c r="H50" s="261"/>
      <c r="I50" s="669"/>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1883</v>
      </c>
      <c r="Q50" s="451" t="s">
        <v>1891</v>
      </c>
      <c r="R50" s="438"/>
    </row>
    <row r="51" spans="1:32">
      <c r="B51" s="349">
        <v>50</v>
      </c>
      <c r="C51" s="415" t="str">
        <f>IF(VLOOKUP(7,'Plate Planning'!$A$2:$T$16,4,FALSE)=0,"",VLOOKUP(7,'Plate Planning'!$A$2:$T$16,4,FALSE))</f>
        <v/>
      </c>
      <c r="D51" s="499"/>
      <c r="E51" s="465" t="str">
        <f t="shared" si="6"/>
        <v/>
      </c>
      <c r="F51" s="270"/>
      <c r="G51" s="260"/>
      <c r="H51" s="261"/>
      <c r="I51" s="669"/>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1884</v>
      </c>
      <c r="Q51" s="451" t="s">
        <v>1891</v>
      </c>
      <c r="R51" s="438"/>
    </row>
    <row r="52" spans="1:32">
      <c r="B52" s="350">
        <v>51</v>
      </c>
      <c r="C52" s="415" t="str">
        <f>IF(VLOOKUP(8,'Plate Planning'!$A$2:$T$16,4,FALSE)=0,"",VLOOKUP(8,'Plate Planning'!$A$2:$T$16,4,FALSE))</f>
        <v/>
      </c>
      <c r="D52" s="499"/>
      <c r="E52" s="465" t="str">
        <f t="shared" si="6"/>
        <v/>
      </c>
      <c r="F52" s="270"/>
      <c r="G52" s="260"/>
      <c r="H52" s="261"/>
      <c r="I52" s="669"/>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1885</v>
      </c>
      <c r="Q52" s="451" t="s">
        <v>1891</v>
      </c>
      <c r="R52" s="438"/>
    </row>
    <row r="53" spans="1:32">
      <c r="B53" s="351">
        <v>52</v>
      </c>
      <c r="C53" s="415" t="str">
        <f>IF(VLOOKUP(9,'Plate Planning'!$A$2:$T$16,4,FALSE)=0,"",VLOOKUP(9,'Plate Planning'!$A$2:$T$16,4,FALSE))</f>
        <v/>
      </c>
      <c r="D53" s="499"/>
      <c r="E53" s="465" t="str">
        <f t="shared" si="6"/>
        <v/>
      </c>
      <c r="F53" s="270"/>
      <c r="G53" s="260"/>
      <c r="H53" s="261"/>
      <c r="I53" s="669"/>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1886</v>
      </c>
      <c r="Q53" s="451" t="s">
        <v>1891</v>
      </c>
      <c r="R53" s="438"/>
    </row>
    <row r="54" spans="1:32">
      <c r="B54" s="349">
        <v>53</v>
      </c>
      <c r="C54" s="415" t="str">
        <f>IF(VLOOKUP(10,'Plate Planning'!$A$2:$T$16,4,FALSE)=0,"",VLOOKUP(10,'Plate Planning'!$A$2:$T$16,4,FALSE))</f>
        <v/>
      </c>
      <c r="D54" s="499"/>
      <c r="E54" s="465" t="str">
        <f t="shared" si="6"/>
        <v/>
      </c>
      <c r="F54" s="270"/>
      <c r="G54" s="260"/>
      <c r="H54" s="261"/>
      <c r="I54" s="669"/>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1887</v>
      </c>
      <c r="Q54" s="451" t="s">
        <v>1891</v>
      </c>
      <c r="R54" s="438"/>
    </row>
    <row r="55" spans="1:32" ht="17" thickBot="1">
      <c r="A55" s="63"/>
      <c r="B55" s="352">
        <v>54</v>
      </c>
      <c r="C55" s="416" t="str">
        <f>IF(VLOOKUP(11,'Plate Planning'!$A$2:$T$16,4,FALSE)=0,"",VLOOKUP(11,'Plate Planning'!$A$2:$T$16,4,FALSE))</f>
        <v/>
      </c>
      <c r="D55" s="500"/>
      <c r="E55" s="466" t="str">
        <f t="shared" si="6"/>
        <v/>
      </c>
      <c r="F55" s="272"/>
      <c r="G55" s="264"/>
      <c r="H55" s="265"/>
      <c r="I55" s="670"/>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1888</v>
      </c>
      <c r="Q55" s="502" t="s">
        <v>1891</v>
      </c>
      <c r="R55" s="440"/>
    </row>
    <row r="56" spans="1:32">
      <c r="A56" s="109" t="s">
        <v>1141</v>
      </c>
      <c r="B56" s="353">
        <v>55</v>
      </c>
      <c r="C56" s="417" t="str">
        <f>IF(VLOOKUP(4,'Plate Planning'!$A$2:$T$16,17,FALSE)=0,"",VLOOKUP(4,'Plate Planning'!$A$2:$T$16,17,FALSE))</f>
        <v/>
      </c>
      <c r="D56" s="501"/>
      <c r="E56" s="467" t="str">
        <f t="shared" ref="E56:E63" si="7">IF(v5_row="row variable", "", v5_row)</f>
        <v/>
      </c>
      <c r="F56" s="291"/>
      <c r="G56" s="268"/>
      <c r="H56" s="269"/>
      <c r="I56" s="671"/>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1881</v>
      </c>
      <c r="Q56" s="453" t="s">
        <v>1891</v>
      </c>
      <c r="R56" s="450"/>
    </row>
    <row r="57" spans="1:32">
      <c r="A57" s="109" t="s">
        <v>1150</v>
      </c>
      <c r="B57" s="354">
        <v>56</v>
      </c>
      <c r="C57" s="418" t="str">
        <f>IF(VLOOKUP(5,'Plate Planning'!$A$2:$T$16,17,FALSE)=0,"",VLOOKUP(5,'Plate Planning'!$A$2:$T$16,17,FALSE))</f>
        <v/>
      </c>
      <c r="D57" s="490"/>
      <c r="E57" s="266" t="str">
        <f t="shared" si="7"/>
        <v/>
      </c>
      <c r="F57" s="270"/>
      <c r="G57" s="260"/>
      <c r="H57" s="261"/>
      <c r="I57" s="669"/>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1882</v>
      </c>
      <c r="Q57" s="451" t="s">
        <v>1891</v>
      </c>
      <c r="R57" s="438"/>
    </row>
    <row r="58" spans="1:32">
      <c r="A58" s="110">
        <v>2</v>
      </c>
      <c r="B58" s="355">
        <v>57</v>
      </c>
      <c r="C58" s="418" t="str">
        <f>IF(VLOOKUP(6,'Plate Planning'!$A$2:$T$16,17,FALSE)=0,"",VLOOKUP(6,'Plate Planning'!$A$2:$T$16,17,FALSE))</f>
        <v/>
      </c>
      <c r="D58" s="490"/>
      <c r="E58" s="266" t="str">
        <f t="shared" si="7"/>
        <v/>
      </c>
      <c r="F58" s="270"/>
      <c r="G58" s="260"/>
      <c r="H58" s="261"/>
      <c r="I58" s="669"/>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1883</v>
      </c>
      <c r="Q58" s="451" t="s">
        <v>1891</v>
      </c>
      <c r="R58" s="438"/>
    </row>
    <row r="59" spans="1:32">
      <c r="B59" s="356">
        <v>58</v>
      </c>
      <c r="C59" s="418" t="str">
        <f>IF(VLOOKUP(7,'Plate Planning'!$A$2:$T$16,17,FALSE)=0,"",VLOOKUP(7,'Plate Planning'!$A$2:$T$16,17,FALSE))</f>
        <v/>
      </c>
      <c r="D59" s="490"/>
      <c r="E59" s="266" t="str">
        <f t="shared" si="7"/>
        <v/>
      </c>
      <c r="F59" s="270"/>
      <c r="G59" s="260"/>
      <c r="H59" s="261"/>
      <c r="I59" s="669"/>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1884</v>
      </c>
      <c r="Q59" s="451" t="s">
        <v>1891</v>
      </c>
      <c r="R59" s="438"/>
    </row>
    <row r="60" spans="1:32">
      <c r="B60" s="354">
        <v>59</v>
      </c>
      <c r="C60" s="418" t="str">
        <f>IF(VLOOKUP(8,'Plate Planning'!$A$2:$T$16,17,FALSE)=0,"",VLOOKUP(8,'Plate Planning'!$A$2:$T$16,17,FALSE))</f>
        <v/>
      </c>
      <c r="D60" s="490"/>
      <c r="E60" s="266" t="str">
        <f t="shared" si="7"/>
        <v/>
      </c>
      <c r="F60" s="270"/>
      <c r="G60" s="260"/>
      <c r="H60" s="261"/>
      <c r="I60" s="669"/>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1885</v>
      </c>
      <c r="Q60" s="451" t="s">
        <v>1891</v>
      </c>
      <c r="R60" s="438"/>
    </row>
    <row r="61" spans="1:32">
      <c r="B61" s="355">
        <v>60</v>
      </c>
      <c r="C61" s="418" t="str">
        <f>IF(VLOOKUP(9,'Plate Planning'!$A$2:$T$16,17,FALSE)=0,"",VLOOKUP(9,'Plate Planning'!$A$2:$T$16,17,FALSE))</f>
        <v/>
      </c>
      <c r="D61" s="490"/>
      <c r="E61" s="266" t="str">
        <f t="shared" si="7"/>
        <v/>
      </c>
      <c r="F61" s="270"/>
      <c r="G61" s="260"/>
      <c r="H61" s="261"/>
      <c r="I61" s="669"/>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1886</v>
      </c>
      <c r="Q61" s="451" t="s">
        <v>1891</v>
      </c>
      <c r="R61" s="438"/>
    </row>
    <row r="62" spans="1:32">
      <c r="B62" s="356">
        <v>61</v>
      </c>
      <c r="C62" s="418" t="str">
        <f>IF(VLOOKUP(10,'Plate Planning'!$A$2:$T$16,17,FALSE)=0,"",VLOOKUP(10,'Plate Planning'!$A$2:$T$16,17,FALSE))</f>
        <v/>
      </c>
      <c r="D62" s="490"/>
      <c r="E62" s="266" t="str">
        <f t="shared" si="7"/>
        <v/>
      </c>
      <c r="F62" s="270"/>
      <c r="G62" s="260"/>
      <c r="H62" s="261"/>
      <c r="I62" s="669"/>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1887</v>
      </c>
      <c r="Q62" s="451" t="s">
        <v>1891</v>
      </c>
      <c r="R62" s="438"/>
    </row>
    <row r="63" spans="1:32" s="60" customFormat="1" ht="17" thickBot="1">
      <c r="A63" s="63"/>
      <c r="B63" s="357">
        <v>62</v>
      </c>
      <c r="C63" s="419" t="str">
        <f>IF(VLOOKUP(11,'Plate Planning'!$A$2:$T$16,17,FALSE)=0,"",VLOOKUP(11,'Plate Planning'!$A$2:$T$16,17,FALSE))</f>
        <v/>
      </c>
      <c r="D63" s="493"/>
      <c r="E63" s="464" t="str">
        <f t="shared" si="7"/>
        <v/>
      </c>
      <c r="F63" s="272"/>
      <c r="G63" s="264"/>
      <c r="H63" s="265"/>
      <c r="I63" s="670"/>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1888</v>
      </c>
      <c r="Q63" s="502" t="s">
        <v>1891</v>
      </c>
      <c r="R63" s="440"/>
      <c r="S63" s="44"/>
      <c r="T63" s="44"/>
      <c r="U63" s="45"/>
      <c r="V63" s="45"/>
      <c r="W63" s="45"/>
      <c r="X63" s="45"/>
      <c r="Y63" s="45"/>
      <c r="Z63" s="45"/>
      <c r="AA63" s="45"/>
      <c r="AB63" s="45"/>
      <c r="AC63" s="45"/>
      <c r="AD63" s="45"/>
      <c r="AE63" s="45"/>
      <c r="AF63" s="45"/>
    </row>
    <row r="64" spans="1:32" s="44" customFormat="1">
      <c r="A64" s="109" t="s">
        <v>1141</v>
      </c>
      <c r="B64" s="358">
        <v>63</v>
      </c>
      <c r="C64" s="420" t="str">
        <f>IF(VLOOKUP(4,'Plate Planning'!$A$2:$T$16,19,FALSE)=0,"",VLOOKUP(4,'Plate Planning'!$A$2:$T$16,19,FALSE))</f>
        <v/>
      </c>
      <c r="D64" s="494"/>
      <c r="E64" s="468" t="str">
        <f t="shared" ref="E64:E71" si="8">IF(v6_row="row variable", "", v6_row)</f>
        <v/>
      </c>
      <c r="F64" s="293"/>
      <c r="G64" s="294"/>
      <c r="H64" s="295"/>
      <c r="I64" s="676"/>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1881</v>
      </c>
      <c r="Q64" s="453" t="s">
        <v>1891</v>
      </c>
      <c r="R64" s="450"/>
    </row>
    <row r="65" spans="1:18" s="44" customFormat="1">
      <c r="A65" s="109" t="s">
        <v>1150</v>
      </c>
      <c r="B65" s="358">
        <v>64</v>
      </c>
      <c r="C65" s="420" t="str">
        <f>IF(VLOOKUP(5,'Plate Planning'!$A$2:$T$16,19,FALSE)=0,"",VLOOKUP(5,'Plate Planning'!$A$2:$T$16,19,FALSE))</f>
        <v/>
      </c>
      <c r="D65" s="495"/>
      <c r="E65" s="467" t="str">
        <f t="shared" si="8"/>
        <v/>
      </c>
      <c r="F65" s="296"/>
      <c r="G65" s="297"/>
      <c r="H65" s="282"/>
      <c r="I65" s="673"/>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1882</v>
      </c>
      <c r="Q65" s="451" t="s">
        <v>1891</v>
      </c>
      <c r="R65" s="438"/>
    </row>
    <row r="66" spans="1:18" s="44" customFormat="1">
      <c r="A66" s="110">
        <v>3</v>
      </c>
      <c r="B66" s="359">
        <v>65</v>
      </c>
      <c r="C66" s="420" t="str">
        <f>IF(VLOOKUP(6,'Plate Planning'!$A$2:$T$16,19,FALSE)=0,"",VLOOKUP(6,'Plate Planning'!$A$2:$T$16,19,FALSE))</f>
        <v/>
      </c>
      <c r="D66" s="495"/>
      <c r="E66" s="467" t="str">
        <f t="shared" si="8"/>
        <v/>
      </c>
      <c r="F66" s="296"/>
      <c r="G66" s="297"/>
      <c r="H66" s="282"/>
      <c r="I66" s="673"/>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1883</v>
      </c>
      <c r="Q66" s="451" t="s">
        <v>1891</v>
      </c>
      <c r="R66" s="438"/>
    </row>
    <row r="67" spans="1:18" s="44" customFormat="1">
      <c r="A67" s="70"/>
      <c r="B67" s="358">
        <v>66</v>
      </c>
      <c r="C67" s="420" t="str">
        <f>IF(VLOOKUP(7,'Plate Planning'!$A$2:$T$16,19,FALSE)=0,"",VLOOKUP(7,'Plate Planning'!$A$2:$T$16,19,FALSE))</f>
        <v/>
      </c>
      <c r="D67" s="495"/>
      <c r="E67" s="467" t="str">
        <f t="shared" si="8"/>
        <v/>
      </c>
      <c r="F67" s="296"/>
      <c r="G67" s="297"/>
      <c r="H67" s="282"/>
      <c r="I67" s="673"/>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1884</v>
      </c>
      <c r="Q67" s="451" t="s">
        <v>1891</v>
      </c>
      <c r="R67" s="438"/>
    </row>
    <row r="68" spans="1:18" s="44" customFormat="1">
      <c r="A68" s="69"/>
      <c r="B68" s="359">
        <v>67</v>
      </c>
      <c r="C68" s="420" t="str">
        <f>IF(VLOOKUP(8,'Plate Planning'!$A$2:$T$16,19,FALSE)=0,"",VLOOKUP(8,'Plate Planning'!$A$2:$T$16,19,FALSE))</f>
        <v/>
      </c>
      <c r="D68" s="496"/>
      <c r="E68" s="467" t="str">
        <f t="shared" si="8"/>
        <v/>
      </c>
      <c r="F68" s="298"/>
      <c r="G68" s="299"/>
      <c r="H68" s="286"/>
      <c r="I68" s="674"/>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1885</v>
      </c>
      <c r="Q68" s="451" t="s">
        <v>1891</v>
      </c>
      <c r="R68" s="438"/>
    </row>
    <row r="69" spans="1:18" s="44" customFormat="1">
      <c r="A69" s="70"/>
      <c r="B69" s="358">
        <v>68</v>
      </c>
      <c r="C69" s="420" t="str">
        <f>IF(VLOOKUP(9,'Plate Planning'!$A$2:$T$16,19,FALSE)=0,"",VLOOKUP(9,'Plate Planning'!$A$2:$T$16,19,FALSE))</f>
        <v/>
      </c>
      <c r="D69" s="495"/>
      <c r="E69" s="467" t="str">
        <f t="shared" si="8"/>
        <v/>
      </c>
      <c r="F69" s="296"/>
      <c r="G69" s="297"/>
      <c r="H69" s="282"/>
      <c r="I69" s="673"/>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1886</v>
      </c>
      <c r="Q69" s="451" t="s">
        <v>1891</v>
      </c>
      <c r="R69" s="438"/>
    </row>
    <row r="70" spans="1:18" s="44" customFormat="1">
      <c r="A70" s="71"/>
      <c r="B70" s="359">
        <v>69</v>
      </c>
      <c r="C70" s="420" t="str">
        <f>IF(VLOOKUP(10,'Plate Planning'!$A$2:$T$16,19,FALSE)=0,"",VLOOKUP(10,'Plate Planning'!$A$2:$T$16,19,FALSE))</f>
        <v/>
      </c>
      <c r="D70" s="495"/>
      <c r="E70" s="467" t="str">
        <f t="shared" si="8"/>
        <v/>
      </c>
      <c r="F70" s="296"/>
      <c r="G70" s="297"/>
      <c r="H70" s="282"/>
      <c r="I70" s="673"/>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1887</v>
      </c>
      <c r="Q70" s="451" t="s">
        <v>1891</v>
      </c>
      <c r="R70" s="438"/>
    </row>
    <row r="71" spans="1:18" s="44" customFormat="1" ht="17" thickBot="1">
      <c r="A71" s="72"/>
      <c r="B71" s="360">
        <v>70</v>
      </c>
      <c r="C71" s="421" t="str">
        <f>IF(VLOOKUP(11,'Plate Planning'!$A$2:$T$16,19,FALSE)=0,"",VLOOKUP(11,'Plate Planning'!$A$2:$T$16,19,FALSE))</f>
        <v/>
      </c>
      <c r="D71" s="497"/>
      <c r="E71" s="464" t="str">
        <f t="shared" si="8"/>
        <v/>
      </c>
      <c r="F71" s="300"/>
      <c r="G71" s="301"/>
      <c r="H71" s="302"/>
      <c r="I71" s="677"/>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1888</v>
      </c>
      <c r="Q71" s="502" t="s">
        <v>1891</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0"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9" width="22.5" style="2" customWidth="1"/>
    <col min="10" max="10" width="7" style="13" hidden="1" customWidth="1"/>
    <col min="11" max="11" width="15.6640625" style="1" hidden="1" customWidth="1"/>
    <col min="12" max="12" width="17.83203125" style="1" hidden="1" customWidth="1"/>
    <col min="13" max="14" width="22.832031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702" t="s">
        <v>8</v>
      </c>
      <c r="K1" s="702"/>
      <c r="L1" s="702"/>
      <c r="M1" s="703"/>
      <c r="N1" s="129"/>
      <c r="O1" s="160" t="s">
        <v>1851</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1852</v>
      </c>
      <c r="H2" s="115" t="s">
        <v>10</v>
      </c>
      <c r="I2" s="116" t="s">
        <v>45</v>
      </c>
      <c r="J2" s="147" t="s">
        <v>9</v>
      </c>
      <c r="K2" s="19" t="s">
        <v>0</v>
      </c>
      <c r="L2" s="379" t="s">
        <v>1852</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7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7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7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7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7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7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7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7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7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7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7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7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7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7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7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7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7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7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7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7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7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7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7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7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7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7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28" t="str">
        <f>IFERROR(IF(LOOKUP(J29,Reagents!$B:$B,Reagents!$J:$J)=0,'Stock Solution Calculator'!M29/LOOKUP('Stock Solution Calculator'!J29,Reagents!$B:$B,Reagents!$I:$I),LOOKUP(J29,Reagents!$B:$B,Reagents!$J:$J)*LOOKUP(J29,Reagents!$B:$B,Reagents!$K:$K)*$C29*1.25), "-")</f>
        <v>-</v>
      </c>
      <c r="O29" s="629" t="str">
        <f>IFERROR(LOOKUP(E29,Reagents!B:B,Reagents!K:K)/D29, "")</f>
        <v/>
      </c>
      <c r="P29" s="47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7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7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7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7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7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7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7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7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7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2">
        <f>LOOKUP("Reaction scale (µmol):",'Plate Planning'!H31:H32,'Plate Planning'!J31:J32)/'Plate Planning'!J33</f>
        <v>0.1</v>
      </c>
      <c r="I41" s="22"/>
      <c r="M41" s="23"/>
      <c r="N41" s="23"/>
      <c r="O41" s="469"/>
      <c r="P41" s="22"/>
    </row>
    <row r="42" spans="1:16" s="21" customFormat="1">
      <c r="C42" s="24"/>
      <c r="D42" s="35" t="s">
        <v>890</v>
      </c>
      <c r="E42" s="34"/>
      <c r="F42" s="27"/>
      <c r="G42" s="223">
        <f>'Plate Planning'!J33</f>
        <v>100</v>
      </c>
      <c r="I42" s="22"/>
      <c r="M42" s="23"/>
      <c r="N42" s="23"/>
      <c r="P42" s="22"/>
    </row>
    <row r="43" spans="1:16" s="21" customFormat="1">
      <c r="D43" s="36" t="s">
        <v>891</v>
      </c>
      <c r="E43" s="34"/>
      <c r="F43" s="27"/>
      <c r="G43" s="149">
        <v>4</v>
      </c>
      <c r="I43" s="22"/>
      <c r="M43" s="23"/>
      <c r="N43" s="23"/>
      <c r="O43" s="469"/>
      <c r="P43" s="22"/>
    </row>
    <row r="44" spans="1:16" s="21" customFormat="1" ht="17" thickBot="1">
      <c r="D44" s="38" t="s">
        <v>889</v>
      </c>
      <c r="E44" s="39"/>
      <c r="F44" s="40"/>
      <c r="G44" s="150">
        <f>G42/G43</f>
        <v>25</v>
      </c>
      <c r="I44" s="22"/>
      <c r="M44" s="23"/>
      <c r="N44" s="23"/>
      <c r="O44" s="46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1272</v>
      </c>
      <c r="B1" s="8" t="s">
        <v>13</v>
      </c>
      <c r="C1" s="8" t="s">
        <v>1845</v>
      </c>
      <c r="D1" s="8" t="s">
        <v>1846</v>
      </c>
      <c r="E1" s="8" t="s">
        <v>1847</v>
      </c>
      <c r="F1" s="8" t="s">
        <v>1848</v>
      </c>
      <c r="G1" s="8" t="s">
        <v>1270</v>
      </c>
      <c r="H1" s="8" t="s">
        <v>3</v>
      </c>
      <c r="I1" s="310" t="s">
        <v>1271</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IFERROR(AVERAGE(E2:F2), "")</f>
        <v/>
      </c>
      <c r="D2" s="45"/>
      <c r="E2" s="45"/>
      <c r="F2" s="45"/>
      <c r="G2" s="1">
        <f t="shared" ref="G2:G16" si="0">product_1_name</f>
        <v>0</v>
      </c>
      <c r="H2" s="45"/>
      <c r="I2" s="224"/>
    </row>
    <row r="3" spans="1:55">
      <c r="A3" s="1">
        <v>1</v>
      </c>
      <c r="B3" s="1">
        <v>1</v>
      </c>
      <c r="C3" s="1" t="str">
        <f t="shared" ref="C3:C16" si="1">IFERROR(AVERAGE(E3:F3),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7" t="str">
        <f t="shared" si="1"/>
        <v/>
      </c>
      <c r="D16" s="45"/>
      <c r="E16" s="45"/>
      <c r="F16" s="45"/>
      <c r="G16" s="1">
        <f t="shared" si="0"/>
        <v>0</v>
      </c>
      <c r="H16" s="45"/>
      <c r="I16" s="224"/>
    </row>
    <row r="17" spans="1:9" hidden="1">
      <c r="A17" s="1">
        <v>2</v>
      </c>
      <c r="B17" s="1">
        <v>1</v>
      </c>
      <c r="C17" s="1" t="str">
        <f t="shared" ref="C17:C61" si="2">IFERROR(E17/F17,"")</f>
        <v/>
      </c>
      <c r="D17" s="308"/>
      <c r="E17" s="308"/>
      <c r="F17" s="308"/>
      <c r="G17" s="6">
        <f t="shared" ref="G17:G31" si="3">product_2_name</f>
        <v>0</v>
      </c>
      <c r="H17" s="308"/>
      <c r="I17" s="309"/>
    </row>
    <row r="18" spans="1:9" hidden="1">
      <c r="A18" s="1">
        <v>2</v>
      </c>
      <c r="B18" s="1">
        <v>1</v>
      </c>
      <c r="C18" s="1" t="str">
        <f t="shared" si="2"/>
        <v/>
      </c>
      <c r="D18" s="45"/>
      <c r="E18" s="45"/>
      <c r="F18" s="45"/>
      <c r="G18" s="1">
        <f t="shared" si="3"/>
        <v>0</v>
      </c>
      <c r="H18" s="45"/>
      <c r="I18" s="224"/>
    </row>
    <row r="19" spans="1:9" hidden="1">
      <c r="A19" s="1">
        <v>2</v>
      </c>
      <c r="B19" s="1">
        <v>1</v>
      </c>
      <c r="C19" s="1" t="str">
        <f t="shared" si="2"/>
        <v/>
      </c>
      <c r="D19" s="45"/>
      <c r="E19" s="45"/>
      <c r="F19" s="45"/>
      <c r="G19" s="1">
        <f t="shared" si="3"/>
        <v>0</v>
      </c>
      <c r="H19" s="45"/>
      <c r="I19" s="224"/>
    </row>
    <row r="20" spans="1:9" hidden="1">
      <c r="A20" s="1">
        <v>2</v>
      </c>
      <c r="B20" s="1">
        <v>1</v>
      </c>
      <c r="C20" s="1" t="str">
        <f t="shared" si="2"/>
        <v/>
      </c>
      <c r="D20" s="45"/>
      <c r="E20" s="45"/>
      <c r="F20" s="45"/>
      <c r="G20" s="1">
        <f t="shared" si="3"/>
        <v>0</v>
      </c>
      <c r="H20" s="45"/>
      <c r="I20" s="224"/>
    </row>
    <row r="21" spans="1:9" hidden="1">
      <c r="A21" s="1">
        <v>2</v>
      </c>
      <c r="B21" s="1">
        <v>1</v>
      </c>
      <c r="C21" s="1" t="str">
        <f t="shared" si="2"/>
        <v/>
      </c>
      <c r="D21" s="45"/>
      <c r="E21" s="45"/>
      <c r="F21" s="45"/>
      <c r="G21" s="1">
        <f t="shared" si="3"/>
        <v>0</v>
      </c>
      <c r="H21" s="45"/>
      <c r="I21" s="224"/>
    </row>
    <row r="22" spans="1:9" hidden="1">
      <c r="A22" s="1">
        <v>2</v>
      </c>
      <c r="B22" s="1">
        <v>2</v>
      </c>
      <c r="C22" s="1" t="str">
        <f t="shared" si="2"/>
        <v/>
      </c>
      <c r="D22" s="45"/>
      <c r="E22" s="45"/>
      <c r="F22" s="45"/>
      <c r="G22" s="1">
        <f t="shared" si="3"/>
        <v>0</v>
      </c>
      <c r="H22" s="45"/>
      <c r="I22" s="224"/>
    </row>
    <row r="23" spans="1:9" hidden="1">
      <c r="A23" s="1">
        <v>2</v>
      </c>
      <c r="B23" s="1">
        <v>2</v>
      </c>
      <c r="C23" s="1" t="str">
        <f t="shared" si="2"/>
        <v/>
      </c>
      <c r="D23" s="45"/>
      <c r="E23" s="45"/>
      <c r="F23" s="45"/>
      <c r="G23" s="1">
        <f t="shared" si="3"/>
        <v>0</v>
      </c>
      <c r="H23" s="45"/>
      <c r="I23" s="224"/>
    </row>
    <row r="24" spans="1:9" hidden="1">
      <c r="A24" s="1">
        <v>2</v>
      </c>
      <c r="B24" s="1">
        <v>2</v>
      </c>
      <c r="C24" s="1" t="str">
        <f t="shared" si="2"/>
        <v/>
      </c>
      <c r="D24" s="45"/>
      <c r="E24" s="45"/>
      <c r="F24" s="45"/>
      <c r="G24" s="1">
        <f t="shared" si="3"/>
        <v>0</v>
      </c>
      <c r="H24" s="45"/>
      <c r="I24" s="224"/>
    </row>
    <row r="25" spans="1:9" hidden="1">
      <c r="A25" s="1">
        <v>2</v>
      </c>
      <c r="B25" s="1">
        <v>2</v>
      </c>
      <c r="C25" s="1" t="str">
        <f t="shared" si="2"/>
        <v/>
      </c>
      <c r="D25" s="45"/>
      <c r="E25" s="45"/>
      <c r="F25" s="45"/>
      <c r="G25" s="1">
        <f t="shared" si="3"/>
        <v>0</v>
      </c>
      <c r="H25" s="45"/>
      <c r="I25" s="224"/>
    </row>
    <row r="26" spans="1:9" hidden="1">
      <c r="A26" s="1">
        <v>2</v>
      </c>
      <c r="B26" s="1">
        <v>2</v>
      </c>
      <c r="C26" s="1" t="str">
        <f t="shared" si="2"/>
        <v/>
      </c>
      <c r="D26" s="45"/>
      <c r="E26" s="45"/>
      <c r="F26" s="45"/>
      <c r="G26" s="1">
        <f t="shared" si="3"/>
        <v>0</v>
      </c>
      <c r="H26" s="45"/>
      <c r="I26" s="224"/>
    </row>
    <row r="27" spans="1:9" hidden="1">
      <c r="A27" s="1">
        <v>2</v>
      </c>
      <c r="B27" s="1">
        <v>3</v>
      </c>
      <c r="C27" s="1" t="str">
        <f t="shared" si="2"/>
        <v/>
      </c>
      <c r="D27" s="45"/>
      <c r="E27" s="45"/>
      <c r="F27" s="45"/>
      <c r="G27" s="1">
        <f t="shared" si="3"/>
        <v>0</v>
      </c>
      <c r="H27" s="45"/>
      <c r="I27" s="224"/>
    </row>
    <row r="28" spans="1:9" hidden="1">
      <c r="A28" s="1">
        <v>2</v>
      </c>
      <c r="B28" s="1">
        <v>3</v>
      </c>
      <c r="C28" s="1" t="str">
        <f t="shared" si="2"/>
        <v/>
      </c>
      <c r="D28" s="45"/>
      <c r="E28" s="45"/>
      <c r="F28" s="45"/>
      <c r="G28" s="1">
        <f t="shared" si="3"/>
        <v>0</v>
      </c>
      <c r="H28" s="45"/>
      <c r="I28" s="224"/>
    </row>
    <row r="29" spans="1:9" hidden="1">
      <c r="A29" s="1">
        <v>2</v>
      </c>
      <c r="B29" s="1">
        <v>3</v>
      </c>
      <c r="C29" s="1" t="str">
        <f t="shared" si="2"/>
        <v/>
      </c>
      <c r="D29" s="45"/>
      <c r="E29" s="45"/>
      <c r="F29" s="45"/>
      <c r="G29" s="1">
        <f t="shared" si="3"/>
        <v>0</v>
      </c>
      <c r="H29" s="45"/>
      <c r="I29" s="224"/>
    </row>
    <row r="30" spans="1:9" hidden="1">
      <c r="A30" s="1">
        <v>2</v>
      </c>
      <c r="B30" s="1">
        <v>3</v>
      </c>
      <c r="C30" s="1" t="str">
        <f t="shared" si="2"/>
        <v/>
      </c>
      <c r="D30" s="45"/>
      <c r="E30" s="45"/>
      <c r="F30" s="45"/>
      <c r="G30" s="1">
        <f t="shared" si="3"/>
        <v>0</v>
      </c>
      <c r="H30" s="45"/>
      <c r="I30" s="224"/>
    </row>
    <row r="31" spans="1:9" hidden="1">
      <c r="A31" s="1">
        <v>2</v>
      </c>
      <c r="B31" s="1">
        <v>3</v>
      </c>
      <c r="C31" s="330" t="str">
        <f t="shared" si="2"/>
        <v/>
      </c>
      <c r="D31" s="45"/>
      <c r="E31" s="45"/>
      <c r="F31" s="45"/>
      <c r="G31" s="330">
        <f t="shared" si="3"/>
        <v>0</v>
      </c>
      <c r="H31" s="45"/>
      <c r="I31" s="224"/>
    </row>
    <row r="32" spans="1:9">
      <c r="A32" s="1">
        <v>2</v>
      </c>
      <c r="B32" s="6">
        <v>1</v>
      </c>
      <c r="C32" s="1" t="str">
        <f>IFERROR(AVERAGE(E32:F32), "")</f>
        <v/>
      </c>
      <c r="D32" s="308"/>
      <c r="E32" s="308"/>
      <c r="F32" s="308"/>
      <c r="G32" s="1">
        <f t="shared" ref="G32:G46" si="4">product_3_name</f>
        <v>0</v>
      </c>
      <c r="H32" s="308"/>
      <c r="I32" s="309"/>
    </row>
    <row r="33" spans="1:9">
      <c r="A33" s="1">
        <v>2</v>
      </c>
      <c r="B33" s="1">
        <v>1</v>
      </c>
      <c r="C33" s="1" t="str">
        <f t="shared" ref="C33:C46" si="5">IFERROR(AVERAGE(E33:F33), "")</f>
        <v/>
      </c>
      <c r="D33" s="45"/>
      <c r="E33" s="45"/>
      <c r="F33" s="45"/>
      <c r="G33" s="1">
        <f t="shared" si="4"/>
        <v>0</v>
      </c>
      <c r="H33" s="45"/>
      <c r="I33" s="224"/>
    </row>
    <row r="34" spans="1:9">
      <c r="A34" s="1">
        <v>2</v>
      </c>
      <c r="B34" s="1">
        <v>1</v>
      </c>
      <c r="C34" s="1" t="str">
        <f t="shared" si="5"/>
        <v/>
      </c>
      <c r="D34" s="45"/>
      <c r="E34" s="45"/>
      <c r="F34" s="45"/>
      <c r="G34" s="1">
        <f t="shared" si="4"/>
        <v>0</v>
      </c>
      <c r="H34" s="45"/>
      <c r="I34" s="224"/>
    </row>
    <row r="35" spans="1:9">
      <c r="A35" s="1">
        <v>2</v>
      </c>
      <c r="B35" s="1">
        <v>1</v>
      </c>
      <c r="C35" s="1" t="str">
        <f t="shared" si="5"/>
        <v/>
      </c>
      <c r="D35" s="45"/>
      <c r="E35" s="45"/>
      <c r="F35" s="45"/>
      <c r="G35" s="1">
        <f t="shared" si="4"/>
        <v>0</v>
      </c>
      <c r="H35" s="45"/>
      <c r="I35" s="224"/>
    </row>
    <row r="36" spans="1:9">
      <c r="A36" s="1">
        <v>2</v>
      </c>
      <c r="B36" s="1">
        <v>1</v>
      </c>
      <c r="C36" s="1" t="str">
        <f t="shared" si="5"/>
        <v/>
      </c>
      <c r="D36" s="45"/>
      <c r="E36" s="45"/>
      <c r="F36" s="45"/>
      <c r="G36" s="1">
        <f t="shared" si="4"/>
        <v>0</v>
      </c>
      <c r="H36" s="45"/>
      <c r="I36" s="224"/>
    </row>
    <row r="37" spans="1:9">
      <c r="A37" s="1">
        <v>2</v>
      </c>
      <c r="B37" s="1">
        <v>2</v>
      </c>
      <c r="C37" s="1" t="str">
        <f t="shared" si="5"/>
        <v/>
      </c>
      <c r="D37" s="45"/>
      <c r="E37" s="45"/>
      <c r="F37" s="45"/>
      <c r="G37" s="1">
        <f t="shared" si="4"/>
        <v>0</v>
      </c>
      <c r="H37" s="45"/>
      <c r="I37" s="224"/>
    </row>
    <row r="38" spans="1:9">
      <c r="A38" s="1">
        <v>2</v>
      </c>
      <c r="B38" s="1">
        <v>2</v>
      </c>
      <c r="C38" s="1" t="str">
        <f t="shared" si="5"/>
        <v/>
      </c>
      <c r="D38" s="45"/>
      <c r="E38" s="45"/>
      <c r="F38" s="45"/>
      <c r="G38" s="1">
        <f t="shared" si="4"/>
        <v>0</v>
      </c>
      <c r="H38" s="45"/>
      <c r="I38" s="224"/>
    </row>
    <row r="39" spans="1:9">
      <c r="A39" s="1">
        <v>2</v>
      </c>
      <c r="B39" s="1">
        <v>2</v>
      </c>
      <c r="C39" s="1" t="str">
        <f t="shared" si="5"/>
        <v/>
      </c>
      <c r="D39" s="45"/>
      <c r="E39" s="45"/>
      <c r="F39" s="45"/>
      <c r="G39" s="1">
        <f t="shared" si="4"/>
        <v>0</v>
      </c>
      <c r="H39" s="45"/>
      <c r="I39" s="224"/>
    </row>
    <row r="40" spans="1:9">
      <c r="A40" s="1">
        <v>2</v>
      </c>
      <c r="B40" s="1">
        <v>2</v>
      </c>
      <c r="C40" s="1" t="str">
        <f t="shared" si="5"/>
        <v/>
      </c>
      <c r="D40" s="45"/>
      <c r="E40" s="45"/>
      <c r="F40" s="45"/>
      <c r="G40" s="1">
        <f t="shared" si="4"/>
        <v>0</v>
      </c>
      <c r="H40" s="45"/>
      <c r="I40" s="224"/>
    </row>
    <row r="41" spans="1:9">
      <c r="A41" s="1">
        <v>2</v>
      </c>
      <c r="B41" s="1">
        <v>2</v>
      </c>
      <c r="C41" s="1" t="str">
        <f t="shared" si="5"/>
        <v/>
      </c>
      <c r="D41" s="45"/>
      <c r="E41" s="45"/>
      <c r="F41" s="45"/>
      <c r="G41" s="1">
        <f t="shared" si="4"/>
        <v>0</v>
      </c>
      <c r="H41" s="45"/>
      <c r="I41" s="224"/>
    </row>
    <row r="42" spans="1:9">
      <c r="A42" s="1">
        <v>2</v>
      </c>
      <c r="B42" s="1">
        <v>3</v>
      </c>
      <c r="C42" s="1" t="str">
        <f t="shared" si="5"/>
        <v/>
      </c>
      <c r="D42" s="45"/>
      <c r="E42" s="45"/>
      <c r="F42" s="45"/>
      <c r="G42" s="1">
        <f t="shared" si="4"/>
        <v>0</v>
      </c>
      <c r="H42" s="45"/>
      <c r="I42" s="224"/>
    </row>
    <row r="43" spans="1:9">
      <c r="A43" s="1">
        <v>2</v>
      </c>
      <c r="B43" s="1">
        <v>3</v>
      </c>
      <c r="C43" s="1" t="str">
        <f t="shared" si="5"/>
        <v/>
      </c>
      <c r="D43" s="45"/>
      <c r="E43" s="45"/>
      <c r="F43" s="45"/>
      <c r="G43" s="1">
        <f t="shared" si="4"/>
        <v>0</v>
      </c>
      <c r="H43" s="45"/>
      <c r="I43" s="224"/>
    </row>
    <row r="44" spans="1:9">
      <c r="A44" s="1">
        <v>2</v>
      </c>
      <c r="B44" s="1">
        <v>3</v>
      </c>
      <c r="C44" s="1" t="str">
        <f t="shared" si="5"/>
        <v/>
      </c>
      <c r="D44" s="45"/>
      <c r="E44" s="45"/>
      <c r="F44" s="45"/>
      <c r="G44" s="1">
        <f t="shared" si="4"/>
        <v>0</v>
      </c>
      <c r="H44" s="45"/>
      <c r="I44" s="224"/>
    </row>
    <row r="45" spans="1:9">
      <c r="A45" s="1">
        <v>2</v>
      </c>
      <c r="B45" s="1">
        <v>3</v>
      </c>
      <c r="C45" s="1" t="str">
        <f t="shared" si="5"/>
        <v/>
      </c>
      <c r="D45" s="45"/>
      <c r="E45" s="45"/>
      <c r="F45" s="45"/>
      <c r="G45" s="1">
        <f t="shared" si="4"/>
        <v>0</v>
      </c>
      <c r="H45" s="45"/>
      <c r="I45" s="224"/>
    </row>
    <row r="46" spans="1:9">
      <c r="A46" s="7">
        <v>2</v>
      </c>
      <c r="B46" s="7">
        <v>3</v>
      </c>
      <c r="C46" s="7" t="str">
        <f t="shared" si="5"/>
        <v/>
      </c>
      <c r="D46" s="45"/>
      <c r="E46" s="45"/>
      <c r="F46" s="45"/>
      <c r="G46" s="1">
        <f t="shared" si="4"/>
        <v>0</v>
      </c>
      <c r="H46" s="45"/>
      <c r="I46" s="224"/>
    </row>
    <row r="47" spans="1:9" hidden="1">
      <c r="A47" s="1">
        <v>4</v>
      </c>
      <c r="B47" s="1">
        <v>1</v>
      </c>
      <c r="C47" s="1" t="str">
        <f t="shared" si="2"/>
        <v/>
      </c>
      <c r="D47" s="308"/>
      <c r="E47" s="308"/>
      <c r="F47" s="308"/>
      <c r="G47" s="6">
        <f t="shared" ref="G47:G61" si="6">product_4_name</f>
        <v>0</v>
      </c>
      <c r="H47" s="308"/>
      <c r="I47" s="309"/>
    </row>
    <row r="48" spans="1:9" hidden="1">
      <c r="A48" s="1">
        <v>4</v>
      </c>
      <c r="B48" s="1">
        <v>1</v>
      </c>
      <c r="C48" s="1" t="str">
        <f t="shared" si="2"/>
        <v/>
      </c>
      <c r="D48" s="45"/>
      <c r="E48" s="45"/>
      <c r="F48" s="45"/>
      <c r="G48" s="1">
        <f t="shared" si="6"/>
        <v>0</v>
      </c>
      <c r="H48" s="45"/>
      <c r="I48" s="224"/>
    </row>
    <row r="49" spans="1:9" hidden="1">
      <c r="A49" s="1">
        <v>4</v>
      </c>
      <c r="B49" s="1">
        <v>1</v>
      </c>
      <c r="C49" s="1" t="str">
        <f t="shared" si="2"/>
        <v/>
      </c>
      <c r="D49" s="45"/>
      <c r="E49" s="45"/>
      <c r="F49" s="45"/>
      <c r="G49" s="1">
        <f t="shared" si="6"/>
        <v>0</v>
      </c>
      <c r="H49" s="45"/>
      <c r="I49" s="224"/>
    </row>
    <row r="50" spans="1:9" hidden="1">
      <c r="A50" s="1">
        <v>4</v>
      </c>
      <c r="B50" s="1">
        <v>1</v>
      </c>
      <c r="C50" s="1" t="str">
        <f t="shared" si="2"/>
        <v/>
      </c>
      <c r="D50" s="45"/>
      <c r="E50" s="45"/>
      <c r="F50" s="45"/>
      <c r="G50" s="1">
        <f t="shared" si="6"/>
        <v>0</v>
      </c>
      <c r="H50" s="45"/>
      <c r="I50" s="224"/>
    </row>
    <row r="51" spans="1:9" hidden="1">
      <c r="A51" s="1">
        <v>4</v>
      </c>
      <c r="B51" s="1">
        <v>1</v>
      </c>
      <c r="C51" s="1" t="str">
        <f t="shared" si="2"/>
        <v/>
      </c>
      <c r="D51" s="45"/>
      <c r="E51" s="45"/>
      <c r="F51" s="45"/>
      <c r="G51" s="1">
        <f t="shared" si="6"/>
        <v>0</v>
      </c>
      <c r="H51" s="45"/>
      <c r="I51" s="224"/>
    </row>
    <row r="52" spans="1:9" hidden="1">
      <c r="A52" s="1">
        <v>4</v>
      </c>
      <c r="B52" s="1">
        <v>2</v>
      </c>
      <c r="C52" s="1" t="str">
        <f t="shared" si="2"/>
        <v/>
      </c>
      <c r="D52" s="45"/>
      <c r="E52" s="45"/>
      <c r="F52" s="45"/>
      <c r="G52" s="1">
        <f t="shared" si="6"/>
        <v>0</v>
      </c>
      <c r="H52" s="45"/>
      <c r="I52" s="224"/>
    </row>
    <row r="53" spans="1:9" hidden="1">
      <c r="A53" s="1">
        <v>4</v>
      </c>
      <c r="B53" s="1">
        <v>2</v>
      </c>
      <c r="C53" s="1" t="str">
        <f t="shared" si="2"/>
        <v/>
      </c>
      <c r="D53" s="45"/>
      <c r="E53" s="45"/>
      <c r="F53" s="45"/>
      <c r="G53" s="1">
        <f t="shared" si="6"/>
        <v>0</v>
      </c>
      <c r="H53" s="45"/>
      <c r="I53" s="224"/>
    </row>
    <row r="54" spans="1:9" hidden="1">
      <c r="A54" s="1">
        <v>4</v>
      </c>
      <c r="B54" s="1">
        <v>2</v>
      </c>
      <c r="C54" s="1" t="str">
        <f t="shared" si="2"/>
        <v/>
      </c>
      <c r="D54" s="45"/>
      <c r="E54" s="45"/>
      <c r="F54" s="45"/>
      <c r="G54" s="1">
        <f t="shared" si="6"/>
        <v>0</v>
      </c>
      <c r="H54" s="45"/>
      <c r="I54" s="224"/>
    </row>
    <row r="55" spans="1:9" hidden="1">
      <c r="A55" s="1">
        <v>4</v>
      </c>
      <c r="B55" s="1">
        <v>2</v>
      </c>
      <c r="C55" s="1" t="str">
        <f t="shared" si="2"/>
        <v/>
      </c>
      <c r="D55" s="45"/>
      <c r="E55" s="45"/>
      <c r="F55" s="45"/>
      <c r="G55" s="1">
        <f t="shared" si="6"/>
        <v>0</v>
      </c>
      <c r="H55" s="45"/>
      <c r="I55" s="224"/>
    </row>
    <row r="56" spans="1:9" hidden="1">
      <c r="A56" s="1">
        <v>4</v>
      </c>
      <c r="B56" s="1">
        <v>2</v>
      </c>
      <c r="C56" s="1" t="str">
        <f t="shared" si="2"/>
        <v/>
      </c>
      <c r="D56" s="45"/>
      <c r="E56" s="45"/>
      <c r="F56" s="45"/>
      <c r="G56" s="1">
        <f t="shared" si="6"/>
        <v>0</v>
      </c>
      <c r="H56" s="45"/>
      <c r="I56" s="224"/>
    </row>
    <row r="57" spans="1:9" hidden="1">
      <c r="A57" s="1">
        <v>4</v>
      </c>
      <c r="B57" s="1">
        <v>3</v>
      </c>
      <c r="C57" s="1" t="str">
        <f t="shared" si="2"/>
        <v/>
      </c>
      <c r="D57" s="45"/>
      <c r="E57" s="45"/>
      <c r="F57" s="45"/>
      <c r="G57" s="1">
        <f t="shared" si="6"/>
        <v>0</v>
      </c>
      <c r="H57" s="45"/>
      <c r="I57" s="224"/>
    </row>
    <row r="58" spans="1:9" hidden="1">
      <c r="A58" s="1">
        <v>4</v>
      </c>
      <c r="B58" s="1">
        <v>3</v>
      </c>
      <c r="C58" s="1" t="str">
        <f t="shared" si="2"/>
        <v/>
      </c>
      <c r="D58" s="45"/>
      <c r="E58" s="45"/>
      <c r="F58" s="45"/>
      <c r="G58" s="1">
        <f t="shared" si="6"/>
        <v>0</v>
      </c>
      <c r="H58" s="45"/>
      <c r="I58" s="224"/>
    </row>
    <row r="59" spans="1:9" hidden="1">
      <c r="A59" s="1">
        <v>4</v>
      </c>
      <c r="B59" s="1">
        <v>3</v>
      </c>
      <c r="C59" s="1" t="str">
        <f t="shared" si="2"/>
        <v/>
      </c>
      <c r="D59" s="45"/>
      <c r="E59" s="45"/>
      <c r="F59" s="45"/>
      <c r="G59" s="1">
        <f t="shared" si="6"/>
        <v>0</v>
      </c>
      <c r="H59" s="45"/>
      <c r="I59" s="224"/>
    </row>
    <row r="60" spans="1:9" hidden="1">
      <c r="A60" s="1">
        <v>4</v>
      </c>
      <c r="B60" s="1">
        <v>3</v>
      </c>
      <c r="C60" s="1" t="str">
        <f t="shared" si="2"/>
        <v/>
      </c>
      <c r="D60" s="45"/>
      <c r="E60" s="45"/>
      <c r="F60" s="45"/>
      <c r="G60" s="1">
        <f t="shared" si="6"/>
        <v>0</v>
      </c>
      <c r="H60" s="45"/>
      <c r="I60" s="224"/>
    </row>
    <row r="61" spans="1:9" hidden="1">
      <c r="A61" s="1">
        <v>4</v>
      </c>
      <c r="B61" s="1">
        <v>3</v>
      </c>
      <c r="C61" s="330" t="str">
        <f t="shared" si="2"/>
        <v/>
      </c>
      <c r="D61" s="45"/>
      <c r="E61" s="45"/>
      <c r="F61" s="45"/>
      <c r="G61" s="1">
        <f t="shared" si="6"/>
        <v>0</v>
      </c>
      <c r="H61" s="45"/>
      <c r="I61" s="224"/>
    </row>
    <row r="62" spans="1:9">
      <c r="A62" s="6">
        <v>3</v>
      </c>
      <c r="B62" s="6">
        <v>1</v>
      </c>
      <c r="C62" s="1" t="str">
        <f>IFERROR(AVERAGE(E62:F62), "")</f>
        <v/>
      </c>
      <c r="D62" s="308"/>
      <c r="E62" s="308"/>
      <c r="F62" s="308"/>
      <c r="G62" s="6">
        <f t="shared" ref="G62:G76" si="7">product_5_name</f>
        <v>0</v>
      </c>
      <c r="H62" s="308"/>
      <c r="I62" s="309"/>
    </row>
    <row r="63" spans="1:9">
      <c r="A63" s="1">
        <v>3</v>
      </c>
      <c r="B63" s="1">
        <v>1</v>
      </c>
      <c r="C63" s="1" t="str">
        <f t="shared" ref="C63:C76" si="8">IFERROR(AVERAGE(E63:F63), "")</f>
        <v/>
      </c>
      <c r="D63" s="45"/>
      <c r="E63" s="45"/>
      <c r="F63" s="45"/>
      <c r="G63" s="1">
        <f t="shared" si="7"/>
        <v>0</v>
      </c>
      <c r="H63" s="45"/>
      <c r="I63" s="224"/>
    </row>
    <row r="64" spans="1:9">
      <c r="A64" s="1">
        <v>3</v>
      </c>
      <c r="B64" s="1">
        <v>1</v>
      </c>
      <c r="C64" s="1" t="str">
        <f t="shared" si="8"/>
        <v/>
      </c>
      <c r="D64" s="45"/>
      <c r="E64" s="45"/>
      <c r="F64" s="45"/>
      <c r="G64" s="1">
        <f t="shared" si="7"/>
        <v>0</v>
      </c>
      <c r="H64" s="45"/>
      <c r="I64" s="224"/>
    </row>
    <row r="65" spans="1:9">
      <c r="A65" s="1">
        <v>3</v>
      </c>
      <c r="B65" s="1">
        <v>1</v>
      </c>
      <c r="C65" s="1" t="str">
        <f t="shared" si="8"/>
        <v/>
      </c>
      <c r="D65" s="45"/>
      <c r="E65" s="45"/>
      <c r="F65" s="45"/>
      <c r="G65" s="1">
        <f t="shared" si="7"/>
        <v>0</v>
      </c>
      <c r="H65" s="45"/>
      <c r="I65" s="224"/>
    </row>
    <row r="66" spans="1:9">
      <c r="A66" s="1">
        <v>3</v>
      </c>
      <c r="B66" s="1">
        <v>1</v>
      </c>
      <c r="C66" s="1" t="str">
        <f t="shared" si="8"/>
        <v/>
      </c>
      <c r="D66" s="45"/>
      <c r="E66" s="45"/>
      <c r="F66" s="45"/>
      <c r="G66" s="1">
        <f t="shared" si="7"/>
        <v>0</v>
      </c>
      <c r="H66" s="45"/>
      <c r="I66" s="224"/>
    </row>
    <row r="67" spans="1:9">
      <c r="A67" s="1">
        <v>3</v>
      </c>
      <c r="B67" s="1">
        <v>2</v>
      </c>
      <c r="C67" s="1" t="str">
        <f t="shared" si="8"/>
        <v/>
      </c>
      <c r="D67" s="45"/>
      <c r="E67" s="45"/>
      <c r="F67" s="45"/>
      <c r="G67" s="1">
        <f t="shared" si="7"/>
        <v>0</v>
      </c>
      <c r="H67" s="45"/>
      <c r="I67" s="224"/>
    </row>
    <row r="68" spans="1:9">
      <c r="A68" s="1">
        <v>3</v>
      </c>
      <c r="B68" s="1">
        <v>2</v>
      </c>
      <c r="C68" s="1" t="str">
        <f t="shared" si="8"/>
        <v/>
      </c>
      <c r="D68" s="45"/>
      <c r="E68" s="45"/>
      <c r="F68" s="45"/>
      <c r="G68" s="1">
        <f t="shared" si="7"/>
        <v>0</v>
      </c>
      <c r="H68" s="45"/>
      <c r="I68" s="224"/>
    </row>
    <row r="69" spans="1:9">
      <c r="A69" s="1">
        <v>3</v>
      </c>
      <c r="B69" s="1">
        <v>2</v>
      </c>
      <c r="C69" s="1" t="str">
        <f t="shared" si="8"/>
        <v/>
      </c>
      <c r="D69" s="45"/>
      <c r="E69" s="45"/>
      <c r="F69" s="45"/>
      <c r="G69" s="1">
        <f t="shared" si="7"/>
        <v>0</v>
      </c>
      <c r="H69" s="45"/>
      <c r="I69" s="224"/>
    </row>
    <row r="70" spans="1:9">
      <c r="A70" s="1">
        <v>3</v>
      </c>
      <c r="B70" s="1">
        <v>2</v>
      </c>
      <c r="C70" s="1" t="str">
        <f t="shared" si="8"/>
        <v/>
      </c>
      <c r="D70" s="45"/>
      <c r="E70" s="45"/>
      <c r="F70" s="45"/>
      <c r="G70" s="1">
        <f t="shared" si="7"/>
        <v>0</v>
      </c>
      <c r="H70" s="45"/>
      <c r="I70" s="224"/>
    </row>
    <row r="71" spans="1:9">
      <c r="A71" s="1">
        <v>3</v>
      </c>
      <c r="B71" s="1">
        <v>2</v>
      </c>
      <c r="C71" s="1" t="str">
        <f t="shared" si="8"/>
        <v/>
      </c>
      <c r="D71" s="45"/>
      <c r="E71" s="45"/>
      <c r="F71" s="45"/>
      <c r="G71" s="1">
        <f t="shared" si="7"/>
        <v>0</v>
      </c>
      <c r="H71" s="45"/>
      <c r="I71" s="224"/>
    </row>
    <row r="72" spans="1:9">
      <c r="A72" s="1">
        <v>3</v>
      </c>
      <c r="B72" s="1">
        <v>3</v>
      </c>
      <c r="C72" s="1" t="str">
        <f t="shared" si="8"/>
        <v/>
      </c>
      <c r="D72" s="45"/>
      <c r="E72" s="45"/>
      <c r="F72" s="45"/>
      <c r="G72" s="1">
        <f t="shared" si="7"/>
        <v>0</v>
      </c>
      <c r="H72" s="45"/>
      <c r="I72" s="224"/>
    </row>
    <row r="73" spans="1:9">
      <c r="A73" s="1">
        <v>3</v>
      </c>
      <c r="B73" s="1">
        <v>3</v>
      </c>
      <c r="C73" s="1" t="str">
        <f t="shared" si="8"/>
        <v/>
      </c>
      <c r="D73" s="45"/>
      <c r="E73" s="45"/>
      <c r="F73" s="45"/>
      <c r="G73" s="1">
        <f t="shared" si="7"/>
        <v>0</v>
      </c>
      <c r="H73" s="45"/>
      <c r="I73" s="224"/>
    </row>
    <row r="74" spans="1:9">
      <c r="A74" s="1">
        <v>3</v>
      </c>
      <c r="B74" s="1">
        <v>3</v>
      </c>
      <c r="C74" s="1" t="str">
        <f t="shared" si="8"/>
        <v/>
      </c>
      <c r="D74" s="45"/>
      <c r="E74" s="45"/>
      <c r="F74" s="45"/>
      <c r="G74" s="1">
        <f t="shared" si="7"/>
        <v>0</v>
      </c>
      <c r="H74" s="45"/>
      <c r="I74" s="224"/>
    </row>
    <row r="75" spans="1:9">
      <c r="A75" s="1">
        <v>3</v>
      </c>
      <c r="B75" s="1">
        <v>3</v>
      </c>
      <c r="C75" s="1" t="str">
        <f t="shared" si="8"/>
        <v/>
      </c>
      <c r="D75" s="45"/>
      <c r="E75" s="45"/>
      <c r="F75" s="45"/>
      <c r="G75" s="1">
        <f t="shared" si="7"/>
        <v>0</v>
      </c>
      <c r="H75" s="45"/>
      <c r="I75" s="224"/>
    </row>
    <row r="76" spans="1:9">
      <c r="A76" s="1">
        <v>3</v>
      </c>
      <c r="B76" s="1">
        <v>3</v>
      </c>
      <c r="C76" s="7" t="str">
        <f t="shared" si="8"/>
        <v/>
      </c>
      <c r="D76" s="45"/>
      <c r="E76" s="45"/>
      <c r="F76" s="45"/>
      <c r="G76" s="1">
        <f t="shared" si="7"/>
        <v>0</v>
      </c>
      <c r="H76" s="45"/>
      <c r="I76" s="224"/>
    </row>
    <row r="77" spans="1:9" hidden="1">
      <c r="A77" s="6">
        <v>6</v>
      </c>
      <c r="B77" s="6">
        <v>1</v>
      </c>
      <c r="C77" s="1" t="str">
        <f t="shared" ref="C77:C91" si="9">IFERROR(E77/F77,"")</f>
        <v/>
      </c>
      <c r="D77" s="308"/>
      <c r="E77" s="308"/>
      <c r="F77" s="308"/>
      <c r="G77" s="6">
        <f t="shared" ref="G77:G91" si="10">product_6_name</f>
        <v>0</v>
      </c>
      <c r="H77" s="308"/>
      <c r="I77" s="309"/>
    </row>
    <row r="78" spans="1:9" hidden="1">
      <c r="A78" s="1">
        <v>6</v>
      </c>
      <c r="B78" s="1">
        <v>1</v>
      </c>
      <c r="C78" s="1" t="str">
        <f t="shared" si="9"/>
        <v/>
      </c>
      <c r="D78" s="45"/>
      <c r="E78" s="45"/>
      <c r="F78" s="45"/>
      <c r="G78" s="1">
        <f t="shared" si="10"/>
        <v>0</v>
      </c>
      <c r="H78" s="45"/>
      <c r="I78" s="224"/>
    </row>
    <row r="79" spans="1:9" hidden="1">
      <c r="A79" s="1">
        <v>6</v>
      </c>
      <c r="B79" s="1">
        <v>1</v>
      </c>
      <c r="C79" s="1" t="str">
        <f t="shared" si="9"/>
        <v/>
      </c>
      <c r="D79" s="45"/>
      <c r="E79" s="45"/>
      <c r="F79" s="45"/>
      <c r="G79" s="1">
        <f t="shared" si="10"/>
        <v>0</v>
      </c>
      <c r="H79" s="45"/>
      <c r="I79" s="224"/>
    </row>
    <row r="80" spans="1:9" hidden="1">
      <c r="A80" s="1">
        <v>6</v>
      </c>
      <c r="B80" s="1">
        <v>1</v>
      </c>
      <c r="C80" s="1" t="str">
        <f t="shared" si="9"/>
        <v/>
      </c>
      <c r="D80" s="45"/>
      <c r="E80" s="45"/>
      <c r="F80" s="45"/>
      <c r="G80" s="1">
        <f t="shared" si="10"/>
        <v>0</v>
      </c>
      <c r="H80" s="45"/>
      <c r="I80" s="224"/>
    </row>
    <row r="81" spans="1:9" hidden="1">
      <c r="A81" s="1">
        <v>6</v>
      </c>
      <c r="B81" s="1">
        <v>1</v>
      </c>
      <c r="C81" s="1" t="str">
        <f t="shared" si="9"/>
        <v/>
      </c>
      <c r="D81" s="45"/>
      <c r="E81" s="45"/>
      <c r="F81" s="45"/>
      <c r="G81" s="1">
        <f t="shared" si="10"/>
        <v>0</v>
      </c>
      <c r="H81" s="45"/>
      <c r="I81" s="224"/>
    </row>
    <row r="82" spans="1:9" hidden="1">
      <c r="A82" s="1">
        <v>6</v>
      </c>
      <c r="B82" s="1">
        <v>2</v>
      </c>
      <c r="C82" s="1" t="str">
        <f t="shared" si="9"/>
        <v/>
      </c>
      <c r="D82" s="45"/>
      <c r="E82" s="45"/>
      <c r="F82" s="45"/>
      <c r="G82" s="1">
        <f t="shared" si="10"/>
        <v>0</v>
      </c>
      <c r="H82" s="45"/>
      <c r="I82" s="224"/>
    </row>
    <row r="83" spans="1:9" hidden="1">
      <c r="A83" s="1">
        <v>6</v>
      </c>
      <c r="B83" s="1">
        <v>2</v>
      </c>
      <c r="C83" s="1" t="str">
        <f t="shared" si="9"/>
        <v/>
      </c>
      <c r="D83" s="45"/>
      <c r="E83" s="45"/>
      <c r="F83" s="45"/>
      <c r="G83" s="1">
        <f t="shared" si="10"/>
        <v>0</v>
      </c>
      <c r="H83" s="45"/>
      <c r="I83" s="224"/>
    </row>
    <row r="84" spans="1:9" hidden="1">
      <c r="A84" s="1">
        <v>6</v>
      </c>
      <c r="B84" s="1">
        <v>2</v>
      </c>
      <c r="C84" s="1" t="str">
        <f t="shared" si="9"/>
        <v/>
      </c>
      <c r="D84" s="45"/>
      <c r="E84" s="45"/>
      <c r="F84" s="45"/>
      <c r="G84" s="1">
        <f t="shared" si="10"/>
        <v>0</v>
      </c>
      <c r="H84" s="45"/>
      <c r="I84" s="224"/>
    </row>
    <row r="85" spans="1:9" hidden="1">
      <c r="A85" s="1">
        <v>6</v>
      </c>
      <c r="B85" s="1">
        <v>2</v>
      </c>
      <c r="C85" s="1" t="str">
        <f t="shared" si="9"/>
        <v/>
      </c>
      <c r="D85" s="45"/>
      <c r="E85" s="45"/>
      <c r="F85" s="45"/>
      <c r="G85" s="1">
        <f t="shared" si="10"/>
        <v>0</v>
      </c>
      <c r="H85" s="45"/>
      <c r="I85" s="224"/>
    </row>
    <row r="86" spans="1:9" hidden="1">
      <c r="A86" s="1">
        <v>6</v>
      </c>
      <c r="B86" s="1">
        <v>2</v>
      </c>
      <c r="C86" s="1" t="str">
        <f t="shared" si="9"/>
        <v/>
      </c>
      <c r="D86" s="45"/>
      <c r="E86" s="45"/>
      <c r="F86" s="45"/>
      <c r="G86" s="1">
        <f t="shared" si="10"/>
        <v>0</v>
      </c>
      <c r="H86" s="45"/>
      <c r="I86" s="224"/>
    </row>
    <row r="87" spans="1:9" hidden="1">
      <c r="A87" s="1">
        <v>6</v>
      </c>
      <c r="B87" s="1">
        <v>3</v>
      </c>
      <c r="C87" s="1" t="str">
        <f t="shared" si="9"/>
        <v/>
      </c>
      <c r="D87" s="45"/>
      <c r="E87" s="45"/>
      <c r="F87" s="45"/>
      <c r="G87" s="1">
        <f t="shared" si="10"/>
        <v>0</v>
      </c>
      <c r="H87" s="45"/>
      <c r="I87" s="224"/>
    </row>
    <row r="88" spans="1:9" hidden="1">
      <c r="A88" s="1">
        <v>6</v>
      </c>
      <c r="B88" s="1">
        <v>3</v>
      </c>
      <c r="C88" s="1" t="str">
        <f t="shared" si="9"/>
        <v/>
      </c>
      <c r="D88" s="45"/>
      <c r="E88" s="45"/>
      <c r="F88" s="45"/>
      <c r="G88" s="1">
        <f t="shared" si="10"/>
        <v>0</v>
      </c>
      <c r="H88" s="45"/>
      <c r="I88" s="224"/>
    </row>
    <row r="89" spans="1:9" hidden="1">
      <c r="A89" s="1">
        <v>6</v>
      </c>
      <c r="B89" s="1">
        <v>3</v>
      </c>
      <c r="C89" s="1" t="str">
        <f t="shared" si="9"/>
        <v/>
      </c>
      <c r="D89" s="45"/>
      <c r="E89" s="45"/>
      <c r="F89" s="45"/>
      <c r="G89" s="1">
        <f t="shared" si="10"/>
        <v>0</v>
      </c>
      <c r="H89" s="45"/>
      <c r="I89" s="224"/>
    </row>
    <row r="90" spans="1:9" hidden="1">
      <c r="A90" s="1">
        <v>6</v>
      </c>
      <c r="B90" s="1">
        <v>3</v>
      </c>
      <c r="C90" s="1" t="str">
        <f t="shared" si="9"/>
        <v/>
      </c>
      <c r="D90" s="45"/>
      <c r="E90" s="45"/>
      <c r="F90" s="45"/>
      <c r="G90" s="1">
        <f t="shared" si="10"/>
        <v>0</v>
      </c>
      <c r="H90" s="45"/>
      <c r="I90" s="224"/>
    </row>
    <row r="91" spans="1:9" hidden="1">
      <c r="A91" s="1">
        <v>6</v>
      </c>
      <c r="B91" s="1">
        <v>3</v>
      </c>
      <c r="C91" s="330" t="str">
        <f t="shared" si="9"/>
        <v/>
      </c>
      <c r="D91" s="45"/>
      <c r="E91" s="45"/>
      <c r="F91" s="45"/>
      <c r="G91" s="1">
        <f t="shared" si="10"/>
        <v>0</v>
      </c>
      <c r="H91" s="45"/>
      <c r="I91" s="224"/>
    </row>
    <row r="92" spans="1:9">
      <c r="A92" s="6">
        <v>4</v>
      </c>
      <c r="B92" s="6">
        <v>1</v>
      </c>
      <c r="C92" s="1"/>
      <c r="D92" s="308"/>
      <c r="E92" s="308"/>
      <c r="F92" s="308"/>
      <c r="G92" s="6">
        <f t="shared" ref="G92:G106" si="11">product_7_name</f>
        <v>0</v>
      </c>
      <c r="H92" s="308"/>
      <c r="I92" s="309"/>
    </row>
    <row r="93" spans="1:9">
      <c r="A93" s="1">
        <v>4</v>
      </c>
      <c r="B93" s="1">
        <v>1</v>
      </c>
      <c r="C93" s="1"/>
      <c r="D93" s="45"/>
      <c r="E93" s="45"/>
      <c r="F93" s="45"/>
      <c r="G93" s="1">
        <f t="shared" si="11"/>
        <v>0</v>
      </c>
      <c r="H93" s="45"/>
      <c r="I93" s="224"/>
    </row>
    <row r="94" spans="1:9">
      <c r="A94" s="1">
        <v>4</v>
      </c>
      <c r="B94" s="1">
        <v>1</v>
      </c>
      <c r="C94" s="1"/>
      <c r="D94" s="45"/>
      <c r="E94" s="45"/>
      <c r="F94" s="45"/>
      <c r="G94" s="1">
        <f t="shared" si="11"/>
        <v>0</v>
      </c>
      <c r="H94" s="45"/>
      <c r="I94" s="224"/>
    </row>
    <row r="95" spans="1:9">
      <c r="A95" s="1">
        <v>4</v>
      </c>
      <c r="B95" s="1">
        <v>1</v>
      </c>
      <c r="C95" s="1"/>
      <c r="D95" s="45"/>
      <c r="E95" s="45"/>
      <c r="F95" s="45"/>
      <c r="G95" s="1">
        <f t="shared" si="11"/>
        <v>0</v>
      </c>
      <c r="H95" s="45"/>
      <c r="I95" s="224"/>
    </row>
    <row r="96" spans="1:9">
      <c r="A96" s="1">
        <v>4</v>
      </c>
      <c r="B96" s="1">
        <v>1</v>
      </c>
      <c r="C96" s="1"/>
      <c r="D96" s="45"/>
      <c r="E96" s="45"/>
      <c r="F96" s="45"/>
      <c r="G96" s="1">
        <f t="shared" si="11"/>
        <v>0</v>
      </c>
      <c r="H96" s="45"/>
      <c r="I96" s="224"/>
    </row>
    <row r="97" spans="1:9">
      <c r="A97" s="1">
        <v>4</v>
      </c>
      <c r="B97" s="1">
        <v>2</v>
      </c>
      <c r="C97" s="1"/>
      <c r="D97" s="45"/>
      <c r="E97" s="45"/>
      <c r="F97" s="45"/>
      <c r="G97" s="1">
        <f t="shared" si="11"/>
        <v>0</v>
      </c>
      <c r="H97" s="45"/>
      <c r="I97" s="224"/>
    </row>
    <row r="98" spans="1:9">
      <c r="A98" s="1">
        <v>4</v>
      </c>
      <c r="B98" s="1">
        <v>2</v>
      </c>
      <c r="C98" s="1"/>
      <c r="D98" s="45"/>
      <c r="E98" s="45"/>
      <c r="F98" s="45"/>
      <c r="G98" s="1">
        <f t="shared" si="11"/>
        <v>0</v>
      </c>
      <c r="H98" s="45"/>
      <c r="I98" s="224"/>
    </row>
    <row r="99" spans="1:9">
      <c r="A99" s="1">
        <v>4</v>
      </c>
      <c r="B99" s="1">
        <v>2</v>
      </c>
      <c r="C99" s="1"/>
      <c r="D99" s="45"/>
      <c r="E99" s="45"/>
      <c r="F99" s="45"/>
      <c r="G99" s="1">
        <f t="shared" si="11"/>
        <v>0</v>
      </c>
      <c r="H99" s="45"/>
      <c r="I99" s="224"/>
    </row>
    <row r="100" spans="1:9">
      <c r="A100" s="1">
        <v>4</v>
      </c>
      <c r="B100" s="1">
        <v>2</v>
      </c>
      <c r="C100" s="1"/>
      <c r="D100" s="45"/>
      <c r="E100" s="45"/>
      <c r="F100" s="45"/>
      <c r="G100" s="1">
        <f t="shared" si="11"/>
        <v>0</v>
      </c>
      <c r="H100" s="45"/>
      <c r="I100" s="224"/>
    </row>
    <row r="101" spans="1:9">
      <c r="A101" s="1">
        <v>4</v>
      </c>
      <c r="B101" s="1">
        <v>2</v>
      </c>
      <c r="C101" s="1"/>
      <c r="D101" s="45"/>
      <c r="E101" s="45"/>
      <c r="F101" s="45"/>
      <c r="G101" s="1">
        <f t="shared" si="11"/>
        <v>0</v>
      </c>
      <c r="H101" s="45"/>
      <c r="I101" s="224"/>
    </row>
    <row r="102" spans="1:9">
      <c r="A102" s="1">
        <v>4</v>
      </c>
      <c r="B102" s="1">
        <v>3</v>
      </c>
      <c r="C102" s="1"/>
      <c r="D102" s="45"/>
      <c r="E102" s="45"/>
      <c r="F102" s="45"/>
      <c r="G102" s="1">
        <f t="shared" si="11"/>
        <v>0</v>
      </c>
      <c r="H102" s="45"/>
      <c r="I102" s="224"/>
    </row>
    <row r="103" spans="1:9">
      <c r="A103" s="1">
        <v>4</v>
      </c>
      <c r="B103" s="1">
        <v>3</v>
      </c>
      <c r="C103" s="1"/>
      <c r="D103" s="45"/>
      <c r="E103" s="45"/>
      <c r="F103" s="45"/>
      <c r="G103" s="1">
        <f t="shared" si="11"/>
        <v>0</v>
      </c>
      <c r="H103" s="45"/>
      <c r="I103" s="224"/>
    </row>
    <row r="104" spans="1:9">
      <c r="A104" s="1">
        <v>4</v>
      </c>
      <c r="B104" s="1">
        <v>3</v>
      </c>
      <c r="C104" s="1"/>
      <c r="D104" s="45"/>
      <c r="E104" s="45"/>
      <c r="F104" s="45"/>
      <c r="G104" s="1">
        <f t="shared" si="11"/>
        <v>0</v>
      </c>
      <c r="H104" s="45"/>
      <c r="I104" s="224"/>
    </row>
    <row r="105" spans="1:9">
      <c r="A105" s="1">
        <v>4</v>
      </c>
      <c r="B105" s="1">
        <v>3</v>
      </c>
      <c r="C105" s="1"/>
      <c r="D105" s="45"/>
      <c r="E105" s="45"/>
      <c r="F105" s="45"/>
      <c r="G105" s="1">
        <f t="shared" si="11"/>
        <v>0</v>
      </c>
      <c r="H105" s="45"/>
      <c r="I105" s="224"/>
    </row>
    <row r="106" spans="1:9">
      <c r="A106" s="1">
        <v>4</v>
      </c>
      <c r="B106" s="1">
        <v>3</v>
      </c>
      <c r="C106" s="7"/>
      <c r="D106" s="45"/>
      <c r="E106" s="45"/>
      <c r="F106" s="45"/>
      <c r="G106" s="1">
        <f t="shared" si="11"/>
        <v>0</v>
      </c>
      <c r="H106" s="45"/>
      <c r="I106" s="224"/>
    </row>
    <row r="107" spans="1:9">
      <c r="A107" s="6">
        <v>5</v>
      </c>
      <c r="B107" s="6">
        <v>1</v>
      </c>
      <c r="C107" s="1"/>
      <c r="D107" s="308"/>
      <c r="E107" s="308"/>
      <c r="F107" s="308"/>
      <c r="G107" s="6">
        <f t="shared" ref="G107:G121" si="12">product_8_name</f>
        <v>0</v>
      </c>
      <c r="H107" s="308"/>
      <c r="I107" s="309"/>
    </row>
    <row r="108" spans="1:9">
      <c r="A108" s="1">
        <v>5</v>
      </c>
      <c r="B108" s="1">
        <v>1</v>
      </c>
      <c r="C108" s="1"/>
      <c r="D108" s="45"/>
      <c r="E108" s="45"/>
      <c r="F108" s="45"/>
      <c r="G108" s="1">
        <f t="shared" si="12"/>
        <v>0</v>
      </c>
      <c r="H108" s="45"/>
      <c r="I108" s="224"/>
    </row>
    <row r="109" spans="1:9">
      <c r="A109" s="1">
        <v>5</v>
      </c>
      <c r="B109" s="1">
        <v>1</v>
      </c>
      <c r="C109" s="1"/>
      <c r="D109" s="45"/>
      <c r="E109" s="45"/>
      <c r="F109" s="45"/>
      <c r="G109" s="1">
        <f t="shared" si="12"/>
        <v>0</v>
      </c>
      <c r="H109" s="45"/>
      <c r="I109" s="224"/>
    </row>
    <row r="110" spans="1:9">
      <c r="A110" s="1">
        <v>5</v>
      </c>
      <c r="B110" s="1">
        <v>1</v>
      </c>
      <c r="C110" s="1"/>
      <c r="D110" s="45"/>
      <c r="E110" s="45"/>
      <c r="F110" s="45"/>
      <c r="G110" s="1">
        <f t="shared" si="12"/>
        <v>0</v>
      </c>
      <c r="H110" s="45"/>
      <c r="I110" s="224"/>
    </row>
    <row r="111" spans="1:9">
      <c r="A111" s="1">
        <v>5</v>
      </c>
      <c r="B111" s="1">
        <v>1</v>
      </c>
      <c r="C111" s="1"/>
      <c r="D111" s="45"/>
      <c r="E111" s="45"/>
      <c r="F111" s="45"/>
      <c r="G111" s="1">
        <f t="shared" si="12"/>
        <v>0</v>
      </c>
      <c r="H111" s="45"/>
      <c r="I111" s="224"/>
    </row>
    <row r="112" spans="1:9">
      <c r="A112" s="1">
        <v>5</v>
      </c>
      <c r="B112" s="1">
        <v>2</v>
      </c>
      <c r="C112" s="1"/>
      <c r="D112" s="45"/>
      <c r="E112" s="45"/>
      <c r="F112" s="45"/>
      <c r="G112" s="1">
        <f t="shared" si="12"/>
        <v>0</v>
      </c>
      <c r="H112" s="45"/>
      <c r="I112" s="224"/>
    </row>
    <row r="113" spans="1:9">
      <c r="A113" s="1">
        <v>5</v>
      </c>
      <c r="B113" s="1">
        <v>2</v>
      </c>
      <c r="C113" s="1"/>
      <c r="D113" s="45"/>
      <c r="E113" s="45"/>
      <c r="F113" s="45"/>
      <c r="G113" s="1">
        <f t="shared" si="12"/>
        <v>0</v>
      </c>
      <c r="H113" s="45"/>
      <c r="I113" s="224"/>
    </row>
    <row r="114" spans="1:9">
      <c r="A114" s="1">
        <v>5</v>
      </c>
      <c r="B114" s="1">
        <v>2</v>
      </c>
      <c r="C114" s="1"/>
      <c r="D114" s="45"/>
      <c r="E114" s="45"/>
      <c r="F114" s="45"/>
      <c r="G114" s="1">
        <f t="shared" si="12"/>
        <v>0</v>
      </c>
      <c r="H114" s="45"/>
      <c r="I114" s="224"/>
    </row>
    <row r="115" spans="1:9">
      <c r="A115" s="1">
        <v>5</v>
      </c>
      <c r="B115" s="1">
        <v>2</v>
      </c>
      <c r="C115" s="1"/>
      <c r="D115" s="45"/>
      <c r="E115" s="45"/>
      <c r="F115" s="45"/>
      <c r="G115" s="1">
        <f t="shared" si="12"/>
        <v>0</v>
      </c>
      <c r="H115" s="45"/>
      <c r="I115" s="224"/>
    </row>
    <row r="116" spans="1:9">
      <c r="A116" s="1">
        <v>5</v>
      </c>
      <c r="B116" s="1">
        <v>2</v>
      </c>
      <c r="C116" s="1"/>
      <c r="D116" s="45"/>
      <c r="E116" s="45"/>
      <c r="F116" s="45"/>
      <c r="G116" s="1">
        <f t="shared" si="12"/>
        <v>0</v>
      </c>
      <c r="H116" s="45"/>
      <c r="I116" s="224"/>
    </row>
    <row r="117" spans="1:9">
      <c r="A117" s="1">
        <v>5</v>
      </c>
      <c r="B117" s="1">
        <v>3</v>
      </c>
      <c r="C117" s="1"/>
      <c r="D117" s="45"/>
      <c r="E117" s="45"/>
      <c r="F117" s="45"/>
      <c r="G117" s="1">
        <f t="shared" si="12"/>
        <v>0</v>
      </c>
      <c r="H117" s="45"/>
      <c r="I117" s="224"/>
    </row>
    <row r="118" spans="1:9">
      <c r="A118" s="1">
        <v>5</v>
      </c>
      <c r="B118" s="1">
        <v>3</v>
      </c>
      <c r="C118" s="1"/>
      <c r="D118" s="45"/>
      <c r="E118" s="45"/>
      <c r="F118" s="45"/>
      <c r="G118" s="1">
        <f t="shared" si="12"/>
        <v>0</v>
      </c>
      <c r="H118" s="45"/>
      <c r="I118" s="224"/>
    </row>
    <row r="119" spans="1:9">
      <c r="A119" s="1">
        <v>5</v>
      </c>
      <c r="B119" s="1">
        <v>3</v>
      </c>
      <c r="C119" s="1"/>
      <c r="D119" s="45"/>
      <c r="E119" s="45"/>
      <c r="F119" s="45"/>
      <c r="G119" s="1">
        <f t="shared" si="12"/>
        <v>0</v>
      </c>
      <c r="H119" s="45"/>
      <c r="I119" s="224"/>
    </row>
    <row r="120" spans="1:9">
      <c r="A120" s="1">
        <v>5</v>
      </c>
      <c r="B120" s="1">
        <v>3</v>
      </c>
      <c r="C120" s="1"/>
      <c r="D120" s="45"/>
      <c r="E120" s="45"/>
      <c r="F120" s="45"/>
      <c r="G120" s="1">
        <f t="shared" si="12"/>
        <v>0</v>
      </c>
      <c r="H120" s="45"/>
      <c r="I120" s="224"/>
    </row>
    <row r="121" spans="1:9">
      <c r="A121" s="1">
        <v>5</v>
      </c>
      <c r="B121" s="1">
        <v>3</v>
      </c>
      <c r="C121" s="7"/>
      <c r="D121" s="45"/>
      <c r="E121" s="45"/>
      <c r="F121" s="45"/>
      <c r="G121" s="1">
        <f t="shared" si="12"/>
        <v>0</v>
      </c>
      <c r="H121" s="45"/>
      <c r="I121" s="224"/>
    </row>
    <row r="122" spans="1:9">
      <c r="A122" s="6">
        <v>6</v>
      </c>
      <c r="B122" s="314">
        <v>1</v>
      </c>
      <c r="C122" s="1"/>
      <c r="D122" s="308"/>
      <c r="E122" s="308"/>
      <c r="F122" s="308"/>
      <c r="G122" s="6">
        <f t="shared" ref="G122:G136" si="13">product_9_name</f>
        <v>0</v>
      </c>
      <c r="H122" s="308"/>
      <c r="I122" s="309"/>
    </row>
    <row r="123" spans="1:9">
      <c r="A123" s="1">
        <v>6</v>
      </c>
      <c r="B123" s="14">
        <v>1</v>
      </c>
      <c r="C123" s="1"/>
      <c r="D123" s="45"/>
      <c r="E123" s="45"/>
      <c r="F123" s="45"/>
      <c r="G123" s="1">
        <f t="shared" si="13"/>
        <v>0</v>
      </c>
      <c r="H123" s="45"/>
      <c r="I123" s="224"/>
    </row>
    <row r="124" spans="1:9">
      <c r="A124" s="1">
        <v>6</v>
      </c>
      <c r="B124" s="14">
        <v>1</v>
      </c>
      <c r="C124" s="1"/>
      <c r="D124" s="45"/>
      <c r="E124" s="45"/>
      <c r="F124" s="45"/>
      <c r="G124" s="1">
        <f t="shared" si="13"/>
        <v>0</v>
      </c>
      <c r="H124" s="45"/>
      <c r="I124" s="224"/>
    </row>
    <row r="125" spans="1:9">
      <c r="A125" s="1">
        <v>6</v>
      </c>
      <c r="B125" s="14">
        <v>1</v>
      </c>
      <c r="C125" s="1"/>
      <c r="D125" s="45"/>
      <c r="E125" s="45"/>
      <c r="F125" s="45"/>
      <c r="G125" s="1">
        <f t="shared" si="13"/>
        <v>0</v>
      </c>
      <c r="H125" s="45"/>
      <c r="I125" s="224"/>
    </row>
    <row r="126" spans="1:9">
      <c r="A126" s="1">
        <v>6</v>
      </c>
      <c r="B126" s="14">
        <v>1</v>
      </c>
      <c r="C126" s="1"/>
      <c r="D126" s="45"/>
      <c r="E126" s="45"/>
      <c r="F126" s="45"/>
      <c r="G126" s="1">
        <f t="shared" si="13"/>
        <v>0</v>
      </c>
      <c r="H126" s="45"/>
      <c r="I126" s="224"/>
    </row>
    <row r="127" spans="1:9">
      <c r="A127" s="1">
        <v>6</v>
      </c>
      <c r="B127" s="14">
        <v>2</v>
      </c>
      <c r="C127" s="1"/>
      <c r="D127" s="45"/>
      <c r="E127" s="45"/>
      <c r="F127" s="45"/>
      <c r="G127" s="1">
        <f t="shared" si="13"/>
        <v>0</v>
      </c>
      <c r="H127" s="45"/>
      <c r="I127" s="224"/>
    </row>
    <row r="128" spans="1:9">
      <c r="A128" s="1">
        <v>6</v>
      </c>
      <c r="B128" s="14">
        <v>2</v>
      </c>
      <c r="C128" s="1"/>
      <c r="D128" s="45"/>
      <c r="E128" s="45"/>
      <c r="F128" s="45"/>
      <c r="G128" s="1">
        <f t="shared" si="13"/>
        <v>0</v>
      </c>
      <c r="H128" s="45"/>
      <c r="I128" s="224"/>
    </row>
    <row r="129" spans="1:9">
      <c r="A129" s="1">
        <v>6</v>
      </c>
      <c r="B129" s="14">
        <v>2</v>
      </c>
      <c r="C129" s="1"/>
      <c r="D129" s="45"/>
      <c r="E129" s="45"/>
      <c r="F129" s="45"/>
      <c r="G129" s="1">
        <f t="shared" si="13"/>
        <v>0</v>
      </c>
      <c r="H129" s="45"/>
      <c r="I129" s="224"/>
    </row>
    <row r="130" spans="1:9">
      <c r="A130" s="1">
        <v>6</v>
      </c>
      <c r="B130" s="14">
        <v>2</v>
      </c>
      <c r="C130" s="1"/>
      <c r="D130" s="45"/>
      <c r="E130" s="45"/>
      <c r="F130" s="45"/>
      <c r="G130" s="1">
        <f t="shared" si="13"/>
        <v>0</v>
      </c>
      <c r="H130" s="45"/>
      <c r="I130" s="224"/>
    </row>
    <row r="131" spans="1:9">
      <c r="A131" s="1">
        <v>6</v>
      </c>
      <c r="B131" s="14">
        <v>2</v>
      </c>
      <c r="C131" s="1"/>
      <c r="D131" s="45"/>
      <c r="E131" s="45"/>
      <c r="F131" s="45"/>
      <c r="G131" s="1">
        <f t="shared" si="13"/>
        <v>0</v>
      </c>
      <c r="H131" s="45"/>
      <c r="I131" s="224"/>
    </row>
    <row r="132" spans="1:9">
      <c r="A132" s="1">
        <v>6</v>
      </c>
      <c r="B132" s="14">
        <v>3</v>
      </c>
      <c r="C132" s="1"/>
      <c r="D132" s="45"/>
      <c r="E132" s="45"/>
      <c r="F132" s="45"/>
      <c r="G132" s="1">
        <f t="shared" si="13"/>
        <v>0</v>
      </c>
      <c r="H132" s="45"/>
      <c r="I132" s="224"/>
    </row>
    <row r="133" spans="1:9">
      <c r="A133" s="1">
        <v>6</v>
      </c>
      <c r="B133" s="14">
        <v>3</v>
      </c>
      <c r="C133" s="1"/>
      <c r="D133" s="45"/>
      <c r="E133" s="45"/>
      <c r="F133" s="45"/>
      <c r="G133" s="1">
        <f t="shared" si="13"/>
        <v>0</v>
      </c>
      <c r="H133" s="45"/>
      <c r="I133" s="224"/>
    </row>
    <row r="134" spans="1:9">
      <c r="A134" s="1">
        <v>6</v>
      </c>
      <c r="B134" s="14">
        <v>3</v>
      </c>
      <c r="C134" s="1"/>
      <c r="D134" s="45"/>
      <c r="E134" s="45"/>
      <c r="F134" s="45"/>
      <c r="G134" s="1">
        <f t="shared" si="13"/>
        <v>0</v>
      </c>
      <c r="H134" s="45"/>
      <c r="I134" s="224"/>
    </row>
    <row r="135" spans="1:9">
      <c r="A135" s="1">
        <v>6</v>
      </c>
      <c r="B135" s="14">
        <v>3</v>
      </c>
      <c r="C135" s="1"/>
      <c r="D135" s="45"/>
      <c r="E135" s="45"/>
      <c r="F135" s="45"/>
      <c r="G135" s="1">
        <f t="shared" si="13"/>
        <v>0</v>
      </c>
      <c r="H135" s="45"/>
      <c r="I135" s="224"/>
    </row>
    <row r="136" spans="1:9">
      <c r="A136" s="1">
        <v>6</v>
      </c>
      <c r="B136" s="14">
        <v>3</v>
      </c>
      <c r="C136" s="7"/>
      <c r="D136" s="45"/>
      <c r="E136" s="45"/>
      <c r="F136" s="45"/>
      <c r="G136" s="1">
        <f t="shared" si="13"/>
        <v>0</v>
      </c>
      <c r="H136" s="45"/>
      <c r="I136" s="224"/>
    </row>
    <row r="137" spans="1:9">
      <c r="A137" s="6">
        <v>7</v>
      </c>
      <c r="B137" s="314">
        <v>1</v>
      </c>
      <c r="C137" s="1"/>
      <c r="D137" s="308"/>
      <c r="E137" s="308"/>
      <c r="F137" s="308"/>
      <c r="G137" s="6">
        <f t="shared" ref="G137:G151" si="14">product_10_name</f>
        <v>0</v>
      </c>
      <c r="H137" s="308"/>
      <c r="I137" s="309"/>
    </row>
    <row r="138" spans="1:9">
      <c r="A138" s="1">
        <v>7</v>
      </c>
      <c r="B138" s="14">
        <v>1</v>
      </c>
      <c r="C138" s="1"/>
      <c r="D138" s="45"/>
      <c r="E138" s="45"/>
      <c r="F138" s="45"/>
      <c r="G138" s="1">
        <f t="shared" si="14"/>
        <v>0</v>
      </c>
      <c r="H138" s="45"/>
      <c r="I138" s="224"/>
    </row>
    <row r="139" spans="1:9">
      <c r="A139" s="1">
        <v>7</v>
      </c>
      <c r="B139" s="14">
        <v>1</v>
      </c>
      <c r="C139" s="1"/>
      <c r="D139" s="45"/>
      <c r="E139" s="45"/>
      <c r="F139" s="45"/>
      <c r="G139" s="1">
        <f t="shared" si="14"/>
        <v>0</v>
      </c>
      <c r="H139" s="45"/>
      <c r="I139" s="224"/>
    </row>
    <row r="140" spans="1:9">
      <c r="A140" s="1">
        <v>7</v>
      </c>
      <c r="B140" s="14">
        <v>1</v>
      </c>
      <c r="C140" s="1"/>
      <c r="D140" s="45"/>
      <c r="E140" s="45"/>
      <c r="F140" s="45"/>
      <c r="G140" s="1">
        <f t="shared" si="14"/>
        <v>0</v>
      </c>
      <c r="H140" s="45"/>
      <c r="I140" s="224"/>
    </row>
    <row r="141" spans="1:9">
      <c r="A141" s="1">
        <v>7</v>
      </c>
      <c r="B141" s="14">
        <v>1</v>
      </c>
      <c r="C141" s="1"/>
      <c r="D141" s="45"/>
      <c r="E141" s="45"/>
      <c r="F141" s="45"/>
      <c r="G141" s="1">
        <f t="shared" si="14"/>
        <v>0</v>
      </c>
      <c r="H141" s="45"/>
      <c r="I141" s="224"/>
    </row>
    <row r="142" spans="1:9">
      <c r="A142" s="1">
        <v>7</v>
      </c>
      <c r="B142" s="14">
        <v>2</v>
      </c>
      <c r="C142" s="1"/>
      <c r="D142" s="45"/>
      <c r="E142" s="45"/>
      <c r="F142" s="45"/>
      <c r="G142" s="1">
        <f t="shared" si="14"/>
        <v>0</v>
      </c>
      <c r="H142" s="45"/>
      <c r="I142" s="224"/>
    </row>
    <row r="143" spans="1:9">
      <c r="A143" s="1">
        <v>7</v>
      </c>
      <c r="B143" s="14">
        <v>2</v>
      </c>
      <c r="C143" s="1"/>
      <c r="D143" s="45"/>
      <c r="E143" s="45"/>
      <c r="F143" s="45"/>
      <c r="G143" s="1">
        <f t="shared" si="14"/>
        <v>0</v>
      </c>
      <c r="H143" s="45"/>
      <c r="I143" s="224"/>
    </row>
    <row r="144" spans="1:9">
      <c r="A144" s="1">
        <v>7</v>
      </c>
      <c r="B144" s="14">
        <v>2</v>
      </c>
      <c r="C144" s="1"/>
      <c r="D144" s="45"/>
      <c r="E144" s="45"/>
      <c r="F144" s="45"/>
      <c r="G144" s="1">
        <f t="shared" si="14"/>
        <v>0</v>
      </c>
      <c r="H144" s="45"/>
      <c r="I144" s="224"/>
    </row>
    <row r="145" spans="1:9">
      <c r="A145" s="1">
        <v>7</v>
      </c>
      <c r="B145" s="14">
        <v>2</v>
      </c>
      <c r="C145" s="1"/>
      <c r="D145" s="45"/>
      <c r="E145" s="45"/>
      <c r="F145" s="45"/>
      <c r="G145" s="1">
        <f t="shared" si="14"/>
        <v>0</v>
      </c>
      <c r="H145" s="45"/>
      <c r="I145" s="224"/>
    </row>
    <row r="146" spans="1:9">
      <c r="A146" s="1">
        <v>7</v>
      </c>
      <c r="B146" s="14">
        <v>2</v>
      </c>
      <c r="C146" s="1"/>
      <c r="D146" s="45"/>
      <c r="E146" s="45"/>
      <c r="F146" s="45"/>
      <c r="G146" s="1">
        <f t="shared" si="14"/>
        <v>0</v>
      </c>
      <c r="H146" s="45"/>
      <c r="I146" s="224"/>
    </row>
    <row r="147" spans="1:9">
      <c r="A147" s="1">
        <v>7</v>
      </c>
      <c r="B147" s="14">
        <v>3</v>
      </c>
      <c r="C147" s="1"/>
      <c r="D147" s="45"/>
      <c r="E147" s="45"/>
      <c r="F147" s="45"/>
      <c r="G147" s="1">
        <f t="shared" si="14"/>
        <v>0</v>
      </c>
      <c r="H147" s="45"/>
      <c r="I147" s="224"/>
    </row>
    <row r="148" spans="1:9">
      <c r="A148" s="1">
        <v>7</v>
      </c>
      <c r="B148" s="14">
        <v>3</v>
      </c>
      <c r="C148" s="1"/>
      <c r="D148" s="45"/>
      <c r="E148" s="45"/>
      <c r="F148" s="45"/>
      <c r="G148" s="1">
        <f t="shared" si="14"/>
        <v>0</v>
      </c>
      <c r="H148" s="45"/>
      <c r="I148" s="224"/>
    </row>
    <row r="149" spans="1:9">
      <c r="A149" s="1">
        <v>7</v>
      </c>
      <c r="B149" s="14">
        <v>3</v>
      </c>
      <c r="C149" s="1"/>
      <c r="D149" s="45"/>
      <c r="E149" s="45"/>
      <c r="F149" s="45"/>
      <c r="G149" s="1">
        <f t="shared" si="14"/>
        <v>0</v>
      </c>
      <c r="H149" s="45"/>
      <c r="I149" s="224"/>
    </row>
    <row r="150" spans="1:9">
      <c r="A150" s="1">
        <v>7</v>
      </c>
      <c r="B150" s="14">
        <v>3</v>
      </c>
      <c r="C150" s="1"/>
      <c r="D150" s="45"/>
      <c r="E150" s="45"/>
      <c r="F150" s="45"/>
      <c r="G150" s="1">
        <f t="shared" si="14"/>
        <v>0</v>
      </c>
      <c r="H150" s="45"/>
      <c r="I150" s="224"/>
    </row>
    <row r="151" spans="1:9">
      <c r="A151" s="1">
        <v>7</v>
      </c>
      <c r="B151" s="14">
        <v>3</v>
      </c>
      <c r="C151" s="7"/>
      <c r="D151" s="45"/>
      <c r="E151" s="45"/>
      <c r="F151" s="45"/>
      <c r="G151" s="1">
        <f t="shared" si="14"/>
        <v>0</v>
      </c>
      <c r="H151" s="45"/>
      <c r="I151" s="224"/>
    </row>
    <row r="152" spans="1:9">
      <c r="A152" s="6">
        <v>8</v>
      </c>
      <c r="B152" s="314">
        <v>1</v>
      </c>
      <c r="C152" s="1"/>
      <c r="D152" s="308"/>
      <c r="E152" s="308"/>
      <c r="F152" s="308"/>
      <c r="G152" s="6">
        <f t="shared" ref="G152:G166" si="15">product_11_name</f>
        <v>0</v>
      </c>
      <c r="H152" s="308"/>
      <c r="I152" s="309"/>
    </row>
    <row r="153" spans="1:9">
      <c r="A153" s="1">
        <v>8</v>
      </c>
      <c r="B153" s="14">
        <v>1</v>
      </c>
      <c r="C153" s="1"/>
      <c r="D153" s="45"/>
      <c r="E153" s="45"/>
      <c r="F153" s="45"/>
      <c r="G153" s="1">
        <f t="shared" si="15"/>
        <v>0</v>
      </c>
      <c r="H153" s="45"/>
      <c r="I153" s="224"/>
    </row>
    <row r="154" spans="1:9">
      <c r="A154" s="1">
        <v>8</v>
      </c>
      <c r="B154" s="14">
        <v>1</v>
      </c>
      <c r="C154" s="1"/>
      <c r="D154" s="45"/>
      <c r="E154" s="45"/>
      <c r="F154" s="45"/>
      <c r="G154" s="1">
        <f t="shared" si="15"/>
        <v>0</v>
      </c>
      <c r="H154" s="45"/>
      <c r="I154" s="224"/>
    </row>
    <row r="155" spans="1:9">
      <c r="A155" s="1">
        <v>8</v>
      </c>
      <c r="B155" s="14">
        <v>1</v>
      </c>
      <c r="C155" s="1"/>
      <c r="D155" s="45"/>
      <c r="E155" s="45"/>
      <c r="F155" s="45"/>
      <c r="G155" s="1">
        <f t="shared" si="15"/>
        <v>0</v>
      </c>
      <c r="H155" s="45"/>
      <c r="I155" s="224"/>
    </row>
    <row r="156" spans="1:9">
      <c r="A156" s="1">
        <v>8</v>
      </c>
      <c r="B156" s="14">
        <v>1</v>
      </c>
      <c r="C156" s="1"/>
      <c r="D156" s="45"/>
      <c r="E156" s="45"/>
      <c r="F156" s="45"/>
      <c r="G156" s="1">
        <f t="shared" si="15"/>
        <v>0</v>
      </c>
      <c r="H156" s="45"/>
      <c r="I156" s="224"/>
    </row>
    <row r="157" spans="1:9">
      <c r="A157" s="1">
        <v>8</v>
      </c>
      <c r="B157" s="14">
        <v>2</v>
      </c>
      <c r="C157" s="1"/>
      <c r="D157" s="45"/>
      <c r="E157" s="45"/>
      <c r="F157" s="45"/>
      <c r="G157" s="1">
        <f t="shared" si="15"/>
        <v>0</v>
      </c>
      <c r="H157" s="45"/>
      <c r="I157" s="224"/>
    </row>
    <row r="158" spans="1:9">
      <c r="A158" s="1">
        <v>8</v>
      </c>
      <c r="B158" s="14">
        <v>2</v>
      </c>
      <c r="C158" s="1"/>
      <c r="D158" s="45"/>
      <c r="E158" s="45"/>
      <c r="F158" s="45"/>
      <c r="G158" s="1">
        <f t="shared" si="15"/>
        <v>0</v>
      </c>
      <c r="H158" s="45"/>
      <c r="I158" s="224"/>
    </row>
    <row r="159" spans="1:9">
      <c r="A159" s="1">
        <v>8</v>
      </c>
      <c r="B159" s="14">
        <v>2</v>
      </c>
      <c r="C159" s="1"/>
      <c r="D159" s="45"/>
      <c r="E159" s="45"/>
      <c r="F159" s="45"/>
      <c r="G159" s="1">
        <f t="shared" si="15"/>
        <v>0</v>
      </c>
      <c r="H159" s="45"/>
      <c r="I159" s="224"/>
    </row>
    <row r="160" spans="1:9">
      <c r="A160" s="1">
        <v>8</v>
      </c>
      <c r="B160" s="14">
        <v>2</v>
      </c>
      <c r="C160" s="1"/>
      <c r="D160" s="45"/>
      <c r="E160" s="45"/>
      <c r="F160" s="45"/>
      <c r="G160" s="1">
        <f t="shared" si="15"/>
        <v>0</v>
      </c>
      <c r="H160" s="45"/>
      <c r="I160" s="224"/>
    </row>
    <row r="161" spans="1:9">
      <c r="A161" s="1">
        <v>8</v>
      </c>
      <c r="B161" s="14">
        <v>2</v>
      </c>
      <c r="C161" s="1"/>
      <c r="D161" s="45"/>
      <c r="E161" s="45"/>
      <c r="F161" s="45"/>
      <c r="G161" s="1">
        <f t="shared" si="15"/>
        <v>0</v>
      </c>
      <c r="H161" s="45"/>
      <c r="I161" s="224"/>
    </row>
    <row r="162" spans="1:9">
      <c r="A162" s="1">
        <v>8</v>
      </c>
      <c r="B162" s="14">
        <v>3</v>
      </c>
      <c r="C162" s="1"/>
      <c r="D162" s="45"/>
      <c r="E162" s="45"/>
      <c r="F162" s="45"/>
      <c r="G162" s="1">
        <f t="shared" si="15"/>
        <v>0</v>
      </c>
      <c r="H162" s="45"/>
      <c r="I162" s="224"/>
    </row>
    <row r="163" spans="1:9">
      <c r="A163" s="1">
        <v>8</v>
      </c>
      <c r="B163" s="14">
        <v>3</v>
      </c>
      <c r="C163" s="1"/>
      <c r="D163" s="45"/>
      <c r="E163" s="45"/>
      <c r="F163" s="45"/>
      <c r="G163" s="1">
        <f t="shared" si="15"/>
        <v>0</v>
      </c>
      <c r="H163" s="45"/>
      <c r="I163" s="224"/>
    </row>
    <row r="164" spans="1:9">
      <c r="A164" s="1">
        <v>8</v>
      </c>
      <c r="B164" s="14">
        <v>3</v>
      </c>
      <c r="C164" s="1"/>
      <c r="D164" s="45"/>
      <c r="E164" s="45"/>
      <c r="F164" s="45"/>
      <c r="G164" s="1">
        <f t="shared" si="15"/>
        <v>0</v>
      </c>
      <c r="H164" s="45"/>
      <c r="I164" s="224"/>
    </row>
    <row r="165" spans="1:9">
      <c r="A165" s="1">
        <v>8</v>
      </c>
      <c r="B165" s="14">
        <v>3</v>
      </c>
      <c r="C165" s="1"/>
      <c r="D165" s="45"/>
      <c r="E165" s="45"/>
      <c r="F165" s="45"/>
      <c r="G165" s="1">
        <f t="shared" si="15"/>
        <v>0</v>
      </c>
      <c r="H165" s="45"/>
      <c r="I165" s="224"/>
    </row>
    <row r="166" spans="1:9">
      <c r="A166" s="1">
        <v>8</v>
      </c>
      <c r="B166" s="14">
        <v>3</v>
      </c>
      <c r="C166" s="7"/>
      <c r="D166" s="45"/>
      <c r="E166" s="45"/>
      <c r="F166" s="45"/>
      <c r="G166" s="330">
        <f t="shared" si="15"/>
        <v>0</v>
      </c>
      <c r="H166" s="45"/>
      <c r="I166" s="224"/>
    </row>
    <row r="167" spans="1:9">
      <c r="A167" s="6">
        <v>9</v>
      </c>
      <c r="B167" s="314">
        <v>1</v>
      </c>
      <c r="C167" s="1"/>
      <c r="D167" s="308"/>
      <c r="E167" s="308"/>
      <c r="F167" s="308"/>
      <c r="G167" s="1">
        <f t="shared" ref="G167:G181" si="16">product_12_name</f>
        <v>0</v>
      </c>
      <c r="H167" s="308"/>
      <c r="I167" s="309"/>
    </row>
    <row r="168" spans="1:9">
      <c r="A168" s="1">
        <v>9</v>
      </c>
      <c r="B168" s="14">
        <v>1</v>
      </c>
      <c r="C168" s="1"/>
      <c r="D168" s="45"/>
      <c r="E168" s="45"/>
      <c r="F168" s="45"/>
      <c r="G168" s="1">
        <f t="shared" si="16"/>
        <v>0</v>
      </c>
      <c r="H168" s="45"/>
      <c r="I168" s="224"/>
    </row>
    <row r="169" spans="1:9">
      <c r="A169" s="1">
        <v>9</v>
      </c>
      <c r="B169" s="14">
        <v>1</v>
      </c>
      <c r="C169" s="1"/>
      <c r="D169" s="45"/>
      <c r="E169" s="45"/>
      <c r="F169" s="45"/>
      <c r="G169" s="1">
        <f t="shared" si="16"/>
        <v>0</v>
      </c>
      <c r="H169" s="45"/>
      <c r="I169" s="224"/>
    </row>
    <row r="170" spans="1:9">
      <c r="A170" s="1">
        <v>9</v>
      </c>
      <c r="B170" s="14">
        <v>1</v>
      </c>
      <c r="C170" s="1"/>
      <c r="D170" s="45"/>
      <c r="E170" s="45"/>
      <c r="F170" s="45"/>
      <c r="G170" s="1">
        <f t="shared" si="16"/>
        <v>0</v>
      </c>
      <c r="H170" s="45"/>
      <c r="I170" s="224"/>
    </row>
    <row r="171" spans="1:9">
      <c r="A171" s="1">
        <v>9</v>
      </c>
      <c r="B171" s="14">
        <v>1</v>
      </c>
      <c r="C171" s="1"/>
      <c r="D171" s="45"/>
      <c r="E171" s="45"/>
      <c r="F171" s="45"/>
      <c r="G171" s="1">
        <f t="shared" si="16"/>
        <v>0</v>
      </c>
      <c r="H171" s="45"/>
      <c r="I171" s="224"/>
    </row>
    <row r="172" spans="1:9">
      <c r="A172" s="1">
        <v>9</v>
      </c>
      <c r="B172" s="14">
        <v>2</v>
      </c>
      <c r="C172" s="1"/>
      <c r="D172" s="45"/>
      <c r="E172" s="45"/>
      <c r="F172" s="45"/>
      <c r="G172" s="1">
        <f t="shared" si="16"/>
        <v>0</v>
      </c>
      <c r="H172" s="45"/>
      <c r="I172" s="224"/>
    </row>
    <row r="173" spans="1:9">
      <c r="A173" s="1">
        <v>9</v>
      </c>
      <c r="B173" s="14">
        <v>2</v>
      </c>
      <c r="C173" s="1"/>
      <c r="D173" s="45"/>
      <c r="E173" s="45"/>
      <c r="F173" s="45"/>
      <c r="G173" s="1">
        <f t="shared" si="16"/>
        <v>0</v>
      </c>
      <c r="H173" s="45"/>
      <c r="I173" s="224"/>
    </row>
    <row r="174" spans="1:9">
      <c r="A174" s="1">
        <v>9</v>
      </c>
      <c r="B174" s="14">
        <v>2</v>
      </c>
      <c r="C174" s="1"/>
      <c r="D174" s="45"/>
      <c r="E174" s="45"/>
      <c r="F174" s="45"/>
      <c r="G174" s="1">
        <f t="shared" si="16"/>
        <v>0</v>
      </c>
      <c r="H174" s="45"/>
      <c r="I174" s="224"/>
    </row>
    <row r="175" spans="1:9">
      <c r="A175" s="1">
        <v>9</v>
      </c>
      <c r="B175" s="14">
        <v>2</v>
      </c>
      <c r="C175" s="1"/>
      <c r="D175" s="45"/>
      <c r="E175" s="45"/>
      <c r="F175" s="45"/>
      <c r="G175" s="1">
        <f t="shared" si="16"/>
        <v>0</v>
      </c>
      <c r="H175" s="45"/>
      <c r="I175" s="224"/>
    </row>
    <row r="176" spans="1:9">
      <c r="A176" s="1">
        <v>9</v>
      </c>
      <c r="B176" s="14">
        <v>2</v>
      </c>
      <c r="C176" s="1"/>
      <c r="D176" s="45"/>
      <c r="E176" s="45"/>
      <c r="F176" s="45"/>
      <c r="G176" s="1">
        <f t="shared" si="16"/>
        <v>0</v>
      </c>
      <c r="H176" s="45"/>
      <c r="I176" s="224"/>
    </row>
    <row r="177" spans="1:9">
      <c r="A177" s="1">
        <v>9</v>
      </c>
      <c r="B177" s="14">
        <v>3</v>
      </c>
      <c r="C177" s="1"/>
      <c r="D177" s="45"/>
      <c r="E177" s="45"/>
      <c r="F177" s="45"/>
      <c r="G177" s="1">
        <f t="shared" si="16"/>
        <v>0</v>
      </c>
      <c r="H177" s="45"/>
      <c r="I177" s="224"/>
    </row>
    <row r="178" spans="1:9">
      <c r="A178" s="1">
        <v>9</v>
      </c>
      <c r="B178" s="14">
        <v>3</v>
      </c>
      <c r="C178" s="1"/>
      <c r="D178" s="45"/>
      <c r="E178" s="45"/>
      <c r="F178" s="45"/>
      <c r="G178" s="1">
        <f t="shared" si="16"/>
        <v>0</v>
      </c>
      <c r="H178" s="45"/>
      <c r="I178" s="224"/>
    </row>
    <row r="179" spans="1:9">
      <c r="A179" s="1">
        <v>9</v>
      </c>
      <c r="B179" s="14">
        <v>3</v>
      </c>
      <c r="C179" s="1"/>
      <c r="D179" s="45"/>
      <c r="E179" s="45"/>
      <c r="F179" s="45"/>
      <c r="G179" s="1">
        <f t="shared" si="16"/>
        <v>0</v>
      </c>
      <c r="H179" s="45"/>
      <c r="I179" s="224"/>
    </row>
    <row r="180" spans="1:9">
      <c r="A180" s="1">
        <v>9</v>
      </c>
      <c r="B180" s="14">
        <v>3</v>
      </c>
      <c r="C180" s="1"/>
      <c r="D180" s="45"/>
      <c r="E180" s="45"/>
      <c r="F180" s="45"/>
      <c r="G180" s="1">
        <f t="shared" si="16"/>
        <v>0</v>
      </c>
      <c r="H180" s="45"/>
      <c r="I180" s="224"/>
    </row>
    <row r="181" spans="1:9">
      <c r="A181" s="1">
        <v>9</v>
      </c>
      <c r="B181" s="14">
        <v>3</v>
      </c>
      <c r="C181" s="7"/>
      <c r="D181" s="45"/>
      <c r="E181" s="45"/>
      <c r="F181" s="45"/>
      <c r="G181" s="1">
        <f t="shared" si="16"/>
        <v>0</v>
      </c>
      <c r="H181" s="45"/>
      <c r="I181" s="224"/>
    </row>
    <row r="182" spans="1:9">
      <c r="A182" s="6">
        <v>10</v>
      </c>
      <c r="B182" s="314">
        <v>1</v>
      </c>
      <c r="C182" s="1"/>
      <c r="D182" s="308"/>
      <c r="E182" s="308"/>
      <c r="F182" s="308"/>
      <c r="G182" s="6">
        <f t="shared" ref="G182:G196" si="17">product_13_name</f>
        <v>0</v>
      </c>
      <c r="H182" s="308"/>
      <c r="I182" s="309"/>
    </row>
    <row r="183" spans="1:9">
      <c r="A183" s="1">
        <v>10</v>
      </c>
      <c r="B183" s="14">
        <v>1</v>
      </c>
      <c r="C183" s="1"/>
      <c r="D183" s="45"/>
      <c r="E183" s="45"/>
      <c r="F183" s="45"/>
      <c r="G183" s="1">
        <f t="shared" si="17"/>
        <v>0</v>
      </c>
      <c r="H183" s="45"/>
      <c r="I183" s="224"/>
    </row>
    <row r="184" spans="1:9">
      <c r="A184" s="1">
        <v>10</v>
      </c>
      <c r="B184" s="14">
        <v>1</v>
      </c>
      <c r="C184" s="1"/>
      <c r="D184" s="45"/>
      <c r="E184" s="45"/>
      <c r="F184" s="45"/>
      <c r="G184" s="1">
        <f t="shared" si="17"/>
        <v>0</v>
      </c>
      <c r="H184" s="45"/>
      <c r="I184" s="224"/>
    </row>
    <row r="185" spans="1:9">
      <c r="A185" s="1">
        <v>10</v>
      </c>
      <c r="B185" s="14">
        <v>1</v>
      </c>
      <c r="C185" s="1"/>
      <c r="D185" s="45"/>
      <c r="E185" s="45"/>
      <c r="F185" s="45"/>
      <c r="G185" s="1">
        <f t="shared" si="17"/>
        <v>0</v>
      </c>
      <c r="H185" s="45"/>
      <c r="I185" s="224"/>
    </row>
    <row r="186" spans="1:9">
      <c r="A186" s="1">
        <v>10</v>
      </c>
      <c r="B186" s="14">
        <v>1</v>
      </c>
      <c r="C186" s="1"/>
      <c r="D186" s="45"/>
      <c r="E186" s="45"/>
      <c r="F186" s="45"/>
      <c r="G186" s="1">
        <f t="shared" si="17"/>
        <v>0</v>
      </c>
      <c r="H186" s="45"/>
      <c r="I186" s="224"/>
    </row>
    <row r="187" spans="1:9">
      <c r="A187" s="1">
        <v>10</v>
      </c>
      <c r="B187" s="14">
        <v>2</v>
      </c>
      <c r="C187" s="1"/>
      <c r="D187" s="45"/>
      <c r="E187" s="45"/>
      <c r="F187" s="45"/>
      <c r="G187" s="1">
        <f t="shared" si="17"/>
        <v>0</v>
      </c>
      <c r="H187" s="45"/>
      <c r="I187" s="224"/>
    </row>
    <row r="188" spans="1:9">
      <c r="A188" s="1">
        <v>10</v>
      </c>
      <c r="B188" s="14">
        <v>2</v>
      </c>
      <c r="C188" s="1"/>
      <c r="D188" s="45"/>
      <c r="E188" s="45"/>
      <c r="F188" s="45"/>
      <c r="G188" s="1">
        <f t="shared" si="17"/>
        <v>0</v>
      </c>
      <c r="H188" s="45"/>
      <c r="I188" s="224"/>
    </row>
    <row r="189" spans="1:9">
      <c r="A189" s="1">
        <v>10</v>
      </c>
      <c r="B189" s="14">
        <v>2</v>
      </c>
      <c r="C189" s="1"/>
      <c r="D189" s="45"/>
      <c r="E189" s="45"/>
      <c r="F189" s="45"/>
      <c r="G189" s="1">
        <f t="shared" si="17"/>
        <v>0</v>
      </c>
      <c r="H189" s="45"/>
      <c r="I189" s="224"/>
    </row>
    <row r="190" spans="1:9">
      <c r="A190" s="1">
        <v>10</v>
      </c>
      <c r="B190" s="14">
        <v>2</v>
      </c>
      <c r="C190" s="1"/>
      <c r="D190" s="45"/>
      <c r="E190" s="45"/>
      <c r="F190" s="45"/>
      <c r="G190" s="1">
        <f t="shared" si="17"/>
        <v>0</v>
      </c>
      <c r="H190" s="45"/>
      <c r="I190" s="224"/>
    </row>
    <row r="191" spans="1:9">
      <c r="A191" s="1">
        <v>10</v>
      </c>
      <c r="B191" s="14">
        <v>2</v>
      </c>
      <c r="C191" s="1"/>
      <c r="D191" s="45"/>
      <c r="E191" s="45"/>
      <c r="F191" s="45"/>
      <c r="G191" s="1">
        <f t="shared" si="17"/>
        <v>0</v>
      </c>
      <c r="H191" s="45"/>
      <c r="I191" s="224"/>
    </row>
    <row r="192" spans="1:9">
      <c r="A192" s="1">
        <v>10</v>
      </c>
      <c r="B192" s="14">
        <v>3</v>
      </c>
      <c r="C192" s="1"/>
      <c r="D192" s="45"/>
      <c r="E192" s="45"/>
      <c r="F192" s="45"/>
      <c r="G192" s="1">
        <f t="shared" si="17"/>
        <v>0</v>
      </c>
      <c r="H192" s="45"/>
      <c r="I192" s="224"/>
    </row>
    <row r="193" spans="1:9">
      <c r="A193" s="1">
        <v>10</v>
      </c>
      <c r="B193" s="14">
        <v>3</v>
      </c>
      <c r="C193" s="1"/>
      <c r="D193" s="45"/>
      <c r="E193" s="45"/>
      <c r="F193" s="45"/>
      <c r="G193" s="1">
        <f t="shared" si="17"/>
        <v>0</v>
      </c>
      <c r="H193" s="45"/>
      <c r="I193" s="224"/>
    </row>
    <row r="194" spans="1:9">
      <c r="A194" s="1">
        <v>10</v>
      </c>
      <c r="B194" s="14">
        <v>3</v>
      </c>
      <c r="C194" s="1"/>
      <c r="D194" s="45"/>
      <c r="E194" s="45"/>
      <c r="F194" s="45"/>
      <c r="G194" s="1">
        <f t="shared" si="17"/>
        <v>0</v>
      </c>
      <c r="H194" s="45"/>
      <c r="I194" s="224"/>
    </row>
    <row r="195" spans="1:9">
      <c r="A195" s="1">
        <v>10</v>
      </c>
      <c r="B195" s="14">
        <v>3</v>
      </c>
      <c r="C195" s="1"/>
      <c r="D195" s="45"/>
      <c r="E195" s="45"/>
      <c r="F195" s="45"/>
      <c r="G195" s="1">
        <f t="shared" si="17"/>
        <v>0</v>
      </c>
      <c r="H195" s="45"/>
      <c r="I195" s="224"/>
    </row>
    <row r="196" spans="1:9">
      <c r="A196" s="1">
        <v>10</v>
      </c>
      <c r="B196" s="14">
        <v>3</v>
      </c>
      <c r="C196" s="7"/>
      <c r="D196" s="45"/>
      <c r="E196" s="45"/>
      <c r="F196" s="45"/>
      <c r="G196" s="1">
        <f t="shared" si="17"/>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45" hidden="1" customWidth="1"/>
    <col min="6" max="6" width="20" style="45" hidden="1" customWidth="1"/>
    <col min="7" max="7" width="20.5" style="45" customWidth="1"/>
    <col min="8" max="8" width="9.5" style="225" hidden="1" customWidth="1"/>
    <col min="9" max="9" width="11.1640625" style="45" hidden="1" customWidth="1"/>
    <col min="10" max="10" width="14.6640625" style="45" hidden="1" customWidth="1"/>
    <col min="11" max="11" width="20.6640625" style="537" customWidth="1"/>
    <col min="12" max="14" width="14.6640625" style="537" hidden="1" customWidth="1"/>
    <col min="15" max="15" width="20.5" style="537" customWidth="1"/>
    <col min="16" max="16" width="13.83203125" style="45" hidden="1" customWidth="1"/>
    <col min="17" max="17" width="13.83203125" style="537" hidden="1" customWidth="1"/>
    <col min="18" max="18" width="13.83203125" style="45" hidden="1" customWidth="1"/>
    <col min="19" max="19" width="20.83203125" style="537" customWidth="1"/>
    <col min="20" max="22" width="13.1640625" style="537"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20" t="s">
        <v>2037</v>
      </c>
      <c r="C1" s="5" t="s">
        <v>23</v>
      </c>
      <c r="D1" s="520" t="s">
        <v>1043</v>
      </c>
      <c r="E1" s="521" t="s">
        <v>1044</v>
      </c>
      <c r="F1" s="521" t="s">
        <v>2039</v>
      </c>
      <c r="G1" s="521" t="s">
        <v>2051</v>
      </c>
      <c r="H1" s="520" t="s">
        <v>1046</v>
      </c>
      <c r="I1" s="521" t="s">
        <v>1047</v>
      </c>
      <c r="J1" s="521" t="s">
        <v>2040</v>
      </c>
      <c r="K1" s="538" t="s">
        <v>2041</v>
      </c>
      <c r="L1" s="538" t="s">
        <v>1052</v>
      </c>
      <c r="M1" s="538" t="s">
        <v>1053</v>
      </c>
      <c r="N1" s="538" t="s">
        <v>2042</v>
      </c>
      <c r="O1" s="538" t="s">
        <v>2043</v>
      </c>
      <c r="P1" s="461" t="s">
        <v>1055</v>
      </c>
      <c r="Q1" s="538" t="s">
        <v>1056</v>
      </c>
      <c r="R1" s="461" t="s">
        <v>2048</v>
      </c>
      <c r="S1" s="538" t="s">
        <v>1057</v>
      </c>
      <c r="T1" s="538" t="s">
        <v>1116</v>
      </c>
      <c r="U1" s="538" t="s">
        <v>1117</v>
      </c>
      <c r="V1" s="538" t="s">
        <v>2049</v>
      </c>
      <c r="W1" s="521" t="s">
        <v>1118</v>
      </c>
      <c r="X1" s="521" t="s">
        <v>1120</v>
      </c>
      <c r="Y1" s="521" t="s">
        <v>1121</v>
      </c>
      <c r="Z1" s="521" t="s">
        <v>2050</v>
      </c>
      <c r="AA1" s="521" t="s">
        <v>1122</v>
      </c>
      <c r="AB1" s="521" t="s">
        <v>1124</v>
      </c>
      <c r="AC1" s="521" t="s">
        <v>1125</v>
      </c>
      <c r="AD1" s="521" t="s">
        <v>2052</v>
      </c>
      <c r="AE1" s="521" t="s">
        <v>1126</v>
      </c>
      <c r="AF1" s="521" t="s">
        <v>1128</v>
      </c>
      <c r="AG1" s="521" t="s">
        <v>1129</v>
      </c>
      <c r="AH1" s="521" t="s">
        <v>2053</v>
      </c>
      <c r="AI1" s="521" t="s">
        <v>1130</v>
      </c>
      <c r="AJ1" s="521" t="s">
        <v>1132</v>
      </c>
      <c r="AK1" s="521" t="s">
        <v>1133</v>
      </c>
      <c r="AL1" s="521" t="s">
        <v>2054</v>
      </c>
      <c r="AM1" s="521" t="s">
        <v>1134</v>
      </c>
      <c r="AN1" s="521" t="s">
        <v>1136</v>
      </c>
      <c r="AO1" s="521" t="s">
        <v>1137</v>
      </c>
      <c r="AP1" s="521" t="s">
        <v>2055</v>
      </c>
      <c r="AQ1" s="461" t="s">
        <v>1138</v>
      </c>
      <c r="AR1" s="521" t="s">
        <v>2044</v>
      </c>
      <c r="AS1" s="461" t="s">
        <v>2045</v>
      </c>
      <c r="AT1" s="538" t="s">
        <v>2046</v>
      </c>
      <c r="AU1" s="544" t="s">
        <v>2047</v>
      </c>
      <c r="AX1" s="4"/>
      <c r="BI1" s="4"/>
    </row>
    <row r="2" spans="1:61" s="367" customFormat="1" hidden="1">
      <c r="A2" s="17"/>
      <c r="B2" s="364"/>
      <c r="C2" s="364"/>
      <c r="D2" s="365" t="s">
        <v>1318</v>
      </c>
      <c r="E2" s="366"/>
      <c r="F2" s="366"/>
      <c r="G2" s="366" t="s">
        <v>1319</v>
      </c>
      <c r="H2" s="365" t="s">
        <v>1320</v>
      </c>
      <c r="I2" s="366"/>
      <c r="J2" s="366"/>
      <c r="K2" s="539" t="s">
        <v>1321</v>
      </c>
      <c r="L2" s="539" t="s">
        <v>1322</v>
      </c>
      <c r="M2" s="539"/>
      <c r="N2" s="539"/>
      <c r="O2" s="539" t="s">
        <v>1323</v>
      </c>
      <c r="P2" s="535"/>
      <c r="Q2" s="539"/>
      <c r="R2" s="535"/>
      <c r="S2" s="536">
        <v>4</v>
      </c>
      <c r="T2" s="536"/>
      <c r="U2" s="536"/>
      <c r="V2" s="536"/>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36"/>
      <c r="AU2" s="545"/>
    </row>
    <row r="3" spans="1:61" s="12" customFormat="1" ht="19" hidden="1" customHeight="1">
      <c r="A3" s="11">
        <v>1</v>
      </c>
      <c r="B3" s="524">
        <v>2</v>
      </c>
      <c r="C3" s="228">
        <v>3</v>
      </c>
      <c r="D3" s="11">
        <v>4</v>
      </c>
      <c r="E3" s="524">
        <v>5</v>
      </c>
      <c r="F3" s="228">
        <v>6</v>
      </c>
      <c r="G3" s="11">
        <v>7</v>
      </c>
      <c r="H3" s="524">
        <v>8</v>
      </c>
      <c r="I3" s="228">
        <v>9</v>
      </c>
      <c r="J3" s="11">
        <v>10</v>
      </c>
      <c r="K3" s="524">
        <v>11</v>
      </c>
      <c r="L3" s="228">
        <v>12</v>
      </c>
      <c r="M3" s="11">
        <v>13</v>
      </c>
      <c r="N3" s="524">
        <v>14</v>
      </c>
      <c r="O3" s="228">
        <v>15</v>
      </c>
      <c r="P3" s="11">
        <v>16</v>
      </c>
      <c r="Q3" s="524">
        <v>17</v>
      </c>
      <c r="R3" s="228">
        <v>18</v>
      </c>
      <c r="S3" s="11">
        <v>19</v>
      </c>
      <c r="T3" s="524">
        <v>20</v>
      </c>
      <c r="U3" s="228">
        <v>21</v>
      </c>
      <c r="V3" s="11">
        <v>22</v>
      </c>
      <c r="W3" s="524">
        <v>23</v>
      </c>
      <c r="X3" s="228">
        <v>24</v>
      </c>
      <c r="Y3" s="11">
        <v>25</v>
      </c>
      <c r="Z3" s="524">
        <v>26</v>
      </c>
      <c r="AA3" s="228">
        <v>27</v>
      </c>
      <c r="AB3" s="11">
        <v>28</v>
      </c>
      <c r="AC3" s="524">
        <v>29</v>
      </c>
      <c r="AD3" s="228">
        <v>30</v>
      </c>
      <c r="AE3" s="11">
        <v>31</v>
      </c>
      <c r="AF3" s="524">
        <v>32</v>
      </c>
      <c r="AG3" s="228">
        <v>33</v>
      </c>
      <c r="AH3" s="11">
        <v>34</v>
      </c>
      <c r="AI3" s="524">
        <v>35</v>
      </c>
      <c r="AJ3" s="228">
        <v>36</v>
      </c>
      <c r="AK3" s="11">
        <v>37</v>
      </c>
      <c r="AL3" s="524">
        <v>38</v>
      </c>
      <c r="AM3" s="228">
        <v>39</v>
      </c>
      <c r="AN3" s="11">
        <v>40</v>
      </c>
      <c r="AO3" s="524">
        <v>41</v>
      </c>
      <c r="AP3" s="228">
        <v>42</v>
      </c>
      <c r="AQ3" s="11">
        <v>43</v>
      </c>
      <c r="AR3" s="524">
        <v>44</v>
      </c>
      <c r="AS3" s="228">
        <v>45</v>
      </c>
      <c r="AT3" s="11">
        <v>46</v>
      </c>
      <c r="AU3" s="524">
        <v>47</v>
      </c>
    </row>
    <row r="4" spans="1:61">
      <c r="A4" s="227" t="s">
        <v>1162</v>
      </c>
      <c r="B4" s="495"/>
      <c r="C4" s="525"/>
      <c r="D4" s="528" t="str">
        <f>IF(VLOOKUP(20,'Plate Planning'!$A$1:$T$35,13,FALSE)=0, "", VLOOKUP(20,'Plate Planning'!$A$1:$T$35,13,FALSE))</f>
        <v/>
      </c>
      <c r="E4" s="495" t="str">
        <f>IF(VLOOKUP(20,'Plate Planning'!$A$1:$T$35,14,FALSE)=0, "", VLOOKUP(20,'Plate Planning'!$A$1:$T$35,14,FALSE))</f>
        <v/>
      </c>
      <c r="F4" s="495" t="str">
        <f>IFERROR(VLOOKUP(20,'Plate Planning'!$A$1:$T$35,18,FALSE),"")</f>
        <v/>
      </c>
      <c r="G4" s="531"/>
      <c r="H4" s="528" t="str">
        <f>IF(VLOOKUP(21,'Plate Planning'!$A$1:$T$35,13,FALSE)=0, "", VLOOKUP(21,'Plate Planning'!$A$1:$T$35,13,FALSE))</f>
        <v/>
      </c>
      <c r="I4" s="495" t="str">
        <f>IF(VLOOKUP(21,'Plate Planning'!$A$1:$T$35,14,FALSE)=0, "", VLOOKUP(21,'Plate Planning'!$A$1:$T$35,14,FALSE))</f>
        <v/>
      </c>
      <c r="J4" s="540" t="str">
        <f>IFERROR(VLOOKUP(21,'Plate Planning'!$A$1:$T$35,18,FALSE),"")</f>
        <v/>
      </c>
      <c r="K4" s="495"/>
      <c r="L4" s="495" t="str">
        <f>IF(VLOOKUP(22,'Plate Planning'!$A$1:$T$35,13,FALSE)=0, "", VLOOKUP(22,'Plate Planning'!$A$1:$T$35,13,FALSE))</f>
        <v/>
      </c>
      <c r="M4" s="495" t="str">
        <f>IF(VLOOKUP(22,'Plate Planning'!$A$1:$T$35,14,FALSE)=0, "", VLOOKUP(22,'Plate Planning'!$A$1:$T$35,14,FALSE))</f>
        <v/>
      </c>
      <c r="N4" s="495" t="str">
        <f>IFERROR(VLOOKUP(22,'Plate Planning'!$A$1:$T$35,18,FALSE),"")</f>
        <v/>
      </c>
      <c r="O4" s="495"/>
      <c r="P4" s="528" t="str">
        <f>IF(VLOOKUP(23,'Plate Planning'!$A$1:$T$35,13,FALSE)=0, "", VLOOKUP(23,'Plate Planning'!$A$1:$T$35,13,FALSE))</f>
        <v/>
      </c>
      <c r="Q4" s="495" t="str">
        <f>IF(VLOOKUP(23,'Plate Planning'!$A$1:$T$35,14,FALSE)=0, "", VLOOKUP(23,'Plate Planning'!$A$1:$T$35,14,FALSE))</f>
        <v/>
      </c>
      <c r="R4" s="528" t="str">
        <f>IFERROR(VLOOKUP(23,'Plate Planning'!$A$1:$T$35,18,FALSE),"")</f>
        <v/>
      </c>
      <c r="S4" s="495"/>
      <c r="T4" s="495" t="str">
        <f>IF(VLOOKUP(24,'Plate Planning'!$A$1:$T$35,13,FALSE)=0, "", VLOOKUP(24,'Plate Planning'!$A$1:$T$35,13,FALSE))</f>
        <v/>
      </c>
      <c r="U4" s="495" t="str">
        <f>IF(VLOOKUP(24,'Plate Planning'!$A$1:$T$35,14,FALSE)=0, "", VLOOKUP(24,'Plate Planning'!$A$1:$T$35,14,FALSE))</f>
        <v/>
      </c>
      <c r="V4" s="495"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41"/>
      <c r="AT4" s="537"/>
      <c r="AU4" s="546">
        <f t="shared" ref="AU4:AU35" si="0">B4-C4-AR4-AS4-AT4</f>
        <v>0</v>
      </c>
      <c r="AX4" s="224"/>
      <c r="BI4" s="224"/>
    </row>
    <row r="5" spans="1:61">
      <c r="A5" s="227" t="s">
        <v>1163</v>
      </c>
      <c r="B5" s="495"/>
      <c r="C5" s="526"/>
      <c r="D5" s="528" t="str">
        <f>IF(VLOOKUP(20,'Plate Planning'!$A$1:$T$35,13,FALSE)=0, "", VLOOKUP(20,'Plate Planning'!$A$1:$T$35,13,FALSE))</f>
        <v/>
      </c>
      <c r="E5" s="495" t="str">
        <f>IF(VLOOKUP(20,'Plate Planning'!$A$1:$T$35,14,FALSE)=0, "", VLOOKUP(20,'Plate Planning'!$A$1:$T$35,14,FALSE))</f>
        <v/>
      </c>
      <c r="F5" s="495" t="str">
        <f>IFERROR(VLOOKUP(20,'Plate Planning'!$A$1:$T$35,18,FALSE),"")</f>
        <v/>
      </c>
      <c r="G5" s="532"/>
      <c r="H5" s="528" t="str">
        <f>IF(VLOOKUP(21,'Plate Planning'!$A$1:$T$35,13,FALSE)=0, "", VLOOKUP(21,'Plate Planning'!$A$1:$T$35,13,FALSE))</f>
        <v/>
      </c>
      <c r="I5" s="495" t="str">
        <f>IF(VLOOKUP(21,'Plate Planning'!$A$1:$T$35,14,FALSE)=0, "", VLOOKUP(21,'Plate Planning'!$A$1:$T$35,14,FALSE))</f>
        <v/>
      </c>
      <c r="J5" s="540" t="str">
        <f>IFERROR(VLOOKUP(21,'Plate Planning'!$A$1:$T$35,18,FALSE),"")</f>
        <v/>
      </c>
      <c r="K5" s="495"/>
      <c r="L5" s="495" t="str">
        <f>IF(VLOOKUP(22,'Plate Planning'!$A$1:$T$35,13,FALSE)=0, "", VLOOKUP(22,'Plate Planning'!$A$1:$T$35,13,FALSE))</f>
        <v/>
      </c>
      <c r="M5" s="495" t="str">
        <f>IF(VLOOKUP(22,'Plate Planning'!$A$1:$T$35,14,FALSE)=0, "", VLOOKUP(22,'Plate Planning'!$A$1:$T$35,14,FALSE))</f>
        <v/>
      </c>
      <c r="N5" s="495" t="str">
        <f>IFERROR(VLOOKUP(22,'Plate Planning'!$A$1:$T$35,18,FALSE),"")</f>
        <v/>
      </c>
      <c r="O5" s="495"/>
      <c r="P5" s="528" t="str">
        <f>IF(VLOOKUP(23,'Plate Planning'!$A$1:$T$35,13,FALSE)=0, "", VLOOKUP(23,'Plate Planning'!$A$1:$T$35,13,FALSE))</f>
        <v/>
      </c>
      <c r="Q5" s="495" t="str">
        <f>IF(VLOOKUP(23,'Plate Planning'!$A$1:$T$35,14,FALSE)=0, "", VLOOKUP(23,'Plate Planning'!$A$1:$T$35,14,FALSE))</f>
        <v/>
      </c>
      <c r="R5" s="528" t="str">
        <f>IFERROR(VLOOKUP(23,'Plate Planning'!$A$1:$T$35,18,FALSE),"")</f>
        <v/>
      </c>
      <c r="S5" s="495"/>
      <c r="T5" s="495" t="str">
        <f>IF(VLOOKUP(24,'Plate Planning'!$A$1:$T$35,13,FALSE)=0, "", VLOOKUP(24,'Plate Planning'!$A$1:$T$35,13,FALSE))</f>
        <v/>
      </c>
      <c r="U5" s="495" t="str">
        <f>IF(VLOOKUP(24,'Plate Planning'!$A$1:$T$35,14,FALSE)=0, "", VLOOKUP(24,'Plate Planning'!$A$1:$T$35,14,FALSE))</f>
        <v/>
      </c>
      <c r="V5" s="495"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42"/>
      <c r="AT5" s="537"/>
      <c r="AU5" s="546">
        <f t="shared" si="0"/>
        <v>0</v>
      </c>
      <c r="AX5" s="224"/>
      <c r="BI5" s="224"/>
    </row>
    <row r="6" spans="1:61">
      <c r="A6" s="227" t="s">
        <v>1164</v>
      </c>
      <c r="B6" s="495"/>
      <c r="C6" s="526"/>
      <c r="D6" s="528" t="str">
        <f>IF(VLOOKUP(20,'Plate Planning'!$A$1:$T$35,13,FALSE)=0, "", VLOOKUP(20,'Plate Planning'!$A$1:$T$35,13,FALSE))</f>
        <v/>
      </c>
      <c r="E6" s="495" t="str">
        <f>IF(VLOOKUP(20,'Plate Planning'!$A$1:$T$35,14,FALSE)=0, "", VLOOKUP(20,'Plate Planning'!$A$1:$T$35,14,FALSE))</f>
        <v/>
      </c>
      <c r="F6" s="495" t="str">
        <f>IFERROR(VLOOKUP(20,'Plate Planning'!$A$1:$T$35,18,FALSE),"")</f>
        <v/>
      </c>
      <c r="G6" s="533"/>
      <c r="H6" s="528" t="str">
        <f>IF(VLOOKUP(21,'Plate Planning'!$A$1:$T$35,13,FALSE)=0, "", VLOOKUP(21,'Plate Planning'!$A$1:$T$35,13,FALSE))</f>
        <v/>
      </c>
      <c r="I6" s="495" t="str">
        <f>IF(VLOOKUP(21,'Plate Planning'!$A$1:$T$35,14,FALSE)=0, "", VLOOKUP(21,'Plate Planning'!$A$1:$T$35,14,FALSE))</f>
        <v/>
      </c>
      <c r="J6" s="540" t="str">
        <f>IFERROR(VLOOKUP(21,'Plate Planning'!$A$1:$T$35,18,FALSE),"")</f>
        <v/>
      </c>
      <c r="K6" s="495"/>
      <c r="L6" s="495" t="str">
        <f>IF(VLOOKUP(22,'Plate Planning'!$A$1:$T$35,13,FALSE)=0, "", VLOOKUP(22,'Plate Planning'!$A$1:$T$35,13,FALSE))</f>
        <v/>
      </c>
      <c r="M6" s="495" t="str">
        <f>IF(VLOOKUP(22,'Plate Planning'!$A$1:$T$35,14,FALSE)=0, "", VLOOKUP(22,'Plate Planning'!$A$1:$T$35,14,FALSE))</f>
        <v/>
      </c>
      <c r="N6" s="495" t="str">
        <f>IFERROR(VLOOKUP(22,'Plate Planning'!$A$1:$T$35,18,FALSE),"")</f>
        <v/>
      </c>
      <c r="O6" s="495"/>
      <c r="P6" s="528" t="str">
        <f>IF(VLOOKUP(23,'Plate Planning'!$A$1:$T$35,13,FALSE)=0, "", VLOOKUP(23,'Plate Planning'!$A$1:$T$35,13,FALSE))</f>
        <v/>
      </c>
      <c r="Q6" s="495" t="str">
        <f>IF(VLOOKUP(23,'Plate Planning'!$A$1:$T$35,14,FALSE)=0, "", VLOOKUP(23,'Plate Planning'!$A$1:$T$35,14,FALSE))</f>
        <v/>
      </c>
      <c r="R6" s="528" t="str">
        <f>IFERROR(VLOOKUP(23,'Plate Planning'!$A$1:$T$35,18,FALSE),"")</f>
        <v/>
      </c>
      <c r="S6" s="495"/>
      <c r="T6" s="495" t="str">
        <f>IF(VLOOKUP(24,'Plate Planning'!$A$1:$T$35,13,FALSE)=0, "", VLOOKUP(24,'Plate Planning'!$A$1:$T$35,13,FALSE))</f>
        <v/>
      </c>
      <c r="U6" s="495" t="str">
        <f>IF(VLOOKUP(24,'Plate Planning'!$A$1:$T$35,14,FALSE)=0, "", VLOOKUP(24,'Plate Planning'!$A$1:$T$35,14,FALSE))</f>
        <v/>
      </c>
      <c r="V6" s="495"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42"/>
      <c r="AT6" s="537"/>
      <c r="AU6" s="546">
        <f t="shared" si="0"/>
        <v>0</v>
      </c>
      <c r="AX6" s="224"/>
      <c r="BI6" s="224"/>
    </row>
    <row r="7" spans="1:61">
      <c r="A7" s="227" t="s">
        <v>1165</v>
      </c>
      <c r="B7" s="495"/>
      <c r="C7" s="526"/>
      <c r="D7" s="528" t="str">
        <f>IF(VLOOKUP(20,'Plate Planning'!$A$1:$T$35,13,FALSE)=0, "", VLOOKUP(20,'Plate Planning'!$A$1:$T$35,13,FALSE))</f>
        <v/>
      </c>
      <c r="E7" s="495" t="str">
        <f>IF(VLOOKUP(20,'Plate Planning'!$A$1:$T$35,14,FALSE)=0, "", VLOOKUP(20,'Plate Planning'!$A$1:$T$35,14,FALSE))</f>
        <v/>
      </c>
      <c r="F7" s="495" t="str">
        <f>IFERROR(VLOOKUP(20,'Plate Planning'!$A$1:$T$35,18,FALSE),"")</f>
        <v/>
      </c>
      <c r="G7" s="532"/>
      <c r="H7" s="528" t="str">
        <f>IF(VLOOKUP(21,'Plate Planning'!$A$1:$T$35,13,FALSE)=0, "", VLOOKUP(21,'Plate Planning'!$A$1:$T$35,13,FALSE))</f>
        <v/>
      </c>
      <c r="I7" s="495" t="str">
        <f>IF(VLOOKUP(21,'Plate Planning'!$A$1:$T$35,14,FALSE)=0, "", VLOOKUP(21,'Plate Planning'!$A$1:$T$35,14,FALSE))</f>
        <v/>
      </c>
      <c r="J7" s="540" t="str">
        <f>IFERROR(VLOOKUP(21,'Plate Planning'!$A$1:$T$35,18,FALSE),"")</f>
        <v/>
      </c>
      <c r="K7" s="495"/>
      <c r="L7" s="495" t="str">
        <f>IF(VLOOKUP(22,'Plate Planning'!$A$1:$T$35,13,FALSE)=0, "", VLOOKUP(22,'Plate Planning'!$A$1:$T$35,13,FALSE))</f>
        <v/>
      </c>
      <c r="M7" s="495" t="str">
        <f>IF(VLOOKUP(22,'Plate Planning'!$A$1:$T$35,14,FALSE)=0, "", VLOOKUP(22,'Plate Planning'!$A$1:$T$35,14,FALSE))</f>
        <v/>
      </c>
      <c r="N7" s="495" t="str">
        <f>IFERROR(VLOOKUP(22,'Plate Planning'!$A$1:$T$35,18,FALSE),"")</f>
        <v/>
      </c>
      <c r="O7" s="495"/>
      <c r="P7" s="528" t="str">
        <f>IF(VLOOKUP(23,'Plate Planning'!$A$1:$T$35,13,FALSE)=0, "", VLOOKUP(23,'Plate Planning'!$A$1:$T$35,13,FALSE))</f>
        <v/>
      </c>
      <c r="Q7" s="495" t="str">
        <f>IF(VLOOKUP(23,'Plate Planning'!$A$1:$T$35,14,FALSE)=0, "", VLOOKUP(23,'Plate Planning'!$A$1:$T$35,14,FALSE))</f>
        <v/>
      </c>
      <c r="R7" s="528" t="str">
        <f>IFERROR(VLOOKUP(23,'Plate Planning'!$A$1:$T$35,18,FALSE),"")</f>
        <v/>
      </c>
      <c r="S7" s="495"/>
      <c r="T7" s="495" t="str">
        <f>IF(VLOOKUP(24,'Plate Planning'!$A$1:$T$35,13,FALSE)=0, "", VLOOKUP(24,'Plate Planning'!$A$1:$T$35,13,FALSE))</f>
        <v/>
      </c>
      <c r="U7" s="495" t="str">
        <f>IF(VLOOKUP(24,'Plate Planning'!$A$1:$T$35,14,FALSE)=0, "", VLOOKUP(24,'Plate Planning'!$A$1:$T$35,14,FALSE))</f>
        <v/>
      </c>
      <c r="V7" s="495"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42"/>
      <c r="AT7" s="537"/>
      <c r="AU7" s="546">
        <f t="shared" si="0"/>
        <v>0</v>
      </c>
      <c r="AX7" s="224"/>
      <c r="BI7" s="224"/>
    </row>
    <row r="8" spans="1:61">
      <c r="A8" s="227" t="s">
        <v>1166</v>
      </c>
      <c r="B8" s="495"/>
      <c r="C8" s="526"/>
      <c r="D8" s="528" t="str">
        <f>IF(VLOOKUP(20,'Plate Planning'!$A$1:$T$35,13,FALSE)=0, "", VLOOKUP(20,'Plate Planning'!$A$1:$T$35,13,FALSE))</f>
        <v/>
      </c>
      <c r="E8" s="495" t="str">
        <f>IF(VLOOKUP(20,'Plate Planning'!$A$1:$T$35,14,FALSE)=0, "", VLOOKUP(20,'Plate Planning'!$A$1:$T$35,14,FALSE))</f>
        <v/>
      </c>
      <c r="F8" s="495" t="str">
        <f>IFERROR(VLOOKUP(20,'Plate Planning'!$A$1:$T$35,18,FALSE),"")</f>
        <v/>
      </c>
      <c r="G8" s="532"/>
      <c r="H8" s="528" t="str">
        <f>IF(VLOOKUP(21,'Plate Planning'!$A$1:$T$35,13,FALSE)=0, "", VLOOKUP(21,'Plate Planning'!$A$1:$T$35,13,FALSE))</f>
        <v/>
      </c>
      <c r="I8" s="495" t="str">
        <f>IF(VLOOKUP(21,'Plate Planning'!$A$1:$T$35,14,FALSE)=0, "", VLOOKUP(21,'Plate Planning'!$A$1:$T$35,14,FALSE))</f>
        <v/>
      </c>
      <c r="J8" s="540" t="str">
        <f>IFERROR(VLOOKUP(21,'Plate Planning'!$A$1:$T$35,18,FALSE),"")</f>
        <v/>
      </c>
      <c r="K8" s="495"/>
      <c r="L8" s="495" t="str">
        <f>IF(VLOOKUP(22,'Plate Planning'!$A$1:$T$35,13,FALSE)=0, "", VLOOKUP(22,'Plate Planning'!$A$1:$T$35,13,FALSE))</f>
        <v/>
      </c>
      <c r="M8" s="495" t="str">
        <f>IF(VLOOKUP(22,'Plate Planning'!$A$1:$T$35,14,FALSE)=0, "", VLOOKUP(22,'Plate Planning'!$A$1:$T$35,14,FALSE))</f>
        <v/>
      </c>
      <c r="N8" s="495" t="str">
        <f>IFERROR(VLOOKUP(22,'Plate Planning'!$A$1:$T$35,18,FALSE),"")</f>
        <v/>
      </c>
      <c r="O8" s="495"/>
      <c r="P8" s="528" t="str">
        <f>IF(VLOOKUP(23,'Plate Planning'!$A$1:$T$35,13,FALSE)=0, "", VLOOKUP(23,'Plate Planning'!$A$1:$T$35,13,FALSE))</f>
        <v/>
      </c>
      <c r="Q8" s="495" t="str">
        <f>IF(VLOOKUP(23,'Plate Planning'!$A$1:$T$35,14,FALSE)=0, "", VLOOKUP(23,'Plate Planning'!$A$1:$T$35,14,FALSE))</f>
        <v/>
      </c>
      <c r="R8" s="528" t="str">
        <f>IFERROR(VLOOKUP(23,'Plate Planning'!$A$1:$T$35,18,FALSE),"")</f>
        <v/>
      </c>
      <c r="S8" s="495"/>
      <c r="T8" s="495" t="str">
        <f>IF(VLOOKUP(24,'Plate Planning'!$A$1:$T$35,13,FALSE)=0, "", VLOOKUP(24,'Plate Planning'!$A$1:$T$35,13,FALSE))</f>
        <v/>
      </c>
      <c r="U8" s="495" t="str">
        <f>IF(VLOOKUP(24,'Plate Planning'!$A$1:$T$35,14,FALSE)=0, "", VLOOKUP(24,'Plate Planning'!$A$1:$T$35,14,FALSE))</f>
        <v/>
      </c>
      <c r="V8" s="495"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42"/>
      <c r="AT8" s="537"/>
      <c r="AU8" s="546">
        <f t="shared" si="0"/>
        <v>0</v>
      </c>
      <c r="AX8" s="224"/>
      <c r="BI8" s="224"/>
    </row>
    <row r="9" spans="1:61">
      <c r="A9" s="227" t="s">
        <v>1167</v>
      </c>
      <c r="B9" s="495"/>
      <c r="C9" s="526"/>
      <c r="D9" s="528" t="str">
        <f>IF(VLOOKUP(20,'Plate Planning'!$A$1:$T$35,13,FALSE)=0, "", VLOOKUP(20,'Plate Planning'!$A$1:$T$35,13,FALSE))</f>
        <v/>
      </c>
      <c r="E9" s="495" t="str">
        <f>IF(VLOOKUP(20,'Plate Planning'!$A$1:$T$35,14,FALSE)=0, "", VLOOKUP(20,'Plate Planning'!$A$1:$T$35,14,FALSE))</f>
        <v/>
      </c>
      <c r="F9" s="495" t="str">
        <f>IFERROR(VLOOKUP(20,'Plate Planning'!$A$1:$T$35,18,FALSE),"")</f>
        <v/>
      </c>
      <c r="G9" s="532"/>
      <c r="H9" s="528" t="str">
        <f>IF(VLOOKUP(21,'Plate Planning'!$A$1:$T$35,13,FALSE)=0, "", VLOOKUP(21,'Plate Planning'!$A$1:$T$35,13,FALSE))</f>
        <v/>
      </c>
      <c r="I9" s="495" t="str">
        <f>IF(VLOOKUP(21,'Plate Planning'!$A$1:$T$35,14,FALSE)=0, "", VLOOKUP(21,'Plate Planning'!$A$1:$T$35,14,FALSE))</f>
        <v/>
      </c>
      <c r="J9" s="540" t="str">
        <f>IFERROR(VLOOKUP(21,'Plate Planning'!$A$1:$T$35,18,FALSE),"")</f>
        <v/>
      </c>
      <c r="K9" s="495"/>
      <c r="L9" s="495" t="str">
        <f>IF(VLOOKUP(22,'Plate Planning'!$A$1:$T$35,13,FALSE)=0, "", VLOOKUP(22,'Plate Planning'!$A$1:$T$35,13,FALSE))</f>
        <v/>
      </c>
      <c r="M9" s="495" t="str">
        <f>IF(VLOOKUP(22,'Plate Planning'!$A$1:$T$35,14,FALSE)=0, "", VLOOKUP(22,'Plate Planning'!$A$1:$T$35,14,FALSE))</f>
        <v/>
      </c>
      <c r="N9" s="495" t="str">
        <f>IFERROR(VLOOKUP(22,'Plate Planning'!$A$1:$T$35,18,FALSE),"")</f>
        <v/>
      </c>
      <c r="O9" s="495"/>
      <c r="P9" s="528" t="str">
        <f>IF(VLOOKUP(23,'Plate Planning'!$A$1:$T$35,13,FALSE)=0, "", VLOOKUP(23,'Plate Planning'!$A$1:$T$35,13,FALSE))</f>
        <v/>
      </c>
      <c r="Q9" s="495" t="str">
        <f>IF(VLOOKUP(23,'Plate Planning'!$A$1:$T$35,14,FALSE)=0, "", VLOOKUP(23,'Plate Planning'!$A$1:$T$35,14,FALSE))</f>
        <v/>
      </c>
      <c r="R9" s="528" t="str">
        <f>IFERROR(VLOOKUP(23,'Plate Planning'!$A$1:$T$35,18,FALSE),"")</f>
        <v/>
      </c>
      <c r="S9" s="495"/>
      <c r="T9" s="495" t="str">
        <f>IF(VLOOKUP(24,'Plate Planning'!$A$1:$T$35,13,FALSE)=0, "", VLOOKUP(24,'Plate Planning'!$A$1:$T$35,13,FALSE))</f>
        <v/>
      </c>
      <c r="U9" s="495" t="str">
        <f>IF(VLOOKUP(24,'Plate Planning'!$A$1:$T$35,14,FALSE)=0, "", VLOOKUP(24,'Plate Planning'!$A$1:$T$35,14,FALSE))</f>
        <v/>
      </c>
      <c r="V9" s="495"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42"/>
      <c r="AT9" s="537"/>
      <c r="AU9" s="546">
        <f t="shared" si="0"/>
        <v>0</v>
      </c>
      <c r="AX9" s="224"/>
      <c r="BI9" s="224"/>
    </row>
    <row r="10" spans="1:61">
      <c r="A10" s="227" t="s">
        <v>1168</v>
      </c>
      <c r="B10" s="495"/>
      <c r="C10" s="526"/>
      <c r="D10" s="528" t="str">
        <f>IF(VLOOKUP(20,'Plate Planning'!$A$1:$T$35,13,FALSE)=0, "", VLOOKUP(20,'Plate Planning'!$A$1:$T$35,13,FALSE))</f>
        <v/>
      </c>
      <c r="E10" s="495" t="str">
        <f>IF(VLOOKUP(20,'Plate Planning'!$A$1:$T$35,14,FALSE)=0, "", VLOOKUP(20,'Plate Planning'!$A$1:$T$35,14,FALSE))</f>
        <v/>
      </c>
      <c r="F10" s="495" t="str">
        <f>IFERROR(VLOOKUP(20,'Plate Planning'!$A$1:$T$35,18,FALSE),"")</f>
        <v/>
      </c>
      <c r="G10" s="532"/>
      <c r="H10" s="528" t="str">
        <f>IF(VLOOKUP(21,'Plate Planning'!$A$1:$T$35,13,FALSE)=0, "", VLOOKUP(21,'Plate Planning'!$A$1:$T$35,13,FALSE))</f>
        <v/>
      </c>
      <c r="I10" s="495" t="str">
        <f>IF(VLOOKUP(21,'Plate Planning'!$A$1:$T$35,14,FALSE)=0, "", VLOOKUP(21,'Plate Planning'!$A$1:$T$35,14,FALSE))</f>
        <v/>
      </c>
      <c r="J10" s="540" t="str">
        <f>IFERROR(VLOOKUP(21,'Plate Planning'!$A$1:$T$35,18,FALSE),"")</f>
        <v/>
      </c>
      <c r="K10" s="495"/>
      <c r="L10" s="495" t="str">
        <f>IF(VLOOKUP(22,'Plate Planning'!$A$1:$T$35,13,FALSE)=0, "", VLOOKUP(22,'Plate Planning'!$A$1:$T$35,13,FALSE))</f>
        <v/>
      </c>
      <c r="M10" s="495" t="str">
        <f>IF(VLOOKUP(22,'Plate Planning'!$A$1:$T$35,14,FALSE)=0, "", VLOOKUP(22,'Plate Planning'!$A$1:$T$35,14,FALSE))</f>
        <v/>
      </c>
      <c r="N10" s="495" t="str">
        <f>IFERROR(VLOOKUP(22,'Plate Planning'!$A$1:$T$35,18,FALSE),"")</f>
        <v/>
      </c>
      <c r="O10" s="495"/>
      <c r="P10" s="528" t="str">
        <f>IF(VLOOKUP(23,'Plate Planning'!$A$1:$T$35,13,FALSE)=0, "", VLOOKUP(23,'Plate Planning'!$A$1:$T$35,13,FALSE))</f>
        <v/>
      </c>
      <c r="Q10" s="495" t="str">
        <f>IF(VLOOKUP(23,'Plate Planning'!$A$1:$T$35,14,FALSE)=0, "", VLOOKUP(23,'Plate Planning'!$A$1:$T$35,14,FALSE))</f>
        <v/>
      </c>
      <c r="R10" s="528" t="str">
        <f>IFERROR(VLOOKUP(23,'Plate Planning'!$A$1:$T$35,18,FALSE),"")</f>
        <v/>
      </c>
      <c r="S10" s="495"/>
      <c r="T10" s="495" t="str">
        <f>IF(VLOOKUP(24,'Plate Planning'!$A$1:$T$35,13,FALSE)=0, "", VLOOKUP(24,'Plate Planning'!$A$1:$T$35,13,FALSE))</f>
        <v/>
      </c>
      <c r="U10" s="495" t="str">
        <f>IF(VLOOKUP(24,'Plate Planning'!$A$1:$T$35,14,FALSE)=0, "", VLOOKUP(24,'Plate Planning'!$A$1:$T$35,14,FALSE))</f>
        <v/>
      </c>
      <c r="V10" s="495"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42"/>
      <c r="AT10" s="537"/>
      <c r="AU10" s="546">
        <f t="shared" si="0"/>
        <v>0</v>
      </c>
      <c r="AX10" s="224"/>
      <c r="BI10" s="224"/>
    </row>
    <row r="11" spans="1:61">
      <c r="A11" s="227" t="s">
        <v>1169</v>
      </c>
      <c r="B11" s="495"/>
      <c r="C11" s="526"/>
      <c r="D11" s="528" t="str">
        <f>IF(VLOOKUP(20,'Plate Planning'!$A$1:$T$35,13,FALSE)=0, "", VLOOKUP(20,'Plate Planning'!$A$1:$T$35,13,FALSE))</f>
        <v/>
      </c>
      <c r="E11" s="495" t="str">
        <f>IF(VLOOKUP(20,'Plate Planning'!$A$1:$T$35,14,FALSE)=0, "", VLOOKUP(20,'Plate Planning'!$A$1:$T$35,14,FALSE))</f>
        <v/>
      </c>
      <c r="F11" s="495" t="str">
        <f>IFERROR(VLOOKUP(20,'Plate Planning'!$A$1:$T$35,18,FALSE),"")</f>
        <v/>
      </c>
      <c r="G11" s="532"/>
      <c r="H11" s="528" t="str">
        <f>IF(VLOOKUP(21,'Plate Planning'!$A$1:$T$35,13,FALSE)=0, "", VLOOKUP(21,'Plate Planning'!$A$1:$T$35,13,FALSE))</f>
        <v/>
      </c>
      <c r="I11" s="495" t="str">
        <f>IF(VLOOKUP(21,'Plate Planning'!$A$1:$T$35,14,FALSE)=0, "", VLOOKUP(21,'Plate Planning'!$A$1:$T$35,14,FALSE))</f>
        <v/>
      </c>
      <c r="J11" s="540" t="str">
        <f>IFERROR(VLOOKUP(21,'Plate Planning'!$A$1:$T$35,18,FALSE),"")</f>
        <v/>
      </c>
      <c r="K11" s="495"/>
      <c r="L11" s="495" t="str">
        <f>IF(VLOOKUP(22,'Plate Planning'!$A$1:$T$35,13,FALSE)=0, "", VLOOKUP(22,'Plate Planning'!$A$1:$T$35,13,FALSE))</f>
        <v/>
      </c>
      <c r="M11" s="495" t="str">
        <f>IF(VLOOKUP(22,'Plate Planning'!$A$1:$T$35,14,FALSE)=0, "", VLOOKUP(22,'Plate Planning'!$A$1:$T$35,14,FALSE))</f>
        <v/>
      </c>
      <c r="N11" s="495" t="str">
        <f>IFERROR(VLOOKUP(22,'Plate Planning'!$A$1:$T$35,18,FALSE),"")</f>
        <v/>
      </c>
      <c r="O11" s="495"/>
      <c r="P11" s="528" t="str">
        <f>IF(VLOOKUP(23,'Plate Planning'!$A$1:$T$35,13,FALSE)=0, "", VLOOKUP(23,'Plate Planning'!$A$1:$T$35,13,FALSE))</f>
        <v/>
      </c>
      <c r="Q11" s="495" t="str">
        <f>IF(VLOOKUP(23,'Plate Planning'!$A$1:$T$35,14,FALSE)=0, "", VLOOKUP(23,'Plate Planning'!$A$1:$T$35,14,FALSE))</f>
        <v/>
      </c>
      <c r="R11" s="528" t="str">
        <f>IFERROR(VLOOKUP(23,'Plate Planning'!$A$1:$T$35,18,FALSE),"")</f>
        <v/>
      </c>
      <c r="S11" s="495"/>
      <c r="T11" s="495" t="str">
        <f>IF(VLOOKUP(24,'Plate Planning'!$A$1:$T$35,13,FALSE)=0, "", VLOOKUP(24,'Plate Planning'!$A$1:$T$35,13,FALSE))</f>
        <v/>
      </c>
      <c r="U11" s="495" t="str">
        <f>IF(VLOOKUP(24,'Plate Planning'!$A$1:$T$35,14,FALSE)=0, "", VLOOKUP(24,'Plate Planning'!$A$1:$T$35,14,FALSE))</f>
        <v/>
      </c>
      <c r="V11" s="495"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42"/>
      <c r="AT11" s="537"/>
      <c r="AU11" s="546">
        <f t="shared" si="0"/>
        <v>0</v>
      </c>
      <c r="AX11" s="224"/>
      <c r="BI11" s="224"/>
    </row>
    <row r="12" spans="1:61">
      <c r="A12" s="227" t="s">
        <v>1170</v>
      </c>
      <c r="B12" s="495"/>
      <c r="C12" s="526"/>
      <c r="D12" s="528" t="str">
        <f>IF(VLOOKUP(20,'Plate Planning'!$A$1:$T$35,13,FALSE)=0, "", VLOOKUP(20,'Plate Planning'!$A$1:$T$35,13,FALSE))</f>
        <v/>
      </c>
      <c r="E12" s="495" t="str">
        <f>IF(VLOOKUP(20,'Plate Planning'!$A$1:$T$35,14,FALSE)=0, "", VLOOKUP(20,'Plate Planning'!$A$1:$T$35,14,FALSE))</f>
        <v/>
      </c>
      <c r="F12" s="495" t="str">
        <f>IFERROR(VLOOKUP(20,'Plate Planning'!$A$1:$T$35,18,FALSE),"")</f>
        <v/>
      </c>
      <c r="G12" s="532"/>
      <c r="H12" s="528" t="str">
        <f>IF(VLOOKUP(21,'Plate Planning'!$A$1:$T$35,13,FALSE)=0, "", VLOOKUP(21,'Plate Planning'!$A$1:$T$35,13,FALSE))</f>
        <v/>
      </c>
      <c r="I12" s="495" t="str">
        <f>IF(VLOOKUP(21,'Plate Planning'!$A$1:$T$35,14,FALSE)=0, "", VLOOKUP(21,'Plate Planning'!$A$1:$T$35,14,FALSE))</f>
        <v/>
      </c>
      <c r="J12" s="540" t="str">
        <f>IFERROR(VLOOKUP(21,'Plate Planning'!$A$1:$T$35,18,FALSE),"")</f>
        <v/>
      </c>
      <c r="K12" s="495"/>
      <c r="L12" s="495" t="str">
        <f>IF(VLOOKUP(22,'Plate Planning'!$A$1:$T$35,13,FALSE)=0, "", VLOOKUP(22,'Plate Planning'!$A$1:$T$35,13,FALSE))</f>
        <v/>
      </c>
      <c r="M12" s="495" t="str">
        <f>IF(VLOOKUP(22,'Plate Planning'!$A$1:$T$35,14,FALSE)=0, "", VLOOKUP(22,'Plate Planning'!$A$1:$T$35,14,FALSE))</f>
        <v/>
      </c>
      <c r="N12" s="495" t="str">
        <f>IFERROR(VLOOKUP(22,'Plate Planning'!$A$1:$T$35,18,FALSE),"")</f>
        <v/>
      </c>
      <c r="O12" s="495"/>
      <c r="P12" s="528" t="str">
        <f>IF(VLOOKUP(23,'Plate Planning'!$A$1:$T$35,13,FALSE)=0, "", VLOOKUP(23,'Plate Planning'!$A$1:$T$35,13,FALSE))</f>
        <v/>
      </c>
      <c r="Q12" s="495" t="str">
        <f>IF(VLOOKUP(23,'Plate Planning'!$A$1:$T$35,14,FALSE)=0, "", VLOOKUP(23,'Plate Planning'!$A$1:$T$35,14,FALSE))</f>
        <v/>
      </c>
      <c r="R12" s="528" t="str">
        <f>IFERROR(VLOOKUP(23,'Plate Planning'!$A$1:$T$35,18,FALSE),"")</f>
        <v/>
      </c>
      <c r="S12" s="495"/>
      <c r="T12" s="495" t="str">
        <f>IF(VLOOKUP(24,'Plate Planning'!$A$1:$T$35,13,FALSE)=0, "", VLOOKUP(24,'Plate Planning'!$A$1:$T$35,13,FALSE))</f>
        <v/>
      </c>
      <c r="U12" s="495" t="str">
        <f>IF(VLOOKUP(24,'Plate Planning'!$A$1:$T$35,14,FALSE)=0, "", VLOOKUP(24,'Plate Planning'!$A$1:$T$35,14,FALSE))</f>
        <v/>
      </c>
      <c r="V12" s="495"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42"/>
      <c r="AT12" s="537"/>
      <c r="AU12" s="546">
        <f t="shared" si="0"/>
        <v>0</v>
      </c>
      <c r="AX12" s="224"/>
      <c r="BI12" s="224"/>
    </row>
    <row r="13" spans="1:61">
      <c r="A13" s="227" t="s">
        <v>1171</v>
      </c>
      <c r="B13" s="495"/>
      <c r="C13" s="526"/>
      <c r="D13" s="528" t="str">
        <f>IF(VLOOKUP(20,'Plate Planning'!$A$1:$T$35,13,FALSE)=0, "", VLOOKUP(20,'Plate Planning'!$A$1:$T$35,13,FALSE))</f>
        <v/>
      </c>
      <c r="E13" s="495" t="str">
        <f>IF(VLOOKUP(20,'Plate Planning'!$A$1:$T$35,14,FALSE)=0, "", VLOOKUP(20,'Plate Planning'!$A$1:$T$35,14,FALSE))</f>
        <v/>
      </c>
      <c r="F13" s="495" t="str">
        <f>IFERROR(VLOOKUP(20,'Plate Planning'!$A$1:$T$35,18,FALSE),"")</f>
        <v/>
      </c>
      <c r="G13" s="532"/>
      <c r="H13" s="528" t="str">
        <f>IF(VLOOKUP(21,'Plate Planning'!$A$1:$T$35,13,FALSE)=0, "", VLOOKUP(21,'Plate Planning'!$A$1:$T$35,13,FALSE))</f>
        <v/>
      </c>
      <c r="I13" s="495" t="str">
        <f>IF(VLOOKUP(21,'Plate Planning'!$A$1:$T$35,14,FALSE)=0, "", VLOOKUP(21,'Plate Planning'!$A$1:$T$35,14,FALSE))</f>
        <v/>
      </c>
      <c r="J13" s="540" t="str">
        <f>IFERROR(VLOOKUP(21,'Plate Planning'!$A$1:$T$35,18,FALSE),"")</f>
        <v/>
      </c>
      <c r="K13" s="495"/>
      <c r="L13" s="495" t="str">
        <f>IF(VLOOKUP(22,'Plate Planning'!$A$1:$T$35,13,FALSE)=0, "", VLOOKUP(22,'Plate Planning'!$A$1:$T$35,13,FALSE))</f>
        <v/>
      </c>
      <c r="M13" s="495" t="str">
        <f>IF(VLOOKUP(22,'Plate Planning'!$A$1:$T$35,14,FALSE)=0, "", VLOOKUP(22,'Plate Planning'!$A$1:$T$35,14,FALSE))</f>
        <v/>
      </c>
      <c r="N13" s="495" t="str">
        <f>IFERROR(VLOOKUP(22,'Plate Planning'!$A$1:$T$35,18,FALSE),"")</f>
        <v/>
      </c>
      <c r="O13" s="495"/>
      <c r="P13" s="528" t="str">
        <f>IF(VLOOKUP(23,'Plate Planning'!$A$1:$T$35,13,FALSE)=0, "", VLOOKUP(23,'Plate Planning'!$A$1:$T$35,13,FALSE))</f>
        <v/>
      </c>
      <c r="Q13" s="495" t="str">
        <f>IF(VLOOKUP(23,'Plate Planning'!$A$1:$T$35,14,FALSE)=0, "", VLOOKUP(23,'Plate Planning'!$A$1:$T$35,14,FALSE))</f>
        <v/>
      </c>
      <c r="R13" s="528" t="str">
        <f>IFERROR(VLOOKUP(23,'Plate Planning'!$A$1:$T$35,18,FALSE),"")</f>
        <v/>
      </c>
      <c r="S13" s="495"/>
      <c r="T13" s="495" t="str">
        <f>IF(VLOOKUP(24,'Plate Planning'!$A$1:$T$35,13,FALSE)=0, "", VLOOKUP(24,'Plate Planning'!$A$1:$T$35,13,FALSE))</f>
        <v/>
      </c>
      <c r="U13" s="495" t="str">
        <f>IF(VLOOKUP(24,'Plate Planning'!$A$1:$T$35,14,FALSE)=0, "", VLOOKUP(24,'Plate Planning'!$A$1:$T$35,14,FALSE))</f>
        <v/>
      </c>
      <c r="V13" s="495"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42"/>
      <c r="AT13" s="537"/>
      <c r="AU13" s="546">
        <f t="shared" si="0"/>
        <v>0</v>
      </c>
      <c r="AX13" s="224"/>
      <c r="BI13" s="224"/>
    </row>
    <row r="14" spans="1:61">
      <c r="A14" s="227" t="s">
        <v>1172</v>
      </c>
      <c r="B14" s="495"/>
      <c r="C14" s="526"/>
      <c r="D14" s="528" t="str">
        <f>IF(VLOOKUP(20,'Plate Planning'!$A$1:$T$35,13,FALSE)=0, "", VLOOKUP(20,'Plate Planning'!$A$1:$T$35,13,FALSE))</f>
        <v/>
      </c>
      <c r="E14" s="495" t="str">
        <f>IF(VLOOKUP(20,'Plate Planning'!$A$1:$T$35,14,FALSE)=0, "", VLOOKUP(20,'Plate Planning'!$A$1:$T$35,14,FALSE))</f>
        <v/>
      </c>
      <c r="F14" s="495" t="str">
        <f>IFERROR(VLOOKUP(20,'Plate Planning'!$A$1:$T$35,18,FALSE),"")</f>
        <v/>
      </c>
      <c r="G14" s="532"/>
      <c r="H14" s="528" t="str">
        <f>IF(VLOOKUP(21,'Plate Planning'!$A$1:$T$35,13,FALSE)=0, "", VLOOKUP(21,'Plate Planning'!$A$1:$T$35,13,FALSE))</f>
        <v/>
      </c>
      <c r="I14" s="495" t="str">
        <f>IF(VLOOKUP(21,'Plate Planning'!$A$1:$T$35,14,FALSE)=0, "", VLOOKUP(21,'Plate Planning'!$A$1:$T$35,14,FALSE))</f>
        <v/>
      </c>
      <c r="J14" s="540" t="str">
        <f>IFERROR(VLOOKUP(21,'Plate Planning'!$A$1:$T$35,18,FALSE),"")</f>
        <v/>
      </c>
      <c r="K14" s="495"/>
      <c r="L14" s="495" t="str">
        <f>IF(VLOOKUP(22,'Plate Planning'!$A$1:$T$35,13,FALSE)=0, "", VLOOKUP(22,'Plate Planning'!$A$1:$T$35,13,FALSE))</f>
        <v/>
      </c>
      <c r="M14" s="495" t="str">
        <f>IF(VLOOKUP(22,'Plate Planning'!$A$1:$T$35,14,FALSE)=0, "", VLOOKUP(22,'Plate Planning'!$A$1:$T$35,14,FALSE))</f>
        <v/>
      </c>
      <c r="N14" s="495" t="str">
        <f>IFERROR(VLOOKUP(22,'Plate Planning'!$A$1:$T$35,18,FALSE),"")</f>
        <v/>
      </c>
      <c r="O14" s="495"/>
      <c r="P14" s="528" t="str">
        <f>IF(VLOOKUP(23,'Plate Planning'!$A$1:$T$35,13,FALSE)=0, "", VLOOKUP(23,'Plate Planning'!$A$1:$T$35,13,FALSE))</f>
        <v/>
      </c>
      <c r="Q14" s="495" t="str">
        <f>IF(VLOOKUP(23,'Plate Planning'!$A$1:$T$35,14,FALSE)=0, "", VLOOKUP(23,'Plate Planning'!$A$1:$T$35,14,FALSE))</f>
        <v/>
      </c>
      <c r="R14" s="528" t="str">
        <f>IFERROR(VLOOKUP(23,'Plate Planning'!$A$1:$T$35,18,FALSE),"")</f>
        <v/>
      </c>
      <c r="S14" s="495"/>
      <c r="T14" s="495" t="str">
        <f>IF(VLOOKUP(24,'Plate Planning'!$A$1:$T$35,13,FALSE)=0, "", VLOOKUP(24,'Plate Planning'!$A$1:$T$35,13,FALSE))</f>
        <v/>
      </c>
      <c r="U14" s="495" t="str">
        <f>IF(VLOOKUP(24,'Plate Planning'!$A$1:$T$35,14,FALSE)=0, "", VLOOKUP(24,'Plate Planning'!$A$1:$T$35,14,FALSE))</f>
        <v/>
      </c>
      <c r="V14" s="495"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42"/>
      <c r="AT14" s="537"/>
      <c r="AU14" s="546">
        <f t="shared" si="0"/>
        <v>0</v>
      </c>
      <c r="AX14" s="224"/>
      <c r="BI14" s="224"/>
    </row>
    <row r="15" spans="1:61">
      <c r="A15" s="227" t="s">
        <v>1173</v>
      </c>
      <c r="B15" s="495"/>
      <c r="C15" s="526"/>
      <c r="D15" s="528" t="str">
        <f>IF(VLOOKUP(20,'Plate Planning'!$A$1:$T$35,13,FALSE)=0, "", VLOOKUP(20,'Plate Planning'!$A$1:$T$35,13,FALSE))</f>
        <v/>
      </c>
      <c r="E15" s="495" t="str">
        <f>IF(VLOOKUP(20,'Plate Planning'!$A$1:$T$35,14,FALSE)=0, "", VLOOKUP(20,'Plate Planning'!$A$1:$T$35,14,FALSE))</f>
        <v/>
      </c>
      <c r="F15" s="495" t="str">
        <f>IFERROR(VLOOKUP(20,'Plate Planning'!$A$1:$T$35,18,FALSE),"")</f>
        <v/>
      </c>
      <c r="G15" s="532"/>
      <c r="H15" s="528" t="str">
        <f>IF(VLOOKUP(21,'Plate Planning'!$A$1:$T$35,13,FALSE)=0, "", VLOOKUP(21,'Plate Planning'!$A$1:$T$35,13,FALSE))</f>
        <v/>
      </c>
      <c r="I15" s="495" t="str">
        <f>IF(VLOOKUP(21,'Plate Planning'!$A$1:$T$35,14,FALSE)=0, "", VLOOKUP(21,'Plate Planning'!$A$1:$T$35,14,FALSE))</f>
        <v/>
      </c>
      <c r="J15" s="540" t="str">
        <f>IFERROR(VLOOKUP(21,'Plate Planning'!$A$1:$T$35,18,FALSE),"")</f>
        <v/>
      </c>
      <c r="K15" s="495"/>
      <c r="L15" s="495" t="str">
        <f>IF(VLOOKUP(22,'Plate Planning'!$A$1:$T$35,13,FALSE)=0, "", VLOOKUP(22,'Plate Planning'!$A$1:$T$35,13,FALSE))</f>
        <v/>
      </c>
      <c r="M15" s="495" t="str">
        <f>IF(VLOOKUP(22,'Plate Planning'!$A$1:$T$35,14,FALSE)=0, "", VLOOKUP(22,'Plate Planning'!$A$1:$T$35,14,FALSE))</f>
        <v/>
      </c>
      <c r="N15" s="495" t="str">
        <f>IFERROR(VLOOKUP(22,'Plate Planning'!$A$1:$T$35,18,FALSE),"")</f>
        <v/>
      </c>
      <c r="O15" s="495"/>
      <c r="P15" s="528" t="str">
        <f>IF(VLOOKUP(23,'Plate Planning'!$A$1:$T$35,13,FALSE)=0, "", VLOOKUP(23,'Plate Planning'!$A$1:$T$35,13,FALSE))</f>
        <v/>
      </c>
      <c r="Q15" s="495" t="str">
        <f>IF(VLOOKUP(23,'Plate Planning'!$A$1:$T$35,14,FALSE)=0, "", VLOOKUP(23,'Plate Planning'!$A$1:$T$35,14,FALSE))</f>
        <v/>
      </c>
      <c r="R15" s="528" t="str">
        <f>IFERROR(VLOOKUP(23,'Plate Planning'!$A$1:$T$35,18,FALSE),"")</f>
        <v/>
      </c>
      <c r="S15" s="495"/>
      <c r="T15" s="495" t="str">
        <f>IF(VLOOKUP(24,'Plate Planning'!$A$1:$T$35,13,FALSE)=0, "", VLOOKUP(24,'Plate Planning'!$A$1:$T$35,13,FALSE))</f>
        <v/>
      </c>
      <c r="U15" s="495" t="str">
        <f>IF(VLOOKUP(24,'Plate Planning'!$A$1:$T$35,14,FALSE)=0, "", VLOOKUP(24,'Plate Planning'!$A$1:$T$35,14,FALSE))</f>
        <v/>
      </c>
      <c r="V15" s="495"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42"/>
      <c r="AT15" s="537"/>
      <c r="AU15" s="546">
        <f t="shared" si="0"/>
        <v>0</v>
      </c>
      <c r="AX15" s="224"/>
      <c r="BI15" s="224"/>
    </row>
    <row r="16" spans="1:61">
      <c r="A16" s="227" t="s">
        <v>1174</v>
      </c>
      <c r="B16" s="495"/>
      <c r="C16" s="526"/>
      <c r="D16" s="528" t="str">
        <f>IF(VLOOKUP(20,'Plate Planning'!$A$1:$T$35,13,FALSE)=0, "", VLOOKUP(20,'Plate Planning'!$A$1:$T$35,13,FALSE))</f>
        <v/>
      </c>
      <c r="E16" s="495" t="str">
        <f>IF(VLOOKUP(20,'Plate Planning'!$A$1:$T$35,14,FALSE)=0, "", VLOOKUP(20,'Plate Planning'!$A$1:$T$35,14,FALSE))</f>
        <v/>
      </c>
      <c r="F16" s="495" t="str">
        <f>IFERROR(VLOOKUP(20,'Plate Planning'!$A$1:$T$35,18,FALSE),"")</f>
        <v/>
      </c>
      <c r="G16" s="532"/>
      <c r="H16" s="528" t="str">
        <f>IF(VLOOKUP(21,'Plate Planning'!$A$1:$T$35,13,FALSE)=0, "", VLOOKUP(21,'Plate Planning'!$A$1:$T$35,13,FALSE))</f>
        <v/>
      </c>
      <c r="I16" s="495" t="str">
        <f>IF(VLOOKUP(21,'Plate Planning'!$A$1:$T$35,14,FALSE)=0, "", VLOOKUP(21,'Plate Planning'!$A$1:$T$35,14,FALSE))</f>
        <v/>
      </c>
      <c r="J16" s="540" t="str">
        <f>IFERROR(VLOOKUP(21,'Plate Planning'!$A$1:$T$35,18,FALSE),"")</f>
        <v/>
      </c>
      <c r="K16" s="495"/>
      <c r="L16" s="495" t="str">
        <f>IF(VLOOKUP(22,'Plate Planning'!$A$1:$T$35,13,FALSE)=0, "", VLOOKUP(22,'Plate Planning'!$A$1:$T$35,13,FALSE))</f>
        <v/>
      </c>
      <c r="M16" s="495" t="str">
        <f>IF(VLOOKUP(22,'Plate Planning'!$A$1:$T$35,14,FALSE)=0, "", VLOOKUP(22,'Plate Planning'!$A$1:$T$35,14,FALSE))</f>
        <v/>
      </c>
      <c r="N16" s="495" t="str">
        <f>IFERROR(VLOOKUP(22,'Plate Planning'!$A$1:$T$35,18,FALSE),"")</f>
        <v/>
      </c>
      <c r="O16" s="495"/>
      <c r="P16" s="528" t="str">
        <f>IF(VLOOKUP(23,'Plate Planning'!$A$1:$T$35,13,FALSE)=0, "", VLOOKUP(23,'Plate Planning'!$A$1:$T$35,13,FALSE))</f>
        <v/>
      </c>
      <c r="Q16" s="495" t="str">
        <f>IF(VLOOKUP(23,'Plate Planning'!$A$1:$T$35,14,FALSE)=0, "", VLOOKUP(23,'Plate Planning'!$A$1:$T$35,14,FALSE))</f>
        <v/>
      </c>
      <c r="R16" s="528" t="str">
        <f>IFERROR(VLOOKUP(23,'Plate Planning'!$A$1:$T$35,18,FALSE),"")</f>
        <v/>
      </c>
      <c r="S16" s="495"/>
      <c r="T16" s="495" t="str">
        <f>IF(VLOOKUP(24,'Plate Planning'!$A$1:$T$35,13,FALSE)=0, "", VLOOKUP(24,'Plate Planning'!$A$1:$T$35,13,FALSE))</f>
        <v/>
      </c>
      <c r="U16" s="495" t="str">
        <f>IF(VLOOKUP(24,'Plate Planning'!$A$1:$T$35,14,FALSE)=0, "", VLOOKUP(24,'Plate Planning'!$A$1:$T$35,14,FALSE))</f>
        <v/>
      </c>
      <c r="V16" s="495"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42"/>
      <c r="AT16" s="537"/>
      <c r="AU16" s="546">
        <f t="shared" si="0"/>
        <v>0</v>
      </c>
      <c r="AX16" s="224"/>
      <c r="BI16" s="224"/>
    </row>
    <row r="17" spans="1:61">
      <c r="A17" s="227" t="s">
        <v>1175</v>
      </c>
      <c r="B17" s="495"/>
      <c r="C17" s="526"/>
      <c r="D17" s="528" t="str">
        <f>IF(VLOOKUP(20,'Plate Planning'!$A$1:$T$35,13,FALSE)=0, "", VLOOKUP(20,'Plate Planning'!$A$1:$T$35,13,FALSE))</f>
        <v/>
      </c>
      <c r="E17" s="495" t="str">
        <f>IF(VLOOKUP(20,'Plate Planning'!$A$1:$T$35,14,FALSE)=0, "", VLOOKUP(20,'Plate Planning'!$A$1:$T$35,14,FALSE))</f>
        <v/>
      </c>
      <c r="F17" s="495" t="str">
        <f>IFERROR(VLOOKUP(20,'Plate Planning'!$A$1:$T$35,18,FALSE),"")</f>
        <v/>
      </c>
      <c r="G17" s="532"/>
      <c r="H17" s="528" t="str">
        <f>IF(VLOOKUP(21,'Plate Planning'!$A$1:$T$35,13,FALSE)=0, "", VLOOKUP(21,'Plate Planning'!$A$1:$T$35,13,FALSE))</f>
        <v/>
      </c>
      <c r="I17" s="495" t="str">
        <f>IF(VLOOKUP(21,'Plate Planning'!$A$1:$T$35,14,FALSE)=0, "", VLOOKUP(21,'Plate Planning'!$A$1:$T$35,14,FALSE))</f>
        <v/>
      </c>
      <c r="J17" s="540" t="str">
        <f>IFERROR(VLOOKUP(21,'Plate Planning'!$A$1:$T$35,18,FALSE),"")</f>
        <v/>
      </c>
      <c r="K17" s="495"/>
      <c r="L17" s="495" t="str">
        <f>IF(VLOOKUP(22,'Plate Planning'!$A$1:$T$35,13,FALSE)=0, "", VLOOKUP(22,'Plate Planning'!$A$1:$T$35,13,FALSE))</f>
        <v/>
      </c>
      <c r="M17" s="495" t="str">
        <f>IF(VLOOKUP(22,'Plate Planning'!$A$1:$T$35,14,FALSE)=0, "", VLOOKUP(22,'Plate Planning'!$A$1:$T$35,14,FALSE))</f>
        <v/>
      </c>
      <c r="N17" s="495" t="str">
        <f>IFERROR(VLOOKUP(22,'Plate Planning'!$A$1:$T$35,18,FALSE),"")</f>
        <v/>
      </c>
      <c r="O17" s="495"/>
      <c r="P17" s="528" t="str">
        <f>IF(VLOOKUP(23,'Plate Planning'!$A$1:$T$35,13,FALSE)=0, "", VLOOKUP(23,'Plate Planning'!$A$1:$T$35,13,FALSE))</f>
        <v/>
      </c>
      <c r="Q17" s="495" t="str">
        <f>IF(VLOOKUP(23,'Plate Planning'!$A$1:$T$35,14,FALSE)=0, "", VLOOKUP(23,'Plate Planning'!$A$1:$T$35,14,FALSE))</f>
        <v/>
      </c>
      <c r="R17" s="528" t="str">
        <f>IFERROR(VLOOKUP(23,'Plate Planning'!$A$1:$T$35,18,FALSE),"")</f>
        <v/>
      </c>
      <c r="S17" s="495"/>
      <c r="T17" s="495" t="str">
        <f>IF(VLOOKUP(24,'Plate Planning'!$A$1:$T$35,13,FALSE)=0, "", VLOOKUP(24,'Plate Planning'!$A$1:$T$35,13,FALSE))</f>
        <v/>
      </c>
      <c r="U17" s="495" t="str">
        <f>IF(VLOOKUP(24,'Plate Planning'!$A$1:$T$35,14,FALSE)=0, "", VLOOKUP(24,'Plate Planning'!$A$1:$T$35,14,FALSE))</f>
        <v/>
      </c>
      <c r="V17" s="495"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42"/>
      <c r="AT17" s="537"/>
      <c r="AU17" s="546">
        <f t="shared" si="0"/>
        <v>0</v>
      </c>
      <c r="AX17" s="224"/>
      <c r="BI17" s="224"/>
    </row>
    <row r="18" spans="1:61">
      <c r="A18" s="227" t="s">
        <v>1176</v>
      </c>
      <c r="B18" s="495"/>
      <c r="C18" s="526"/>
      <c r="D18" s="528" t="str">
        <f>IF(VLOOKUP(20,'Plate Planning'!$A$1:$T$35,13,FALSE)=0, "", VLOOKUP(20,'Plate Planning'!$A$1:$T$35,13,FALSE))</f>
        <v/>
      </c>
      <c r="E18" s="495" t="str">
        <f>IF(VLOOKUP(20,'Plate Planning'!$A$1:$T$35,14,FALSE)=0, "", VLOOKUP(20,'Plate Planning'!$A$1:$T$35,14,FALSE))</f>
        <v/>
      </c>
      <c r="F18" s="495" t="str">
        <f>IFERROR(VLOOKUP(20,'Plate Planning'!$A$1:$T$35,18,FALSE),"")</f>
        <v/>
      </c>
      <c r="G18" s="532"/>
      <c r="H18" s="528" t="str">
        <f>IF(VLOOKUP(21,'Plate Planning'!$A$1:$T$35,13,FALSE)=0, "", VLOOKUP(21,'Plate Planning'!$A$1:$T$35,13,FALSE))</f>
        <v/>
      </c>
      <c r="I18" s="495" t="str">
        <f>IF(VLOOKUP(21,'Plate Planning'!$A$1:$T$35,14,FALSE)=0, "", VLOOKUP(21,'Plate Planning'!$A$1:$T$35,14,FALSE))</f>
        <v/>
      </c>
      <c r="J18" s="540" t="str">
        <f>IFERROR(VLOOKUP(21,'Plate Planning'!$A$1:$T$35,18,FALSE),"")</f>
        <v/>
      </c>
      <c r="K18" s="495"/>
      <c r="L18" s="495" t="str">
        <f>IF(VLOOKUP(22,'Plate Planning'!$A$1:$T$35,13,FALSE)=0, "", VLOOKUP(22,'Plate Planning'!$A$1:$T$35,13,FALSE))</f>
        <v/>
      </c>
      <c r="M18" s="495" t="str">
        <f>IF(VLOOKUP(22,'Plate Planning'!$A$1:$T$35,14,FALSE)=0, "", VLOOKUP(22,'Plate Planning'!$A$1:$T$35,14,FALSE))</f>
        <v/>
      </c>
      <c r="N18" s="495" t="str">
        <f>IFERROR(VLOOKUP(22,'Plate Planning'!$A$1:$T$35,18,FALSE),"")</f>
        <v/>
      </c>
      <c r="O18" s="495"/>
      <c r="P18" s="528" t="str">
        <f>IF(VLOOKUP(23,'Plate Planning'!$A$1:$T$35,13,FALSE)=0, "", VLOOKUP(23,'Plate Planning'!$A$1:$T$35,13,FALSE))</f>
        <v/>
      </c>
      <c r="Q18" s="495" t="str">
        <f>IF(VLOOKUP(23,'Plate Planning'!$A$1:$T$35,14,FALSE)=0, "", VLOOKUP(23,'Plate Planning'!$A$1:$T$35,14,FALSE))</f>
        <v/>
      </c>
      <c r="R18" s="528" t="str">
        <f>IFERROR(VLOOKUP(23,'Plate Planning'!$A$1:$T$35,18,FALSE),"")</f>
        <v/>
      </c>
      <c r="S18" s="495"/>
      <c r="T18" s="495" t="str">
        <f>IF(VLOOKUP(24,'Plate Planning'!$A$1:$T$35,13,FALSE)=0, "", VLOOKUP(24,'Plate Planning'!$A$1:$T$35,13,FALSE))</f>
        <v/>
      </c>
      <c r="U18" s="495" t="str">
        <f>IF(VLOOKUP(24,'Plate Planning'!$A$1:$T$35,14,FALSE)=0, "", VLOOKUP(24,'Plate Planning'!$A$1:$T$35,14,FALSE))</f>
        <v/>
      </c>
      <c r="V18" s="495"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42"/>
      <c r="AT18" s="537"/>
      <c r="AU18" s="546">
        <f t="shared" si="0"/>
        <v>0</v>
      </c>
      <c r="AX18" s="224"/>
      <c r="BI18" s="224"/>
    </row>
    <row r="19" spans="1:61">
      <c r="A19" s="227" t="s">
        <v>1177</v>
      </c>
      <c r="B19" s="495"/>
      <c r="C19" s="526"/>
      <c r="D19" s="528" t="str">
        <f>IF(VLOOKUP(20,'Plate Planning'!$A$1:$T$35,13,FALSE)=0, "", VLOOKUP(20,'Plate Planning'!$A$1:$T$35,13,FALSE))</f>
        <v/>
      </c>
      <c r="E19" s="495" t="str">
        <f>IF(VLOOKUP(20,'Plate Planning'!$A$1:$T$35,14,FALSE)=0, "", VLOOKUP(20,'Plate Planning'!$A$1:$T$35,14,FALSE))</f>
        <v/>
      </c>
      <c r="F19" s="495" t="str">
        <f>IFERROR(VLOOKUP(20,'Plate Planning'!$A$1:$T$35,18,FALSE),"")</f>
        <v/>
      </c>
      <c r="G19" s="532"/>
      <c r="H19" s="528" t="str">
        <f>IF(VLOOKUP(21,'Plate Planning'!$A$1:$T$35,13,FALSE)=0, "", VLOOKUP(21,'Plate Planning'!$A$1:$T$35,13,FALSE))</f>
        <v/>
      </c>
      <c r="I19" s="495" t="str">
        <f>IF(VLOOKUP(21,'Plate Planning'!$A$1:$T$35,14,FALSE)=0, "", VLOOKUP(21,'Plate Planning'!$A$1:$T$35,14,FALSE))</f>
        <v/>
      </c>
      <c r="J19" s="540" t="str">
        <f>IFERROR(VLOOKUP(21,'Plate Planning'!$A$1:$T$35,18,FALSE),"")</f>
        <v/>
      </c>
      <c r="K19" s="495"/>
      <c r="L19" s="495" t="str">
        <f>IF(VLOOKUP(22,'Plate Planning'!$A$1:$T$35,13,FALSE)=0, "", VLOOKUP(22,'Plate Planning'!$A$1:$T$35,13,FALSE))</f>
        <v/>
      </c>
      <c r="M19" s="495" t="str">
        <f>IF(VLOOKUP(22,'Plate Planning'!$A$1:$T$35,14,FALSE)=0, "", VLOOKUP(22,'Plate Planning'!$A$1:$T$35,14,FALSE))</f>
        <v/>
      </c>
      <c r="N19" s="495" t="str">
        <f>IFERROR(VLOOKUP(22,'Plate Planning'!$A$1:$T$35,18,FALSE),"")</f>
        <v/>
      </c>
      <c r="O19" s="495"/>
      <c r="P19" s="528" t="str">
        <f>IF(VLOOKUP(23,'Plate Planning'!$A$1:$T$35,13,FALSE)=0, "", VLOOKUP(23,'Plate Planning'!$A$1:$T$35,13,FALSE))</f>
        <v/>
      </c>
      <c r="Q19" s="495" t="str">
        <f>IF(VLOOKUP(23,'Plate Planning'!$A$1:$T$35,14,FALSE)=0, "", VLOOKUP(23,'Plate Planning'!$A$1:$T$35,14,FALSE))</f>
        <v/>
      </c>
      <c r="R19" s="528" t="str">
        <f>IFERROR(VLOOKUP(23,'Plate Planning'!$A$1:$T$35,18,FALSE),"")</f>
        <v/>
      </c>
      <c r="S19" s="495"/>
      <c r="T19" s="495" t="str">
        <f>IF(VLOOKUP(24,'Plate Planning'!$A$1:$T$35,13,FALSE)=0, "", VLOOKUP(24,'Plate Planning'!$A$1:$T$35,13,FALSE))</f>
        <v/>
      </c>
      <c r="U19" s="495" t="str">
        <f>IF(VLOOKUP(24,'Plate Planning'!$A$1:$T$35,14,FALSE)=0, "", VLOOKUP(24,'Plate Planning'!$A$1:$T$35,14,FALSE))</f>
        <v/>
      </c>
      <c r="V19" s="495"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42"/>
      <c r="AT19" s="537"/>
      <c r="AU19" s="546">
        <f t="shared" si="0"/>
        <v>0</v>
      </c>
      <c r="AX19" s="224"/>
      <c r="BI19" s="224"/>
    </row>
    <row r="20" spans="1:61">
      <c r="A20" s="227" t="s">
        <v>1178</v>
      </c>
      <c r="B20" s="495"/>
      <c r="C20" s="526"/>
      <c r="D20" s="528" t="str">
        <f>IF(VLOOKUP(20,'Plate Planning'!$A$1:$T$35,13,FALSE)=0, "", VLOOKUP(20,'Plate Planning'!$A$1:$T$35,13,FALSE))</f>
        <v/>
      </c>
      <c r="E20" s="495" t="str">
        <f>IF(VLOOKUP(20,'Plate Planning'!$A$1:$T$35,14,FALSE)=0, "", VLOOKUP(20,'Plate Planning'!$A$1:$T$35,14,FALSE))</f>
        <v/>
      </c>
      <c r="F20" s="495" t="str">
        <f>IFERROR(VLOOKUP(20,'Plate Planning'!$A$1:$T$35,18,FALSE),"")</f>
        <v/>
      </c>
      <c r="G20" s="532"/>
      <c r="H20" s="528" t="str">
        <f>IF(VLOOKUP(21,'Plate Planning'!$A$1:$T$35,13,FALSE)=0, "", VLOOKUP(21,'Plate Planning'!$A$1:$T$35,13,FALSE))</f>
        <v/>
      </c>
      <c r="I20" s="495" t="str">
        <f>IF(VLOOKUP(21,'Plate Planning'!$A$1:$T$35,14,FALSE)=0, "", VLOOKUP(21,'Plate Planning'!$A$1:$T$35,14,FALSE))</f>
        <v/>
      </c>
      <c r="J20" s="540" t="str">
        <f>IFERROR(VLOOKUP(21,'Plate Planning'!$A$1:$T$35,18,FALSE),"")</f>
        <v/>
      </c>
      <c r="K20" s="495"/>
      <c r="L20" s="495" t="str">
        <f>IF(VLOOKUP(22,'Plate Planning'!$A$1:$T$35,13,FALSE)=0, "", VLOOKUP(22,'Plate Planning'!$A$1:$T$35,13,FALSE))</f>
        <v/>
      </c>
      <c r="M20" s="495" t="str">
        <f>IF(VLOOKUP(22,'Plate Planning'!$A$1:$T$35,14,FALSE)=0, "", VLOOKUP(22,'Plate Planning'!$A$1:$T$35,14,FALSE))</f>
        <v/>
      </c>
      <c r="N20" s="495" t="str">
        <f>IFERROR(VLOOKUP(22,'Plate Planning'!$A$1:$T$35,18,FALSE),"")</f>
        <v/>
      </c>
      <c r="O20" s="495"/>
      <c r="P20" s="528" t="str">
        <f>IF(VLOOKUP(23,'Plate Planning'!$A$1:$T$35,13,FALSE)=0, "", VLOOKUP(23,'Plate Planning'!$A$1:$T$35,13,FALSE))</f>
        <v/>
      </c>
      <c r="Q20" s="495" t="str">
        <f>IF(VLOOKUP(23,'Plate Planning'!$A$1:$T$35,14,FALSE)=0, "", VLOOKUP(23,'Plate Planning'!$A$1:$T$35,14,FALSE))</f>
        <v/>
      </c>
      <c r="R20" s="528" t="str">
        <f>IFERROR(VLOOKUP(23,'Plate Planning'!$A$1:$T$35,18,FALSE),"")</f>
        <v/>
      </c>
      <c r="S20" s="495"/>
      <c r="T20" s="495" t="str">
        <f>IF(VLOOKUP(24,'Plate Planning'!$A$1:$T$35,13,FALSE)=0, "", VLOOKUP(24,'Plate Planning'!$A$1:$T$35,13,FALSE))</f>
        <v/>
      </c>
      <c r="U20" s="495" t="str">
        <f>IF(VLOOKUP(24,'Plate Planning'!$A$1:$T$35,14,FALSE)=0, "", VLOOKUP(24,'Plate Planning'!$A$1:$T$35,14,FALSE))</f>
        <v/>
      </c>
      <c r="V20" s="495"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42"/>
      <c r="AT20" s="537"/>
      <c r="AU20" s="546">
        <f t="shared" si="0"/>
        <v>0</v>
      </c>
      <c r="AX20" s="224"/>
      <c r="BI20" s="224"/>
    </row>
    <row r="21" spans="1:61">
      <c r="A21" s="227" t="s">
        <v>1179</v>
      </c>
      <c r="B21" s="495"/>
      <c r="C21" s="526"/>
      <c r="D21" s="528" t="str">
        <f>IF(VLOOKUP(20,'Plate Planning'!$A$1:$T$35,13,FALSE)=0, "", VLOOKUP(20,'Plate Planning'!$A$1:$T$35,13,FALSE))</f>
        <v/>
      </c>
      <c r="E21" s="495" t="str">
        <f>IF(VLOOKUP(20,'Plate Planning'!$A$1:$T$35,14,FALSE)=0, "", VLOOKUP(20,'Plate Planning'!$A$1:$T$35,14,FALSE))</f>
        <v/>
      </c>
      <c r="F21" s="495" t="str">
        <f>IFERROR(VLOOKUP(20,'Plate Planning'!$A$1:$T$35,18,FALSE),"")</f>
        <v/>
      </c>
      <c r="G21" s="532"/>
      <c r="H21" s="528" t="str">
        <f>IF(VLOOKUP(21,'Plate Planning'!$A$1:$T$35,13,FALSE)=0, "", VLOOKUP(21,'Plate Planning'!$A$1:$T$35,13,FALSE))</f>
        <v/>
      </c>
      <c r="I21" s="495" t="str">
        <f>IF(VLOOKUP(21,'Plate Planning'!$A$1:$T$35,14,FALSE)=0, "", VLOOKUP(21,'Plate Planning'!$A$1:$T$35,14,FALSE))</f>
        <v/>
      </c>
      <c r="J21" s="540" t="str">
        <f>IFERROR(VLOOKUP(21,'Plate Planning'!$A$1:$T$35,18,FALSE),"")</f>
        <v/>
      </c>
      <c r="K21" s="495"/>
      <c r="L21" s="495" t="str">
        <f>IF(VLOOKUP(22,'Plate Planning'!$A$1:$T$35,13,FALSE)=0, "", VLOOKUP(22,'Plate Planning'!$A$1:$T$35,13,FALSE))</f>
        <v/>
      </c>
      <c r="M21" s="495" t="str">
        <f>IF(VLOOKUP(22,'Plate Planning'!$A$1:$T$35,14,FALSE)=0, "", VLOOKUP(22,'Plate Planning'!$A$1:$T$35,14,FALSE))</f>
        <v/>
      </c>
      <c r="N21" s="495" t="str">
        <f>IFERROR(VLOOKUP(22,'Plate Planning'!$A$1:$T$35,18,FALSE),"")</f>
        <v/>
      </c>
      <c r="O21" s="495"/>
      <c r="P21" s="528" t="str">
        <f>IF(VLOOKUP(23,'Plate Planning'!$A$1:$T$35,13,FALSE)=0, "", VLOOKUP(23,'Plate Planning'!$A$1:$T$35,13,FALSE))</f>
        <v/>
      </c>
      <c r="Q21" s="495" t="str">
        <f>IF(VLOOKUP(23,'Plate Planning'!$A$1:$T$35,14,FALSE)=0, "", VLOOKUP(23,'Plate Planning'!$A$1:$T$35,14,FALSE))</f>
        <v/>
      </c>
      <c r="R21" s="528" t="str">
        <f>IFERROR(VLOOKUP(23,'Plate Planning'!$A$1:$T$35,18,FALSE),"")</f>
        <v/>
      </c>
      <c r="S21" s="495"/>
      <c r="T21" s="495" t="str">
        <f>IF(VLOOKUP(24,'Plate Planning'!$A$1:$T$35,13,FALSE)=0, "", VLOOKUP(24,'Plate Planning'!$A$1:$T$35,13,FALSE))</f>
        <v/>
      </c>
      <c r="U21" s="495" t="str">
        <f>IF(VLOOKUP(24,'Plate Planning'!$A$1:$T$35,14,FALSE)=0, "", VLOOKUP(24,'Plate Planning'!$A$1:$T$35,14,FALSE))</f>
        <v/>
      </c>
      <c r="V21" s="495"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42"/>
      <c r="AT21" s="537"/>
      <c r="AU21" s="546">
        <f t="shared" si="0"/>
        <v>0</v>
      </c>
      <c r="AX21" s="224"/>
      <c r="BI21" s="224"/>
    </row>
    <row r="22" spans="1:61">
      <c r="A22" s="227" t="s">
        <v>1180</v>
      </c>
      <c r="B22" s="495"/>
      <c r="C22" s="526"/>
      <c r="D22" s="528" t="str">
        <f>IF(VLOOKUP(20,'Plate Planning'!$A$1:$T$35,13,FALSE)=0, "", VLOOKUP(20,'Plate Planning'!$A$1:$T$35,13,FALSE))</f>
        <v/>
      </c>
      <c r="E22" s="495" t="str">
        <f>IF(VLOOKUP(20,'Plate Planning'!$A$1:$T$35,14,FALSE)=0, "", VLOOKUP(20,'Plate Planning'!$A$1:$T$35,14,FALSE))</f>
        <v/>
      </c>
      <c r="F22" s="495" t="str">
        <f>IFERROR(VLOOKUP(20,'Plate Planning'!$A$1:$T$35,18,FALSE),"")</f>
        <v/>
      </c>
      <c r="G22" s="532"/>
      <c r="H22" s="528" t="str">
        <f>IF(VLOOKUP(21,'Plate Planning'!$A$1:$T$35,13,FALSE)=0, "", VLOOKUP(21,'Plate Planning'!$A$1:$T$35,13,FALSE))</f>
        <v/>
      </c>
      <c r="I22" s="495" t="str">
        <f>IF(VLOOKUP(21,'Plate Planning'!$A$1:$T$35,14,FALSE)=0, "", VLOOKUP(21,'Plate Planning'!$A$1:$T$35,14,FALSE))</f>
        <v/>
      </c>
      <c r="J22" s="540" t="str">
        <f>IFERROR(VLOOKUP(21,'Plate Planning'!$A$1:$T$35,18,FALSE),"")</f>
        <v/>
      </c>
      <c r="K22" s="495"/>
      <c r="L22" s="495" t="str">
        <f>IF(VLOOKUP(22,'Plate Planning'!$A$1:$T$35,13,FALSE)=0, "", VLOOKUP(22,'Plate Planning'!$A$1:$T$35,13,FALSE))</f>
        <v/>
      </c>
      <c r="M22" s="495" t="str">
        <f>IF(VLOOKUP(22,'Plate Planning'!$A$1:$T$35,14,FALSE)=0, "", VLOOKUP(22,'Plate Planning'!$A$1:$T$35,14,FALSE))</f>
        <v/>
      </c>
      <c r="N22" s="495" t="str">
        <f>IFERROR(VLOOKUP(22,'Plate Planning'!$A$1:$T$35,18,FALSE),"")</f>
        <v/>
      </c>
      <c r="O22" s="495"/>
      <c r="P22" s="528" t="str">
        <f>IF(VLOOKUP(23,'Plate Planning'!$A$1:$T$35,13,FALSE)=0, "", VLOOKUP(23,'Plate Planning'!$A$1:$T$35,13,FALSE))</f>
        <v/>
      </c>
      <c r="Q22" s="495" t="str">
        <f>IF(VLOOKUP(23,'Plate Planning'!$A$1:$T$35,14,FALSE)=0, "", VLOOKUP(23,'Plate Planning'!$A$1:$T$35,14,FALSE))</f>
        <v/>
      </c>
      <c r="R22" s="528" t="str">
        <f>IFERROR(VLOOKUP(23,'Plate Planning'!$A$1:$T$35,18,FALSE),"")</f>
        <v/>
      </c>
      <c r="S22" s="495"/>
      <c r="T22" s="495" t="str">
        <f>IF(VLOOKUP(24,'Plate Planning'!$A$1:$T$35,13,FALSE)=0, "", VLOOKUP(24,'Plate Planning'!$A$1:$T$35,13,FALSE))</f>
        <v/>
      </c>
      <c r="U22" s="495" t="str">
        <f>IF(VLOOKUP(24,'Plate Planning'!$A$1:$T$35,14,FALSE)=0, "", VLOOKUP(24,'Plate Planning'!$A$1:$T$35,14,FALSE))</f>
        <v/>
      </c>
      <c r="V22" s="495"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42"/>
      <c r="AT22" s="537"/>
      <c r="AU22" s="546">
        <f t="shared" si="0"/>
        <v>0</v>
      </c>
      <c r="AX22" s="224"/>
      <c r="BI22" s="224"/>
    </row>
    <row r="23" spans="1:61">
      <c r="A23" s="227" t="s">
        <v>1181</v>
      </c>
      <c r="B23" s="495"/>
      <c r="C23" s="526"/>
      <c r="D23" s="528" t="str">
        <f>IF(VLOOKUP(20,'Plate Planning'!$A$1:$T$35,13,FALSE)=0, "", VLOOKUP(20,'Plate Planning'!$A$1:$T$35,13,FALSE))</f>
        <v/>
      </c>
      <c r="E23" s="495" t="str">
        <f>IF(VLOOKUP(20,'Plate Planning'!$A$1:$T$35,14,FALSE)=0, "", VLOOKUP(20,'Plate Planning'!$A$1:$T$35,14,FALSE))</f>
        <v/>
      </c>
      <c r="F23" s="495" t="str">
        <f>IFERROR(VLOOKUP(20,'Plate Planning'!$A$1:$T$35,18,FALSE),"")</f>
        <v/>
      </c>
      <c r="G23" s="532"/>
      <c r="H23" s="528" t="str">
        <f>IF(VLOOKUP(21,'Plate Planning'!$A$1:$T$35,13,FALSE)=0, "", VLOOKUP(21,'Plate Planning'!$A$1:$T$35,13,FALSE))</f>
        <v/>
      </c>
      <c r="I23" s="495" t="str">
        <f>IF(VLOOKUP(21,'Plate Planning'!$A$1:$T$35,14,FALSE)=0, "", VLOOKUP(21,'Plate Planning'!$A$1:$T$35,14,FALSE))</f>
        <v/>
      </c>
      <c r="J23" s="540" t="str">
        <f>IFERROR(VLOOKUP(21,'Plate Planning'!$A$1:$T$35,18,FALSE),"")</f>
        <v/>
      </c>
      <c r="K23" s="495"/>
      <c r="L23" s="495" t="str">
        <f>IF(VLOOKUP(22,'Plate Planning'!$A$1:$T$35,13,FALSE)=0, "", VLOOKUP(22,'Plate Planning'!$A$1:$T$35,13,FALSE))</f>
        <v/>
      </c>
      <c r="M23" s="495" t="str">
        <f>IF(VLOOKUP(22,'Plate Planning'!$A$1:$T$35,14,FALSE)=0, "", VLOOKUP(22,'Plate Planning'!$A$1:$T$35,14,FALSE))</f>
        <v/>
      </c>
      <c r="N23" s="495" t="str">
        <f>IFERROR(VLOOKUP(22,'Plate Planning'!$A$1:$T$35,18,FALSE),"")</f>
        <v/>
      </c>
      <c r="O23" s="495"/>
      <c r="P23" s="528" t="str">
        <f>IF(VLOOKUP(23,'Plate Planning'!$A$1:$T$35,13,FALSE)=0, "", VLOOKUP(23,'Plate Planning'!$A$1:$T$35,13,FALSE))</f>
        <v/>
      </c>
      <c r="Q23" s="495" t="str">
        <f>IF(VLOOKUP(23,'Plate Planning'!$A$1:$T$35,14,FALSE)=0, "", VLOOKUP(23,'Plate Planning'!$A$1:$T$35,14,FALSE))</f>
        <v/>
      </c>
      <c r="R23" s="528" t="str">
        <f>IFERROR(VLOOKUP(23,'Plate Planning'!$A$1:$T$35,18,FALSE),"")</f>
        <v/>
      </c>
      <c r="S23" s="495"/>
      <c r="T23" s="495" t="str">
        <f>IF(VLOOKUP(24,'Plate Planning'!$A$1:$T$35,13,FALSE)=0, "", VLOOKUP(24,'Plate Planning'!$A$1:$T$35,13,FALSE))</f>
        <v/>
      </c>
      <c r="U23" s="495" t="str">
        <f>IF(VLOOKUP(24,'Plate Planning'!$A$1:$T$35,14,FALSE)=0, "", VLOOKUP(24,'Plate Planning'!$A$1:$T$35,14,FALSE))</f>
        <v/>
      </c>
      <c r="V23" s="495"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42"/>
      <c r="AT23" s="537"/>
      <c r="AU23" s="546">
        <f t="shared" si="0"/>
        <v>0</v>
      </c>
      <c r="AX23" s="224"/>
      <c r="BI23" s="224"/>
    </row>
    <row r="24" spans="1:61">
      <c r="A24" s="227" t="s">
        <v>1182</v>
      </c>
      <c r="B24" s="495"/>
      <c r="C24" s="526"/>
      <c r="D24" s="528" t="str">
        <f>IF(VLOOKUP(20,'Plate Planning'!$A$1:$T$35,13,FALSE)=0, "", VLOOKUP(20,'Plate Planning'!$A$1:$T$35,13,FALSE))</f>
        <v/>
      </c>
      <c r="E24" s="495" t="str">
        <f>IF(VLOOKUP(20,'Plate Planning'!$A$1:$T$35,14,FALSE)=0, "", VLOOKUP(20,'Plate Planning'!$A$1:$T$35,14,FALSE))</f>
        <v/>
      </c>
      <c r="F24" s="495" t="str">
        <f>IFERROR(VLOOKUP(20,'Plate Planning'!$A$1:$T$35,18,FALSE),"")</f>
        <v/>
      </c>
      <c r="G24" s="532"/>
      <c r="H24" s="528" t="str">
        <f>IF(VLOOKUP(21,'Plate Planning'!$A$1:$T$35,13,FALSE)=0, "", VLOOKUP(21,'Plate Planning'!$A$1:$T$35,13,FALSE))</f>
        <v/>
      </c>
      <c r="I24" s="495" t="str">
        <f>IF(VLOOKUP(21,'Plate Planning'!$A$1:$T$35,14,FALSE)=0, "", VLOOKUP(21,'Plate Planning'!$A$1:$T$35,14,FALSE))</f>
        <v/>
      </c>
      <c r="J24" s="540" t="str">
        <f>IFERROR(VLOOKUP(21,'Plate Planning'!$A$1:$T$35,18,FALSE),"")</f>
        <v/>
      </c>
      <c r="K24" s="495"/>
      <c r="L24" s="495" t="str">
        <f>IF(VLOOKUP(22,'Plate Planning'!$A$1:$T$35,13,FALSE)=0, "", VLOOKUP(22,'Plate Planning'!$A$1:$T$35,13,FALSE))</f>
        <v/>
      </c>
      <c r="M24" s="495" t="str">
        <f>IF(VLOOKUP(22,'Plate Planning'!$A$1:$T$35,14,FALSE)=0, "", VLOOKUP(22,'Plate Planning'!$A$1:$T$35,14,FALSE))</f>
        <v/>
      </c>
      <c r="N24" s="495" t="str">
        <f>IFERROR(VLOOKUP(22,'Plate Planning'!$A$1:$T$35,18,FALSE),"")</f>
        <v/>
      </c>
      <c r="O24" s="495"/>
      <c r="P24" s="528" t="str">
        <f>IF(VLOOKUP(23,'Plate Planning'!$A$1:$T$35,13,FALSE)=0, "", VLOOKUP(23,'Plate Planning'!$A$1:$T$35,13,FALSE))</f>
        <v/>
      </c>
      <c r="Q24" s="495" t="str">
        <f>IF(VLOOKUP(23,'Plate Planning'!$A$1:$T$35,14,FALSE)=0, "", VLOOKUP(23,'Plate Planning'!$A$1:$T$35,14,FALSE))</f>
        <v/>
      </c>
      <c r="R24" s="528" t="str">
        <f>IFERROR(VLOOKUP(23,'Plate Planning'!$A$1:$T$35,18,FALSE),"")</f>
        <v/>
      </c>
      <c r="S24" s="495"/>
      <c r="T24" s="495" t="str">
        <f>IF(VLOOKUP(24,'Plate Planning'!$A$1:$T$35,13,FALSE)=0, "", VLOOKUP(24,'Plate Planning'!$A$1:$T$35,13,FALSE))</f>
        <v/>
      </c>
      <c r="U24" s="495" t="str">
        <f>IF(VLOOKUP(24,'Plate Planning'!$A$1:$T$35,14,FALSE)=0, "", VLOOKUP(24,'Plate Planning'!$A$1:$T$35,14,FALSE))</f>
        <v/>
      </c>
      <c r="V24" s="495"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42"/>
      <c r="AT24" s="537"/>
      <c r="AU24" s="546">
        <f t="shared" si="0"/>
        <v>0</v>
      </c>
      <c r="AX24" s="224"/>
      <c r="BI24" s="224"/>
    </row>
    <row r="25" spans="1:61">
      <c r="A25" s="227" t="s">
        <v>1183</v>
      </c>
      <c r="B25" s="495"/>
      <c r="C25" s="526"/>
      <c r="D25" s="528" t="str">
        <f>IF(VLOOKUP(20,'Plate Planning'!$A$1:$T$35,13,FALSE)=0, "", VLOOKUP(20,'Plate Planning'!$A$1:$T$35,13,FALSE))</f>
        <v/>
      </c>
      <c r="E25" s="495" t="str">
        <f>IF(VLOOKUP(20,'Plate Planning'!$A$1:$T$35,14,FALSE)=0, "", VLOOKUP(20,'Plate Planning'!$A$1:$T$35,14,FALSE))</f>
        <v/>
      </c>
      <c r="F25" s="495" t="str">
        <f>IFERROR(VLOOKUP(20,'Plate Planning'!$A$1:$T$35,18,FALSE),"")</f>
        <v/>
      </c>
      <c r="G25" s="532"/>
      <c r="H25" s="528" t="str">
        <f>IF(VLOOKUP(21,'Plate Planning'!$A$1:$T$35,13,FALSE)=0, "", VLOOKUP(21,'Plate Planning'!$A$1:$T$35,13,FALSE))</f>
        <v/>
      </c>
      <c r="I25" s="495" t="str">
        <f>IF(VLOOKUP(21,'Plate Planning'!$A$1:$T$35,14,FALSE)=0, "", VLOOKUP(21,'Plate Planning'!$A$1:$T$35,14,FALSE))</f>
        <v/>
      </c>
      <c r="J25" s="540" t="str">
        <f>IFERROR(VLOOKUP(21,'Plate Planning'!$A$1:$T$35,18,FALSE),"")</f>
        <v/>
      </c>
      <c r="K25" s="495"/>
      <c r="L25" s="495" t="str">
        <f>IF(VLOOKUP(22,'Plate Planning'!$A$1:$T$35,13,FALSE)=0, "", VLOOKUP(22,'Plate Planning'!$A$1:$T$35,13,FALSE))</f>
        <v/>
      </c>
      <c r="M25" s="495" t="str">
        <f>IF(VLOOKUP(22,'Plate Planning'!$A$1:$T$35,14,FALSE)=0, "", VLOOKUP(22,'Plate Planning'!$A$1:$T$35,14,FALSE))</f>
        <v/>
      </c>
      <c r="N25" s="495" t="str">
        <f>IFERROR(VLOOKUP(22,'Plate Planning'!$A$1:$T$35,18,FALSE),"")</f>
        <v/>
      </c>
      <c r="O25" s="495"/>
      <c r="P25" s="528" t="str">
        <f>IF(VLOOKUP(23,'Plate Planning'!$A$1:$T$35,13,FALSE)=0, "", VLOOKUP(23,'Plate Planning'!$A$1:$T$35,13,FALSE))</f>
        <v/>
      </c>
      <c r="Q25" s="495" t="str">
        <f>IF(VLOOKUP(23,'Plate Planning'!$A$1:$T$35,14,FALSE)=0, "", VLOOKUP(23,'Plate Planning'!$A$1:$T$35,14,FALSE))</f>
        <v/>
      </c>
      <c r="R25" s="528" t="str">
        <f>IFERROR(VLOOKUP(23,'Plate Planning'!$A$1:$T$35,18,FALSE),"")</f>
        <v/>
      </c>
      <c r="S25" s="495"/>
      <c r="T25" s="495" t="str">
        <f>IF(VLOOKUP(24,'Plate Planning'!$A$1:$T$35,13,FALSE)=0, "", VLOOKUP(24,'Plate Planning'!$A$1:$T$35,13,FALSE))</f>
        <v/>
      </c>
      <c r="U25" s="495" t="str">
        <f>IF(VLOOKUP(24,'Plate Planning'!$A$1:$T$35,14,FALSE)=0, "", VLOOKUP(24,'Plate Planning'!$A$1:$T$35,14,FALSE))</f>
        <v/>
      </c>
      <c r="V25" s="495"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42"/>
      <c r="AT25" s="537"/>
      <c r="AU25" s="546">
        <f t="shared" si="0"/>
        <v>0</v>
      </c>
      <c r="AX25" s="224"/>
      <c r="BI25" s="224"/>
    </row>
    <row r="26" spans="1:61">
      <c r="A26" s="227" t="s">
        <v>1184</v>
      </c>
      <c r="B26" s="495"/>
      <c r="C26" s="526"/>
      <c r="D26" s="528" t="str">
        <f>IF(VLOOKUP(20,'Plate Planning'!$A$1:$T$35,13,FALSE)=0, "", VLOOKUP(20,'Plate Planning'!$A$1:$T$35,13,FALSE))</f>
        <v/>
      </c>
      <c r="E26" s="495" t="str">
        <f>IF(VLOOKUP(20,'Plate Planning'!$A$1:$T$35,14,FALSE)=0, "", VLOOKUP(20,'Plate Planning'!$A$1:$T$35,14,FALSE))</f>
        <v/>
      </c>
      <c r="F26" s="495" t="str">
        <f>IFERROR(VLOOKUP(20,'Plate Planning'!$A$1:$T$35,18,FALSE),"")</f>
        <v/>
      </c>
      <c r="G26" s="532"/>
      <c r="H26" s="528" t="str">
        <f>IF(VLOOKUP(21,'Plate Planning'!$A$1:$T$35,13,FALSE)=0, "", VLOOKUP(21,'Plate Planning'!$A$1:$T$35,13,FALSE))</f>
        <v/>
      </c>
      <c r="I26" s="495" t="str">
        <f>IF(VLOOKUP(21,'Plate Planning'!$A$1:$T$35,14,FALSE)=0, "", VLOOKUP(21,'Plate Planning'!$A$1:$T$35,14,FALSE))</f>
        <v/>
      </c>
      <c r="J26" s="540" t="str">
        <f>IFERROR(VLOOKUP(21,'Plate Planning'!$A$1:$T$35,18,FALSE),"")</f>
        <v/>
      </c>
      <c r="K26" s="495"/>
      <c r="L26" s="495" t="str">
        <f>IF(VLOOKUP(22,'Plate Planning'!$A$1:$T$35,13,FALSE)=0, "", VLOOKUP(22,'Plate Planning'!$A$1:$T$35,13,FALSE))</f>
        <v/>
      </c>
      <c r="M26" s="495" t="str">
        <f>IF(VLOOKUP(22,'Plate Planning'!$A$1:$T$35,14,FALSE)=0, "", VLOOKUP(22,'Plate Planning'!$A$1:$T$35,14,FALSE))</f>
        <v/>
      </c>
      <c r="N26" s="495" t="str">
        <f>IFERROR(VLOOKUP(22,'Plate Planning'!$A$1:$T$35,18,FALSE),"")</f>
        <v/>
      </c>
      <c r="O26" s="495"/>
      <c r="P26" s="528" t="str">
        <f>IF(VLOOKUP(23,'Plate Planning'!$A$1:$T$35,13,FALSE)=0, "", VLOOKUP(23,'Plate Planning'!$A$1:$T$35,13,FALSE))</f>
        <v/>
      </c>
      <c r="Q26" s="495" t="str">
        <f>IF(VLOOKUP(23,'Plate Planning'!$A$1:$T$35,14,FALSE)=0, "", VLOOKUP(23,'Plate Planning'!$A$1:$T$35,14,FALSE))</f>
        <v/>
      </c>
      <c r="R26" s="528" t="str">
        <f>IFERROR(VLOOKUP(23,'Plate Planning'!$A$1:$T$35,18,FALSE),"")</f>
        <v/>
      </c>
      <c r="S26" s="495"/>
      <c r="T26" s="495" t="str">
        <f>IF(VLOOKUP(24,'Plate Planning'!$A$1:$T$35,13,FALSE)=0, "", VLOOKUP(24,'Plate Planning'!$A$1:$T$35,13,FALSE))</f>
        <v/>
      </c>
      <c r="U26" s="495" t="str">
        <f>IF(VLOOKUP(24,'Plate Planning'!$A$1:$T$35,14,FALSE)=0, "", VLOOKUP(24,'Plate Planning'!$A$1:$T$35,14,FALSE))</f>
        <v/>
      </c>
      <c r="V26" s="495"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42"/>
      <c r="AT26" s="537"/>
      <c r="AU26" s="546">
        <f t="shared" si="0"/>
        <v>0</v>
      </c>
      <c r="AX26" s="224"/>
      <c r="BI26" s="224"/>
    </row>
    <row r="27" spans="1:61">
      <c r="A27" s="227" t="s">
        <v>1185</v>
      </c>
      <c r="B27" s="495"/>
      <c r="C27" s="526"/>
      <c r="D27" s="528" t="str">
        <f>IF(VLOOKUP(20,'Plate Planning'!$A$1:$T$35,13,FALSE)=0, "", VLOOKUP(20,'Plate Planning'!$A$1:$T$35,13,FALSE))</f>
        <v/>
      </c>
      <c r="E27" s="495" t="str">
        <f>IF(VLOOKUP(20,'Plate Planning'!$A$1:$T$35,14,FALSE)=0, "", VLOOKUP(20,'Plate Planning'!$A$1:$T$35,14,FALSE))</f>
        <v/>
      </c>
      <c r="F27" s="495" t="str">
        <f>IFERROR(VLOOKUP(20,'Plate Planning'!$A$1:$T$35,18,FALSE),"")</f>
        <v/>
      </c>
      <c r="G27" s="532"/>
      <c r="H27" s="528" t="str">
        <f>IF(VLOOKUP(21,'Plate Planning'!$A$1:$T$35,13,FALSE)=0, "", VLOOKUP(21,'Plate Planning'!$A$1:$T$35,13,FALSE))</f>
        <v/>
      </c>
      <c r="I27" s="495" t="str">
        <f>IF(VLOOKUP(21,'Plate Planning'!$A$1:$T$35,14,FALSE)=0, "", VLOOKUP(21,'Plate Planning'!$A$1:$T$35,14,FALSE))</f>
        <v/>
      </c>
      <c r="J27" s="540" t="str">
        <f>IFERROR(VLOOKUP(21,'Plate Planning'!$A$1:$T$35,18,FALSE),"")</f>
        <v/>
      </c>
      <c r="K27" s="495"/>
      <c r="L27" s="495" t="str">
        <f>IF(VLOOKUP(22,'Plate Planning'!$A$1:$T$35,13,FALSE)=0, "", VLOOKUP(22,'Plate Planning'!$A$1:$T$35,13,FALSE))</f>
        <v/>
      </c>
      <c r="M27" s="495" t="str">
        <f>IF(VLOOKUP(22,'Plate Planning'!$A$1:$T$35,14,FALSE)=0, "", VLOOKUP(22,'Plate Planning'!$A$1:$T$35,14,FALSE))</f>
        <v/>
      </c>
      <c r="N27" s="495" t="str">
        <f>IFERROR(VLOOKUP(22,'Plate Planning'!$A$1:$T$35,18,FALSE),"")</f>
        <v/>
      </c>
      <c r="O27" s="495"/>
      <c r="P27" s="528" t="str">
        <f>IF(VLOOKUP(23,'Plate Planning'!$A$1:$T$35,13,FALSE)=0, "", VLOOKUP(23,'Plate Planning'!$A$1:$T$35,13,FALSE))</f>
        <v/>
      </c>
      <c r="Q27" s="495" t="str">
        <f>IF(VLOOKUP(23,'Plate Planning'!$A$1:$T$35,14,FALSE)=0, "", VLOOKUP(23,'Plate Planning'!$A$1:$T$35,14,FALSE))</f>
        <v/>
      </c>
      <c r="R27" s="528" t="str">
        <f>IFERROR(VLOOKUP(23,'Plate Planning'!$A$1:$T$35,18,FALSE),"")</f>
        <v/>
      </c>
      <c r="S27" s="495"/>
      <c r="T27" s="495" t="str">
        <f>IF(VLOOKUP(24,'Plate Planning'!$A$1:$T$35,13,FALSE)=0, "", VLOOKUP(24,'Plate Planning'!$A$1:$T$35,13,FALSE))</f>
        <v/>
      </c>
      <c r="U27" s="495" t="str">
        <f>IF(VLOOKUP(24,'Plate Planning'!$A$1:$T$35,14,FALSE)=0, "", VLOOKUP(24,'Plate Planning'!$A$1:$T$35,14,FALSE))</f>
        <v/>
      </c>
      <c r="V27" s="495"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42"/>
      <c r="AT27" s="537"/>
      <c r="AU27" s="546">
        <f t="shared" si="0"/>
        <v>0</v>
      </c>
      <c r="AX27" s="224"/>
      <c r="BI27" s="224"/>
    </row>
    <row r="28" spans="1:61">
      <c r="A28" s="227" t="s">
        <v>1186</v>
      </c>
      <c r="B28" s="495"/>
      <c r="C28" s="526"/>
      <c r="D28" s="528" t="str">
        <f>IF(VLOOKUP(20,'Plate Planning'!$A$1:$T$35,13,FALSE)=0, "", VLOOKUP(20,'Plate Planning'!$A$1:$T$35,13,FALSE))</f>
        <v/>
      </c>
      <c r="E28" s="495" t="str">
        <f>IF(VLOOKUP(20,'Plate Planning'!$A$1:$T$35,14,FALSE)=0, "", VLOOKUP(20,'Plate Planning'!$A$1:$T$35,14,FALSE))</f>
        <v/>
      </c>
      <c r="F28" s="495" t="str">
        <f>IFERROR(VLOOKUP(20,'Plate Planning'!$A$1:$T$35,18,FALSE),"")</f>
        <v/>
      </c>
      <c r="G28" s="532"/>
      <c r="H28" s="528" t="str">
        <f>IF(VLOOKUP(21,'Plate Planning'!$A$1:$T$35,13,FALSE)=0, "", VLOOKUP(21,'Plate Planning'!$A$1:$T$35,13,FALSE))</f>
        <v/>
      </c>
      <c r="I28" s="495" t="str">
        <f>IF(VLOOKUP(21,'Plate Planning'!$A$1:$T$35,14,FALSE)=0, "", VLOOKUP(21,'Plate Planning'!$A$1:$T$35,14,FALSE))</f>
        <v/>
      </c>
      <c r="J28" s="540" t="str">
        <f>IFERROR(VLOOKUP(21,'Plate Planning'!$A$1:$T$35,18,FALSE),"")</f>
        <v/>
      </c>
      <c r="K28" s="495"/>
      <c r="L28" s="495" t="str">
        <f>IF(VLOOKUP(22,'Plate Planning'!$A$1:$T$35,13,FALSE)=0, "", VLOOKUP(22,'Plate Planning'!$A$1:$T$35,13,FALSE))</f>
        <v/>
      </c>
      <c r="M28" s="495" t="str">
        <f>IF(VLOOKUP(22,'Plate Planning'!$A$1:$T$35,14,FALSE)=0, "", VLOOKUP(22,'Plate Planning'!$A$1:$T$35,14,FALSE))</f>
        <v/>
      </c>
      <c r="N28" s="495" t="str">
        <f>IFERROR(VLOOKUP(22,'Plate Planning'!$A$1:$T$35,18,FALSE),"")</f>
        <v/>
      </c>
      <c r="O28" s="495"/>
      <c r="P28" s="528" t="str">
        <f>IF(VLOOKUP(23,'Plate Planning'!$A$1:$T$35,13,FALSE)=0, "", VLOOKUP(23,'Plate Planning'!$A$1:$T$35,13,FALSE))</f>
        <v/>
      </c>
      <c r="Q28" s="495" t="str">
        <f>IF(VLOOKUP(23,'Plate Planning'!$A$1:$T$35,14,FALSE)=0, "", VLOOKUP(23,'Plate Planning'!$A$1:$T$35,14,FALSE))</f>
        <v/>
      </c>
      <c r="R28" s="528" t="str">
        <f>IFERROR(VLOOKUP(23,'Plate Planning'!$A$1:$T$35,18,FALSE),"")</f>
        <v/>
      </c>
      <c r="S28" s="495"/>
      <c r="T28" s="495" t="str">
        <f>IF(VLOOKUP(24,'Plate Planning'!$A$1:$T$35,13,FALSE)=0, "", VLOOKUP(24,'Plate Planning'!$A$1:$T$35,13,FALSE))</f>
        <v/>
      </c>
      <c r="U28" s="495" t="str">
        <f>IF(VLOOKUP(24,'Plate Planning'!$A$1:$T$35,14,FALSE)=0, "", VLOOKUP(24,'Plate Planning'!$A$1:$T$35,14,FALSE))</f>
        <v/>
      </c>
      <c r="V28" s="495"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42"/>
      <c r="AT28" s="537"/>
      <c r="AU28" s="546">
        <f t="shared" si="0"/>
        <v>0</v>
      </c>
      <c r="AX28" s="224"/>
      <c r="BI28" s="224"/>
    </row>
    <row r="29" spans="1:61">
      <c r="A29" s="227" t="s">
        <v>1187</v>
      </c>
      <c r="B29" s="495"/>
      <c r="C29" s="526"/>
      <c r="D29" s="528" t="str">
        <f>IF(VLOOKUP(20,'Plate Planning'!$A$1:$T$35,13,FALSE)=0, "", VLOOKUP(20,'Plate Planning'!$A$1:$T$35,13,FALSE))</f>
        <v/>
      </c>
      <c r="E29" s="495" t="str">
        <f>IF(VLOOKUP(20,'Plate Planning'!$A$1:$T$35,14,FALSE)=0, "", VLOOKUP(20,'Plate Planning'!$A$1:$T$35,14,FALSE))</f>
        <v/>
      </c>
      <c r="F29" s="495" t="str">
        <f>IFERROR(VLOOKUP(20,'Plate Planning'!$A$1:$T$35,18,FALSE),"")</f>
        <v/>
      </c>
      <c r="G29" s="532"/>
      <c r="H29" s="528" t="str">
        <f>IF(VLOOKUP(21,'Plate Planning'!$A$1:$T$35,13,FALSE)=0, "", VLOOKUP(21,'Plate Planning'!$A$1:$T$35,13,FALSE))</f>
        <v/>
      </c>
      <c r="I29" s="495" t="str">
        <f>IF(VLOOKUP(21,'Plate Planning'!$A$1:$T$35,14,FALSE)=0, "", VLOOKUP(21,'Plate Planning'!$A$1:$T$35,14,FALSE))</f>
        <v/>
      </c>
      <c r="J29" s="540" t="str">
        <f>IFERROR(VLOOKUP(21,'Plate Planning'!$A$1:$T$35,18,FALSE),"")</f>
        <v/>
      </c>
      <c r="K29" s="495"/>
      <c r="L29" s="495" t="str">
        <f>IF(VLOOKUP(22,'Plate Planning'!$A$1:$T$35,13,FALSE)=0, "", VLOOKUP(22,'Plate Planning'!$A$1:$T$35,13,FALSE))</f>
        <v/>
      </c>
      <c r="M29" s="495" t="str">
        <f>IF(VLOOKUP(22,'Plate Planning'!$A$1:$T$35,14,FALSE)=0, "", VLOOKUP(22,'Plate Planning'!$A$1:$T$35,14,FALSE))</f>
        <v/>
      </c>
      <c r="N29" s="495" t="str">
        <f>IFERROR(VLOOKUP(22,'Plate Planning'!$A$1:$T$35,18,FALSE),"")</f>
        <v/>
      </c>
      <c r="O29" s="495"/>
      <c r="P29" s="528" t="str">
        <f>IF(VLOOKUP(23,'Plate Planning'!$A$1:$T$35,13,FALSE)=0, "", VLOOKUP(23,'Plate Planning'!$A$1:$T$35,13,FALSE))</f>
        <v/>
      </c>
      <c r="Q29" s="495" t="str">
        <f>IF(VLOOKUP(23,'Plate Planning'!$A$1:$T$35,14,FALSE)=0, "", VLOOKUP(23,'Plate Planning'!$A$1:$T$35,14,FALSE))</f>
        <v/>
      </c>
      <c r="R29" s="528" t="str">
        <f>IFERROR(VLOOKUP(23,'Plate Planning'!$A$1:$T$35,18,FALSE),"")</f>
        <v/>
      </c>
      <c r="S29" s="495"/>
      <c r="T29" s="495" t="str">
        <f>IF(VLOOKUP(24,'Plate Planning'!$A$1:$T$35,13,FALSE)=0, "", VLOOKUP(24,'Plate Planning'!$A$1:$T$35,13,FALSE))</f>
        <v/>
      </c>
      <c r="U29" s="495" t="str">
        <f>IF(VLOOKUP(24,'Plate Planning'!$A$1:$T$35,14,FALSE)=0, "", VLOOKUP(24,'Plate Planning'!$A$1:$T$35,14,FALSE))</f>
        <v/>
      </c>
      <c r="V29" s="495"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42"/>
      <c r="AT29" s="537"/>
      <c r="AU29" s="546">
        <f t="shared" si="0"/>
        <v>0</v>
      </c>
      <c r="AX29" s="224"/>
      <c r="BI29" s="224"/>
    </row>
    <row r="30" spans="1:61">
      <c r="A30" s="227" t="s">
        <v>1188</v>
      </c>
      <c r="B30" s="495"/>
      <c r="C30" s="526"/>
      <c r="D30" s="528" t="str">
        <f>IF(VLOOKUP(20,'Plate Planning'!$A$1:$T$35,13,FALSE)=0, "", VLOOKUP(20,'Plate Planning'!$A$1:$T$35,13,FALSE))</f>
        <v/>
      </c>
      <c r="E30" s="495" t="str">
        <f>IF(VLOOKUP(20,'Plate Planning'!$A$1:$T$35,14,FALSE)=0, "", VLOOKUP(20,'Plate Planning'!$A$1:$T$35,14,FALSE))</f>
        <v/>
      </c>
      <c r="F30" s="495" t="str">
        <f>IFERROR(VLOOKUP(20,'Plate Planning'!$A$1:$T$35,18,FALSE),"")</f>
        <v/>
      </c>
      <c r="G30" s="532"/>
      <c r="H30" s="528" t="str">
        <f>IF(VLOOKUP(21,'Plate Planning'!$A$1:$T$35,13,FALSE)=0, "", VLOOKUP(21,'Plate Planning'!$A$1:$T$35,13,FALSE))</f>
        <v/>
      </c>
      <c r="I30" s="495" t="str">
        <f>IF(VLOOKUP(21,'Plate Planning'!$A$1:$T$35,14,FALSE)=0, "", VLOOKUP(21,'Plate Planning'!$A$1:$T$35,14,FALSE))</f>
        <v/>
      </c>
      <c r="J30" s="540" t="str">
        <f>IFERROR(VLOOKUP(21,'Plate Planning'!$A$1:$T$35,18,FALSE),"")</f>
        <v/>
      </c>
      <c r="K30" s="495"/>
      <c r="L30" s="495" t="str">
        <f>IF(VLOOKUP(22,'Plate Planning'!$A$1:$T$35,13,FALSE)=0, "", VLOOKUP(22,'Plate Planning'!$A$1:$T$35,13,FALSE))</f>
        <v/>
      </c>
      <c r="M30" s="495" t="str">
        <f>IF(VLOOKUP(22,'Plate Planning'!$A$1:$T$35,14,FALSE)=0, "", VLOOKUP(22,'Plate Planning'!$A$1:$T$35,14,FALSE))</f>
        <v/>
      </c>
      <c r="N30" s="495" t="str">
        <f>IFERROR(VLOOKUP(22,'Plate Planning'!$A$1:$T$35,18,FALSE),"")</f>
        <v/>
      </c>
      <c r="O30" s="495"/>
      <c r="P30" s="528" t="str">
        <f>IF(VLOOKUP(23,'Plate Planning'!$A$1:$T$35,13,FALSE)=0, "", VLOOKUP(23,'Plate Planning'!$A$1:$T$35,13,FALSE))</f>
        <v/>
      </c>
      <c r="Q30" s="495" t="str">
        <f>IF(VLOOKUP(23,'Plate Planning'!$A$1:$T$35,14,FALSE)=0, "", VLOOKUP(23,'Plate Planning'!$A$1:$T$35,14,FALSE))</f>
        <v/>
      </c>
      <c r="R30" s="528" t="str">
        <f>IFERROR(VLOOKUP(23,'Plate Planning'!$A$1:$T$35,18,FALSE),"")</f>
        <v/>
      </c>
      <c r="S30" s="495"/>
      <c r="T30" s="495" t="str">
        <f>IF(VLOOKUP(24,'Plate Planning'!$A$1:$T$35,13,FALSE)=0, "", VLOOKUP(24,'Plate Planning'!$A$1:$T$35,13,FALSE))</f>
        <v/>
      </c>
      <c r="U30" s="495" t="str">
        <f>IF(VLOOKUP(24,'Plate Planning'!$A$1:$T$35,14,FALSE)=0, "", VLOOKUP(24,'Plate Planning'!$A$1:$T$35,14,FALSE))</f>
        <v/>
      </c>
      <c r="V30" s="495"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42"/>
      <c r="AT30" s="537"/>
      <c r="AU30" s="546">
        <f t="shared" si="0"/>
        <v>0</v>
      </c>
      <c r="AX30" s="224"/>
      <c r="BI30" s="224"/>
    </row>
    <row r="31" spans="1:61">
      <c r="A31" s="227" t="s">
        <v>1189</v>
      </c>
      <c r="B31" s="495"/>
      <c r="C31" s="526"/>
      <c r="D31" s="528" t="str">
        <f>IF(VLOOKUP(20,'Plate Planning'!$A$1:$T$35,13,FALSE)=0, "", VLOOKUP(20,'Plate Planning'!$A$1:$T$35,13,FALSE))</f>
        <v/>
      </c>
      <c r="E31" s="495" t="str">
        <f>IF(VLOOKUP(20,'Plate Planning'!$A$1:$T$35,14,FALSE)=0, "", VLOOKUP(20,'Plate Planning'!$A$1:$T$35,14,FALSE))</f>
        <v/>
      </c>
      <c r="F31" s="495" t="str">
        <f>IFERROR(VLOOKUP(20,'Plate Planning'!$A$1:$T$35,18,FALSE),"")</f>
        <v/>
      </c>
      <c r="G31" s="532"/>
      <c r="H31" s="528" t="str">
        <f>IF(VLOOKUP(21,'Plate Planning'!$A$1:$T$35,13,FALSE)=0, "", VLOOKUP(21,'Plate Planning'!$A$1:$T$35,13,FALSE))</f>
        <v/>
      </c>
      <c r="I31" s="495" t="str">
        <f>IF(VLOOKUP(21,'Plate Planning'!$A$1:$T$35,14,FALSE)=0, "", VLOOKUP(21,'Plate Planning'!$A$1:$T$35,14,FALSE))</f>
        <v/>
      </c>
      <c r="J31" s="540" t="str">
        <f>IFERROR(VLOOKUP(21,'Plate Planning'!$A$1:$T$35,18,FALSE),"")</f>
        <v/>
      </c>
      <c r="K31" s="495"/>
      <c r="L31" s="495" t="str">
        <f>IF(VLOOKUP(22,'Plate Planning'!$A$1:$T$35,13,FALSE)=0, "", VLOOKUP(22,'Plate Planning'!$A$1:$T$35,13,FALSE))</f>
        <v/>
      </c>
      <c r="M31" s="495" t="str">
        <f>IF(VLOOKUP(22,'Plate Planning'!$A$1:$T$35,14,FALSE)=0, "", VLOOKUP(22,'Plate Planning'!$A$1:$T$35,14,FALSE))</f>
        <v/>
      </c>
      <c r="N31" s="495" t="str">
        <f>IFERROR(VLOOKUP(22,'Plate Planning'!$A$1:$T$35,18,FALSE),"")</f>
        <v/>
      </c>
      <c r="O31" s="495"/>
      <c r="P31" s="528" t="str">
        <f>IF(VLOOKUP(23,'Plate Planning'!$A$1:$T$35,13,FALSE)=0, "", VLOOKUP(23,'Plate Planning'!$A$1:$T$35,13,FALSE))</f>
        <v/>
      </c>
      <c r="Q31" s="495" t="str">
        <f>IF(VLOOKUP(23,'Plate Planning'!$A$1:$T$35,14,FALSE)=0, "", VLOOKUP(23,'Plate Planning'!$A$1:$T$35,14,FALSE))</f>
        <v/>
      </c>
      <c r="R31" s="528" t="str">
        <f>IFERROR(VLOOKUP(23,'Plate Planning'!$A$1:$T$35,18,FALSE),"")</f>
        <v/>
      </c>
      <c r="S31" s="495"/>
      <c r="T31" s="495" t="str">
        <f>IF(VLOOKUP(24,'Plate Planning'!$A$1:$T$35,13,FALSE)=0, "", VLOOKUP(24,'Plate Planning'!$A$1:$T$35,13,FALSE))</f>
        <v/>
      </c>
      <c r="U31" s="495" t="str">
        <f>IF(VLOOKUP(24,'Plate Planning'!$A$1:$T$35,14,FALSE)=0, "", VLOOKUP(24,'Plate Planning'!$A$1:$T$35,14,FALSE))</f>
        <v/>
      </c>
      <c r="V31" s="495"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42"/>
      <c r="AT31" s="537"/>
      <c r="AU31" s="546">
        <f t="shared" si="0"/>
        <v>0</v>
      </c>
      <c r="AX31" s="224"/>
      <c r="BI31" s="224"/>
    </row>
    <row r="32" spans="1:61">
      <c r="A32" s="227" t="s">
        <v>1190</v>
      </c>
      <c r="B32" s="495"/>
      <c r="C32" s="526"/>
      <c r="D32" s="528" t="str">
        <f>IF(VLOOKUP(20,'Plate Planning'!$A$1:$T$35,13,FALSE)=0, "", VLOOKUP(20,'Plate Planning'!$A$1:$T$35,13,FALSE))</f>
        <v/>
      </c>
      <c r="E32" s="495" t="str">
        <f>IF(VLOOKUP(20,'Plate Planning'!$A$1:$T$35,14,FALSE)=0, "", VLOOKUP(20,'Plate Planning'!$A$1:$T$35,14,FALSE))</f>
        <v/>
      </c>
      <c r="F32" s="495" t="str">
        <f>IFERROR(VLOOKUP(20,'Plate Planning'!$A$1:$T$35,18,FALSE),"")</f>
        <v/>
      </c>
      <c r="G32" s="532"/>
      <c r="H32" s="528" t="str">
        <f>IF(VLOOKUP(21,'Plate Planning'!$A$1:$T$35,13,FALSE)=0, "", VLOOKUP(21,'Plate Planning'!$A$1:$T$35,13,FALSE))</f>
        <v/>
      </c>
      <c r="I32" s="495" t="str">
        <f>IF(VLOOKUP(21,'Plate Planning'!$A$1:$T$35,14,FALSE)=0, "", VLOOKUP(21,'Plate Planning'!$A$1:$T$35,14,FALSE))</f>
        <v/>
      </c>
      <c r="J32" s="540" t="str">
        <f>IFERROR(VLOOKUP(21,'Plate Planning'!$A$1:$T$35,18,FALSE),"")</f>
        <v/>
      </c>
      <c r="K32" s="495"/>
      <c r="L32" s="495" t="str">
        <f>IF(VLOOKUP(22,'Plate Planning'!$A$1:$T$35,13,FALSE)=0, "", VLOOKUP(22,'Plate Planning'!$A$1:$T$35,13,FALSE))</f>
        <v/>
      </c>
      <c r="M32" s="495" t="str">
        <f>IF(VLOOKUP(22,'Plate Planning'!$A$1:$T$35,14,FALSE)=0, "", VLOOKUP(22,'Plate Planning'!$A$1:$T$35,14,FALSE))</f>
        <v/>
      </c>
      <c r="N32" s="495" t="str">
        <f>IFERROR(VLOOKUP(22,'Plate Planning'!$A$1:$T$35,18,FALSE),"")</f>
        <v/>
      </c>
      <c r="O32" s="495"/>
      <c r="P32" s="528" t="str">
        <f>IF(VLOOKUP(23,'Plate Planning'!$A$1:$T$35,13,FALSE)=0, "", VLOOKUP(23,'Plate Planning'!$A$1:$T$35,13,FALSE))</f>
        <v/>
      </c>
      <c r="Q32" s="495" t="str">
        <f>IF(VLOOKUP(23,'Plate Planning'!$A$1:$T$35,14,FALSE)=0, "", VLOOKUP(23,'Plate Planning'!$A$1:$T$35,14,FALSE))</f>
        <v/>
      </c>
      <c r="R32" s="528" t="str">
        <f>IFERROR(VLOOKUP(23,'Plate Planning'!$A$1:$T$35,18,FALSE),"")</f>
        <v/>
      </c>
      <c r="S32" s="495"/>
      <c r="T32" s="495" t="str">
        <f>IF(VLOOKUP(24,'Plate Planning'!$A$1:$T$35,13,FALSE)=0, "", VLOOKUP(24,'Plate Planning'!$A$1:$T$35,13,FALSE))</f>
        <v/>
      </c>
      <c r="U32" s="495" t="str">
        <f>IF(VLOOKUP(24,'Plate Planning'!$A$1:$T$35,14,FALSE)=0, "", VLOOKUP(24,'Plate Planning'!$A$1:$T$35,14,FALSE))</f>
        <v/>
      </c>
      <c r="V32" s="495"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42"/>
      <c r="AT32" s="537"/>
      <c r="AU32" s="546">
        <f t="shared" si="0"/>
        <v>0</v>
      </c>
      <c r="AX32" s="224"/>
      <c r="BI32" s="224"/>
    </row>
    <row r="33" spans="1:61">
      <c r="A33" s="227" t="s">
        <v>1191</v>
      </c>
      <c r="B33" s="495"/>
      <c r="C33" s="526"/>
      <c r="D33" s="528" t="str">
        <f>IF(VLOOKUP(20,'Plate Planning'!$A$1:$T$35,13,FALSE)=0, "", VLOOKUP(20,'Plate Planning'!$A$1:$T$35,13,FALSE))</f>
        <v/>
      </c>
      <c r="E33" s="495" t="str">
        <f>IF(VLOOKUP(20,'Plate Planning'!$A$1:$T$35,14,FALSE)=0, "", VLOOKUP(20,'Plate Planning'!$A$1:$T$35,14,FALSE))</f>
        <v/>
      </c>
      <c r="F33" s="495" t="str">
        <f>IFERROR(VLOOKUP(20,'Plate Planning'!$A$1:$T$35,18,FALSE),"")</f>
        <v/>
      </c>
      <c r="G33" s="532"/>
      <c r="H33" s="528" t="str">
        <f>IF(VLOOKUP(21,'Plate Planning'!$A$1:$T$35,13,FALSE)=0, "", VLOOKUP(21,'Plate Planning'!$A$1:$T$35,13,FALSE))</f>
        <v/>
      </c>
      <c r="I33" s="495" t="str">
        <f>IF(VLOOKUP(21,'Plate Planning'!$A$1:$T$35,14,FALSE)=0, "", VLOOKUP(21,'Plate Planning'!$A$1:$T$35,14,FALSE))</f>
        <v/>
      </c>
      <c r="J33" s="540" t="str">
        <f>IFERROR(VLOOKUP(21,'Plate Planning'!$A$1:$T$35,18,FALSE),"")</f>
        <v/>
      </c>
      <c r="K33" s="495"/>
      <c r="L33" s="495" t="str">
        <f>IF(VLOOKUP(22,'Plate Planning'!$A$1:$T$35,13,FALSE)=0, "", VLOOKUP(22,'Plate Planning'!$A$1:$T$35,13,FALSE))</f>
        <v/>
      </c>
      <c r="M33" s="495" t="str">
        <f>IF(VLOOKUP(22,'Plate Planning'!$A$1:$T$35,14,FALSE)=0, "", VLOOKUP(22,'Plate Planning'!$A$1:$T$35,14,FALSE))</f>
        <v/>
      </c>
      <c r="N33" s="495" t="str">
        <f>IFERROR(VLOOKUP(22,'Plate Planning'!$A$1:$T$35,18,FALSE),"")</f>
        <v/>
      </c>
      <c r="O33" s="495"/>
      <c r="P33" s="528" t="str">
        <f>IF(VLOOKUP(23,'Plate Planning'!$A$1:$T$35,13,FALSE)=0, "", VLOOKUP(23,'Plate Planning'!$A$1:$T$35,13,FALSE))</f>
        <v/>
      </c>
      <c r="Q33" s="495" t="str">
        <f>IF(VLOOKUP(23,'Plate Planning'!$A$1:$T$35,14,FALSE)=0, "", VLOOKUP(23,'Plate Planning'!$A$1:$T$35,14,FALSE))</f>
        <v/>
      </c>
      <c r="R33" s="528" t="str">
        <f>IFERROR(VLOOKUP(23,'Plate Planning'!$A$1:$T$35,18,FALSE),"")</f>
        <v/>
      </c>
      <c r="S33" s="495"/>
      <c r="T33" s="495" t="str">
        <f>IF(VLOOKUP(24,'Plate Planning'!$A$1:$T$35,13,FALSE)=0, "", VLOOKUP(24,'Plate Planning'!$A$1:$T$35,13,FALSE))</f>
        <v/>
      </c>
      <c r="U33" s="495" t="str">
        <f>IF(VLOOKUP(24,'Plate Planning'!$A$1:$T$35,14,FALSE)=0, "", VLOOKUP(24,'Plate Planning'!$A$1:$T$35,14,FALSE))</f>
        <v/>
      </c>
      <c r="V33" s="495"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42"/>
      <c r="AT33" s="537"/>
      <c r="AU33" s="546">
        <f t="shared" si="0"/>
        <v>0</v>
      </c>
      <c r="AX33" s="224"/>
      <c r="BI33" s="224"/>
    </row>
    <row r="34" spans="1:61">
      <c r="A34" s="227" t="s">
        <v>1192</v>
      </c>
      <c r="B34" s="495"/>
      <c r="C34" s="526"/>
      <c r="D34" s="528" t="str">
        <f>IF(VLOOKUP(20,'Plate Planning'!$A$1:$T$35,13,FALSE)=0, "", VLOOKUP(20,'Plate Planning'!$A$1:$T$35,13,FALSE))</f>
        <v/>
      </c>
      <c r="E34" s="495" t="str">
        <f>IF(VLOOKUP(20,'Plate Planning'!$A$1:$T$35,14,FALSE)=0, "", VLOOKUP(20,'Plate Planning'!$A$1:$T$35,14,FALSE))</f>
        <v/>
      </c>
      <c r="F34" s="495" t="str">
        <f>IFERROR(VLOOKUP(20,'Plate Planning'!$A$1:$T$35,18,FALSE),"")</f>
        <v/>
      </c>
      <c r="G34" s="532"/>
      <c r="H34" s="528" t="str">
        <f>IF(VLOOKUP(21,'Plate Planning'!$A$1:$T$35,13,FALSE)=0, "", VLOOKUP(21,'Plate Planning'!$A$1:$T$35,13,FALSE))</f>
        <v/>
      </c>
      <c r="I34" s="495" t="str">
        <f>IF(VLOOKUP(21,'Plate Planning'!$A$1:$T$35,14,FALSE)=0, "", VLOOKUP(21,'Plate Planning'!$A$1:$T$35,14,FALSE))</f>
        <v/>
      </c>
      <c r="J34" s="540" t="str">
        <f>IFERROR(VLOOKUP(21,'Plate Planning'!$A$1:$T$35,18,FALSE),"")</f>
        <v/>
      </c>
      <c r="K34" s="495"/>
      <c r="L34" s="495" t="str">
        <f>IF(VLOOKUP(22,'Plate Planning'!$A$1:$T$35,13,FALSE)=0, "", VLOOKUP(22,'Plate Planning'!$A$1:$T$35,13,FALSE))</f>
        <v/>
      </c>
      <c r="M34" s="495" t="str">
        <f>IF(VLOOKUP(22,'Plate Planning'!$A$1:$T$35,14,FALSE)=0, "", VLOOKUP(22,'Plate Planning'!$A$1:$T$35,14,FALSE))</f>
        <v/>
      </c>
      <c r="N34" s="495" t="str">
        <f>IFERROR(VLOOKUP(22,'Plate Planning'!$A$1:$T$35,18,FALSE),"")</f>
        <v/>
      </c>
      <c r="O34" s="495"/>
      <c r="P34" s="528" t="str">
        <f>IF(VLOOKUP(23,'Plate Planning'!$A$1:$T$35,13,FALSE)=0, "", VLOOKUP(23,'Plate Planning'!$A$1:$T$35,13,FALSE))</f>
        <v/>
      </c>
      <c r="Q34" s="495" t="str">
        <f>IF(VLOOKUP(23,'Plate Planning'!$A$1:$T$35,14,FALSE)=0, "", VLOOKUP(23,'Plate Planning'!$A$1:$T$35,14,FALSE))</f>
        <v/>
      </c>
      <c r="R34" s="528" t="str">
        <f>IFERROR(VLOOKUP(23,'Plate Planning'!$A$1:$T$35,18,FALSE),"")</f>
        <v/>
      </c>
      <c r="S34" s="495"/>
      <c r="T34" s="495" t="str">
        <f>IF(VLOOKUP(24,'Plate Planning'!$A$1:$T$35,13,FALSE)=0, "", VLOOKUP(24,'Plate Planning'!$A$1:$T$35,13,FALSE))</f>
        <v/>
      </c>
      <c r="U34" s="495" t="str">
        <f>IF(VLOOKUP(24,'Plate Planning'!$A$1:$T$35,14,FALSE)=0, "", VLOOKUP(24,'Plate Planning'!$A$1:$T$35,14,FALSE))</f>
        <v/>
      </c>
      <c r="V34" s="495"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42"/>
      <c r="AT34" s="537"/>
      <c r="AU34" s="546">
        <f t="shared" si="0"/>
        <v>0</v>
      </c>
      <c r="AX34" s="224"/>
      <c r="BI34" s="224"/>
    </row>
    <row r="35" spans="1:61">
      <c r="A35" s="227" t="s">
        <v>1193</v>
      </c>
      <c r="B35" s="495"/>
      <c r="C35" s="526"/>
      <c r="D35" s="528" t="str">
        <f>IF(VLOOKUP(20,'Plate Planning'!$A$1:$T$35,13,FALSE)=0, "", VLOOKUP(20,'Plate Planning'!$A$1:$T$35,13,FALSE))</f>
        <v/>
      </c>
      <c r="E35" s="495" t="str">
        <f>IF(VLOOKUP(20,'Plate Planning'!$A$1:$T$35,14,FALSE)=0, "", VLOOKUP(20,'Plate Planning'!$A$1:$T$35,14,FALSE))</f>
        <v/>
      </c>
      <c r="F35" s="495" t="str">
        <f>IFERROR(VLOOKUP(20,'Plate Planning'!$A$1:$T$35,18,FALSE),"")</f>
        <v/>
      </c>
      <c r="G35" s="532"/>
      <c r="H35" s="528" t="str">
        <f>IF(VLOOKUP(21,'Plate Planning'!$A$1:$T$35,13,FALSE)=0, "", VLOOKUP(21,'Plate Planning'!$A$1:$T$35,13,FALSE))</f>
        <v/>
      </c>
      <c r="I35" s="495" t="str">
        <f>IF(VLOOKUP(21,'Plate Planning'!$A$1:$T$35,14,FALSE)=0, "", VLOOKUP(21,'Plate Planning'!$A$1:$T$35,14,FALSE))</f>
        <v/>
      </c>
      <c r="J35" s="540" t="str">
        <f>IFERROR(VLOOKUP(21,'Plate Planning'!$A$1:$T$35,18,FALSE),"")</f>
        <v/>
      </c>
      <c r="K35" s="495"/>
      <c r="L35" s="495" t="str">
        <f>IF(VLOOKUP(22,'Plate Planning'!$A$1:$T$35,13,FALSE)=0, "", VLOOKUP(22,'Plate Planning'!$A$1:$T$35,13,FALSE))</f>
        <v/>
      </c>
      <c r="M35" s="495" t="str">
        <f>IF(VLOOKUP(22,'Plate Planning'!$A$1:$T$35,14,FALSE)=0, "", VLOOKUP(22,'Plate Planning'!$A$1:$T$35,14,FALSE))</f>
        <v/>
      </c>
      <c r="N35" s="495" t="str">
        <f>IFERROR(VLOOKUP(22,'Plate Planning'!$A$1:$T$35,18,FALSE),"")</f>
        <v/>
      </c>
      <c r="O35" s="495"/>
      <c r="P35" s="528" t="str">
        <f>IF(VLOOKUP(23,'Plate Planning'!$A$1:$T$35,13,FALSE)=0, "", VLOOKUP(23,'Plate Planning'!$A$1:$T$35,13,FALSE))</f>
        <v/>
      </c>
      <c r="Q35" s="495" t="str">
        <f>IF(VLOOKUP(23,'Plate Planning'!$A$1:$T$35,14,FALSE)=0, "", VLOOKUP(23,'Plate Planning'!$A$1:$T$35,14,FALSE))</f>
        <v/>
      </c>
      <c r="R35" s="528" t="str">
        <f>IFERROR(VLOOKUP(23,'Plate Planning'!$A$1:$T$35,18,FALSE),"")</f>
        <v/>
      </c>
      <c r="S35" s="495"/>
      <c r="T35" s="495" t="str">
        <f>IF(VLOOKUP(24,'Plate Planning'!$A$1:$T$35,13,FALSE)=0, "", VLOOKUP(24,'Plate Planning'!$A$1:$T$35,13,FALSE))</f>
        <v/>
      </c>
      <c r="U35" s="495" t="str">
        <f>IF(VLOOKUP(24,'Plate Planning'!$A$1:$T$35,14,FALSE)=0, "", VLOOKUP(24,'Plate Planning'!$A$1:$T$35,14,FALSE))</f>
        <v/>
      </c>
      <c r="V35" s="495"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42"/>
      <c r="AT35" s="537"/>
      <c r="AU35" s="546">
        <f t="shared" si="0"/>
        <v>0</v>
      </c>
      <c r="AX35" s="224"/>
      <c r="BI35" s="224"/>
    </row>
    <row r="36" spans="1:61">
      <c r="A36" s="227" t="s">
        <v>1194</v>
      </c>
      <c r="B36" s="495"/>
      <c r="C36" s="526"/>
      <c r="D36" s="528" t="str">
        <f>IF(VLOOKUP(20,'Plate Planning'!$A$1:$T$35,13,FALSE)=0, "", VLOOKUP(20,'Plate Planning'!$A$1:$T$35,13,FALSE))</f>
        <v/>
      </c>
      <c r="E36" s="495" t="str">
        <f>IF(VLOOKUP(20,'Plate Planning'!$A$1:$T$35,14,FALSE)=0, "", VLOOKUP(20,'Plate Planning'!$A$1:$T$35,14,FALSE))</f>
        <v/>
      </c>
      <c r="F36" s="495" t="str">
        <f>IFERROR(VLOOKUP(20,'Plate Planning'!$A$1:$T$35,18,FALSE),"")</f>
        <v/>
      </c>
      <c r="G36" s="532"/>
      <c r="H36" s="528" t="str">
        <f>IF(VLOOKUP(21,'Plate Planning'!$A$1:$T$35,13,FALSE)=0, "", VLOOKUP(21,'Plate Planning'!$A$1:$T$35,13,FALSE))</f>
        <v/>
      </c>
      <c r="I36" s="495" t="str">
        <f>IF(VLOOKUP(21,'Plate Planning'!$A$1:$T$35,14,FALSE)=0, "", VLOOKUP(21,'Plate Planning'!$A$1:$T$35,14,FALSE))</f>
        <v/>
      </c>
      <c r="J36" s="540" t="str">
        <f>IFERROR(VLOOKUP(21,'Plate Planning'!$A$1:$T$35,18,FALSE),"")</f>
        <v/>
      </c>
      <c r="K36" s="495"/>
      <c r="L36" s="495" t="str">
        <f>IF(VLOOKUP(22,'Plate Planning'!$A$1:$T$35,13,FALSE)=0, "", VLOOKUP(22,'Plate Planning'!$A$1:$T$35,13,FALSE))</f>
        <v/>
      </c>
      <c r="M36" s="495" t="str">
        <f>IF(VLOOKUP(22,'Plate Planning'!$A$1:$T$35,14,FALSE)=0, "", VLOOKUP(22,'Plate Planning'!$A$1:$T$35,14,FALSE))</f>
        <v/>
      </c>
      <c r="N36" s="495" t="str">
        <f>IFERROR(VLOOKUP(22,'Plate Planning'!$A$1:$T$35,18,FALSE),"")</f>
        <v/>
      </c>
      <c r="O36" s="495"/>
      <c r="P36" s="528" t="str">
        <f>IF(VLOOKUP(23,'Plate Planning'!$A$1:$T$35,13,FALSE)=0, "", VLOOKUP(23,'Plate Planning'!$A$1:$T$35,13,FALSE))</f>
        <v/>
      </c>
      <c r="Q36" s="495" t="str">
        <f>IF(VLOOKUP(23,'Plate Planning'!$A$1:$T$35,14,FALSE)=0, "", VLOOKUP(23,'Plate Planning'!$A$1:$T$35,14,FALSE))</f>
        <v/>
      </c>
      <c r="R36" s="528" t="str">
        <f>IFERROR(VLOOKUP(23,'Plate Planning'!$A$1:$T$35,18,FALSE),"")</f>
        <v/>
      </c>
      <c r="S36" s="495"/>
      <c r="T36" s="495" t="str">
        <f>IF(VLOOKUP(24,'Plate Planning'!$A$1:$T$35,13,FALSE)=0, "", VLOOKUP(24,'Plate Planning'!$A$1:$T$35,13,FALSE))</f>
        <v/>
      </c>
      <c r="U36" s="495" t="str">
        <f>IF(VLOOKUP(24,'Plate Planning'!$A$1:$T$35,14,FALSE)=0, "", VLOOKUP(24,'Plate Planning'!$A$1:$T$35,14,FALSE))</f>
        <v/>
      </c>
      <c r="V36" s="495"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42"/>
      <c r="AT36" s="537"/>
      <c r="AU36" s="546">
        <f t="shared" ref="AU36:AU67" si="1">B36-C36-AR36-AS36-AT36</f>
        <v>0</v>
      </c>
      <c r="AX36" s="224"/>
      <c r="BI36" s="224"/>
    </row>
    <row r="37" spans="1:61">
      <c r="A37" s="227" t="s">
        <v>1195</v>
      </c>
      <c r="B37" s="495"/>
      <c r="C37" s="526"/>
      <c r="D37" s="528" t="str">
        <f>IF(VLOOKUP(20,'Plate Planning'!$A$1:$T$35,13,FALSE)=0, "", VLOOKUP(20,'Plate Planning'!$A$1:$T$35,13,FALSE))</f>
        <v/>
      </c>
      <c r="E37" s="495" t="str">
        <f>IF(VLOOKUP(20,'Plate Planning'!$A$1:$T$35,14,FALSE)=0, "", VLOOKUP(20,'Plate Planning'!$A$1:$T$35,14,FALSE))</f>
        <v/>
      </c>
      <c r="F37" s="495" t="str">
        <f>IFERROR(VLOOKUP(20,'Plate Planning'!$A$1:$T$35,18,FALSE),"")</f>
        <v/>
      </c>
      <c r="G37" s="532"/>
      <c r="H37" s="528" t="str">
        <f>IF(VLOOKUP(21,'Plate Planning'!$A$1:$T$35,13,FALSE)=0, "", VLOOKUP(21,'Plate Planning'!$A$1:$T$35,13,FALSE))</f>
        <v/>
      </c>
      <c r="I37" s="495" t="str">
        <f>IF(VLOOKUP(21,'Plate Planning'!$A$1:$T$35,14,FALSE)=0, "", VLOOKUP(21,'Plate Planning'!$A$1:$T$35,14,FALSE))</f>
        <v/>
      </c>
      <c r="J37" s="540" t="str">
        <f>IFERROR(VLOOKUP(21,'Plate Planning'!$A$1:$T$35,18,FALSE),"")</f>
        <v/>
      </c>
      <c r="K37" s="495"/>
      <c r="L37" s="495" t="str">
        <f>IF(VLOOKUP(22,'Plate Planning'!$A$1:$T$35,13,FALSE)=0, "", VLOOKUP(22,'Plate Planning'!$A$1:$T$35,13,FALSE))</f>
        <v/>
      </c>
      <c r="M37" s="495" t="str">
        <f>IF(VLOOKUP(22,'Plate Planning'!$A$1:$T$35,14,FALSE)=0, "", VLOOKUP(22,'Plate Planning'!$A$1:$T$35,14,FALSE))</f>
        <v/>
      </c>
      <c r="N37" s="495" t="str">
        <f>IFERROR(VLOOKUP(22,'Plate Planning'!$A$1:$T$35,18,FALSE),"")</f>
        <v/>
      </c>
      <c r="O37" s="495"/>
      <c r="P37" s="528" t="str">
        <f>IF(VLOOKUP(23,'Plate Planning'!$A$1:$T$35,13,FALSE)=0, "", VLOOKUP(23,'Plate Planning'!$A$1:$T$35,13,FALSE))</f>
        <v/>
      </c>
      <c r="Q37" s="495" t="str">
        <f>IF(VLOOKUP(23,'Plate Planning'!$A$1:$T$35,14,FALSE)=0, "", VLOOKUP(23,'Plate Planning'!$A$1:$T$35,14,FALSE))</f>
        <v/>
      </c>
      <c r="R37" s="528" t="str">
        <f>IFERROR(VLOOKUP(23,'Plate Planning'!$A$1:$T$35,18,FALSE),"")</f>
        <v/>
      </c>
      <c r="S37" s="495"/>
      <c r="T37" s="495" t="str">
        <f>IF(VLOOKUP(24,'Plate Planning'!$A$1:$T$35,13,FALSE)=0, "", VLOOKUP(24,'Plate Planning'!$A$1:$T$35,13,FALSE))</f>
        <v/>
      </c>
      <c r="U37" s="495" t="str">
        <f>IF(VLOOKUP(24,'Plate Planning'!$A$1:$T$35,14,FALSE)=0, "", VLOOKUP(24,'Plate Planning'!$A$1:$T$35,14,FALSE))</f>
        <v/>
      </c>
      <c r="V37" s="495"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42"/>
      <c r="AT37" s="537"/>
      <c r="AU37" s="546">
        <f t="shared" si="1"/>
        <v>0</v>
      </c>
      <c r="AX37" s="224"/>
      <c r="BI37" s="224"/>
    </row>
    <row r="38" spans="1:61">
      <c r="A38" s="227" t="s">
        <v>1196</v>
      </c>
      <c r="B38" s="495"/>
      <c r="C38" s="526"/>
      <c r="D38" s="528" t="str">
        <f>IF(VLOOKUP(20,'Plate Planning'!$A$1:$T$35,13,FALSE)=0, "", VLOOKUP(20,'Plate Planning'!$A$1:$T$35,13,FALSE))</f>
        <v/>
      </c>
      <c r="E38" s="495" t="str">
        <f>IF(VLOOKUP(20,'Plate Planning'!$A$1:$T$35,14,FALSE)=0, "", VLOOKUP(20,'Plate Planning'!$A$1:$T$35,14,FALSE))</f>
        <v/>
      </c>
      <c r="F38" s="495" t="str">
        <f>IFERROR(VLOOKUP(20,'Plate Planning'!$A$1:$T$35,18,FALSE),"")</f>
        <v/>
      </c>
      <c r="G38" s="532"/>
      <c r="H38" s="528" t="str">
        <f>IF(VLOOKUP(21,'Plate Planning'!$A$1:$T$35,13,FALSE)=0, "", VLOOKUP(21,'Plate Planning'!$A$1:$T$35,13,FALSE))</f>
        <v/>
      </c>
      <c r="I38" s="495" t="str">
        <f>IF(VLOOKUP(21,'Plate Planning'!$A$1:$T$35,14,FALSE)=0, "", VLOOKUP(21,'Plate Planning'!$A$1:$T$35,14,FALSE))</f>
        <v/>
      </c>
      <c r="J38" s="540" t="str">
        <f>IFERROR(VLOOKUP(21,'Plate Planning'!$A$1:$T$35,18,FALSE),"")</f>
        <v/>
      </c>
      <c r="K38" s="495"/>
      <c r="L38" s="495" t="str">
        <f>IF(VLOOKUP(22,'Plate Planning'!$A$1:$T$35,13,FALSE)=0, "", VLOOKUP(22,'Plate Planning'!$A$1:$T$35,13,FALSE))</f>
        <v/>
      </c>
      <c r="M38" s="495" t="str">
        <f>IF(VLOOKUP(22,'Plate Planning'!$A$1:$T$35,14,FALSE)=0, "", VLOOKUP(22,'Plate Planning'!$A$1:$T$35,14,FALSE))</f>
        <v/>
      </c>
      <c r="N38" s="495" t="str">
        <f>IFERROR(VLOOKUP(22,'Plate Planning'!$A$1:$T$35,18,FALSE),"")</f>
        <v/>
      </c>
      <c r="O38" s="495"/>
      <c r="P38" s="528" t="str">
        <f>IF(VLOOKUP(23,'Plate Planning'!$A$1:$T$35,13,FALSE)=0, "", VLOOKUP(23,'Plate Planning'!$A$1:$T$35,13,FALSE))</f>
        <v/>
      </c>
      <c r="Q38" s="495" t="str">
        <f>IF(VLOOKUP(23,'Plate Planning'!$A$1:$T$35,14,FALSE)=0, "", VLOOKUP(23,'Plate Planning'!$A$1:$T$35,14,FALSE))</f>
        <v/>
      </c>
      <c r="R38" s="528" t="str">
        <f>IFERROR(VLOOKUP(23,'Plate Planning'!$A$1:$T$35,18,FALSE),"")</f>
        <v/>
      </c>
      <c r="S38" s="495"/>
      <c r="T38" s="495" t="str">
        <f>IF(VLOOKUP(24,'Plate Planning'!$A$1:$T$35,13,FALSE)=0, "", VLOOKUP(24,'Plate Planning'!$A$1:$T$35,13,FALSE))</f>
        <v/>
      </c>
      <c r="U38" s="495" t="str">
        <f>IF(VLOOKUP(24,'Plate Planning'!$A$1:$T$35,14,FALSE)=0, "", VLOOKUP(24,'Plate Planning'!$A$1:$T$35,14,FALSE))</f>
        <v/>
      </c>
      <c r="V38" s="495"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42"/>
      <c r="AT38" s="537"/>
      <c r="AU38" s="546">
        <f t="shared" si="1"/>
        <v>0</v>
      </c>
      <c r="AX38" s="224"/>
      <c r="BI38" s="224"/>
    </row>
    <row r="39" spans="1:61">
      <c r="A39" s="227" t="s">
        <v>1197</v>
      </c>
      <c r="B39" s="495"/>
      <c r="C39" s="526"/>
      <c r="D39" s="528" t="str">
        <f>IF(VLOOKUP(20,'Plate Planning'!$A$1:$T$35,13,FALSE)=0, "", VLOOKUP(20,'Plate Planning'!$A$1:$T$35,13,FALSE))</f>
        <v/>
      </c>
      <c r="E39" s="495" t="str">
        <f>IF(VLOOKUP(20,'Plate Planning'!$A$1:$T$35,14,FALSE)=0, "", VLOOKUP(20,'Plate Planning'!$A$1:$T$35,14,FALSE))</f>
        <v/>
      </c>
      <c r="F39" s="495" t="str">
        <f>IFERROR(VLOOKUP(20,'Plate Planning'!$A$1:$T$35,18,FALSE),"")</f>
        <v/>
      </c>
      <c r="G39" s="532"/>
      <c r="H39" s="528" t="str">
        <f>IF(VLOOKUP(21,'Plate Planning'!$A$1:$T$35,13,FALSE)=0, "", VLOOKUP(21,'Plate Planning'!$A$1:$T$35,13,FALSE))</f>
        <v/>
      </c>
      <c r="I39" s="495" t="str">
        <f>IF(VLOOKUP(21,'Plate Planning'!$A$1:$T$35,14,FALSE)=0, "", VLOOKUP(21,'Plate Planning'!$A$1:$T$35,14,FALSE))</f>
        <v/>
      </c>
      <c r="J39" s="540" t="str">
        <f>IFERROR(VLOOKUP(21,'Plate Planning'!$A$1:$T$35,18,FALSE),"")</f>
        <v/>
      </c>
      <c r="K39" s="495"/>
      <c r="L39" s="495" t="str">
        <f>IF(VLOOKUP(22,'Plate Planning'!$A$1:$T$35,13,FALSE)=0, "", VLOOKUP(22,'Plate Planning'!$A$1:$T$35,13,FALSE))</f>
        <v/>
      </c>
      <c r="M39" s="495" t="str">
        <f>IF(VLOOKUP(22,'Plate Planning'!$A$1:$T$35,14,FALSE)=0, "", VLOOKUP(22,'Plate Planning'!$A$1:$T$35,14,FALSE))</f>
        <v/>
      </c>
      <c r="N39" s="495" t="str">
        <f>IFERROR(VLOOKUP(22,'Plate Planning'!$A$1:$T$35,18,FALSE),"")</f>
        <v/>
      </c>
      <c r="O39" s="495"/>
      <c r="P39" s="528" t="str">
        <f>IF(VLOOKUP(23,'Plate Planning'!$A$1:$T$35,13,FALSE)=0, "", VLOOKUP(23,'Plate Planning'!$A$1:$T$35,13,FALSE))</f>
        <v/>
      </c>
      <c r="Q39" s="495" t="str">
        <f>IF(VLOOKUP(23,'Plate Planning'!$A$1:$T$35,14,FALSE)=0, "", VLOOKUP(23,'Plate Planning'!$A$1:$T$35,14,FALSE))</f>
        <v/>
      </c>
      <c r="R39" s="528" t="str">
        <f>IFERROR(VLOOKUP(23,'Plate Planning'!$A$1:$T$35,18,FALSE),"")</f>
        <v/>
      </c>
      <c r="S39" s="495"/>
      <c r="T39" s="495" t="str">
        <f>IF(VLOOKUP(24,'Plate Planning'!$A$1:$T$35,13,FALSE)=0, "", VLOOKUP(24,'Plate Planning'!$A$1:$T$35,13,FALSE))</f>
        <v/>
      </c>
      <c r="U39" s="495" t="str">
        <f>IF(VLOOKUP(24,'Plate Planning'!$A$1:$T$35,14,FALSE)=0, "", VLOOKUP(24,'Plate Planning'!$A$1:$T$35,14,FALSE))</f>
        <v/>
      </c>
      <c r="V39" s="495"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42"/>
      <c r="AT39" s="537"/>
      <c r="AU39" s="546">
        <f t="shared" si="1"/>
        <v>0</v>
      </c>
      <c r="AX39" s="224"/>
      <c r="BI39" s="224"/>
    </row>
    <row r="40" spans="1:61">
      <c r="A40" s="227" t="s">
        <v>1198</v>
      </c>
      <c r="B40" s="495"/>
      <c r="C40" s="526"/>
      <c r="D40" s="528" t="str">
        <f>IF(VLOOKUP(20,'Plate Planning'!$A$1:$T$35,13,FALSE)=0, "", VLOOKUP(20,'Plate Planning'!$A$1:$T$35,13,FALSE))</f>
        <v/>
      </c>
      <c r="E40" s="495" t="str">
        <f>IF(VLOOKUP(20,'Plate Planning'!$A$1:$T$35,14,FALSE)=0, "", VLOOKUP(20,'Plate Planning'!$A$1:$T$35,14,FALSE))</f>
        <v/>
      </c>
      <c r="F40" s="495" t="str">
        <f>IFERROR(VLOOKUP(20,'Plate Planning'!$A$1:$T$35,18,FALSE),"")</f>
        <v/>
      </c>
      <c r="G40" s="532"/>
      <c r="H40" s="528" t="str">
        <f>IF(VLOOKUP(21,'Plate Planning'!$A$1:$T$35,13,FALSE)=0, "", VLOOKUP(21,'Plate Planning'!$A$1:$T$35,13,FALSE))</f>
        <v/>
      </c>
      <c r="I40" s="495" t="str">
        <f>IF(VLOOKUP(21,'Plate Planning'!$A$1:$T$35,14,FALSE)=0, "", VLOOKUP(21,'Plate Planning'!$A$1:$T$35,14,FALSE))</f>
        <v/>
      </c>
      <c r="J40" s="540" t="str">
        <f>IFERROR(VLOOKUP(21,'Plate Planning'!$A$1:$T$35,18,FALSE),"")</f>
        <v/>
      </c>
      <c r="K40" s="495"/>
      <c r="L40" s="495" t="str">
        <f>IF(VLOOKUP(22,'Plate Planning'!$A$1:$T$35,13,FALSE)=0, "", VLOOKUP(22,'Plate Planning'!$A$1:$T$35,13,FALSE))</f>
        <v/>
      </c>
      <c r="M40" s="495" t="str">
        <f>IF(VLOOKUP(22,'Plate Planning'!$A$1:$T$35,14,FALSE)=0, "", VLOOKUP(22,'Plate Planning'!$A$1:$T$35,14,FALSE))</f>
        <v/>
      </c>
      <c r="N40" s="495" t="str">
        <f>IFERROR(VLOOKUP(22,'Plate Planning'!$A$1:$T$35,18,FALSE),"")</f>
        <v/>
      </c>
      <c r="O40" s="495"/>
      <c r="P40" s="528" t="str">
        <f>IF(VLOOKUP(23,'Plate Planning'!$A$1:$T$35,13,FALSE)=0, "", VLOOKUP(23,'Plate Planning'!$A$1:$T$35,13,FALSE))</f>
        <v/>
      </c>
      <c r="Q40" s="495" t="str">
        <f>IF(VLOOKUP(23,'Plate Planning'!$A$1:$T$35,14,FALSE)=0, "", VLOOKUP(23,'Plate Planning'!$A$1:$T$35,14,FALSE))</f>
        <v/>
      </c>
      <c r="R40" s="528" t="str">
        <f>IFERROR(VLOOKUP(23,'Plate Planning'!$A$1:$T$35,18,FALSE),"")</f>
        <v/>
      </c>
      <c r="S40" s="495"/>
      <c r="T40" s="495" t="str">
        <f>IF(VLOOKUP(24,'Plate Planning'!$A$1:$T$35,13,FALSE)=0, "", VLOOKUP(24,'Plate Planning'!$A$1:$T$35,13,FALSE))</f>
        <v/>
      </c>
      <c r="U40" s="495" t="str">
        <f>IF(VLOOKUP(24,'Plate Planning'!$A$1:$T$35,14,FALSE)=0, "", VLOOKUP(24,'Plate Planning'!$A$1:$T$35,14,FALSE))</f>
        <v/>
      </c>
      <c r="V40" s="495"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42"/>
      <c r="AT40" s="537"/>
      <c r="AU40" s="546">
        <f t="shared" si="1"/>
        <v>0</v>
      </c>
      <c r="AX40" s="224"/>
      <c r="BI40" s="224"/>
    </row>
    <row r="41" spans="1:61">
      <c r="A41" s="227" t="s">
        <v>1199</v>
      </c>
      <c r="B41" s="495"/>
      <c r="C41" s="526"/>
      <c r="D41" s="528" t="str">
        <f>IF(VLOOKUP(20,'Plate Planning'!$A$1:$T$35,13,FALSE)=0, "", VLOOKUP(20,'Plate Planning'!$A$1:$T$35,13,FALSE))</f>
        <v/>
      </c>
      <c r="E41" s="495" t="str">
        <f>IF(VLOOKUP(20,'Plate Planning'!$A$1:$T$35,14,FALSE)=0, "", VLOOKUP(20,'Plate Planning'!$A$1:$T$35,14,FALSE))</f>
        <v/>
      </c>
      <c r="F41" s="495" t="str">
        <f>IFERROR(VLOOKUP(20,'Plate Planning'!$A$1:$T$35,18,FALSE),"")</f>
        <v/>
      </c>
      <c r="G41" s="532"/>
      <c r="H41" s="528" t="str">
        <f>IF(VLOOKUP(21,'Plate Planning'!$A$1:$T$35,13,FALSE)=0, "", VLOOKUP(21,'Plate Planning'!$A$1:$T$35,13,FALSE))</f>
        <v/>
      </c>
      <c r="I41" s="495" t="str">
        <f>IF(VLOOKUP(21,'Plate Planning'!$A$1:$T$35,14,FALSE)=0, "", VLOOKUP(21,'Plate Planning'!$A$1:$T$35,14,FALSE))</f>
        <v/>
      </c>
      <c r="J41" s="540" t="str">
        <f>IFERROR(VLOOKUP(21,'Plate Planning'!$A$1:$T$35,18,FALSE),"")</f>
        <v/>
      </c>
      <c r="K41" s="495"/>
      <c r="L41" s="495" t="str">
        <f>IF(VLOOKUP(22,'Plate Planning'!$A$1:$T$35,13,FALSE)=0, "", VLOOKUP(22,'Plate Planning'!$A$1:$T$35,13,FALSE))</f>
        <v/>
      </c>
      <c r="M41" s="495" t="str">
        <f>IF(VLOOKUP(22,'Plate Planning'!$A$1:$T$35,14,FALSE)=0, "", VLOOKUP(22,'Plate Planning'!$A$1:$T$35,14,FALSE))</f>
        <v/>
      </c>
      <c r="N41" s="495" t="str">
        <f>IFERROR(VLOOKUP(22,'Plate Planning'!$A$1:$T$35,18,FALSE),"")</f>
        <v/>
      </c>
      <c r="O41" s="495"/>
      <c r="P41" s="528" t="str">
        <f>IF(VLOOKUP(23,'Plate Planning'!$A$1:$T$35,13,FALSE)=0, "", VLOOKUP(23,'Plate Planning'!$A$1:$T$35,13,FALSE))</f>
        <v/>
      </c>
      <c r="Q41" s="495" t="str">
        <f>IF(VLOOKUP(23,'Plate Planning'!$A$1:$T$35,14,FALSE)=0, "", VLOOKUP(23,'Plate Planning'!$A$1:$T$35,14,FALSE))</f>
        <v/>
      </c>
      <c r="R41" s="528" t="str">
        <f>IFERROR(VLOOKUP(23,'Plate Planning'!$A$1:$T$35,18,FALSE),"")</f>
        <v/>
      </c>
      <c r="S41" s="495"/>
      <c r="T41" s="495" t="str">
        <f>IF(VLOOKUP(24,'Plate Planning'!$A$1:$T$35,13,FALSE)=0, "", VLOOKUP(24,'Plate Planning'!$A$1:$T$35,13,FALSE))</f>
        <v/>
      </c>
      <c r="U41" s="495" t="str">
        <f>IF(VLOOKUP(24,'Plate Planning'!$A$1:$T$35,14,FALSE)=0, "", VLOOKUP(24,'Plate Planning'!$A$1:$T$35,14,FALSE))</f>
        <v/>
      </c>
      <c r="V41" s="495"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42"/>
      <c r="AT41" s="537"/>
      <c r="AU41" s="546">
        <f t="shared" si="1"/>
        <v>0</v>
      </c>
      <c r="AX41" s="224"/>
      <c r="BI41" s="224"/>
    </row>
    <row r="42" spans="1:61">
      <c r="A42" s="227" t="s">
        <v>1200</v>
      </c>
      <c r="B42" s="495"/>
      <c r="C42" s="526"/>
      <c r="D42" s="528" t="str">
        <f>IF(VLOOKUP(20,'Plate Planning'!$A$1:$T$35,13,FALSE)=0, "", VLOOKUP(20,'Plate Planning'!$A$1:$T$35,13,FALSE))</f>
        <v/>
      </c>
      <c r="E42" s="495" t="str">
        <f>IF(VLOOKUP(20,'Plate Planning'!$A$1:$T$35,14,FALSE)=0, "", VLOOKUP(20,'Plate Planning'!$A$1:$T$35,14,FALSE))</f>
        <v/>
      </c>
      <c r="F42" s="495" t="str">
        <f>IFERROR(VLOOKUP(20,'Plate Planning'!$A$1:$T$35,18,FALSE),"")</f>
        <v/>
      </c>
      <c r="G42" s="532"/>
      <c r="H42" s="528" t="str">
        <f>IF(VLOOKUP(21,'Plate Planning'!$A$1:$T$35,13,FALSE)=0, "", VLOOKUP(21,'Plate Planning'!$A$1:$T$35,13,FALSE))</f>
        <v/>
      </c>
      <c r="I42" s="495" t="str">
        <f>IF(VLOOKUP(21,'Plate Planning'!$A$1:$T$35,14,FALSE)=0, "", VLOOKUP(21,'Plate Planning'!$A$1:$T$35,14,FALSE))</f>
        <v/>
      </c>
      <c r="J42" s="540" t="str">
        <f>IFERROR(VLOOKUP(21,'Plate Planning'!$A$1:$T$35,18,FALSE),"")</f>
        <v/>
      </c>
      <c r="K42" s="495"/>
      <c r="L42" s="495" t="str">
        <f>IF(VLOOKUP(22,'Plate Planning'!$A$1:$T$35,13,FALSE)=0, "", VLOOKUP(22,'Plate Planning'!$A$1:$T$35,13,FALSE))</f>
        <v/>
      </c>
      <c r="M42" s="495" t="str">
        <f>IF(VLOOKUP(22,'Plate Planning'!$A$1:$T$35,14,FALSE)=0, "", VLOOKUP(22,'Plate Planning'!$A$1:$T$35,14,FALSE))</f>
        <v/>
      </c>
      <c r="N42" s="495" t="str">
        <f>IFERROR(VLOOKUP(22,'Plate Planning'!$A$1:$T$35,18,FALSE),"")</f>
        <v/>
      </c>
      <c r="O42" s="495"/>
      <c r="P42" s="528" t="str">
        <f>IF(VLOOKUP(23,'Plate Planning'!$A$1:$T$35,13,FALSE)=0, "", VLOOKUP(23,'Plate Planning'!$A$1:$T$35,13,FALSE))</f>
        <v/>
      </c>
      <c r="Q42" s="495" t="str">
        <f>IF(VLOOKUP(23,'Plate Planning'!$A$1:$T$35,14,FALSE)=0, "", VLOOKUP(23,'Plate Planning'!$A$1:$T$35,14,FALSE))</f>
        <v/>
      </c>
      <c r="R42" s="528" t="str">
        <f>IFERROR(VLOOKUP(23,'Plate Planning'!$A$1:$T$35,18,FALSE),"")</f>
        <v/>
      </c>
      <c r="S42" s="495"/>
      <c r="T42" s="495" t="str">
        <f>IF(VLOOKUP(24,'Plate Planning'!$A$1:$T$35,13,FALSE)=0, "", VLOOKUP(24,'Plate Planning'!$A$1:$T$35,13,FALSE))</f>
        <v/>
      </c>
      <c r="U42" s="495" t="str">
        <f>IF(VLOOKUP(24,'Plate Planning'!$A$1:$T$35,14,FALSE)=0, "", VLOOKUP(24,'Plate Planning'!$A$1:$T$35,14,FALSE))</f>
        <v/>
      </c>
      <c r="V42" s="495"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42"/>
      <c r="AT42" s="537"/>
      <c r="AU42" s="546">
        <f t="shared" si="1"/>
        <v>0</v>
      </c>
      <c r="AX42" s="224"/>
      <c r="BI42" s="224"/>
    </row>
    <row r="43" spans="1:61">
      <c r="A43" s="227" t="s">
        <v>1201</v>
      </c>
      <c r="B43" s="495"/>
      <c r="C43" s="526"/>
      <c r="D43" s="528" t="str">
        <f>IF(VLOOKUP(20,'Plate Planning'!$A$1:$T$35,13,FALSE)=0, "", VLOOKUP(20,'Plate Planning'!$A$1:$T$35,13,FALSE))</f>
        <v/>
      </c>
      <c r="E43" s="495" t="str">
        <f>IF(VLOOKUP(20,'Plate Planning'!$A$1:$T$35,14,FALSE)=0, "", VLOOKUP(20,'Plate Planning'!$A$1:$T$35,14,FALSE))</f>
        <v/>
      </c>
      <c r="F43" s="495" t="str">
        <f>IFERROR(VLOOKUP(20,'Plate Planning'!$A$1:$T$35,18,FALSE),"")</f>
        <v/>
      </c>
      <c r="G43" s="532"/>
      <c r="H43" s="528" t="str">
        <f>IF(VLOOKUP(21,'Plate Planning'!$A$1:$T$35,13,FALSE)=0, "", VLOOKUP(21,'Plate Planning'!$A$1:$T$35,13,FALSE))</f>
        <v/>
      </c>
      <c r="I43" s="495" t="str">
        <f>IF(VLOOKUP(21,'Plate Planning'!$A$1:$T$35,14,FALSE)=0, "", VLOOKUP(21,'Plate Planning'!$A$1:$T$35,14,FALSE))</f>
        <v/>
      </c>
      <c r="J43" s="540" t="str">
        <f>IFERROR(VLOOKUP(21,'Plate Planning'!$A$1:$T$35,18,FALSE),"")</f>
        <v/>
      </c>
      <c r="K43" s="495"/>
      <c r="L43" s="495" t="str">
        <f>IF(VLOOKUP(22,'Plate Planning'!$A$1:$T$35,13,FALSE)=0, "", VLOOKUP(22,'Plate Planning'!$A$1:$T$35,13,FALSE))</f>
        <v/>
      </c>
      <c r="M43" s="495" t="str">
        <f>IF(VLOOKUP(22,'Plate Planning'!$A$1:$T$35,14,FALSE)=0, "", VLOOKUP(22,'Plate Planning'!$A$1:$T$35,14,FALSE))</f>
        <v/>
      </c>
      <c r="N43" s="495" t="str">
        <f>IFERROR(VLOOKUP(22,'Plate Planning'!$A$1:$T$35,18,FALSE),"")</f>
        <v/>
      </c>
      <c r="O43" s="495"/>
      <c r="P43" s="528" t="str">
        <f>IF(VLOOKUP(23,'Plate Planning'!$A$1:$T$35,13,FALSE)=0, "", VLOOKUP(23,'Plate Planning'!$A$1:$T$35,13,FALSE))</f>
        <v/>
      </c>
      <c r="Q43" s="495" t="str">
        <f>IF(VLOOKUP(23,'Plate Planning'!$A$1:$T$35,14,FALSE)=0, "", VLOOKUP(23,'Plate Planning'!$A$1:$T$35,14,FALSE))</f>
        <v/>
      </c>
      <c r="R43" s="528" t="str">
        <f>IFERROR(VLOOKUP(23,'Plate Planning'!$A$1:$T$35,18,FALSE),"")</f>
        <v/>
      </c>
      <c r="S43" s="495"/>
      <c r="T43" s="495" t="str">
        <f>IF(VLOOKUP(24,'Plate Planning'!$A$1:$T$35,13,FALSE)=0, "", VLOOKUP(24,'Plate Planning'!$A$1:$T$35,13,FALSE))</f>
        <v/>
      </c>
      <c r="U43" s="495" t="str">
        <f>IF(VLOOKUP(24,'Plate Planning'!$A$1:$T$35,14,FALSE)=0, "", VLOOKUP(24,'Plate Planning'!$A$1:$T$35,14,FALSE))</f>
        <v/>
      </c>
      <c r="V43" s="495"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42"/>
      <c r="AT43" s="537"/>
      <c r="AU43" s="546">
        <f t="shared" si="1"/>
        <v>0</v>
      </c>
      <c r="AX43" s="224"/>
      <c r="BI43" s="224"/>
    </row>
    <row r="44" spans="1:61">
      <c r="A44" s="227" t="s">
        <v>1202</v>
      </c>
      <c r="B44" s="495"/>
      <c r="C44" s="526"/>
      <c r="D44" s="528" t="str">
        <f>IF(VLOOKUP(20,'Plate Planning'!$A$1:$T$35,13,FALSE)=0, "", VLOOKUP(20,'Plate Planning'!$A$1:$T$35,13,FALSE))</f>
        <v/>
      </c>
      <c r="E44" s="495" t="str">
        <f>IF(VLOOKUP(20,'Plate Planning'!$A$1:$T$35,14,FALSE)=0, "", VLOOKUP(20,'Plate Planning'!$A$1:$T$35,14,FALSE))</f>
        <v/>
      </c>
      <c r="F44" s="495" t="str">
        <f>IFERROR(VLOOKUP(20,'Plate Planning'!$A$1:$T$35,18,FALSE),"")</f>
        <v/>
      </c>
      <c r="G44" s="532"/>
      <c r="H44" s="528" t="str">
        <f>IF(VLOOKUP(21,'Plate Planning'!$A$1:$T$35,13,FALSE)=0, "", VLOOKUP(21,'Plate Planning'!$A$1:$T$35,13,FALSE))</f>
        <v/>
      </c>
      <c r="I44" s="495" t="str">
        <f>IF(VLOOKUP(21,'Plate Planning'!$A$1:$T$35,14,FALSE)=0, "", VLOOKUP(21,'Plate Planning'!$A$1:$T$35,14,FALSE))</f>
        <v/>
      </c>
      <c r="J44" s="540" t="str">
        <f>IFERROR(VLOOKUP(21,'Plate Planning'!$A$1:$T$35,18,FALSE),"")</f>
        <v/>
      </c>
      <c r="K44" s="495"/>
      <c r="L44" s="495" t="str">
        <f>IF(VLOOKUP(22,'Plate Planning'!$A$1:$T$35,13,FALSE)=0, "", VLOOKUP(22,'Plate Planning'!$A$1:$T$35,13,FALSE))</f>
        <v/>
      </c>
      <c r="M44" s="495" t="str">
        <f>IF(VLOOKUP(22,'Plate Planning'!$A$1:$T$35,14,FALSE)=0, "", VLOOKUP(22,'Plate Planning'!$A$1:$T$35,14,FALSE))</f>
        <v/>
      </c>
      <c r="N44" s="495" t="str">
        <f>IFERROR(VLOOKUP(22,'Plate Planning'!$A$1:$T$35,18,FALSE),"")</f>
        <v/>
      </c>
      <c r="O44" s="495"/>
      <c r="P44" s="528" t="str">
        <f>IF(VLOOKUP(23,'Plate Planning'!$A$1:$T$35,13,FALSE)=0, "", VLOOKUP(23,'Plate Planning'!$A$1:$T$35,13,FALSE))</f>
        <v/>
      </c>
      <c r="Q44" s="495" t="str">
        <f>IF(VLOOKUP(23,'Plate Planning'!$A$1:$T$35,14,FALSE)=0, "", VLOOKUP(23,'Plate Planning'!$A$1:$T$35,14,FALSE))</f>
        <v/>
      </c>
      <c r="R44" s="528" t="str">
        <f>IFERROR(VLOOKUP(23,'Plate Planning'!$A$1:$T$35,18,FALSE),"")</f>
        <v/>
      </c>
      <c r="S44" s="495"/>
      <c r="T44" s="495" t="str">
        <f>IF(VLOOKUP(24,'Plate Planning'!$A$1:$T$35,13,FALSE)=0, "", VLOOKUP(24,'Plate Planning'!$A$1:$T$35,13,FALSE))</f>
        <v/>
      </c>
      <c r="U44" s="495" t="str">
        <f>IF(VLOOKUP(24,'Plate Planning'!$A$1:$T$35,14,FALSE)=0, "", VLOOKUP(24,'Plate Planning'!$A$1:$T$35,14,FALSE))</f>
        <v/>
      </c>
      <c r="V44" s="495"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42"/>
      <c r="AT44" s="537"/>
      <c r="AU44" s="546">
        <f t="shared" si="1"/>
        <v>0</v>
      </c>
      <c r="AX44" s="224"/>
      <c r="BI44" s="224"/>
    </row>
    <row r="45" spans="1:61">
      <c r="A45" s="227" t="s">
        <v>1203</v>
      </c>
      <c r="B45" s="495"/>
      <c r="C45" s="526"/>
      <c r="D45" s="528" t="str">
        <f>IF(VLOOKUP(20,'Plate Planning'!$A$1:$T$35,13,FALSE)=0, "", VLOOKUP(20,'Plate Planning'!$A$1:$T$35,13,FALSE))</f>
        <v/>
      </c>
      <c r="E45" s="495" t="str">
        <f>IF(VLOOKUP(20,'Plate Planning'!$A$1:$T$35,14,FALSE)=0, "", VLOOKUP(20,'Plate Planning'!$A$1:$T$35,14,FALSE))</f>
        <v/>
      </c>
      <c r="F45" s="495" t="str">
        <f>IFERROR(VLOOKUP(20,'Plate Planning'!$A$1:$T$35,18,FALSE),"")</f>
        <v/>
      </c>
      <c r="G45" s="532"/>
      <c r="H45" s="528" t="str">
        <f>IF(VLOOKUP(21,'Plate Planning'!$A$1:$T$35,13,FALSE)=0, "", VLOOKUP(21,'Plate Planning'!$A$1:$T$35,13,FALSE))</f>
        <v/>
      </c>
      <c r="I45" s="495" t="str">
        <f>IF(VLOOKUP(21,'Plate Planning'!$A$1:$T$35,14,FALSE)=0, "", VLOOKUP(21,'Plate Planning'!$A$1:$T$35,14,FALSE))</f>
        <v/>
      </c>
      <c r="J45" s="540" t="str">
        <f>IFERROR(VLOOKUP(21,'Plate Planning'!$A$1:$T$35,18,FALSE),"")</f>
        <v/>
      </c>
      <c r="K45" s="495"/>
      <c r="L45" s="495" t="str">
        <f>IF(VLOOKUP(22,'Plate Planning'!$A$1:$T$35,13,FALSE)=0, "", VLOOKUP(22,'Plate Planning'!$A$1:$T$35,13,FALSE))</f>
        <v/>
      </c>
      <c r="M45" s="495" t="str">
        <f>IF(VLOOKUP(22,'Plate Planning'!$A$1:$T$35,14,FALSE)=0, "", VLOOKUP(22,'Plate Planning'!$A$1:$T$35,14,FALSE))</f>
        <v/>
      </c>
      <c r="N45" s="495" t="str">
        <f>IFERROR(VLOOKUP(22,'Plate Planning'!$A$1:$T$35,18,FALSE),"")</f>
        <v/>
      </c>
      <c r="O45" s="495"/>
      <c r="P45" s="528" t="str">
        <f>IF(VLOOKUP(23,'Plate Planning'!$A$1:$T$35,13,FALSE)=0, "", VLOOKUP(23,'Plate Planning'!$A$1:$T$35,13,FALSE))</f>
        <v/>
      </c>
      <c r="Q45" s="495" t="str">
        <f>IF(VLOOKUP(23,'Plate Planning'!$A$1:$T$35,14,FALSE)=0, "", VLOOKUP(23,'Plate Planning'!$A$1:$T$35,14,FALSE))</f>
        <v/>
      </c>
      <c r="R45" s="528" t="str">
        <f>IFERROR(VLOOKUP(23,'Plate Planning'!$A$1:$T$35,18,FALSE),"")</f>
        <v/>
      </c>
      <c r="S45" s="495"/>
      <c r="T45" s="495" t="str">
        <f>IF(VLOOKUP(24,'Plate Planning'!$A$1:$T$35,13,FALSE)=0, "", VLOOKUP(24,'Plate Planning'!$A$1:$T$35,13,FALSE))</f>
        <v/>
      </c>
      <c r="U45" s="495" t="str">
        <f>IF(VLOOKUP(24,'Plate Planning'!$A$1:$T$35,14,FALSE)=0, "", VLOOKUP(24,'Plate Planning'!$A$1:$T$35,14,FALSE))</f>
        <v/>
      </c>
      <c r="V45" s="495"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42"/>
      <c r="AT45" s="537"/>
      <c r="AU45" s="546">
        <f t="shared" si="1"/>
        <v>0</v>
      </c>
      <c r="AX45" s="224"/>
      <c r="BI45" s="224"/>
    </row>
    <row r="46" spans="1:61">
      <c r="A46" s="227" t="s">
        <v>1204</v>
      </c>
      <c r="B46" s="495"/>
      <c r="C46" s="526"/>
      <c r="D46" s="528" t="str">
        <f>IF(VLOOKUP(20,'Plate Planning'!$A$1:$T$35,13,FALSE)=0, "", VLOOKUP(20,'Plate Planning'!$A$1:$T$35,13,FALSE))</f>
        <v/>
      </c>
      <c r="E46" s="495" t="str">
        <f>IF(VLOOKUP(20,'Plate Planning'!$A$1:$T$35,14,FALSE)=0, "", VLOOKUP(20,'Plate Planning'!$A$1:$T$35,14,FALSE))</f>
        <v/>
      </c>
      <c r="F46" s="495" t="str">
        <f>IFERROR(VLOOKUP(20,'Plate Planning'!$A$1:$T$35,18,FALSE),"")</f>
        <v/>
      </c>
      <c r="G46" s="532"/>
      <c r="H46" s="528" t="str">
        <f>IF(VLOOKUP(21,'Plate Planning'!$A$1:$T$35,13,FALSE)=0, "", VLOOKUP(21,'Plate Planning'!$A$1:$T$35,13,FALSE))</f>
        <v/>
      </c>
      <c r="I46" s="495" t="str">
        <f>IF(VLOOKUP(21,'Plate Planning'!$A$1:$T$35,14,FALSE)=0, "", VLOOKUP(21,'Plate Planning'!$A$1:$T$35,14,FALSE))</f>
        <v/>
      </c>
      <c r="J46" s="540" t="str">
        <f>IFERROR(VLOOKUP(21,'Plate Planning'!$A$1:$T$35,18,FALSE),"")</f>
        <v/>
      </c>
      <c r="K46" s="495"/>
      <c r="L46" s="495" t="str">
        <f>IF(VLOOKUP(22,'Plate Planning'!$A$1:$T$35,13,FALSE)=0, "", VLOOKUP(22,'Plate Planning'!$A$1:$T$35,13,FALSE))</f>
        <v/>
      </c>
      <c r="M46" s="495" t="str">
        <f>IF(VLOOKUP(22,'Plate Planning'!$A$1:$T$35,14,FALSE)=0, "", VLOOKUP(22,'Plate Planning'!$A$1:$T$35,14,FALSE))</f>
        <v/>
      </c>
      <c r="N46" s="495" t="str">
        <f>IFERROR(VLOOKUP(22,'Plate Planning'!$A$1:$T$35,18,FALSE),"")</f>
        <v/>
      </c>
      <c r="O46" s="495"/>
      <c r="P46" s="528" t="str">
        <f>IF(VLOOKUP(23,'Plate Planning'!$A$1:$T$35,13,FALSE)=0, "", VLOOKUP(23,'Plate Planning'!$A$1:$T$35,13,FALSE))</f>
        <v/>
      </c>
      <c r="Q46" s="495" t="str">
        <f>IF(VLOOKUP(23,'Plate Planning'!$A$1:$T$35,14,FALSE)=0, "", VLOOKUP(23,'Plate Planning'!$A$1:$T$35,14,FALSE))</f>
        <v/>
      </c>
      <c r="R46" s="528" t="str">
        <f>IFERROR(VLOOKUP(23,'Plate Planning'!$A$1:$T$35,18,FALSE),"")</f>
        <v/>
      </c>
      <c r="S46" s="495"/>
      <c r="T46" s="495" t="str">
        <f>IF(VLOOKUP(24,'Plate Planning'!$A$1:$T$35,13,FALSE)=0, "", VLOOKUP(24,'Plate Planning'!$A$1:$T$35,13,FALSE))</f>
        <v/>
      </c>
      <c r="U46" s="495" t="str">
        <f>IF(VLOOKUP(24,'Plate Planning'!$A$1:$T$35,14,FALSE)=0, "", VLOOKUP(24,'Plate Planning'!$A$1:$T$35,14,FALSE))</f>
        <v/>
      </c>
      <c r="V46" s="495"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42"/>
      <c r="AT46" s="537"/>
      <c r="AU46" s="546">
        <f t="shared" si="1"/>
        <v>0</v>
      </c>
      <c r="AX46" s="224"/>
      <c r="BI46" s="224"/>
    </row>
    <row r="47" spans="1:61">
      <c r="A47" s="227" t="s">
        <v>1205</v>
      </c>
      <c r="B47" s="495"/>
      <c r="C47" s="526"/>
      <c r="D47" s="528" t="str">
        <f>IF(VLOOKUP(20,'Plate Planning'!$A$1:$T$35,13,FALSE)=0, "", VLOOKUP(20,'Plate Planning'!$A$1:$T$35,13,FALSE))</f>
        <v/>
      </c>
      <c r="E47" s="495" t="str">
        <f>IF(VLOOKUP(20,'Plate Planning'!$A$1:$T$35,14,FALSE)=0, "", VLOOKUP(20,'Plate Planning'!$A$1:$T$35,14,FALSE))</f>
        <v/>
      </c>
      <c r="F47" s="495" t="str">
        <f>IFERROR(VLOOKUP(20,'Plate Planning'!$A$1:$T$35,18,FALSE),"")</f>
        <v/>
      </c>
      <c r="G47" s="532"/>
      <c r="H47" s="528" t="str">
        <f>IF(VLOOKUP(21,'Plate Planning'!$A$1:$T$35,13,FALSE)=0, "", VLOOKUP(21,'Plate Planning'!$A$1:$T$35,13,FALSE))</f>
        <v/>
      </c>
      <c r="I47" s="495" t="str">
        <f>IF(VLOOKUP(21,'Plate Planning'!$A$1:$T$35,14,FALSE)=0, "", VLOOKUP(21,'Plate Planning'!$A$1:$T$35,14,FALSE))</f>
        <v/>
      </c>
      <c r="J47" s="540" t="str">
        <f>IFERROR(VLOOKUP(21,'Plate Planning'!$A$1:$T$35,18,FALSE),"")</f>
        <v/>
      </c>
      <c r="K47" s="495"/>
      <c r="L47" s="495" t="str">
        <f>IF(VLOOKUP(22,'Plate Planning'!$A$1:$T$35,13,FALSE)=0, "", VLOOKUP(22,'Plate Planning'!$A$1:$T$35,13,FALSE))</f>
        <v/>
      </c>
      <c r="M47" s="495" t="str">
        <f>IF(VLOOKUP(22,'Plate Planning'!$A$1:$T$35,14,FALSE)=0, "", VLOOKUP(22,'Plate Planning'!$A$1:$T$35,14,FALSE))</f>
        <v/>
      </c>
      <c r="N47" s="495" t="str">
        <f>IFERROR(VLOOKUP(22,'Plate Planning'!$A$1:$T$35,18,FALSE),"")</f>
        <v/>
      </c>
      <c r="O47" s="495"/>
      <c r="P47" s="528" t="str">
        <f>IF(VLOOKUP(23,'Plate Planning'!$A$1:$T$35,13,FALSE)=0, "", VLOOKUP(23,'Plate Planning'!$A$1:$T$35,13,FALSE))</f>
        <v/>
      </c>
      <c r="Q47" s="495" t="str">
        <f>IF(VLOOKUP(23,'Plate Planning'!$A$1:$T$35,14,FALSE)=0, "", VLOOKUP(23,'Plate Planning'!$A$1:$T$35,14,FALSE))</f>
        <v/>
      </c>
      <c r="R47" s="528" t="str">
        <f>IFERROR(VLOOKUP(23,'Plate Planning'!$A$1:$T$35,18,FALSE),"")</f>
        <v/>
      </c>
      <c r="S47" s="495"/>
      <c r="T47" s="495" t="str">
        <f>IF(VLOOKUP(24,'Plate Planning'!$A$1:$T$35,13,FALSE)=0, "", VLOOKUP(24,'Plate Planning'!$A$1:$T$35,13,FALSE))</f>
        <v/>
      </c>
      <c r="U47" s="495" t="str">
        <f>IF(VLOOKUP(24,'Plate Planning'!$A$1:$T$35,14,FALSE)=0, "", VLOOKUP(24,'Plate Planning'!$A$1:$T$35,14,FALSE))</f>
        <v/>
      </c>
      <c r="V47" s="495"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42"/>
      <c r="AT47" s="537"/>
      <c r="AU47" s="546">
        <f t="shared" si="1"/>
        <v>0</v>
      </c>
      <c r="AX47" s="224"/>
      <c r="BI47" s="224"/>
    </row>
    <row r="48" spans="1:61">
      <c r="A48" s="227" t="s">
        <v>1206</v>
      </c>
      <c r="B48" s="495"/>
      <c r="C48" s="526"/>
      <c r="D48" s="528" t="str">
        <f>IF(VLOOKUP(20,'Plate Planning'!$A$1:$T$35,13,FALSE)=0, "", VLOOKUP(20,'Plate Planning'!$A$1:$T$35,13,FALSE))</f>
        <v/>
      </c>
      <c r="E48" s="495" t="str">
        <f>IF(VLOOKUP(20,'Plate Planning'!$A$1:$T$35,14,FALSE)=0, "", VLOOKUP(20,'Plate Planning'!$A$1:$T$35,14,FALSE))</f>
        <v/>
      </c>
      <c r="F48" s="495" t="str">
        <f>IFERROR(VLOOKUP(20,'Plate Planning'!$A$1:$T$35,18,FALSE),"")</f>
        <v/>
      </c>
      <c r="G48" s="532"/>
      <c r="H48" s="528" t="str">
        <f>IF(VLOOKUP(21,'Plate Planning'!$A$1:$T$35,13,FALSE)=0, "", VLOOKUP(21,'Plate Planning'!$A$1:$T$35,13,FALSE))</f>
        <v/>
      </c>
      <c r="I48" s="495" t="str">
        <f>IF(VLOOKUP(21,'Plate Planning'!$A$1:$T$35,14,FALSE)=0, "", VLOOKUP(21,'Plate Planning'!$A$1:$T$35,14,FALSE))</f>
        <v/>
      </c>
      <c r="J48" s="540" t="str">
        <f>IFERROR(VLOOKUP(21,'Plate Planning'!$A$1:$T$35,18,FALSE),"")</f>
        <v/>
      </c>
      <c r="K48" s="495"/>
      <c r="L48" s="495" t="str">
        <f>IF(VLOOKUP(22,'Plate Planning'!$A$1:$T$35,13,FALSE)=0, "", VLOOKUP(22,'Plate Planning'!$A$1:$T$35,13,FALSE))</f>
        <v/>
      </c>
      <c r="M48" s="495" t="str">
        <f>IF(VLOOKUP(22,'Plate Planning'!$A$1:$T$35,14,FALSE)=0, "", VLOOKUP(22,'Plate Planning'!$A$1:$T$35,14,FALSE))</f>
        <v/>
      </c>
      <c r="N48" s="495" t="str">
        <f>IFERROR(VLOOKUP(22,'Plate Planning'!$A$1:$T$35,18,FALSE),"")</f>
        <v/>
      </c>
      <c r="O48" s="495"/>
      <c r="P48" s="528" t="str">
        <f>IF(VLOOKUP(23,'Plate Planning'!$A$1:$T$35,13,FALSE)=0, "", VLOOKUP(23,'Plate Planning'!$A$1:$T$35,13,FALSE))</f>
        <v/>
      </c>
      <c r="Q48" s="495" t="str">
        <f>IF(VLOOKUP(23,'Plate Planning'!$A$1:$T$35,14,FALSE)=0, "", VLOOKUP(23,'Plate Planning'!$A$1:$T$35,14,FALSE))</f>
        <v/>
      </c>
      <c r="R48" s="528" t="str">
        <f>IFERROR(VLOOKUP(23,'Plate Planning'!$A$1:$T$35,18,FALSE),"")</f>
        <v/>
      </c>
      <c r="S48" s="495"/>
      <c r="T48" s="495" t="str">
        <f>IF(VLOOKUP(24,'Plate Planning'!$A$1:$T$35,13,FALSE)=0, "", VLOOKUP(24,'Plate Planning'!$A$1:$T$35,13,FALSE))</f>
        <v/>
      </c>
      <c r="U48" s="495" t="str">
        <f>IF(VLOOKUP(24,'Plate Planning'!$A$1:$T$35,14,FALSE)=0, "", VLOOKUP(24,'Plate Planning'!$A$1:$T$35,14,FALSE))</f>
        <v/>
      </c>
      <c r="V48" s="495"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42"/>
      <c r="AT48" s="537"/>
      <c r="AU48" s="546">
        <f t="shared" si="1"/>
        <v>0</v>
      </c>
      <c r="AX48" s="224"/>
      <c r="BI48" s="224"/>
    </row>
    <row r="49" spans="1:61">
      <c r="A49" s="227" t="s">
        <v>1207</v>
      </c>
      <c r="B49" s="495"/>
      <c r="C49" s="526"/>
      <c r="D49" s="528" t="str">
        <f>IF(VLOOKUP(20,'Plate Planning'!$A$1:$T$35,13,FALSE)=0, "", VLOOKUP(20,'Plate Planning'!$A$1:$T$35,13,FALSE))</f>
        <v/>
      </c>
      <c r="E49" s="495" t="str">
        <f>IF(VLOOKUP(20,'Plate Planning'!$A$1:$T$35,14,FALSE)=0, "", VLOOKUP(20,'Plate Planning'!$A$1:$T$35,14,FALSE))</f>
        <v/>
      </c>
      <c r="F49" s="495" t="str">
        <f>IFERROR(VLOOKUP(20,'Plate Planning'!$A$1:$T$35,18,FALSE),"")</f>
        <v/>
      </c>
      <c r="G49" s="532"/>
      <c r="H49" s="528" t="str">
        <f>IF(VLOOKUP(21,'Plate Planning'!$A$1:$T$35,13,FALSE)=0, "", VLOOKUP(21,'Plate Planning'!$A$1:$T$35,13,FALSE))</f>
        <v/>
      </c>
      <c r="I49" s="495" t="str">
        <f>IF(VLOOKUP(21,'Plate Planning'!$A$1:$T$35,14,FALSE)=0, "", VLOOKUP(21,'Plate Planning'!$A$1:$T$35,14,FALSE))</f>
        <v/>
      </c>
      <c r="J49" s="540" t="str">
        <f>IFERROR(VLOOKUP(21,'Plate Planning'!$A$1:$T$35,18,FALSE),"")</f>
        <v/>
      </c>
      <c r="K49" s="495"/>
      <c r="L49" s="495" t="str">
        <f>IF(VLOOKUP(22,'Plate Planning'!$A$1:$T$35,13,FALSE)=0, "", VLOOKUP(22,'Plate Planning'!$A$1:$T$35,13,FALSE))</f>
        <v/>
      </c>
      <c r="M49" s="495" t="str">
        <f>IF(VLOOKUP(22,'Plate Planning'!$A$1:$T$35,14,FALSE)=0, "", VLOOKUP(22,'Plate Planning'!$A$1:$T$35,14,FALSE))</f>
        <v/>
      </c>
      <c r="N49" s="495" t="str">
        <f>IFERROR(VLOOKUP(22,'Plate Planning'!$A$1:$T$35,18,FALSE),"")</f>
        <v/>
      </c>
      <c r="O49" s="495"/>
      <c r="P49" s="528" t="str">
        <f>IF(VLOOKUP(23,'Plate Planning'!$A$1:$T$35,13,FALSE)=0, "", VLOOKUP(23,'Plate Planning'!$A$1:$T$35,13,FALSE))</f>
        <v/>
      </c>
      <c r="Q49" s="495" t="str">
        <f>IF(VLOOKUP(23,'Plate Planning'!$A$1:$T$35,14,FALSE)=0, "", VLOOKUP(23,'Plate Planning'!$A$1:$T$35,14,FALSE))</f>
        <v/>
      </c>
      <c r="R49" s="528" t="str">
        <f>IFERROR(VLOOKUP(23,'Plate Planning'!$A$1:$T$35,18,FALSE),"")</f>
        <v/>
      </c>
      <c r="S49" s="495"/>
      <c r="T49" s="495" t="str">
        <f>IF(VLOOKUP(24,'Plate Planning'!$A$1:$T$35,13,FALSE)=0, "", VLOOKUP(24,'Plate Planning'!$A$1:$T$35,13,FALSE))</f>
        <v/>
      </c>
      <c r="U49" s="495" t="str">
        <f>IF(VLOOKUP(24,'Plate Planning'!$A$1:$T$35,14,FALSE)=0, "", VLOOKUP(24,'Plate Planning'!$A$1:$T$35,14,FALSE))</f>
        <v/>
      </c>
      <c r="V49" s="495"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42"/>
      <c r="AT49" s="537"/>
      <c r="AU49" s="546">
        <f t="shared" si="1"/>
        <v>0</v>
      </c>
      <c r="AX49" s="224"/>
      <c r="BI49" s="224"/>
    </row>
    <row r="50" spans="1:61">
      <c r="A50" s="227" t="s">
        <v>1208</v>
      </c>
      <c r="B50" s="495"/>
      <c r="C50" s="526"/>
      <c r="D50" s="528" t="str">
        <f>IF(VLOOKUP(20,'Plate Planning'!$A$1:$T$35,13,FALSE)=0, "", VLOOKUP(20,'Plate Planning'!$A$1:$T$35,13,FALSE))</f>
        <v/>
      </c>
      <c r="E50" s="495" t="str">
        <f>IF(VLOOKUP(20,'Plate Planning'!$A$1:$T$35,14,FALSE)=0, "", VLOOKUP(20,'Plate Planning'!$A$1:$T$35,14,FALSE))</f>
        <v/>
      </c>
      <c r="F50" s="495" t="str">
        <f>IFERROR(VLOOKUP(20,'Plate Planning'!$A$1:$T$35,18,FALSE),"")</f>
        <v/>
      </c>
      <c r="G50" s="532"/>
      <c r="H50" s="528" t="str">
        <f>IF(VLOOKUP(21,'Plate Planning'!$A$1:$T$35,13,FALSE)=0, "", VLOOKUP(21,'Plate Planning'!$A$1:$T$35,13,FALSE))</f>
        <v/>
      </c>
      <c r="I50" s="495" t="str">
        <f>IF(VLOOKUP(21,'Plate Planning'!$A$1:$T$35,14,FALSE)=0, "", VLOOKUP(21,'Plate Planning'!$A$1:$T$35,14,FALSE))</f>
        <v/>
      </c>
      <c r="J50" s="540" t="str">
        <f>IFERROR(VLOOKUP(21,'Plate Planning'!$A$1:$T$35,18,FALSE),"")</f>
        <v/>
      </c>
      <c r="K50" s="495"/>
      <c r="L50" s="495" t="str">
        <f>IF(VLOOKUP(22,'Plate Planning'!$A$1:$T$35,13,FALSE)=0, "", VLOOKUP(22,'Plate Planning'!$A$1:$T$35,13,FALSE))</f>
        <v/>
      </c>
      <c r="M50" s="495" t="str">
        <f>IF(VLOOKUP(22,'Plate Planning'!$A$1:$T$35,14,FALSE)=0, "", VLOOKUP(22,'Plate Planning'!$A$1:$T$35,14,FALSE))</f>
        <v/>
      </c>
      <c r="N50" s="495" t="str">
        <f>IFERROR(VLOOKUP(22,'Plate Planning'!$A$1:$T$35,18,FALSE),"")</f>
        <v/>
      </c>
      <c r="O50" s="495"/>
      <c r="P50" s="528" t="str">
        <f>IF(VLOOKUP(23,'Plate Planning'!$A$1:$T$35,13,FALSE)=0, "", VLOOKUP(23,'Plate Planning'!$A$1:$T$35,13,FALSE))</f>
        <v/>
      </c>
      <c r="Q50" s="495" t="str">
        <f>IF(VLOOKUP(23,'Plate Planning'!$A$1:$T$35,14,FALSE)=0, "", VLOOKUP(23,'Plate Planning'!$A$1:$T$35,14,FALSE))</f>
        <v/>
      </c>
      <c r="R50" s="528" t="str">
        <f>IFERROR(VLOOKUP(23,'Plate Planning'!$A$1:$T$35,18,FALSE),"")</f>
        <v/>
      </c>
      <c r="S50" s="495"/>
      <c r="T50" s="495" t="str">
        <f>IF(VLOOKUP(24,'Plate Planning'!$A$1:$T$35,13,FALSE)=0, "", VLOOKUP(24,'Plate Planning'!$A$1:$T$35,13,FALSE))</f>
        <v/>
      </c>
      <c r="U50" s="495" t="str">
        <f>IF(VLOOKUP(24,'Plate Planning'!$A$1:$T$35,14,FALSE)=0, "", VLOOKUP(24,'Plate Planning'!$A$1:$T$35,14,FALSE))</f>
        <v/>
      </c>
      <c r="V50" s="495"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42"/>
      <c r="AT50" s="537"/>
      <c r="AU50" s="546">
        <f t="shared" si="1"/>
        <v>0</v>
      </c>
      <c r="AX50" s="224"/>
      <c r="BI50" s="224"/>
    </row>
    <row r="51" spans="1:61">
      <c r="A51" s="227" t="s">
        <v>1209</v>
      </c>
      <c r="B51" s="495"/>
      <c r="C51" s="526"/>
      <c r="D51" s="528" t="str">
        <f>IF(VLOOKUP(20,'Plate Planning'!$A$1:$T$35,13,FALSE)=0, "", VLOOKUP(20,'Plate Planning'!$A$1:$T$35,13,FALSE))</f>
        <v/>
      </c>
      <c r="E51" s="495" t="str">
        <f>IF(VLOOKUP(20,'Plate Planning'!$A$1:$T$35,14,FALSE)=0, "", VLOOKUP(20,'Plate Planning'!$A$1:$T$35,14,FALSE))</f>
        <v/>
      </c>
      <c r="F51" s="495" t="str">
        <f>IFERROR(VLOOKUP(20,'Plate Planning'!$A$1:$T$35,18,FALSE),"")</f>
        <v/>
      </c>
      <c r="G51" s="532"/>
      <c r="H51" s="528" t="str">
        <f>IF(VLOOKUP(21,'Plate Planning'!$A$1:$T$35,13,FALSE)=0, "", VLOOKUP(21,'Plate Planning'!$A$1:$T$35,13,FALSE))</f>
        <v/>
      </c>
      <c r="I51" s="495" t="str">
        <f>IF(VLOOKUP(21,'Plate Planning'!$A$1:$T$35,14,FALSE)=0, "", VLOOKUP(21,'Plate Planning'!$A$1:$T$35,14,FALSE))</f>
        <v/>
      </c>
      <c r="J51" s="540" t="str">
        <f>IFERROR(VLOOKUP(21,'Plate Planning'!$A$1:$T$35,18,FALSE),"")</f>
        <v/>
      </c>
      <c r="K51" s="495"/>
      <c r="L51" s="495" t="str">
        <f>IF(VLOOKUP(22,'Plate Planning'!$A$1:$T$35,13,FALSE)=0, "", VLOOKUP(22,'Plate Planning'!$A$1:$T$35,13,FALSE))</f>
        <v/>
      </c>
      <c r="M51" s="495" t="str">
        <f>IF(VLOOKUP(22,'Plate Planning'!$A$1:$T$35,14,FALSE)=0, "", VLOOKUP(22,'Plate Planning'!$A$1:$T$35,14,FALSE))</f>
        <v/>
      </c>
      <c r="N51" s="495" t="str">
        <f>IFERROR(VLOOKUP(22,'Plate Planning'!$A$1:$T$35,18,FALSE),"")</f>
        <v/>
      </c>
      <c r="O51" s="495"/>
      <c r="P51" s="528" t="str">
        <f>IF(VLOOKUP(23,'Plate Planning'!$A$1:$T$35,13,FALSE)=0, "", VLOOKUP(23,'Plate Planning'!$A$1:$T$35,13,FALSE))</f>
        <v/>
      </c>
      <c r="Q51" s="495" t="str">
        <f>IF(VLOOKUP(23,'Plate Planning'!$A$1:$T$35,14,FALSE)=0, "", VLOOKUP(23,'Plate Planning'!$A$1:$T$35,14,FALSE))</f>
        <v/>
      </c>
      <c r="R51" s="528" t="str">
        <f>IFERROR(VLOOKUP(23,'Plate Planning'!$A$1:$T$35,18,FALSE),"")</f>
        <v/>
      </c>
      <c r="S51" s="495"/>
      <c r="T51" s="495" t="str">
        <f>IF(VLOOKUP(24,'Plate Planning'!$A$1:$T$35,13,FALSE)=0, "", VLOOKUP(24,'Plate Planning'!$A$1:$T$35,13,FALSE))</f>
        <v/>
      </c>
      <c r="U51" s="495" t="str">
        <f>IF(VLOOKUP(24,'Plate Planning'!$A$1:$T$35,14,FALSE)=0, "", VLOOKUP(24,'Plate Planning'!$A$1:$T$35,14,FALSE))</f>
        <v/>
      </c>
      <c r="V51" s="495"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42"/>
      <c r="AT51" s="537"/>
      <c r="AU51" s="546">
        <f t="shared" si="1"/>
        <v>0</v>
      </c>
      <c r="AX51" s="224"/>
      <c r="BI51" s="224"/>
    </row>
    <row r="52" spans="1:61">
      <c r="A52" s="227" t="s">
        <v>1210</v>
      </c>
      <c r="B52" s="495"/>
      <c r="C52" s="526"/>
      <c r="D52" s="528" t="str">
        <f>IF(VLOOKUP(20,'Plate Planning'!$A$1:$T$35,13,FALSE)=0, "", VLOOKUP(20,'Plate Planning'!$A$1:$T$35,13,FALSE))</f>
        <v/>
      </c>
      <c r="E52" s="495" t="str">
        <f>IF(VLOOKUP(20,'Plate Planning'!$A$1:$T$35,14,FALSE)=0, "", VLOOKUP(20,'Plate Planning'!$A$1:$T$35,14,FALSE))</f>
        <v/>
      </c>
      <c r="F52" s="495" t="str">
        <f>IFERROR(VLOOKUP(20,'Plate Planning'!$A$1:$T$35,18,FALSE),"")</f>
        <v/>
      </c>
      <c r="G52" s="532"/>
      <c r="H52" s="528" t="str">
        <f>IF(VLOOKUP(21,'Plate Planning'!$A$1:$T$35,13,FALSE)=0, "", VLOOKUP(21,'Plate Planning'!$A$1:$T$35,13,FALSE))</f>
        <v/>
      </c>
      <c r="I52" s="495" t="str">
        <f>IF(VLOOKUP(21,'Plate Planning'!$A$1:$T$35,14,FALSE)=0, "", VLOOKUP(21,'Plate Planning'!$A$1:$T$35,14,FALSE))</f>
        <v/>
      </c>
      <c r="J52" s="540" t="str">
        <f>IFERROR(VLOOKUP(21,'Plate Planning'!$A$1:$T$35,18,FALSE),"")</f>
        <v/>
      </c>
      <c r="K52" s="495"/>
      <c r="L52" s="495" t="str">
        <f>IF(VLOOKUP(22,'Plate Planning'!$A$1:$T$35,13,FALSE)=0, "", VLOOKUP(22,'Plate Planning'!$A$1:$T$35,13,FALSE))</f>
        <v/>
      </c>
      <c r="M52" s="495" t="str">
        <f>IF(VLOOKUP(22,'Plate Planning'!$A$1:$T$35,14,FALSE)=0, "", VLOOKUP(22,'Plate Planning'!$A$1:$T$35,14,FALSE))</f>
        <v/>
      </c>
      <c r="N52" s="495" t="str">
        <f>IFERROR(VLOOKUP(22,'Plate Planning'!$A$1:$T$35,18,FALSE),"")</f>
        <v/>
      </c>
      <c r="O52" s="495"/>
      <c r="P52" s="528" t="str">
        <f>IF(VLOOKUP(23,'Plate Planning'!$A$1:$T$35,13,FALSE)=0, "", VLOOKUP(23,'Plate Planning'!$A$1:$T$35,13,FALSE))</f>
        <v/>
      </c>
      <c r="Q52" s="495" t="str">
        <f>IF(VLOOKUP(23,'Plate Planning'!$A$1:$T$35,14,FALSE)=0, "", VLOOKUP(23,'Plate Planning'!$A$1:$T$35,14,FALSE))</f>
        <v/>
      </c>
      <c r="R52" s="528" t="str">
        <f>IFERROR(VLOOKUP(23,'Plate Planning'!$A$1:$T$35,18,FALSE),"")</f>
        <v/>
      </c>
      <c r="S52" s="495"/>
      <c r="T52" s="495" t="str">
        <f>IF(VLOOKUP(24,'Plate Planning'!$A$1:$T$35,13,FALSE)=0, "", VLOOKUP(24,'Plate Planning'!$A$1:$T$35,13,FALSE))</f>
        <v/>
      </c>
      <c r="U52" s="495" t="str">
        <f>IF(VLOOKUP(24,'Plate Planning'!$A$1:$T$35,14,FALSE)=0, "", VLOOKUP(24,'Plate Planning'!$A$1:$T$35,14,FALSE))</f>
        <v/>
      </c>
      <c r="V52" s="495"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42"/>
      <c r="AT52" s="537"/>
      <c r="AU52" s="546">
        <f t="shared" si="1"/>
        <v>0</v>
      </c>
      <c r="AX52" s="224"/>
      <c r="BI52" s="224"/>
    </row>
    <row r="53" spans="1:61">
      <c r="A53" s="227" t="s">
        <v>1211</v>
      </c>
      <c r="B53" s="495"/>
      <c r="C53" s="526"/>
      <c r="D53" s="528" t="str">
        <f>IF(VLOOKUP(20,'Plate Planning'!$A$1:$T$35,13,FALSE)=0, "", VLOOKUP(20,'Plate Planning'!$A$1:$T$35,13,FALSE))</f>
        <v/>
      </c>
      <c r="E53" s="495" t="str">
        <f>IF(VLOOKUP(20,'Plate Planning'!$A$1:$T$35,14,FALSE)=0, "", VLOOKUP(20,'Plate Planning'!$A$1:$T$35,14,FALSE))</f>
        <v/>
      </c>
      <c r="F53" s="495" t="str">
        <f>IFERROR(VLOOKUP(20,'Plate Planning'!$A$1:$T$35,18,FALSE),"")</f>
        <v/>
      </c>
      <c r="G53" s="532"/>
      <c r="H53" s="528" t="str">
        <f>IF(VLOOKUP(21,'Plate Planning'!$A$1:$T$35,13,FALSE)=0, "", VLOOKUP(21,'Plate Planning'!$A$1:$T$35,13,FALSE))</f>
        <v/>
      </c>
      <c r="I53" s="495" t="str">
        <f>IF(VLOOKUP(21,'Plate Planning'!$A$1:$T$35,14,FALSE)=0, "", VLOOKUP(21,'Plate Planning'!$A$1:$T$35,14,FALSE))</f>
        <v/>
      </c>
      <c r="J53" s="540" t="str">
        <f>IFERROR(VLOOKUP(21,'Plate Planning'!$A$1:$T$35,18,FALSE),"")</f>
        <v/>
      </c>
      <c r="K53" s="495"/>
      <c r="L53" s="495" t="str">
        <f>IF(VLOOKUP(22,'Plate Planning'!$A$1:$T$35,13,FALSE)=0, "", VLOOKUP(22,'Plate Planning'!$A$1:$T$35,13,FALSE))</f>
        <v/>
      </c>
      <c r="M53" s="495" t="str">
        <f>IF(VLOOKUP(22,'Plate Planning'!$A$1:$T$35,14,FALSE)=0, "", VLOOKUP(22,'Plate Planning'!$A$1:$T$35,14,FALSE))</f>
        <v/>
      </c>
      <c r="N53" s="495" t="str">
        <f>IFERROR(VLOOKUP(22,'Plate Planning'!$A$1:$T$35,18,FALSE),"")</f>
        <v/>
      </c>
      <c r="O53" s="495"/>
      <c r="P53" s="528" t="str">
        <f>IF(VLOOKUP(23,'Plate Planning'!$A$1:$T$35,13,FALSE)=0, "", VLOOKUP(23,'Plate Planning'!$A$1:$T$35,13,FALSE))</f>
        <v/>
      </c>
      <c r="Q53" s="495" t="str">
        <f>IF(VLOOKUP(23,'Plate Planning'!$A$1:$T$35,14,FALSE)=0, "", VLOOKUP(23,'Plate Planning'!$A$1:$T$35,14,FALSE))</f>
        <v/>
      </c>
      <c r="R53" s="528" t="str">
        <f>IFERROR(VLOOKUP(23,'Plate Planning'!$A$1:$T$35,18,FALSE),"")</f>
        <v/>
      </c>
      <c r="S53" s="495"/>
      <c r="T53" s="495" t="str">
        <f>IF(VLOOKUP(24,'Plate Planning'!$A$1:$T$35,13,FALSE)=0, "", VLOOKUP(24,'Plate Planning'!$A$1:$T$35,13,FALSE))</f>
        <v/>
      </c>
      <c r="U53" s="495" t="str">
        <f>IF(VLOOKUP(24,'Plate Planning'!$A$1:$T$35,14,FALSE)=0, "", VLOOKUP(24,'Plate Planning'!$A$1:$T$35,14,FALSE))</f>
        <v/>
      </c>
      <c r="V53" s="495"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42"/>
      <c r="AT53" s="537"/>
      <c r="AU53" s="546">
        <f t="shared" si="1"/>
        <v>0</v>
      </c>
      <c r="AX53" s="224"/>
      <c r="BI53" s="224"/>
    </row>
    <row r="54" spans="1:61">
      <c r="A54" s="227" t="s">
        <v>1212</v>
      </c>
      <c r="B54" s="495"/>
      <c r="C54" s="526"/>
      <c r="D54" s="528" t="str">
        <f>IF(VLOOKUP(20,'Plate Planning'!$A$1:$T$35,13,FALSE)=0, "", VLOOKUP(20,'Plate Planning'!$A$1:$T$35,13,FALSE))</f>
        <v/>
      </c>
      <c r="E54" s="495" t="str">
        <f>IF(VLOOKUP(20,'Plate Planning'!$A$1:$T$35,14,FALSE)=0, "", VLOOKUP(20,'Plate Planning'!$A$1:$T$35,14,FALSE))</f>
        <v/>
      </c>
      <c r="F54" s="495" t="str">
        <f>IFERROR(VLOOKUP(20,'Plate Planning'!$A$1:$T$35,18,FALSE),"")</f>
        <v/>
      </c>
      <c r="G54" s="532"/>
      <c r="H54" s="528" t="str">
        <f>IF(VLOOKUP(21,'Plate Planning'!$A$1:$T$35,13,FALSE)=0, "", VLOOKUP(21,'Plate Planning'!$A$1:$T$35,13,FALSE))</f>
        <v/>
      </c>
      <c r="I54" s="495" t="str">
        <f>IF(VLOOKUP(21,'Plate Planning'!$A$1:$T$35,14,FALSE)=0, "", VLOOKUP(21,'Plate Planning'!$A$1:$T$35,14,FALSE))</f>
        <v/>
      </c>
      <c r="J54" s="540" t="str">
        <f>IFERROR(VLOOKUP(21,'Plate Planning'!$A$1:$T$35,18,FALSE),"")</f>
        <v/>
      </c>
      <c r="K54" s="495"/>
      <c r="L54" s="495" t="str">
        <f>IF(VLOOKUP(22,'Plate Planning'!$A$1:$T$35,13,FALSE)=0, "", VLOOKUP(22,'Plate Planning'!$A$1:$T$35,13,FALSE))</f>
        <v/>
      </c>
      <c r="M54" s="495" t="str">
        <f>IF(VLOOKUP(22,'Plate Planning'!$A$1:$T$35,14,FALSE)=0, "", VLOOKUP(22,'Plate Planning'!$A$1:$T$35,14,FALSE))</f>
        <v/>
      </c>
      <c r="N54" s="495" t="str">
        <f>IFERROR(VLOOKUP(22,'Plate Planning'!$A$1:$T$35,18,FALSE),"")</f>
        <v/>
      </c>
      <c r="O54" s="495"/>
      <c r="P54" s="528" t="str">
        <f>IF(VLOOKUP(23,'Plate Planning'!$A$1:$T$35,13,FALSE)=0, "", VLOOKUP(23,'Plate Planning'!$A$1:$T$35,13,FALSE))</f>
        <v/>
      </c>
      <c r="Q54" s="495" t="str">
        <f>IF(VLOOKUP(23,'Plate Planning'!$A$1:$T$35,14,FALSE)=0, "", VLOOKUP(23,'Plate Planning'!$A$1:$T$35,14,FALSE))</f>
        <v/>
      </c>
      <c r="R54" s="528" t="str">
        <f>IFERROR(VLOOKUP(23,'Plate Planning'!$A$1:$T$35,18,FALSE),"")</f>
        <v/>
      </c>
      <c r="S54" s="495"/>
      <c r="T54" s="495" t="str">
        <f>IF(VLOOKUP(24,'Plate Planning'!$A$1:$T$35,13,FALSE)=0, "", VLOOKUP(24,'Plate Planning'!$A$1:$T$35,13,FALSE))</f>
        <v/>
      </c>
      <c r="U54" s="495" t="str">
        <f>IF(VLOOKUP(24,'Plate Planning'!$A$1:$T$35,14,FALSE)=0, "", VLOOKUP(24,'Plate Planning'!$A$1:$T$35,14,FALSE))</f>
        <v/>
      </c>
      <c r="V54" s="495"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42"/>
      <c r="AT54" s="537"/>
      <c r="AU54" s="546">
        <f t="shared" si="1"/>
        <v>0</v>
      </c>
      <c r="AX54" s="224"/>
      <c r="BI54" s="224"/>
    </row>
    <row r="55" spans="1:61">
      <c r="A55" s="227" t="s">
        <v>1213</v>
      </c>
      <c r="B55" s="495"/>
      <c r="C55" s="526"/>
      <c r="D55" s="528" t="str">
        <f>IF(VLOOKUP(20,'Plate Planning'!$A$1:$T$35,13,FALSE)=0, "", VLOOKUP(20,'Plate Planning'!$A$1:$T$35,13,FALSE))</f>
        <v/>
      </c>
      <c r="E55" s="495" t="str">
        <f>IF(VLOOKUP(20,'Plate Planning'!$A$1:$T$35,14,FALSE)=0, "", VLOOKUP(20,'Plate Planning'!$A$1:$T$35,14,FALSE))</f>
        <v/>
      </c>
      <c r="F55" s="495" t="str">
        <f>IFERROR(VLOOKUP(20,'Plate Planning'!$A$1:$T$35,18,FALSE),"")</f>
        <v/>
      </c>
      <c r="G55" s="532"/>
      <c r="H55" s="528" t="str">
        <f>IF(VLOOKUP(21,'Plate Planning'!$A$1:$T$35,13,FALSE)=0, "", VLOOKUP(21,'Plate Planning'!$A$1:$T$35,13,FALSE))</f>
        <v/>
      </c>
      <c r="I55" s="495" t="str">
        <f>IF(VLOOKUP(21,'Plate Planning'!$A$1:$T$35,14,FALSE)=0, "", VLOOKUP(21,'Plate Planning'!$A$1:$T$35,14,FALSE))</f>
        <v/>
      </c>
      <c r="J55" s="540" t="str">
        <f>IFERROR(VLOOKUP(21,'Plate Planning'!$A$1:$T$35,18,FALSE),"")</f>
        <v/>
      </c>
      <c r="K55" s="495"/>
      <c r="L55" s="495" t="str">
        <f>IF(VLOOKUP(22,'Plate Planning'!$A$1:$T$35,13,FALSE)=0, "", VLOOKUP(22,'Plate Planning'!$A$1:$T$35,13,FALSE))</f>
        <v/>
      </c>
      <c r="M55" s="495" t="str">
        <f>IF(VLOOKUP(22,'Plate Planning'!$A$1:$T$35,14,FALSE)=0, "", VLOOKUP(22,'Plate Planning'!$A$1:$T$35,14,FALSE))</f>
        <v/>
      </c>
      <c r="N55" s="495" t="str">
        <f>IFERROR(VLOOKUP(22,'Plate Planning'!$A$1:$T$35,18,FALSE),"")</f>
        <v/>
      </c>
      <c r="O55" s="495"/>
      <c r="P55" s="528" t="str">
        <f>IF(VLOOKUP(23,'Plate Planning'!$A$1:$T$35,13,FALSE)=0, "", VLOOKUP(23,'Plate Planning'!$A$1:$T$35,13,FALSE))</f>
        <v/>
      </c>
      <c r="Q55" s="495" t="str">
        <f>IF(VLOOKUP(23,'Plate Planning'!$A$1:$T$35,14,FALSE)=0, "", VLOOKUP(23,'Plate Planning'!$A$1:$T$35,14,FALSE))</f>
        <v/>
      </c>
      <c r="R55" s="528" t="str">
        <f>IFERROR(VLOOKUP(23,'Plate Planning'!$A$1:$T$35,18,FALSE),"")</f>
        <v/>
      </c>
      <c r="S55" s="495"/>
      <c r="T55" s="495" t="str">
        <f>IF(VLOOKUP(24,'Plate Planning'!$A$1:$T$35,13,FALSE)=0, "", VLOOKUP(24,'Plate Planning'!$A$1:$T$35,13,FALSE))</f>
        <v/>
      </c>
      <c r="U55" s="495" t="str">
        <f>IF(VLOOKUP(24,'Plate Planning'!$A$1:$T$35,14,FALSE)=0, "", VLOOKUP(24,'Plate Planning'!$A$1:$T$35,14,FALSE))</f>
        <v/>
      </c>
      <c r="V55" s="495"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42"/>
      <c r="AT55" s="537"/>
      <c r="AU55" s="546">
        <f t="shared" si="1"/>
        <v>0</v>
      </c>
      <c r="AX55" s="224"/>
      <c r="BI55" s="224"/>
    </row>
    <row r="56" spans="1:61">
      <c r="A56" s="227" t="s">
        <v>1214</v>
      </c>
      <c r="B56" s="495"/>
      <c r="C56" s="526"/>
      <c r="D56" s="528" t="str">
        <f>IF(VLOOKUP(20,'Plate Planning'!$A$1:$T$35,13,FALSE)=0, "", VLOOKUP(20,'Plate Planning'!$A$1:$T$35,13,FALSE))</f>
        <v/>
      </c>
      <c r="E56" s="495" t="str">
        <f>IF(VLOOKUP(20,'Plate Planning'!$A$1:$T$35,14,FALSE)=0, "", VLOOKUP(20,'Plate Planning'!$A$1:$T$35,14,FALSE))</f>
        <v/>
      </c>
      <c r="F56" s="495" t="str">
        <f>IFERROR(VLOOKUP(20,'Plate Planning'!$A$1:$T$35,18,FALSE),"")</f>
        <v/>
      </c>
      <c r="G56" s="532"/>
      <c r="H56" s="528" t="str">
        <f>IF(VLOOKUP(21,'Plate Planning'!$A$1:$T$35,13,FALSE)=0, "", VLOOKUP(21,'Plate Planning'!$A$1:$T$35,13,FALSE))</f>
        <v/>
      </c>
      <c r="I56" s="495" t="str">
        <f>IF(VLOOKUP(21,'Plate Planning'!$A$1:$T$35,14,FALSE)=0, "", VLOOKUP(21,'Plate Planning'!$A$1:$T$35,14,FALSE))</f>
        <v/>
      </c>
      <c r="J56" s="540" t="str">
        <f>IFERROR(VLOOKUP(21,'Plate Planning'!$A$1:$T$35,18,FALSE),"")</f>
        <v/>
      </c>
      <c r="K56" s="495"/>
      <c r="L56" s="495" t="str">
        <f>IF(VLOOKUP(22,'Plate Planning'!$A$1:$T$35,13,FALSE)=0, "", VLOOKUP(22,'Plate Planning'!$A$1:$T$35,13,FALSE))</f>
        <v/>
      </c>
      <c r="M56" s="495" t="str">
        <f>IF(VLOOKUP(22,'Plate Planning'!$A$1:$T$35,14,FALSE)=0, "", VLOOKUP(22,'Plate Planning'!$A$1:$T$35,14,FALSE))</f>
        <v/>
      </c>
      <c r="N56" s="495" t="str">
        <f>IFERROR(VLOOKUP(22,'Plate Planning'!$A$1:$T$35,18,FALSE),"")</f>
        <v/>
      </c>
      <c r="O56" s="495"/>
      <c r="P56" s="528" t="str">
        <f>IF(VLOOKUP(23,'Plate Planning'!$A$1:$T$35,13,FALSE)=0, "", VLOOKUP(23,'Plate Planning'!$A$1:$T$35,13,FALSE))</f>
        <v/>
      </c>
      <c r="Q56" s="495" t="str">
        <f>IF(VLOOKUP(23,'Plate Planning'!$A$1:$T$35,14,FALSE)=0, "", VLOOKUP(23,'Plate Planning'!$A$1:$T$35,14,FALSE))</f>
        <v/>
      </c>
      <c r="R56" s="528" t="str">
        <f>IFERROR(VLOOKUP(23,'Plate Planning'!$A$1:$T$35,18,FALSE),"")</f>
        <v/>
      </c>
      <c r="S56" s="495"/>
      <c r="T56" s="495" t="str">
        <f>IF(VLOOKUP(24,'Plate Planning'!$A$1:$T$35,13,FALSE)=0, "", VLOOKUP(24,'Plate Planning'!$A$1:$T$35,13,FALSE))</f>
        <v/>
      </c>
      <c r="U56" s="495" t="str">
        <f>IF(VLOOKUP(24,'Plate Planning'!$A$1:$T$35,14,FALSE)=0, "", VLOOKUP(24,'Plate Planning'!$A$1:$T$35,14,FALSE))</f>
        <v/>
      </c>
      <c r="V56" s="495"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42"/>
      <c r="AT56" s="537"/>
      <c r="AU56" s="546">
        <f t="shared" si="1"/>
        <v>0</v>
      </c>
      <c r="AX56" s="224"/>
      <c r="BI56" s="224"/>
    </row>
    <row r="57" spans="1:61">
      <c r="A57" s="227" t="s">
        <v>1215</v>
      </c>
      <c r="B57" s="495"/>
      <c r="C57" s="526"/>
      <c r="D57" s="528" t="str">
        <f>IF(VLOOKUP(20,'Plate Planning'!$A$1:$T$35,13,FALSE)=0, "", VLOOKUP(20,'Plate Planning'!$A$1:$T$35,13,FALSE))</f>
        <v/>
      </c>
      <c r="E57" s="495" t="str">
        <f>IF(VLOOKUP(20,'Plate Planning'!$A$1:$T$35,14,FALSE)=0, "", VLOOKUP(20,'Plate Planning'!$A$1:$T$35,14,FALSE))</f>
        <v/>
      </c>
      <c r="F57" s="495" t="str">
        <f>IFERROR(VLOOKUP(20,'Plate Planning'!$A$1:$T$35,18,FALSE),"")</f>
        <v/>
      </c>
      <c r="G57" s="532"/>
      <c r="H57" s="528" t="str">
        <f>IF(VLOOKUP(21,'Plate Planning'!$A$1:$T$35,13,FALSE)=0, "", VLOOKUP(21,'Plate Planning'!$A$1:$T$35,13,FALSE))</f>
        <v/>
      </c>
      <c r="I57" s="495" t="str">
        <f>IF(VLOOKUP(21,'Plate Planning'!$A$1:$T$35,14,FALSE)=0, "", VLOOKUP(21,'Plate Planning'!$A$1:$T$35,14,FALSE))</f>
        <v/>
      </c>
      <c r="J57" s="540" t="str">
        <f>IFERROR(VLOOKUP(21,'Plate Planning'!$A$1:$T$35,18,FALSE),"")</f>
        <v/>
      </c>
      <c r="K57" s="495"/>
      <c r="L57" s="495" t="str">
        <f>IF(VLOOKUP(22,'Plate Planning'!$A$1:$T$35,13,FALSE)=0, "", VLOOKUP(22,'Plate Planning'!$A$1:$T$35,13,FALSE))</f>
        <v/>
      </c>
      <c r="M57" s="495" t="str">
        <f>IF(VLOOKUP(22,'Plate Planning'!$A$1:$T$35,14,FALSE)=0, "", VLOOKUP(22,'Plate Planning'!$A$1:$T$35,14,FALSE))</f>
        <v/>
      </c>
      <c r="N57" s="495" t="str">
        <f>IFERROR(VLOOKUP(22,'Plate Planning'!$A$1:$T$35,18,FALSE),"")</f>
        <v/>
      </c>
      <c r="O57" s="495"/>
      <c r="P57" s="528" t="str">
        <f>IF(VLOOKUP(23,'Plate Planning'!$A$1:$T$35,13,FALSE)=0, "", VLOOKUP(23,'Plate Planning'!$A$1:$T$35,13,FALSE))</f>
        <v/>
      </c>
      <c r="Q57" s="495" t="str">
        <f>IF(VLOOKUP(23,'Plate Planning'!$A$1:$T$35,14,FALSE)=0, "", VLOOKUP(23,'Plate Planning'!$A$1:$T$35,14,FALSE))</f>
        <v/>
      </c>
      <c r="R57" s="528" t="str">
        <f>IFERROR(VLOOKUP(23,'Plate Planning'!$A$1:$T$35,18,FALSE),"")</f>
        <v/>
      </c>
      <c r="S57" s="495"/>
      <c r="T57" s="495" t="str">
        <f>IF(VLOOKUP(24,'Plate Planning'!$A$1:$T$35,13,FALSE)=0, "", VLOOKUP(24,'Plate Planning'!$A$1:$T$35,13,FALSE))</f>
        <v/>
      </c>
      <c r="U57" s="495" t="str">
        <f>IF(VLOOKUP(24,'Plate Planning'!$A$1:$T$35,14,FALSE)=0, "", VLOOKUP(24,'Plate Planning'!$A$1:$T$35,14,FALSE))</f>
        <v/>
      </c>
      <c r="V57" s="495"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42"/>
      <c r="AT57" s="537"/>
      <c r="AU57" s="546">
        <f t="shared" si="1"/>
        <v>0</v>
      </c>
      <c r="AX57" s="224"/>
      <c r="BI57" s="224"/>
    </row>
    <row r="58" spans="1:61">
      <c r="A58" s="227" t="s">
        <v>1216</v>
      </c>
      <c r="B58" s="495"/>
      <c r="C58" s="526"/>
      <c r="D58" s="528" t="str">
        <f>IF(VLOOKUP(20,'Plate Planning'!$A$1:$T$35,13,FALSE)=0, "", VLOOKUP(20,'Plate Planning'!$A$1:$T$35,13,FALSE))</f>
        <v/>
      </c>
      <c r="E58" s="495" t="str">
        <f>IF(VLOOKUP(20,'Plate Planning'!$A$1:$T$35,14,FALSE)=0, "", VLOOKUP(20,'Plate Planning'!$A$1:$T$35,14,FALSE))</f>
        <v/>
      </c>
      <c r="F58" s="495" t="str">
        <f>IFERROR(VLOOKUP(20,'Plate Planning'!$A$1:$T$35,18,FALSE),"")</f>
        <v/>
      </c>
      <c r="G58" s="532"/>
      <c r="H58" s="528" t="str">
        <f>IF(VLOOKUP(21,'Plate Planning'!$A$1:$T$35,13,FALSE)=0, "", VLOOKUP(21,'Plate Planning'!$A$1:$T$35,13,FALSE))</f>
        <v/>
      </c>
      <c r="I58" s="495" t="str">
        <f>IF(VLOOKUP(21,'Plate Planning'!$A$1:$T$35,14,FALSE)=0, "", VLOOKUP(21,'Plate Planning'!$A$1:$T$35,14,FALSE))</f>
        <v/>
      </c>
      <c r="J58" s="540" t="str">
        <f>IFERROR(VLOOKUP(21,'Plate Planning'!$A$1:$T$35,18,FALSE),"")</f>
        <v/>
      </c>
      <c r="K58" s="495"/>
      <c r="L58" s="495" t="str">
        <f>IF(VLOOKUP(22,'Plate Planning'!$A$1:$T$35,13,FALSE)=0, "", VLOOKUP(22,'Plate Planning'!$A$1:$T$35,13,FALSE))</f>
        <v/>
      </c>
      <c r="M58" s="495" t="str">
        <f>IF(VLOOKUP(22,'Plate Planning'!$A$1:$T$35,14,FALSE)=0, "", VLOOKUP(22,'Plate Planning'!$A$1:$T$35,14,FALSE))</f>
        <v/>
      </c>
      <c r="N58" s="495" t="str">
        <f>IFERROR(VLOOKUP(22,'Plate Planning'!$A$1:$T$35,18,FALSE),"")</f>
        <v/>
      </c>
      <c r="O58" s="495"/>
      <c r="P58" s="528" t="str">
        <f>IF(VLOOKUP(23,'Plate Planning'!$A$1:$T$35,13,FALSE)=0, "", VLOOKUP(23,'Plate Planning'!$A$1:$T$35,13,FALSE))</f>
        <v/>
      </c>
      <c r="Q58" s="495" t="str">
        <f>IF(VLOOKUP(23,'Plate Planning'!$A$1:$T$35,14,FALSE)=0, "", VLOOKUP(23,'Plate Planning'!$A$1:$T$35,14,FALSE))</f>
        <v/>
      </c>
      <c r="R58" s="528" t="str">
        <f>IFERROR(VLOOKUP(23,'Plate Planning'!$A$1:$T$35,18,FALSE),"")</f>
        <v/>
      </c>
      <c r="S58" s="495"/>
      <c r="T58" s="495" t="str">
        <f>IF(VLOOKUP(24,'Plate Planning'!$A$1:$T$35,13,FALSE)=0, "", VLOOKUP(24,'Plate Planning'!$A$1:$T$35,13,FALSE))</f>
        <v/>
      </c>
      <c r="U58" s="495" t="str">
        <f>IF(VLOOKUP(24,'Plate Planning'!$A$1:$T$35,14,FALSE)=0, "", VLOOKUP(24,'Plate Planning'!$A$1:$T$35,14,FALSE))</f>
        <v/>
      </c>
      <c r="V58" s="495"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42"/>
      <c r="AT58" s="537"/>
      <c r="AU58" s="546">
        <f t="shared" si="1"/>
        <v>0</v>
      </c>
      <c r="AX58" s="224"/>
      <c r="BI58" s="224"/>
    </row>
    <row r="59" spans="1:61">
      <c r="A59" s="227" t="s">
        <v>1217</v>
      </c>
      <c r="B59" s="495"/>
      <c r="C59" s="526"/>
      <c r="D59" s="528" t="str">
        <f>IF(VLOOKUP(20,'Plate Planning'!$A$1:$T$35,13,FALSE)=0, "", VLOOKUP(20,'Plate Planning'!$A$1:$T$35,13,FALSE))</f>
        <v/>
      </c>
      <c r="E59" s="495" t="str">
        <f>IF(VLOOKUP(20,'Plate Planning'!$A$1:$T$35,14,FALSE)=0, "", VLOOKUP(20,'Plate Planning'!$A$1:$T$35,14,FALSE))</f>
        <v/>
      </c>
      <c r="F59" s="495" t="str">
        <f>IFERROR(VLOOKUP(20,'Plate Planning'!$A$1:$T$35,18,FALSE),"")</f>
        <v/>
      </c>
      <c r="G59" s="532"/>
      <c r="H59" s="528" t="str">
        <f>IF(VLOOKUP(21,'Plate Planning'!$A$1:$T$35,13,FALSE)=0, "", VLOOKUP(21,'Plate Planning'!$A$1:$T$35,13,FALSE))</f>
        <v/>
      </c>
      <c r="I59" s="495" t="str">
        <f>IF(VLOOKUP(21,'Plate Planning'!$A$1:$T$35,14,FALSE)=0, "", VLOOKUP(21,'Plate Planning'!$A$1:$T$35,14,FALSE))</f>
        <v/>
      </c>
      <c r="J59" s="540" t="str">
        <f>IFERROR(VLOOKUP(21,'Plate Planning'!$A$1:$T$35,18,FALSE),"")</f>
        <v/>
      </c>
      <c r="K59" s="495"/>
      <c r="L59" s="495" t="str">
        <f>IF(VLOOKUP(22,'Plate Planning'!$A$1:$T$35,13,FALSE)=0, "", VLOOKUP(22,'Plate Planning'!$A$1:$T$35,13,FALSE))</f>
        <v/>
      </c>
      <c r="M59" s="495" t="str">
        <f>IF(VLOOKUP(22,'Plate Planning'!$A$1:$T$35,14,FALSE)=0, "", VLOOKUP(22,'Plate Planning'!$A$1:$T$35,14,FALSE))</f>
        <v/>
      </c>
      <c r="N59" s="495" t="str">
        <f>IFERROR(VLOOKUP(22,'Plate Planning'!$A$1:$T$35,18,FALSE),"")</f>
        <v/>
      </c>
      <c r="O59" s="495"/>
      <c r="P59" s="528" t="str">
        <f>IF(VLOOKUP(23,'Plate Planning'!$A$1:$T$35,13,FALSE)=0, "", VLOOKUP(23,'Plate Planning'!$A$1:$T$35,13,FALSE))</f>
        <v/>
      </c>
      <c r="Q59" s="495" t="str">
        <f>IF(VLOOKUP(23,'Plate Planning'!$A$1:$T$35,14,FALSE)=0, "", VLOOKUP(23,'Plate Planning'!$A$1:$T$35,14,FALSE))</f>
        <v/>
      </c>
      <c r="R59" s="528" t="str">
        <f>IFERROR(VLOOKUP(23,'Plate Planning'!$A$1:$T$35,18,FALSE),"")</f>
        <v/>
      </c>
      <c r="S59" s="495"/>
      <c r="T59" s="495" t="str">
        <f>IF(VLOOKUP(24,'Plate Planning'!$A$1:$T$35,13,FALSE)=0, "", VLOOKUP(24,'Plate Planning'!$A$1:$T$35,13,FALSE))</f>
        <v/>
      </c>
      <c r="U59" s="495" t="str">
        <f>IF(VLOOKUP(24,'Plate Planning'!$A$1:$T$35,14,FALSE)=0, "", VLOOKUP(24,'Plate Planning'!$A$1:$T$35,14,FALSE))</f>
        <v/>
      </c>
      <c r="V59" s="495"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42"/>
      <c r="AT59" s="537"/>
      <c r="AU59" s="546">
        <f t="shared" si="1"/>
        <v>0</v>
      </c>
      <c r="AX59" s="224"/>
      <c r="BI59" s="224"/>
    </row>
    <row r="60" spans="1:61">
      <c r="A60" s="227" t="s">
        <v>1218</v>
      </c>
      <c r="B60" s="495"/>
      <c r="C60" s="526"/>
      <c r="D60" s="528" t="str">
        <f>IF(VLOOKUP(20,'Plate Planning'!$A$1:$T$35,13,FALSE)=0, "", VLOOKUP(20,'Plate Planning'!$A$1:$T$35,13,FALSE))</f>
        <v/>
      </c>
      <c r="E60" s="495" t="str">
        <f>IF(VLOOKUP(20,'Plate Planning'!$A$1:$T$35,14,FALSE)=0, "", VLOOKUP(20,'Plate Planning'!$A$1:$T$35,14,FALSE))</f>
        <v/>
      </c>
      <c r="F60" s="495" t="str">
        <f>IFERROR(VLOOKUP(20,'Plate Planning'!$A$1:$T$35,18,FALSE),"")</f>
        <v/>
      </c>
      <c r="G60" s="532"/>
      <c r="H60" s="528" t="str">
        <f>IF(VLOOKUP(21,'Plate Planning'!$A$1:$T$35,13,FALSE)=0, "", VLOOKUP(21,'Plate Planning'!$A$1:$T$35,13,FALSE))</f>
        <v/>
      </c>
      <c r="I60" s="495" t="str">
        <f>IF(VLOOKUP(21,'Plate Planning'!$A$1:$T$35,14,FALSE)=0, "", VLOOKUP(21,'Plate Planning'!$A$1:$T$35,14,FALSE))</f>
        <v/>
      </c>
      <c r="J60" s="540" t="str">
        <f>IFERROR(VLOOKUP(21,'Plate Planning'!$A$1:$T$35,18,FALSE),"")</f>
        <v/>
      </c>
      <c r="K60" s="495"/>
      <c r="L60" s="495" t="str">
        <f>IF(VLOOKUP(22,'Plate Planning'!$A$1:$T$35,13,FALSE)=0, "", VLOOKUP(22,'Plate Planning'!$A$1:$T$35,13,FALSE))</f>
        <v/>
      </c>
      <c r="M60" s="495" t="str">
        <f>IF(VLOOKUP(22,'Plate Planning'!$A$1:$T$35,14,FALSE)=0, "", VLOOKUP(22,'Plate Planning'!$A$1:$T$35,14,FALSE))</f>
        <v/>
      </c>
      <c r="N60" s="495" t="str">
        <f>IFERROR(VLOOKUP(22,'Plate Planning'!$A$1:$T$35,18,FALSE),"")</f>
        <v/>
      </c>
      <c r="O60" s="495"/>
      <c r="P60" s="528" t="str">
        <f>IF(VLOOKUP(23,'Plate Planning'!$A$1:$T$35,13,FALSE)=0, "", VLOOKUP(23,'Plate Planning'!$A$1:$T$35,13,FALSE))</f>
        <v/>
      </c>
      <c r="Q60" s="495" t="str">
        <f>IF(VLOOKUP(23,'Plate Planning'!$A$1:$T$35,14,FALSE)=0, "", VLOOKUP(23,'Plate Planning'!$A$1:$T$35,14,FALSE))</f>
        <v/>
      </c>
      <c r="R60" s="528" t="str">
        <f>IFERROR(VLOOKUP(23,'Plate Planning'!$A$1:$T$35,18,FALSE),"")</f>
        <v/>
      </c>
      <c r="S60" s="495"/>
      <c r="T60" s="495" t="str">
        <f>IF(VLOOKUP(24,'Plate Planning'!$A$1:$T$35,13,FALSE)=0, "", VLOOKUP(24,'Plate Planning'!$A$1:$T$35,13,FALSE))</f>
        <v/>
      </c>
      <c r="U60" s="495" t="str">
        <f>IF(VLOOKUP(24,'Plate Planning'!$A$1:$T$35,14,FALSE)=0, "", VLOOKUP(24,'Plate Planning'!$A$1:$T$35,14,FALSE))</f>
        <v/>
      </c>
      <c r="V60" s="495"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42"/>
      <c r="AT60" s="537"/>
      <c r="AU60" s="546">
        <f t="shared" si="1"/>
        <v>0</v>
      </c>
      <c r="AX60" s="224"/>
      <c r="BI60" s="224"/>
    </row>
    <row r="61" spans="1:61">
      <c r="A61" s="227" t="s">
        <v>1219</v>
      </c>
      <c r="B61" s="495"/>
      <c r="C61" s="526"/>
      <c r="D61" s="528" t="str">
        <f>IF(VLOOKUP(20,'Plate Planning'!$A$1:$T$35,13,FALSE)=0, "", VLOOKUP(20,'Plate Planning'!$A$1:$T$35,13,FALSE))</f>
        <v/>
      </c>
      <c r="E61" s="495" t="str">
        <f>IF(VLOOKUP(20,'Plate Planning'!$A$1:$T$35,14,FALSE)=0, "", VLOOKUP(20,'Plate Planning'!$A$1:$T$35,14,FALSE))</f>
        <v/>
      </c>
      <c r="F61" s="495" t="str">
        <f>IFERROR(VLOOKUP(20,'Plate Planning'!$A$1:$T$35,18,FALSE),"")</f>
        <v/>
      </c>
      <c r="G61" s="532"/>
      <c r="H61" s="528" t="str">
        <f>IF(VLOOKUP(21,'Plate Planning'!$A$1:$T$35,13,FALSE)=0, "", VLOOKUP(21,'Plate Planning'!$A$1:$T$35,13,FALSE))</f>
        <v/>
      </c>
      <c r="I61" s="495" t="str">
        <f>IF(VLOOKUP(21,'Plate Planning'!$A$1:$T$35,14,FALSE)=0, "", VLOOKUP(21,'Plate Planning'!$A$1:$T$35,14,FALSE))</f>
        <v/>
      </c>
      <c r="J61" s="540" t="str">
        <f>IFERROR(VLOOKUP(21,'Plate Planning'!$A$1:$T$35,18,FALSE),"")</f>
        <v/>
      </c>
      <c r="K61" s="495"/>
      <c r="L61" s="495" t="str">
        <f>IF(VLOOKUP(22,'Plate Planning'!$A$1:$T$35,13,FALSE)=0, "", VLOOKUP(22,'Plate Planning'!$A$1:$T$35,13,FALSE))</f>
        <v/>
      </c>
      <c r="M61" s="495" t="str">
        <f>IF(VLOOKUP(22,'Plate Planning'!$A$1:$T$35,14,FALSE)=0, "", VLOOKUP(22,'Plate Planning'!$A$1:$T$35,14,FALSE))</f>
        <v/>
      </c>
      <c r="N61" s="495" t="str">
        <f>IFERROR(VLOOKUP(22,'Plate Planning'!$A$1:$T$35,18,FALSE),"")</f>
        <v/>
      </c>
      <c r="O61" s="495"/>
      <c r="P61" s="528" t="str">
        <f>IF(VLOOKUP(23,'Plate Planning'!$A$1:$T$35,13,FALSE)=0, "", VLOOKUP(23,'Plate Planning'!$A$1:$T$35,13,FALSE))</f>
        <v/>
      </c>
      <c r="Q61" s="495" t="str">
        <f>IF(VLOOKUP(23,'Plate Planning'!$A$1:$T$35,14,FALSE)=0, "", VLOOKUP(23,'Plate Planning'!$A$1:$T$35,14,FALSE))</f>
        <v/>
      </c>
      <c r="R61" s="528" t="str">
        <f>IFERROR(VLOOKUP(23,'Plate Planning'!$A$1:$T$35,18,FALSE),"")</f>
        <v/>
      </c>
      <c r="S61" s="495"/>
      <c r="T61" s="495" t="str">
        <f>IF(VLOOKUP(24,'Plate Planning'!$A$1:$T$35,13,FALSE)=0, "", VLOOKUP(24,'Plate Planning'!$A$1:$T$35,13,FALSE))</f>
        <v/>
      </c>
      <c r="U61" s="495" t="str">
        <f>IF(VLOOKUP(24,'Plate Planning'!$A$1:$T$35,14,FALSE)=0, "", VLOOKUP(24,'Plate Planning'!$A$1:$T$35,14,FALSE))</f>
        <v/>
      </c>
      <c r="V61" s="495"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42"/>
      <c r="AT61" s="537"/>
      <c r="AU61" s="546">
        <f t="shared" si="1"/>
        <v>0</v>
      </c>
      <c r="AX61" s="224"/>
      <c r="BI61" s="224"/>
    </row>
    <row r="62" spans="1:61">
      <c r="A62" s="227" t="s">
        <v>1220</v>
      </c>
      <c r="B62" s="495"/>
      <c r="C62" s="526"/>
      <c r="D62" s="528" t="str">
        <f>IF(VLOOKUP(20,'Plate Planning'!$A$1:$T$35,13,FALSE)=0, "", VLOOKUP(20,'Plate Planning'!$A$1:$T$35,13,FALSE))</f>
        <v/>
      </c>
      <c r="E62" s="495" t="str">
        <f>IF(VLOOKUP(20,'Plate Planning'!$A$1:$T$35,14,FALSE)=0, "", VLOOKUP(20,'Plate Planning'!$A$1:$T$35,14,FALSE))</f>
        <v/>
      </c>
      <c r="F62" s="495" t="str">
        <f>IFERROR(VLOOKUP(20,'Plate Planning'!$A$1:$T$35,18,FALSE),"")</f>
        <v/>
      </c>
      <c r="G62" s="532"/>
      <c r="H62" s="528" t="str">
        <f>IF(VLOOKUP(21,'Plate Planning'!$A$1:$T$35,13,FALSE)=0, "", VLOOKUP(21,'Plate Planning'!$A$1:$T$35,13,FALSE))</f>
        <v/>
      </c>
      <c r="I62" s="495" t="str">
        <f>IF(VLOOKUP(21,'Plate Planning'!$A$1:$T$35,14,FALSE)=0, "", VLOOKUP(21,'Plate Planning'!$A$1:$T$35,14,FALSE))</f>
        <v/>
      </c>
      <c r="J62" s="540" t="str">
        <f>IFERROR(VLOOKUP(21,'Plate Planning'!$A$1:$T$35,18,FALSE),"")</f>
        <v/>
      </c>
      <c r="K62" s="495"/>
      <c r="L62" s="495" t="str">
        <f>IF(VLOOKUP(22,'Plate Planning'!$A$1:$T$35,13,FALSE)=0, "", VLOOKUP(22,'Plate Planning'!$A$1:$T$35,13,FALSE))</f>
        <v/>
      </c>
      <c r="M62" s="495" t="str">
        <f>IF(VLOOKUP(22,'Plate Planning'!$A$1:$T$35,14,FALSE)=0, "", VLOOKUP(22,'Plate Planning'!$A$1:$T$35,14,FALSE))</f>
        <v/>
      </c>
      <c r="N62" s="495" t="str">
        <f>IFERROR(VLOOKUP(22,'Plate Planning'!$A$1:$T$35,18,FALSE),"")</f>
        <v/>
      </c>
      <c r="O62" s="495"/>
      <c r="P62" s="528" t="str">
        <f>IF(VLOOKUP(23,'Plate Planning'!$A$1:$T$35,13,FALSE)=0, "", VLOOKUP(23,'Plate Planning'!$A$1:$T$35,13,FALSE))</f>
        <v/>
      </c>
      <c r="Q62" s="495" t="str">
        <f>IF(VLOOKUP(23,'Plate Planning'!$A$1:$T$35,14,FALSE)=0, "", VLOOKUP(23,'Plate Planning'!$A$1:$T$35,14,FALSE))</f>
        <v/>
      </c>
      <c r="R62" s="528" t="str">
        <f>IFERROR(VLOOKUP(23,'Plate Planning'!$A$1:$T$35,18,FALSE),"")</f>
        <v/>
      </c>
      <c r="S62" s="495"/>
      <c r="T62" s="495" t="str">
        <f>IF(VLOOKUP(24,'Plate Planning'!$A$1:$T$35,13,FALSE)=0, "", VLOOKUP(24,'Plate Planning'!$A$1:$T$35,13,FALSE))</f>
        <v/>
      </c>
      <c r="U62" s="495" t="str">
        <f>IF(VLOOKUP(24,'Plate Planning'!$A$1:$T$35,14,FALSE)=0, "", VLOOKUP(24,'Plate Planning'!$A$1:$T$35,14,FALSE))</f>
        <v/>
      </c>
      <c r="V62" s="495"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42"/>
      <c r="AT62" s="537"/>
      <c r="AU62" s="546">
        <f t="shared" si="1"/>
        <v>0</v>
      </c>
      <c r="AX62" s="224"/>
      <c r="BI62" s="224"/>
    </row>
    <row r="63" spans="1:61">
      <c r="A63" s="227" t="s">
        <v>1221</v>
      </c>
      <c r="B63" s="495"/>
      <c r="C63" s="526"/>
      <c r="D63" s="528" t="str">
        <f>IF(VLOOKUP(20,'Plate Planning'!$A$1:$T$35,13,FALSE)=0, "", VLOOKUP(20,'Plate Planning'!$A$1:$T$35,13,FALSE))</f>
        <v/>
      </c>
      <c r="E63" s="495" t="str">
        <f>IF(VLOOKUP(20,'Plate Planning'!$A$1:$T$35,14,FALSE)=0, "", VLOOKUP(20,'Plate Planning'!$A$1:$T$35,14,FALSE))</f>
        <v/>
      </c>
      <c r="F63" s="495" t="str">
        <f>IFERROR(VLOOKUP(20,'Plate Planning'!$A$1:$T$35,18,FALSE),"")</f>
        <v/>
      </c>
      <c r="G63" s="532"/>
      <c r="H63" s="528" t="str">
        <f>IF(VLOOKUP(21,'Plate Planning'!$A$1:$T$35,13,FALSE)=0, "", VLOOKUP(21,'Plate Planning'!$A$1:$T$35,13,FALSE))</f>
        <v/>
      </c>
      <c r="I63" s="495" t="str">
        <f>IF(VLOOKUP(21,'Plate Planning'!$A$1:$T$35,14,FALSE)=0, "", VLOOKUP(21,'Plate Planning'!$A$1:$T$35,14,FALSE))</f>
        <v/>
      </c>
      <c r="J63" s="540" t="str">
        <f>IFERROR(VLOOKUP(21,'Plate Planning'!$A$1:$T$35,18,FALSE),"")</f>
        <v/>
      </c>
      <c r="K63" s="495"/>
      <c r="L63" s="495" t="str">
        <f>IF(VLOOKUP(22,'Plate Planning'!$A$1:$T$35,13,FALSE)=0, "", VLOOKUP(22,'Plate Planning'!$A$1:$T$35,13,FALSE))</f>
        <v/>
      </c>
      <c r="M63" s="495" t="str">
        <f>IF(VLOOKUP(22,'Plate Planning'!$A$1:$T$35,14,FALSE)=0, "", VLOOKUP(22,'Plate Planning'!$A$1:$T$35,14,FALSE))</f>
        <v/>
      </c>
      <c r="N63" s="495" t="str">
        <f>IFERROR(VLOOKUP(22,'Plate Planning'!$A$1:$T$35,18,FALSE),"")</f>
        <v/>
      </c>
      <c r="O63" s="495"/>
      <c r="P63" s="528" t="str">
        <f>IF(VLOOKUP(23,'Plate Planning'!$A$1:$T$35,13,FALSE)=0, "", VLOOKUP(23,'Plate Planning'!$A$1:$T$35,13,FALSE))</f>
        <v/>
      </c>
      <c r="Q63" s="495" t="str">
        <f>IF(VLOOKUP(23,'Plate Planning'!$A$1:$T$35,14,FALSE)=0, "", VLOOKUP(23,'Plate Planning'!$A$1:$T$35,14,FALSE))</f>
        <v/>
      </c>
      <c r="R63" s="528" t="str">
        <f>IFERROR(VLOOKUP(23,'Plate Planning'!$A$1:$T$35,18,FALSE),"")</f>
        <v/>
      </c>
      <c r="S63" s="495"/>
      <c r="T63" s="495" t="str">
        <f>IF(VLOOKUP(24,'Plate Planning'!$A$1:$T$35,13,FALSE)=0, "", VLOOKUP(24,'Plate Planning'!$A$1:$T$35,13,FALSE))</f>
        <v/>
      </c>
      <c r="U63" s="495" t="str">
        <f>IF(VLOOKUP(24,'Plate Planning'!$A$1:$T$35,14,FALSE)=0, "", VLOOKUP(24,'Plate Planning'!$A$1:$T$35,14,FALSE))</f>
        <v/>
      </c>
      <c r="V63" s="495"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42"/>
      <c r="AT63" s="537"/>
      <c r="AU63" s="546">
        <f t="shared" si="1"/>
        <v>0</v>
      </c>
      <c r="AX63" s="224"/>
      <c r="BI63" s="224"/>
    </row>
    <row r="64" spans="1:61">
      <c r="A64" s="227" t="s">
        <v>1222</v>
      </c>
      <c r="B64" s="495"/>
      <c r="C64" s="526"/>
      <c r="D64" s="528" t="str">
        <f>IF(VLOOKUP(20,'Plate Planning'!$A$1:$T$35,13,FALSE)=0, "", VLOOKUP(20,'Plate Planning'!$A$1:$T$35,13,FALSE))</f>
        <v/>
      </c>
      <c r="E64" s="495" t="str">
        <f>IF(VLOOKUP(20,'Plate Planning'!$A$1:$T$35,14,FALSE)=0, "", VLOOKUP(20,'Plate Planning'!$A$1:$T$35,14,FALSE))</f>
        <v/>
      </c>
      <c r="F64" s="495" t="str">
        <f>IFERROR(VLOOKUP(20,'Plate Planning'!$A$1:$T$35,18,FALSE),"")</f>
        <v/>
      </c>
      <c r="G64" s="532"/>
      <c r="H64" s="528" t="str">
        <f>IF(VLOOKUP(21,'Plate Planning'!$A$1:$T$35,13,FALSE)=0, "", VLOOKUP(21,'Plate Planning'!$A$1:$T$35,13,FALSE))</f>
        <v/>
      </c>
      <c r="I64" s="495" t="str">
        <f>IF(VLOOKUP(21,'Plate Planning'!$A$1:$T$35,14,FALSE)=0, "", VLOOKUP(21,'Plate Planning'!$A$1:$T$35,14,FALSE))</f>
        <v/>
      </c>
      <c r="J64" s="540" t="str">
        <f>IFERROR(VLOOKUP(21,'Plate Planning'!$A$1:$T$35,18,FALSE),"")</f>
        <v/>
      </c>
      <c r="K64" s="495"/>
      <c r="L64" s="495" t="str">
        <f>IF(VLOOKUP(22,'Plate Planning'!$A$1:$T$35,13,FALSE)=0, "", VLOOKUP(22,'Plate Planning'!$A$1:$T$35,13,FALSE))</f>
        <v/>
      </c>
      <c r="M64" s="495" t="str">
        <f>IF(VLOOKUP(22,'Plate Planning'!$A$1:$T$35,14,FALSE)=0, "", VLOOKUP(22,'Plate Planning'!$A$1:$T$35,14,FALSE))</f>
        <v/>
      </c>
      <c r="N64" s="495" t="str">
        <f>IFERROR(VLOOKUP(22,'Plate Planning'!$A$1:$T$35,18,FALSE),"")</f>
        <v/>
      </c>
      <c r="O64" s="495"/>
      <c r="P64" s="528" t="str">
        <f>IF(VLOOKUP(23,'Plate Planning'!$A$1:$T$35,13,FALSE)=0, "", VLOOKUP(23,'Plate Planning'!$A$1:$T$35,13,FALSE))</f>
        <v/>
      </c>
      <c r="Q64" s="495" t="str">
        <f>IF(VLOOKUP(23,'Plate Planning'!$A$1:$T$35,14,FALSE)=0, "", VLOOKUP(23,'Plate Planning'!$A$1:$T$35,14,FALSE))</f>
        <v/>
      </c>
      <c r="R64" s="528" t="str">
        <f>IFERROR(VLOOKUP(23,'Plate Planning'!$A$1:$T$35,18,FALSE),"")</f>
        <v/>
      </c>
      <c r="S64" s="495"/>
      <c r="T64" s="495" t="str">
        <f>IF(VLOOKUP(24,'Plate Planning'!$A$1:$T$35,13,FALSE)=0, "", VLOOKUP(24,'Plate Planning'!$A$1:$T$35,13,FALSE))</f>
        <v/>
      </c>
      <c r="U64" s="495" t="str">
        <f>IF(VLOOKUP(24,'Plate Planning'!$A$1:$T$35,14,FALSE)=0, "", VLOOKUP(24,'Plate Planning'!$A$1:$T$35,14,FALSE))</f>
        <v/>
      </c>
      <c r="V64" s="495"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42"/>
      <c r="AT64" s="537"/>
      <c r="AU64" s="546">
        <f t="shared" si="1"/>
        <v>0</v>
      </c>
      <c r="AX64" s="224"/>
      <c r="BI64" s="224"/>
    </row>
    <row r="65" spans="1:61">
      <c r="A65" s="227" t="s">
        <v>1223</v>
      </c>
      <c r="B65" s="495"/>
      <c r="C65" s="526"/>
      <c r="D65" s="528" t="str">
        <f>IF(VLOOKUP(20,'Plate Planning'!$A$1:$T$35,13,FALSE)=0, "", VLOOKUP(20,'Plate Planning'!$A$1:$T$35,13,FALSE))</f>
        <v/>
      </c>
      <c r="E65" s="495" t="str">
        <f>IF(VLOOKUP(20,'Plate Planning'!$A$1:$T$35,14,FALSE)=0, "", VLOOKUP(20,'Plate Planning'!$A$1:$T$35,14,FALSE))</f>
        <v/>
      </c>
      <c r="F65" s="495" t="str">
        <f>IFERROR(VLOOKUP(20,'Plate Planning'!$A$1:$T$35,18,FALSE),"")</f>
        <v/>
      </c>
      <c r="G65" s="532"/>
      <c r="H65" s="528" t="str">
        <f>IF(VLOOKUP(21,'Plate Planning'!$A$1:$T$35,13,FALSE)=0, "", VLOOKUP(21,'Plate Planning'!$A$1:$T$35,13,FALSE))</f>
        <v/>
      </c>
      <c r="I65" s="495" t="str">
        <f>IF(VLOOKUP(21,'Plate Planning'!$A$1:$T$35,14,FALSE)=0, "", VLOOKUP(21,'Plate Planning'!$A$1:$T$35,14,FALSE))</f>
        <v/>
      </c>
      <c r="J65" s="540" t="str">
        <f>IFERROR(VLOOKUP(21,'Plate Planning'!$A$1:$T$35,18,FALSE),"")</f>
        <v/>
      </c>
      <c r="K65" s="495"/>
      <c r="L65" s="495" t="str">
        <f>IF(VLOOKUP(22,'Plate Planning'!$A$1:$T$35,13,FALSE)=0, "", VLOOKUP(22,'Plate Planning'!$A$1:$T$35,13,FALSE))</f>
        <v/>
      </c>
      <c r="M65" s="495" t="str">
        <f>IF(VLOOKUP(22,'Plate Planning'!$A$1:$T$35,14,FALSE)=0, "", VLOOKUP(22,'Plate Planning'!$A$1:$T$35,14,FALSE))</f>
        <v/>
      </c>
      <c r="N65" s="495" t="str">
        <f>IFERROR(VLOOKUP(22,'Plate Planning'!$A$1:$T$35,18,FALSE),"")</f>
        <v/>
      </c>
      <c r="O65" s="495"/>
      <c r="P65" s="528" t="str">
        <f>IF(VLOOKUP(23,'Plate Planning'!$A$1:$T$35,13,FALSE)=0, "", VLOOKUP(23,'Plate Planning'!$A$1:$T$35,13,FALSE))</f>
        <v/>
      </c>
      <c r="Q65" s="495" t="str">
        <f>IF(VLOOKUP(23,'Plate Planning'!$A$1:$T$35,14,FALSE)=0, "", VLOOKUP(23,'Plate Planning'!$A$1:$T$35,14,FALSE))</f>
        <v/>
      </c>
      <c r="R65" s="528" t="str">
        <f>IFERROR(VLOOKUP(23,'Plate Planning'!$A$1:$T$35,18,FALSE),"")</f>
        <v/>
      </c>
      <c r="S65" s="495"/>
      <c r="T65" s="495" t="str">
        <f>IF(VLOOKUP(24,'Plate Planning'!$A$1:$T$35,13,FALSE)=0, "", VLOOKUP(24,'Plate Planning'!$A$1:$T$35,13,FALSE))</f>
        <v/>
      </c>
      <c r="U65" s="495" t="str">
        <f>IF(VLOOKUP(24,'Plate Planning'!$A$1:$T$35,14,FALSE)=0, "", VLOOKUP(24,'Plate Planning'!$A$1:$T$35,14,FALSE))</f>
        <v/>
      </c>
      <c r="V65" s="495"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42"/>
      <c r="AT65" s="537"/>
      <c r="AU65" s="546">
        <f t="shared" si="1"/>
        <v>0</v>
      </c>
      <c r="AX65" s="224"/>
      <c r="BI65" s="224"/>
    </row>
    <row r="66" spans="1:61">
      <c r="A66" s="227" t="s">
        <v>1224</v>
      </c>
      <c r="B66" s="495"/>
      <c r="C66" s="526"/>
      <c r="D66" s="528" t="str">
        <f>IF(VLOOKUP(20,'Plate Planning'!$A$1:$T$35,13,FALSE)=0, "", VLOOKUP(20,'Plate Planning'!$A$1:$T$35,13,FALSE))</f>
        <v/>
      </c>
      <c r="E66" s="495" t="str">
        <f>IF(VLOOKUP(20,'Plate Planning'!$A$1:$T$35,14,FALSE)=0, "", VLOOKUP(20,'Plate Planning'!$A$1:$T$35,14,FALSE))</f>
        <v/>
      </c>
      <c r="F66" s="495" t="str">
        <f>IFERROR(VLOOKUP(20,'Plate Planning'!$A$1:$T$35,18,FALSE),"")</f>
        <v/>
      </c>
      <c r="G66" s="532"/>
      <c r="H66" s="528" t="str">
        <f>IF(VLOOKUP(21,'Plate Planning'!$A$1:$T$35,13,FALSE)=0, "", VLOOKUP(21,'Plate Planning'!$A$1:$T$35,13,FALSE))</f>
        <v/>
      </c>
      <c r="I66" s="495" t="str">
        <f>IF(VLOOKUP(21,'Plate Planning'!$A$1:$T$35,14,FALSE)=0, "", VLOOKUP(21,'Plate Planning'!$A$1:$T$35,14,FALSE))</f>
        <v/>
      </c>
      <c r="J66" s="540" t="str">
        <f>IFERROR(VLOOKUP(21,'Plate Planning'!$A$1:$T$35,18,FALSE),"")</f>
        <v/>
      </c>
      <c r="K66" s="495"/>
      <c r="L66" s="495" t="str">
        <f>IF(VLOOKUP(22,'Plate Planning'!$A$1:$T$35,13,FALSE)=0, "", VLOOKUP(22,'Plate Planning'!$A$1:$T$35,13,FALSE))</f>
        <v/>
      </c>
      <c r="M66" s="495" t="str">
        <f>IF(VLOOKUP(22,'Plate Planning'!$A$1:$T$35,14,FALSE)=0, "", VLOOKUP(22,'Plate Planning'!$A$1:$T$35,14,FALSE))</f>
        <v/>
      </c>
      <c r="N66" s="495" t="str">
        <f>IFERROR(VLOOKUP(22,'Plate Planning'!$A$1:$T$35,18,FALSE),"")</f>
        <v/>
      </c>
      <c r="O66" s="495"/>
      <c r="P66" s="528" t="str">
        <f>IF(VLOOKUP(23,'Plate Planning'!$A$1:$T$35,13,FALSE)=0, "", VLOOKUP(23,'Plate Planning'!$A$1:$T$35,13,FALSE))</f>
        <v/>
      </c>
      <c r="Q66" s="495" t="str">
        <f>IF(VLOOKUP(23,'Plate Planning'!$A$1:$T$35,14,FALSE)=0, "", VLOOKUP(23,'Plate Planning'!$A$1:$T$35,14,FALSE))</f>
        <v/>
      </c>
      <c r="R66" s="528" t="str">
        <f>IFERROR(VLOOKUP(23,'Plate Planning'!$A$1:$T$35,18,FALSE),"")</f>
        <v/>
      </c>
      <c r="S66" s="495"/>
      <c r="T66" s="495" t="str">
        <f>IF(VLOOKUP(24,'Plate Planning'!$A$1:$T$35,13,FALSE)=0, "", VLOOKUP(24,'Plate Planning'!$A$1:$T$35,13,FALSE))</f>
        <v/>
      </c>
      <c r="U66" s="495" t="str">
        <f>IF(VLOOKUP(24,'Plate Planning'!$A$1:$T$35,14,FALSE)=0, "", VLOOKUP(24,'Plate Planning'!$A$1:$T$35,14,FALSE))</f>
        <v/>
      </c>
      <c r="V66" s="495"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42"/>
      <c r="AT66" s="537"/>
      <c r="AU66" s="546">
        <f t="shared" si="1"/>
        <v>0</v>
      </c>
      <c r="AX66" s="224"/>
      <c r="BI66" s="224"/>
    </row>
    <row r="67" spans="1:61">
      <c r="A67" s="227" t="s">
        <v>1225</v>
      </c>
      <c r="B67" s="495"/>
      <c r="C67" s="526"/>
      <c r="D67" s="528" t="str">
        <f>IF(VLOOKUP(20,'Plate Planning'!$A$1:$T$35,13,FALSE)=0, "", VLOOKUP(20,'Plate Planning'!$A$1:$T$35,13,FALSE))</f>
        <v/>
      </c>
      <c r="E67" s="495" t="str">
        <f>IF(VLOOKUP(20,'Plate Planning'!$A$1:$T$35,14,FALSE)=0, "", VLOOKUP(20,'Plate Planning'!$A$1:$T$35,14,FALSE))</f>
        <v/>
      </c>
      <c r="F67" s="495" t="str">
        <f>IFERROR(VLOOKUP(20,'Plate Planning'!$A$1:$T$35,18,FALSE),"")</f>
        <v/>
      </c>
      <c r="G67" s="532"/>
      <c r="H67" s="528" t="str">
        <f>IF(VLOOKUP(21,'Plate Planning'!$A$1:$T$35,13,FALSE)=0, "", VLOOKUP(21,'Plate Planning'!$A$1:$T$35,13,FALSE))</f>
        <v/>
      </c>
      <c r="I67" s="495" t="str">
        <f>IF(VLOOKUP(21,'Plate Planning'!$A$1:$T$35,14,FALSE)=0, "", VLOOKUP(21,'Plate Planning'!$A$1:$T$35,14,FALSE))</f>
        <v/>
      </c>
      <c r="J67" s="540" t="str">
        <f>IFERROR(VLOOKUP(21,'Plate Planning'!$A$1:$T$35,18,FALSE),"")</f>
        <v/>
      </c>
      <c r="K67" s="495"/>
      <c r="L67" s="495" t="str">
        <f>IF(VLOOKUP(22,'Plate Planning'!$A$1:$T$35,13,FALSE)=0, "", VLOOKUP(22,'Plate Planning'!$A$1:$T$35,13,FALSE))</f>
        <v/>
      </c>
      <c r="M67" s="495" t="str">
        <f>IF(VLOOKUP(22,'Plate Planning'!$A$1:$T$35,14,FALSE)=0, "", VLOOKUP(22,'Plate Planning'!$A$1:$T$35,14,FALSE))</f>
        <v/>
      </c>
      <c r="N67" s="495" t="str">
        <f>IFERROR(VLOOKUP(22,'Plate Planning'!$A$1:$T$35,18,FALSE),"")</f>
        <v/>
      </c>
      <c r="O67" s="495"/>
      <c r="P67" s="528" t="str">
        <f>IF(VLOOKUP(23,'Plate Planning'!$A$1:$T$35,13,FALSE)=0, "", VLOOKUP(23,'Plate Planning'!$A$1:$T$35,13,FALSE))</f>
        <v/>
      </c>
      <c r="Q67" s="495" t="str">
        <f>IF(VLOOKUP(23,'Plate Planning'!$A$1:$T$35,14,FALSE)=0, "", VLOOKUP(23,'Plate Planning'!$A$1:$T$35,14,FALSE))</f>
        <v/>
      </c>
      <c r="R67" s="528" t="str">
        <f>IFERROR(VLOOKUP(23,'Plate Planning'!$A$1:$T$35,18,FALSE),"")</f>
        <v/>
      </c>
      <c r="S67" s="495"/>
      <c r="T67" s="495" t="str">
        <f>IF(VLOOKUP(24,'Plate Planning'!$A$1:$T$35,13,FALSE)=0, "", VLOOKUP(24,'Plate Planning'!$A$1:$T$35,13,FALSE))</f>
        <v/>
      </c>
      <c r="U67" s="495" t="str">
        <f>IF(VLOOKUP(24,'Plate Planning'!$A$1:$T$35,14,FALSE)=0, "", VLOOKUP(24,'Plate Planning'!$A$1:$T$35,14,FALSE))</f>
        <v/>
      </c>
      <c r="V67" s="495"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42"/>
      <c r="AT67" s="537"/>
      <c r="AU67" s="546">
        <f t="shared" si="1"/>
        <v>0</v>
      </c>
      <c r="AX67" s="224"/>
      <c r="BI67" s="224"/>
    </row>
    <row r="68" spans="1:61">
      <c r="A68" s="227" t="s">
        <v>1226</v>
      </c>
      <c r="B68" s="495"/>
      <c r="C68" s="526"/>
      <c r="D68" s="528" t="str">
        <f>IF(VLOOKUP(20,'Plate Planning'!$A$1:$T$35,13,FALSE)=0, "", VLOOKUP(20,'Plate Planning'!$A$1:$T$35,13,FALSE))</f>
        <v/>
      </c>
      <c r="E68" s="495" t="str">
        <f>IF(VLOOKUP(20,'Plate Planning'!$A$1:$T$35,14,FALSE)=0, "", VLOOKUP(20,'Plate Planning'!$A$1:$T$35,14,FALSE))</f>
        <v/>
      </c>
      <c r="F68" s="495" t="str">
        <f>IFERROR(VLOOKUP(20,'Plate Planning'!$A$1:$T$35,18,FALSE),"")</f>
        <v/>
      </c>
      <c r="G68" s="532"/>
      <c r="H68" s="528" t="str">
        <f>IF(VLOOKUP(21,'Plate Planning'!$A$1:$T$35,13,FALSE)=0, "", VLOOKUP(21,'Plate Planning'!$A$1:$T$35,13,FALSE))</f>
        <v/>
      </c>
      <c r="I68" s="495" t="str">
        <f>IF(VLOOKUP(21,'Plate Planning'!$A$1:$T$35,14,FALSE)=0, "", VLOOKUP(21,'Plate Planning'!$A$1:$T$35,14,FALSE))</f>
        <v/>
      </c>
      <c r="J68" s="540" t="str">
        <f>IFERROR(VLOOKUP(21,'Plate Planning'!$A$1:$T$35,18,FALSE),"")</f>
        <v/>
      </c>
      <c r="K68" s="495"/>
      <c r="L68" s="495" t="str">
        <f>IF(VLOOKUP(22,'Plate Planning'!$A$1:$T$35,13,FALSE)=0, "", VLOOKUP(22,'Plate Planning'!$A$1:$T$35,13,FALSE))</f>
        <v/>
      </c>
      <c r="M68" s="495" t="str">
        <f>IF(VLOOKUP(22,'Plate Planning'!$A$1:$T$35,14,FALSE)=0, "", VLOOKUP(22,'Plate Planning'!$A$1:$T$35,14,FALSE))</f>
        <v/>
      </c>
      <c r="N68" s="495" t="str">
        <f>IFERROR(VLOOKUP(22,'Plate Planning'!$A$1:$T$35,18,FALSE),"")</f>
        <v/>
      </c>
      <c r="O68" s="495"/>
      <c r="P68" s="528" t="str">
        <f>IF(VLOOKUP(23,'Plate Planning'!$A$1:$T$35,13,FALSE)=0, "", VLOOKUP(23,'Plate Planning'!$A$1:$T$35,13,FALSE))</f>
        <v/>
      </c>
      <c r="Q68" s="495" t="str">
        <f>IF(VLOOKUP(23,'Plate Planning'!$A$1:$T$35,14,FALSE)=0, "", VLOOKUP(23,'Plate Planning'!$A$1:$T$35,14,FALSE))</f>
        <v/>
      </c>
      <c r="R68" s="528" t="str">
        <f>IFERROR(VLOOKUP(23,'Plate Planning'!$A$1:$T$35,18,FALSE),"")</f>
        <v/>
      </c>
      <c r="S68" s="495"/>
      <c r="T68" s="495" t="str">
        <f>IF(VLOOKUP(24,'Plate Planning'!$A$1:$T$35,13,FALSE)=0, "", VLOOKUP(24,'Plate Planning'!$A$1:$T$35,13,FALSE))</f>
        <v/>
      </c>
      <c r="U68" s="495" t="str">
        <f>IF(VLOOKUP(24,'Plate Planning'!$A$1:$T$35,14,FALSE)=0, "", VLOOKUP(24,'Plate Planning'!$A$1:$T$35,14,FALSE))</f>
        <v/>
      </c>
      <c r="V68" s="495"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42"/>
      <c r="AT68" s="537"/>
      <c r="AU68" s="546">
        <f t="shared" ref="AU68:AU99" si="2">B68-C68-AR68-AS68-AT68</f>
        <v>0</v>
      </c>
      <c r="AX68" s="224"/>
      <c r="BI68" s="224"/>
    </row>
    <row r="69" spans="1:61">
      <c r="A69" s="227" t="s">
        <v>1227</v>
      </c>
      <c r="B69" s="495"/>
      <c r="C69" s="526"/>
      <c r="D69" s="528" t="str">
        <f>IF(VLOOKUP(20,'Plate Planning'!$A$1:$T$35,13,FALSE)=0, "", VLOOKUP(20,'Plate Planning'!$A$1:$T$35,13,FALSE))</f>
        <v/>
      </c>
      <c r="E69" s="495" t="str">
        <f>IF(VLOOKUP(20,'Plate Planning'!$A$1:$T$35,14,FALSE)=0, "", VLOOKUP(20,'Plate Planning'!$A$1:$T$35,14,FALSE))</f>
        <v/>
      </c>
      <c r="F69" s="495" t="str">
        <f>IFERROR(VLOOKUP(20,'Plate Planning'!$A$1:$T$35,18,FALSE),"")</f>
        <v/>
      </c>
      <c r="G69" s="532"/>
      <c r="H69" s="528" t="str">
        <f>IF(VLOOKUP(21,'Plate Planning'!$A$1:$T$35,13,FALSE)=0, "", VLOOKUP(21,'Plate Planning'!$A$1:$T$35,13,FALSE))</f>
        <v/>
      </c>
      <c r="I69" s="495" t="str">
        <f>IF(VLOOKUP(21,'Plate Planning'!$A$1:$T$35,14,FALSE)=0, "", VLOOKUP(21,'Plate Planning'!$A$1:$T$35,14,FALSE))</f>
        <v/>
      </c>
      <c r="J69" s="540" t="str">
        <f>IFERROR(VLOOKUP(21,'Plate Planning'!$A$1:$T$35,18,FALSE),"")</f>
        <v/>
      </c>
      <c r="K69" s="495"/>
      <c r="L69" s="495" t="str">
        <f>IF(VLOOKUP(22,'Plate Planning'!$A$1:$T$35,13,FALSE)=0, "", VLOOKUP(22,'Plate Planning'!$A$1:$T$35,13,FALSE))</f>
        <v/>
      </c>
      <c r="M69" s="495" t="str">
        <f>IF(VLOOKUP(22,'Plate Planning'!$A$1:$T$35,14,FALSE)=0, "", VLOOKUP(22,'Plate Planning'!$A$1:$T$35,14,FALSE))</f>
        <v/>
      </c>
      <c r="N69" s="495" t="str">
        <f>IFERROR(VLOOKUP(22,'Plate Planning'!$A$1:$T$35,18,FALSE),"")</f>
        <v/>
      </c>
      <c r="O69" s="495"/>
      <c r="P69" s="528" t="str">
        <f>IF(VLOOKUP(23,'Plate Planning'!$A$1:$T$35,13,FALSE)=0, "", VLOOKUP(23,'Plate Planning'!$A$1:$T$35,13,FALSE))</f>
        <v/>
      </c>
      <c r="Q69" s="495" t="str">
        <f>IF(VLOOKUP(23,'Plate Planning'!$A$1:$T$35,14,FALSE)=0, "", VLOOKUP(23,'Plate Planning'!$A$1:$T$35,14,FALSE))</f>
        <v/>
      </c>
      <c r="R69" s="528" t="str">
        <f>IFERROR(VLOOKUP(23,'Plate Planning'!$A$1:$T$35,18,FALSE),"")</f>
        <v/>
      </c>
      <c r="S69" s="495"/>
      <c r="T69" s="495" t="str">
        <f>IF(VLOOKUP(24,'Plate Planning'!$A$1:$T$35,13,FALSE)=0, "", VLOOKUP(24,'Plate Planning'!$A$1:$T$35,13,FALSE))</f>
        <v/>
      </c>
      <c r="U69" s="495" t="str">
        <f>IF(VLOOKUP(24,'Plate Planning'!$A$1:$T$35,14,FALSE)=0, "", VLOOKUP(24,'Plate Planning'!$A$1:$T$35,14,FALSE))</f>
        <v/>
      </c>
      <c r="V69" s="495"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42"/>
      <c r="AT69" s="537"/>
      <c r="AU69" s="546">
        <f t="shared" si="2"/>
        <v>0</v>
      </c>
      <c r="AX69" s="224"/>
      <c r="BI69" s="224"/>
    </row>
    <row r="70" spans="1:61">
      <c r="A70" s="227" t="s">
        <v>1228</v>
      </c>
      <c r="B70" s="495"/>
      <c r="C70" s="526"/>
      <c r="D70" s="528" t="str">
        <f>IF(VLOOKUP(20,'Plate Planning'!$A$1:$T$35,13,FALSE)=0, "", VLOOKUP(20,'Plate Planning'!$A$1:$T$35,13,FALSE))</f>
        <v/>
      </c>
      <c r="E70" s="495" t="str">
        <f>IF(VLOOKUP(20,'Plate Planning'!$A$1:$T$35,14,FALSE)=0, "", VLOOKUP(20,'Plate Planning'!$A$1:$T$35,14,FALSE))</f>
        <v/>
      </c>
      <c r="F70" s="495" t="str">
        <f>IFERROR(VLOOKUP(20,'Plate Planning'!$A$1:$T$35,18,FALSE),"")</f>
        <v/>
      </c>
      <c r="G70" s="532"/>
      <c r="H70" s="528" t="str">
        <f>IF(VLOOKUP(21,'Plate Planning'!$A$1:$T$35,13,FALSE)=0, "", VLOOKUP(21,'Plate Planning'!$A$1:$T$35,13,FALSE))</f>
        <v/>
      </c>
      <c r="I70" s="495" t="str">
        <f>IF(VLOOKUP(21,'Plate Planning'!$A$1:$T$35,14,FALSE)=0, "", VLOOKUP(21,'Plate Planning'!$A$1:$T$35,14,FALSE))</f>
        <v/>
      </c>
      <c r="J70" s="540" t="str">
        <f>IFERROR(VLOOKUP(21,'Plate Planning'!$A$1:$T$35,18,FALSE),"")</f>
        <v/>
      </c>
      <c r="K70" s="495"/>
      <c r="L70" s="495" t="str">
        <f>IF(VLOOKUP(22,'Plate Planning'!$A$1:$T$35,13,FALSE)=0, "", VLOOKUP(22,'Plate Planning'!$A$1:$T$35,13,FALSE))</f>
        <v/>
      </c>
      <c r="M70" s="495" t="str">
        <f>IF(VLOOKUP(22,'Plate Planning'!$A$1:$T$35,14,FALSE)=0, "", VLOOKUP(22,'Plate Planning'!$A$1:$T$35,14,FALSE))</f>
        <v/>
      </c>
      <c r="N70" s="495" t="str">
        <f>IFERROR(VLOOKUP(22,'Plate Planning'!$A$1:$T$35,18,FALSE),"")</f>
        <v/>
      </c>
      <c r="O70" s="495"/>
      <c r="P70" s="528" t="str">
        <f>IF(VLOOKUP(23,'Plate Planning'!$A$1:$T$35,13,FALSE)=0, "", VLOOKUP(23,'Plate Planning'!$A$1:$T$35,13,FALSE))</f>
        <v/>
      </c>
      <c r="Q70" s="495" t="str">
        <f>IF(VLOOKUP(23,'Plate Planning'!$A$1:$T$35,14,FALSE)=0, "", VLOOKUP(23,'Plate Planning'!$A$1:$T$35,14,FALSE))</f>
        <v/>
      </c>
      <c r="R70" s="528" t="str">
        <f>IFERROR(VLOOKUP(23,'Plate Planning'!$A$1:$T$35,18,FALSE),"")</f>
        <v/>
      </c>
      <c r="S70" s="495"/>
      <c r="T70" s="495" t="str">
        <f>IF(VLOOKUP(24,'Plate Planning'!$A$1:$T$35,13,FALSE)=0, "", VLOOKUP(24,'Plate Planning'!$A$1:$T$35,13,FALSE))</f>
        <v/>
      </c>
      <c r="U70" s="495" t="str">
        <f>IF(VLOOKUP(24,'Plate Planning'!$A$1:$T$35,14,FALSE)=0, "", VLOOKUP(24,'Plate Planning'!$A$1:$T$35,14,FALSE))</f>
        <v/>
      </c>
      <c r="V70" s="495"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42"/>
      <c r="AT70" s="537"/>
      <c r="AU70" s="546">
        <f t="shared" si="2"/>
        <v>0</v>
      </c>
      <c r="AX70" s="224"/>
      <c r="BI70" s="224"/>
    </row>
    <row r="71" spans="1:61">
      <c r="A71" s="227" t="s">
        <v>1229</v>
      </c>
      <c r="B71" s="495"/>
      <c r="C71" s="526"/>
      <c r="D71" s="528" t="str">
        <f>IF(VLOOKUP(20,'Plate Planning'!$A$1:$T$35,13,FALSE)=0, "", VLOOKUP(20,'Plate Planning'!$A$1:$T$35,13,FALSE))</f>
        <v/>
      </c>
      <c r="E71" s="495" t="str">
        <f>IF(VLOOKUP(20,'Plate Planning'!$A$1:$T$35,14,FALSE)=0, "", VLOOKUP(20,'Plate Planning'!$A$1:$T$35,14,FALSE))</f>
        <v/>
      </c>
      <c r="F71" s="495" t="str">
        <f>IFERROR(VLOOKUP(20,'Plate Planning'!$A$1:$T$35,18,FALSE),"")</f>
        <v/>
      </c>
      <c r="G71" s="532"/>
      <c r="H71" s="528" t="str">
        <f>IF(VLOOKUP(21,'Plate Planning'!$A$1:$T$35,13,FALSE)=0, "", VLOOKUP(21,'Plate Planning'!$A$1:$T$35,13,FALSE))</f>
        <v/>
      </c>
      <c r="I71" s="495" t="str">
        <f>IF(VLOOKUP(21,'Plate Planning'!$A$1:$T$35,14,FALSE)=0, "", VLOOKUP(21,'Plate Planning'!$A$1:$T$35,14,FALSE))</f>
        <v/>
      </c>
      <c r="J71" s="540" t="str">
        <f>IFERROR(VLOOKUP(21,'Plate Planning'!$A$1:$T$35,18,FALSE),"")</f>
        <v/>
      </c>
      <c r="K71" s="495"/>
      <c r="L71" s="495" t="str">
        <f>IF(VLOOKUP(22,'Plate Planning'!$A$1:$T$35,13,FALSE)=0, "", VLOOKUP(22,'Plate Planning'!$A$1:$T$35,13,FALSE))</f>
        <v/>
      </c>
      <c r="M71" s="495" t="str">
        <f>IF(VLOOKUP(22,'Plate Planning'!$A$1:$T$35,14,FALSE)=0, "", VLOOKUP(22,'Plate Planning'!$A$1:$T$35,14,FALSE))</f>
        <v/>
      </c>
      <c r="N71" s="495" t="str">
        <f>IFERROR(VLOOKUP(22,'Plate Planning'!$A$1:$T$35,18,FALSE),"")</f>
        <v/>
      </c>
      <c r="O71" s="495"/>
      <c r="P71" s="528" t="str">
        <f>IF(VLOOKUP(23,'Plate Planning'!$A$1:$T$35,13,FALSE)=0, "", VLOOKUP(23,'Plate Planning'!$A$1:$T$35,13,FALSE))</f>
        <v/>
      </c>
      <c r="Q71" s="495" t="str">
        <f>IF(VLOOKUP(23,'Plate Planning'!$A$1:$T$35,14,FALSE)=0, "", VLOOKUP(23,'Plate Planning'!$A$1:$T$35,14,FALSE))</f>
        <v/>
      </c>
      <c r="R71" s="528" t="str">
        <f>IFERROR(VLOOKUP(23,'Plate Planning'!$A$1:$T$35,18,FALSE),"")</f>
        <v/>
      </c>
      <c r="S71" s="495"/>
      <c r="T71" s="495" t="str">
        <f>IF(VLOOKUP(24,'Plate Planning'!$A$1:$T$35,13,FALSE)=0, "", VLOOKUP(24,'Plate Planning'!$A$1:$T$35,13,FALSE))</f>
        <v/>
      </c>
      <c r="U71" s="495" t="str">
        <f>IF(VLOOKUP(24,'Plate Planning'!$A$1:$T$35,14,FALSE)=0, "", VLOOKUP(24,'Plate Planning'!$A$1:$T$35,14,FALSE))</f>
        <v/>
      </c>
      <c r="V71" s="495"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42"/>
      <c r="AT71" s="537"/>
      <c r="AU71" s="546">
        <f t="shared" si="2"/>
        <v>0</v>
      </c>
      <c r="AX71" s="224"/>
      <c r="BI71" s="224"/>
    </row>
    <row r="72" spans="1:61">
      <c r="A72" s="227" t="s">
        <v>1230</v>
      </c>
      <c r="B72" s="495"/>
      <c r="C72" s="526"/>
      <c r="D72" s="528" t="str">
        <f>IF(VLOOKUP(20,'Plate Planning'!$A$1:$T$35,13,FALSE)=0, "", VLOOKUP(20,'Plate Planning'!$A$1:$T$35,13,FALSE))</f>
        <v/>
      </c>
      <c r="E72" s="495" t="str">
        <f>IF(VLOOKUP(20,'Plate Planning'!$A$1:$T$35,14,FALSE)=0, "", VLOOKUP(20,'Plate Planning'!$A$1:$T$35,14,FALSE))</f>
        <v/>
      </c>
      <c r="F72" s="495" t="str">
        <f>IFERROR(VLOOKUP(20,'Plate Planning'!$A$1:$T$35,18,FALSE),"")</f>
        <v/>
      </c>
      <c r="G72" s="532"/>
      <c r="H72" s="528" t="str">
        <f>IF(VLOOKUP(21,'Plate Planning'!$A$1:$T$35,13,FALSE)=0, "", VLOOKUP(21,'Plate Planning'!$A$1:$T$35,13,FALSE))</f>
        <v/>
      </c>
      <c r="I72" s="495" t="str">
        <f>IF(VLOOKUP(21,'Plate Planning'!$A$1:$T$35,14,FALSE)=0, "", VLOOKUP(21,'Plate Planning'!$A$1:$T$35,14,FALSE))</f>
        <v/>
      </c>
      <c r="J72" s="540" t="str">
        <f>IFERROR(VLOOKUP(21,'Plate Planning'!$A$1:$T$35,18,FALSE),"")</f>
        <v/>
      </c>
      <c r="K72" s="495"/>
      <c r="L72" s="495" t="str">
        <f>IF(VLOOKUP(22,'Plate Planning'!$A$1:$T$35,13,FALSE)=0, "", VLOOKUP(22,'Plate Planning'!$A$1:$T$35,13,FALSE))</f>
        <v/>
      </c>
      <c r="M72" s="495" t="str">
        <f>IF(VLOOKUP(22,'Plate Planning'!$A$1:$T$35,14,FALSE)=0, "", VLOOKUP(22,'Plate Planning'!$A$1:$T$35,14,FALSE))</f>
        <v/>
      </c>
      <c r="N72" s="495" t="str">
        <f>IFERROR(VLOOKUP(22,'Plate Planning'!$A$1:$T$35,18,FALSE),"")</f>
        <v/>
      </c>
      <c r="O72" s="495"/>
      <c r="P72" s="528" t="str">
        <f>IF(VLOOKUP(23,'Plate Planning'!$A$1:$T$35,13,FALSE)=0, "", VLOOKUP(23,'Plate Planning'!$A$1:$T$35,13,FALSE))</f>
        <v/>
      </c>
      <c r="Q72" s="495" t="str">
        <f>IF(VLOOKUP(23,'Plate Planning'!$A$1:$T$35,14,FALSE)=0, "", VLOOKUP(23,'Plate Planning'!$A$1:$T$35,14,FALSE))</f>
        <v/>
      </c>
      <c r="R72" s="528" t="str">
        <f>IFERROR(VLOOKUP(23,'Plate Planning'!$A$1:$T$35,18,FALSE),"")</f>
        <v/>
      </c>
      <c r="S72" s="495"/>
      <c r="T72" s="495" t="str">
        <f>IF(VLOOKUP(24,'Plate Planning'!$A$1:$T$35,13,FALSE)=0, "", VLOOKUP(24,'Plate Planning'!$A$1:$T$35,13,FALSE))</f>
        <v/>
      </c>
      <c r="U72" s="495" t="str">
        <f>IF(VLOOKUP(24,'Plate Planning'!$A$1:$T$35,14,FALSE)=0, "", VLOOKUP(24,'Plate Planning'!$A$1:$T$35,14,FALSE))</f>
        <v/>
      </c>
      <c r="V72" s="495"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42"/>
      <c r="AT72" s="537"/>
      <c r="AU72" s="546">
        <f t="shared" si="2"/>
        <v>0</v>
      </c>
      <c r="AX72" s="224"/>
      <c r="BI72" s="224"/>
    </row>
    <row r="73" spans="1:61">
      <c r="A73" s="227" t="s">
        <v>1231</v>
      </c>
      <c r="B73" s="495"/>
      <c r="C73" s="526"/>
      <c r="D73" s="528" t="str">
        <f>IF(VLOOKUP(20,'Plate Planning'!$A$1:$T$35,13,FALSE)=0, "", VLOOKUP(20,'Plate Planning'!$A$1:$T$35,13,FALSE))</f>
        <v/>
      </c>
      <c r="E73" s="495" t="str">
        <f>IF(VLOOKUP(20,'Plate Planning'!$A$1:$T$35,14,FALSE)=0, "", VLOOKUP(20,'Plate Planning'!$A$1:$T$35,14,FALSE))</f>
        <v/>
      </c>
      <c r="F73" s="495" t="str">
        <f>IFERROR(VLOOKUP(20,'Plate Planning'!$A$1:$T$35,18,FALSE),"")</f>
        <v/>
      </c>
      <c r="G73" s="532"/>
      <c r="H73" s="528" t="str">
        <f>IF(VLOOKUP(21,'Plate Planning'!$A$1:$T$35,13,FALSE)=0, "", VLOOKUP(21,'Plate Planning'!$A$1:$T$35,13,FALSE))</f>
        <v/>
      </c>
      <c r="I73" s="495" t="str">
        <f>IF(VLOOKUP(21,'Plate Planning'!$A$1:$T$35,14,FALSE)=0, "", VLOOKUP(21,'Plate Planning'!$A$1:$T$35,14,FALSE))</f>
        <v/>
      </c>
      <c r="J73" s="540" t="str">
        <f>IFERROR(VLOOKUP(21,'Plate Planning'!$A$1:$T$35,18,FALSE),"")</f>
        <v/>
      </c>
      <c r="K73" s="495"/>
      <c r="L73" s="495" t="str">
        <f>IF(VLOOKUP(22,'Plate Planning'!$A$1:$T$35,13,FALSE)=0, "", VLOOKUP(22,'Plate Planning'!$A$1:$T$35,13,FALSE))</f>
        <v/>
      </c>
      <c r="M73" s="495" t="str">
        <f>IF(VLOOKUP(22,'Plate Planning'!$A$1:$T$35,14,FALSE)=0, "", VLOOKUP(22,'Plate Planning'!$A$1:$T$35,14,FALSE))</f>
        <v/>
      </c>
      <c r="N73" s="495" t="str">
        <f>IFERROR(VLOOKUP(22,'Plate Planning'!$A$1:$T$35,18,FALSE),"")</f>
        <v/>
      </c>
      <c r="O73" s="495"/>
      <c r="P73" s="528" t="str">
        <f>IF(VLOOKUP(23,'Plate Planning'!$A$1:$T$35,13,FALSE)=0, "", VLOOKUP(23,'Plate Planning'!$A$1:$T$35,13,FALSE))</f>
        <v/>
      </c>
      <c r="Q73" s="495" t="str">
        <f>IF(VLOOKUP(23,'Plate Planning'!$A$1:$T$35,14,FALSE)=0, "", VLOOKUP(23,'Plate Planning'!$A$1:$T$35,14,FALSE))</f>
        <v/>
      </c>
      <c r="R73" s="528" t="str">
        <f>IFERROR(VLOOKUP(23,'Plate Planning'!$A$1:$T$35,18,FALSE),"")</f>
        <v/>
      </c>
      <c r="S73" s="495"/>
      <c r="T73" s="495" t="str">
        <f>IF(VLOOKUP(24,'Plate Planning'!$A$1:$T$35,13,FALSE)=0, "", VLOOKUP(24,'Plate Planning'!$A$1:$T$35,13,FALSE))</f>
        <v/>
      </c>
      <c r="U73" s="495" t="str">
        <f>IF(VLOOKUP(24,'Plate Planning'!$A$1:$T$35,14,FALSE)=0, "", VLOOKUP(24,'Plate Planning'!$A$1:$T$35,14,FALSE))</f>
        <v/>
      </c>
      <c r="V73" s="495"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42"/>
      <c r="AT73" s="537"/>
      <c r="AU73" s="546">
        <f t="shared" si="2"/>
        <v>0</v>
      </c>
      <c r="AX73" s="224"/>
      <c r="BI73" s="224"/>
    </row>
    <row r="74" spans="1:61">
      <c r="A74" s="227" t="s">
        <v>1232</v>
      </c>
      <c r="B74" s="495"/>
      <c r="C74" s="526"/>
      <c r="D74" s="528" t="str">
        <f>IF(VLOOKUP(20,'Plate Planning'!$A$1:$T$35,13,FALSE)=0, "", VLOOKUP(20,'Plate Planning'!$A$1:$T$35,13,FALSE))</f>
        <v/>
      </c>
      <c r="E74" s="495" t="str">
        <f>IF(VLOOKUP(20,'Plate Planning'!$A$1:$T$35,14,FALSE)=0, "", VLOOKUP(20,'Plate Planning'!$A$1:$T$35,14,FALSE))</f>
        <v/>
      </c>
      <c r="F74" s="495" t="str">
        <f>IFERROR(VLOOKUP(20,'Plate Planning'!$A$1:$T$35,18,FALSE),"")</f>
        <v/>
      </c>
      <c r="G74" s="532"/>
      <c r="H74" s="528" t="str">
        <f>IF(VLOOKUP(21,'Plate Planning'!$A$1:$T$35,13,FALSE)=0, "", VLOOKUP(21,'Plate Planning'!$A$1:$T$35,13,FALSE))</f>
        <v/>
      </c>
      <c r="I74" s="495" t="str">
        <f>IF(VLOOKUP(21,'Plate Planning'!$A$1:$T$35,14,FALSE)=0, "", VLOOKUP(21,'Plate Planning'!$A$1:$T$35,14,FALSE))</f>
        <v/>
      </c>
      <c r="J74" s="540" t="str">
        <f>IFERROR(VLOOKUP(21,'Plate Planning'!$A$1:$T$35,18,FALSE),"")</f>
        <v/>
      </c>
      <c r="K74" s="495"/>
      <c r="L74" s="495" t="str">
        <f>IF(VLOOKUP(22,'Plate Planning'!$A$1:$T$35,13,FALSE)=0, "", VLOOKUP(22,'Plate Planning'!$A$1:$T$35,13,FALSE))</f>
        <v/>
      </c>
      <c r="M74" s="495" t="str">
        <f>IF(VLOOKUP(22,'Plate Planning'!$A$1:$T$35,14,FALSE)=0, "", VLOOKUP(22,'Plate Planning'!$A$1:$T$35,14,FALSE))</f>
        <v/>
      </c>
      <c r="N74" s="495" t="str">
        <f>IFERROR(VLOOKUP(22,'Plate Planning'!$A$1:$T$35,18,FALSE),"")</f>
        <v/>
      </c>
      <c r="O74" s="495"/>
      <c r="P74" s="528" t="str">
        <f>IF(VLOOKUP(23,'Plate Planning'!$A$1:$T$35,13,FALSE)=0, "", VLOOKUP(23,'Plate Planning'!$A$1:$T$35,13,FALSE))</f>
        <v/>
      </c>
      <c r="Q74" s="495" t="str">
        <f>IF(VLOOKUP(23,'Plate Planning'!$A$1:$T$35,14,FALSE)=0, "", VLOOKUP(23,'Plate Planning'!$A$1:$T$35,14,FALSE))</f>
        <v/>
      </c>
      <c r="R74" s="528" t="str">
        <f>IFERROR(VLOOKUP(23,'Plate Planning'!$A$1:$T$35,18,FALSE),"")</f>
        <v/>
      </c>
      <c r="S74" s="495"/>
      <c r="T74" s="495" t="str">
        <f>IF(VLOOKUP(24,'Plate Planning'!$A$1:$T$35,13,FALSE)=0, "", VLOOKUP(24,'Plate Planning'!$A$1:$T$35,13,FALSE))</f>
        <v/>
      </c>
      <c r="U74" s="495" t="str">
        <f>IF(VLOOKUP(24,'Plate Planning'!$A$1:$T$35,14,FALSE)=0, "", VLOOKUP(24,'Plate Planning'!$A$1:$T$35,14,FALSE))</f>
        <v/>
      </c>
      <c r="V74" s="495"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42"/>
      <c r="AT74" s="537"/>
      <c r="AU74" s="546">
        <f t="shared" si="2"/>
        <v>0</v>
      </c>
      <c r="AX74" s="224"/>
      <c r="BI74" s="224"/>
    </row>
    <row r="75" spans="1:61">
      <c r="A75" s="227" t="s">
        <v>1233</v>
      </c>
      <c r="B75" s="495"/>
      <c r="C75" s="526"/>
      <c r="D75" s="528" t="str">
        <f>IF(VLOOKUP(20,'Plate Planning'!$A$1:$T$35,13,FALSE)=0, "", VLOOKUP(20,'Plate Planning'!$A$1:$T$35,13,FALSE))</f>
        <v/>
      </c>
      <c r="E75" s="495" t="str">
        <f>IF(VLOOKUP(20,'Plate Planning'!$A$1:$T$35,14,FALSE)=0, "", VLOOKUP(20,'Plate Planning'!$A$1:$T$35,14,FALSE))</f>
        <v/>
      </c>
      <c r="F75" s="495" t="str">
        <f>IFERROR(VLOOKUP(20,'Plate Planning'!$A$1:$T$35,18,FALSE),"")</f>
        <v/>
      </c>
      <c r="G75" s="532"/>
      <c r="H75" s="528" t="str">
        <f>IF(VLOOKUP(21,'Plate Planning'!$A$1:$T$35,13,FALSE)=0, "", VLOOKUP(21,'Plate Planning'!$A$1:$T$35,13,FALSE))</f>
        <v/>
      </c>
      <c r="I75" s="495" t="str">
        <f>IF(VLOOKUP(21,'Plate Planning'!$A$1:$T$35,14,FALSE)=0, "", VLOOKUP(21,'Plate Planning'!$A$1:$T$35,14,FALSE))</f>
        <v/>
      </c>
      <c r="J75" s="540" t="str">
        <f>IFERROR(VLOOKUP(21,'Plate Planning'!$A$1:$T$35,18,FALSE),"")</f>
        <v/>
      </c>
      <c r="K75" s="495"/>
      <c r="L75" s="495" t="str">
        <f>IF(VLOOKUP(22,'Plate Planning'!$A$1:$T$35,13,FALSE)=0, "", VLOOKUP(22,'Plate Planning'!$A$1:$T$35,13,FALSE))</f>
        <v/>
      </c>
      <c r="M75" s="495" t="str">
        <f>IF(VLOOKUP(22,'Plate Planning'!$A$1:$T$35,14,FALSE)=0, "", VLOOKUP(22,'Plate Planning'!$A$1:$T$35,14,FALSE))</f>
        <v/>
      </c>
      <c r="N75" s="495" t="str">
        <f>IFERROR(VLOOKUP(22,'Plate Planning'!$A$1:$T$35,18,FALSE),"")</f>
        <v/>
      </c>
      <c r="O75" s="495"/>
      <c r="P75" s="528" t="str">
        <f>IF(VLOOKUP(23,'Plate Planning'!$A$1:$T$35,13,FALSE)=0, "", VLOOKUP(23,'Plate Planning'!$A$1:$T$35,13,FALSE))</f>
        <v/>
      </c>
      <c r="Q75" s="495" t="str">
        <f>IF(VLOOKUP(23,'Plate Planning'!$A$1:$T$35,14,FALSE)=0, "", VLOOKUP(23,'Plate Planning'!$A$1:$T$35,14,FALSE))</f>
        <v/>
      </c>
      <c r="R75" s="528" t="str">
        <f>IFERROR(VLOOKUP(23,'Plate Planning'!$A$1:$T$35,18,FALSE),"")</f>
        <v/>
      </c>
      <c r="S75" s="495"/>
      <c r="T75" s="495" t="str">
        <f>IF(VLOOKUP(24,'Plate Planning'!$A$1:$T$35,13,FALSE)=0, "", VLOOKUP(24,'Plate Planning'!$A$1:$T$35,13,FALSE))</f>
        <v/>
      </c>
      <c r="U75" s="495" t="str">
        <f>IF(VLOOKUP(24,'Plate Planning'!$A$1:$T$35,14,FALSE)=0, "", VLOOKUP(24,'Plate Planning'!$A$1:$T$35,14,FALSE))</f>
        <v/>
      </c>
      <c r="V75" s="495"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42"/>
      <c r="AT75" s="537"/>
      <c r="AU75" s="546">
        <f t="shared" si="2"/>
        <v>0</v>
      </c>
      <c r="AX75" s="224"/>
      <c r="BI75" s="224"/>
    </row>
    <row r="76" spans="1:61">
      <c r="A76" s="227" t="s">
        <v>1234</v>
      </c>
      <c r="B76" s="495"/>
      <c r="C76" s="526"/>
      <c r="D76" s="528" t="str">
        <f>IF(VLOOKUP(20,'Plate Planning'!$A$1:$T$35,13,FALSE)=0, "", VLOOKUP(20,'Plate Planning'!$A$1:$T$35,13,FALSE))</f>
        <v/>
      </c>
      <c r="E76" s="495" t="str">
        <f>IF(VLOOKUP(20,'Plate Planning'!$A$1:$T$35,14,FALSE)=0, "", VLOOKUP(20,'Plate Planning'!$A$1:$T$35,14,FALSE))</f>
        <v/>
      </c>
      <c r="F76" s="495" t="str">
        <f>IFERROR(VLOOKUP(20,'Plate Planning'!$A$1:$T$35,18,FALSE),"")</f>
        <v/>
      </c>
      <c r="G76" s="532"/>
      <c r="H76" s="528" t="str">
        <f>IF(VLOOKUP(21,'Plate Planning'!$A$1:$T$35,13,FALSE)=0, "", VLOOKUP(21,'Plate Planning'!$A$1:$T$35,13,FALSE))</f>
        <v/>
      </c>
      <c r="I76" s="495" t="str">
        <f>IF(VLOOKUP(21,'Plate Planning'!$A$1:$T$35,14,FALSE)=0, "", VLOOKUP(21,'Plate Planning'!$A$1:$T$35,14,FALSE))</f>
        <v/>
      </c>
      <c r="J76" s="540" t="str">
        <f>IFERROR(VLOOKUP(21,'Plate Planning'!$A$1:$T$35,18,FALSE),"")</f>
        <v/>
      </c>
      <c r="K76" s="495"/>
      <c r="L76" s="495" t="str">
        <f>IF(VLOOKUP(22,'Plate Planning'!$A$1:$T$35,13,FALSE)=0, "", VLOOKUP(22,'Plate Planning'!$A$1:$T$35,13,FALSE))</f>
        <v/>
      </c>
      <c r="M76" s="495" t="str">
        <f>IF(VLOOKUP(22,'Plate Planning'!$A$1:$T$35,14,FALSE)=0, "", VLOOKUP(22,'Plate Planning'!$A$1:$T$35,14,FALSE))</f>
        <v/>
      </c>
      <c r="N76" s="495" t="str">
        <f>IFERROR(VLOOKUP(22,'Plate Planning'!$A$1:$T$35,18,FALSE),"")</f>
        <v/>
      </c>
      <c r="O76" s="495"/>
      <c r="P76" s="528" t="str">
        <f>IF(VLOOKUP(23,'Plate Planning'!$A$1:$T$35,13,FALSE)=0, "", VLOOKUP(23,'Plate Planning'!$A$1:$T$35,13,FALSE))</f>
        <v/>
      </c>
      <c r="Q76" s="495" t="str">
        <f>IF(VLOOKUP(23,'Plate Planning'!$A$1:$T$35,14,FALSE)=0, "", VLOOKUP(23,'Plate Planning'!$A$1:$T$35,14,FALSE))</f>
        <v/>
      </c>
      <c r="R76" s="528" t="str">
        <f>IFERROR(VLOOKUP(23,'Plate Planning'!$A$1:$T$35,18,FALSE),"")</f>
        <v/>
      </c>
      <c r="S76" s="495"/>
      <c r="T76" s="495" t="str">
        <f>IF(VLOOKUP(24,'Plate Planning'!$A$1:$T$35,13,FALSE)=0, "", VLOOKUP(24,'Plate Planning'!$A$1:$T$35,13,FALSE))</f>
        <v/>
      </c>
      <c r="U76" s="495" t="str">
        <f>IF(VLOOKUP(24,'Plate Planning'!$A$1:$T$35,14,FALSE)=0, "", VLOOKUP(24,'Plate Planning'!$A$1:$T$35,14,FALSE))</f>
        <v/>
      </c>
      <c r="V76" s="495"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42"/>
      <c r="AT76" s="537"/>
      <c r="AU76" s="546">
        <f t="shared" si="2"/>
        <v>0</v>
      </c>
      <c r="AX76" s="224"/>
      <c r="BI76" s="224"/>
    </row>
    <row r="77" spans="1:61">
      <c r="A77" s="227" t="s">
        <v>1235</v>
      </c>
      <c r="B77" s="495"/>
      <c r="C77" s="526"/>
      <c r="D77" s="528" t="str">
        <f>IF(VLOOKUP(20,'Plate Planning'!$A$1:$T$35,13,FALSE)=0, "", VLOOKUP(20,'Plate Planning'!$A$1:$T$35,13,FALSE))</f>
        <v/>
      </c>
      <c r="E77" s="495" t="str">
        <f>IF(VLOOKUP(20,'Plate Planning'!$A$1:$T$35,14,FALSE)=0, "", VLOOKUP(20,'Plate Planning'!$A$1:$T$35,14,FALSE))</f>
        <v/>
      </c>
      <c r="F77" s="495" t="str">
        <f>IFERROR(VLOOKUP(20,'Plate Planning'!$A$1:$T$35,18,FALSE),"")</f>
        <v/>
      </c>
      <c r="G77" s="532"/>
      <c r="H77" s="528" t="str">
        <f>IF(VLOOKUP(21,'Plate Planning'!$A$1:$T$35,13,FALSE)=0, "", VLOOKUP(21,'Plate Planning'!$A$1:$T$35,13,FALSE))</f>
        <v/>
      </c>
      <c r="I77" s="495" t="str">
        <f>IF(VLOOKUP(21,'Plate Planning'!$A$1:$T$35,14,FALSE)=0, "", VLOOKUP(21,'Plate Planning'!$A$1:$T$35,14,FALSE))</f>
        <v/>
      </c>
      <c r="J77" s="540" t="str">
        <f>IFERROR(VLOOKUP(21,'Plate Planning'!$A$1:$T$35,18,FALSE),"")</f>
        <v/>
      </c>
      <c r="K77" s="495"/>
      <c r="L77" s="495" t="str">
        <f>IF(VLOOKUP(22,'Plate Planning'!$A$1:$T$35,13,FALSE)=0, "", VLOOKUP(22,'Plate Planning'!$A$1:$T$35,13,FALSE))</f>
        <v/>
      </c>
      <c r="M77" s="495" t="str">
        <f>IF(VLOOKUP(22,'Plate Planning'!$A$1:$T$35,14,FALSE)=0, "", VLOOKUP(22,'Plate Planning'!$A$1:$T$35,14,FALSE))</f>
        <v/>
      </c>
      <c r="N77" s="495" t="str">
        <f>IFERROR(VLOOKUP(22,'Plate Planning'!$A$1:$T$35,18,FALSE),"")</f>
        <v/>
      </c>
      <c r="O77" s="495"/>
      <c r="P77" s="528" t="str">
        <f>IF(VLOOKUP(23,'Plate Planning'!$A$1:$T$35,13,FALSE)=0, "", VLOOKUP(23,'Plate Planning'!$A$1:$T$35,13,FALSE))</f>
        <v/>
      </c>
      <c r="Q77" s="495" t="str">
        <f>IF(VLOOKUP(23,'Plate Planning'!$A$1:$T$35,14,FALSE)=0, "", VLOOKUP(23,'Plate Planning'!$A$1:$T$35,14,FALSE))</f>
        <v/>
      </c>
      <c r="R77" s="528" t="str">
        <f>IFERROR(VLOOKUP(23,'Plate Planning'!$A$1:$T$35,18,FALSE),"")</f>
        <v/>
      </c>
      <c r="S77" s="495"/>
      <c r="T77" s="495" t="str">
        <f>IF(VLOOKUP(24,'Plate Planning'!$A$1:$T$35,13,FALSE)=0, "", VLOOKUP(24,'Plate Planning'!$A$1:$T$35,13,FALSE))</f>
        <v/>
      </c>
      <c r="U77" s="495" t="str">
        <f>IF(VLOOKUP(24,'Plate Planning'!$A$1:$T$35,14,FALSE)=0, "", VLOOKUP(24,'Plate Planning'!$A$1:$T$35,14,FALSE))</f>
        <v/>
      </c>
      <c r="V77" s="495"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42"/>
      <c r="AT77" s="537"/>
      <c r="AU77" s="546">
        <f t="shared" si="2"/>
        <v>0</v>
      </c>
      <c r="AX77" s="224"/>
      <c r="BI77" s="224"/>
    </row>
    <row r="78" spans="1:61">
      <c r="A78" s="227" t="s">
        <v>1236</v>
      </c>
      <c r="B78" s="495"/>
      <c r="C78" s="526"/>
      <c r="D78" s="528" t="str">
        <f>IF(VLOOKUP(20,'Plate Planning'!$A$1:$T$35,13,FALSE)=0, "", VLOOKUP(20,'Plate Planning'!$A$1:$T$35,13,FALSE))</f>
        <v/>
      </c>
      <c r="E78" s="495" t="str">
        <f>IF(VLOOKUP(20,'Plate Planning'!$A$1:$T$35,14,FALSE)=0, "", VLOOKUP(20,'Plate Planning'!$A$1:$T$35,14,FALSE))</f>
        <v/>
      </c>
      <c r="F78" s="495" t="str">
        <f>IFERROR(VLOOKUP(20,'Plate Planning'!$A$1:$T$35,18,FALSE),"")</f>
        <v/>
      </c>
      <c r="G78" s="532"/>
      <c r="H78" s="528" t="str">
        <f>IF(VLOOKUP(21,'Plate Planning'!$A$1:$T$35,13,FALSE)=0, "", VLOOKUP(21,'Plate Planning'!$A$1:$T$35,13,FALSE))</f>
        <v/>
      </c>
      <c r="I78" s="495" t="str">
        <f>IF(VLOOKUP(21,'Plate Planning'!$A$1:$T$35,14,FALSE)=0, "", VLOOKUP(21,'Plate Planning'!$A$1:$T$35,14,FALSE))</f>
        <v/>
      </c>
      <c r="J78" s="540" t="str">
        <f>IFERROR(VLOOKUP(21,'Plate Planning'!$A$1:$T$35,18,FALSE),"")</f>
        <v/>
      </c>
      <c r="K78" s="495"/>
      <c r="L78" s="495" t="str">
        <f>IF(VLOOKUP(22,'Plate Planning'!$A$1:$T$35,13,FALSE)=0, "", VLOOKUP(22,'Plate Planning'!$A$1:$T$35,13,FALSE))</f>
        <v/>
      </c>
      <c r="M78" s="495" t="str">
        <f>IF(VLOOKUP(22,'Plate Planning'!$A$1:$T$35,14,FALSE)=0, "", VLOOKUP(22,'Plate Planning'!$A$1:$T$35,14,FALSE))</f>
        <v/>
      </c>
      <c r="N78" s="495" t="str">
        <f>IFERROR(VLOOKUP(22,'Plate Planning'!$A$1:$T$35,18,FALSE),"")</f>
        <v/>
      </c>
      <c r="O78" s="495"/>
      <c r="P78" s="528" t="str">
        <f>IF(VLOOKUP(23,'Plate Planning'!$A$1:$T$35,13,FALSE)=0, "", VLOOKUP(23,'Plate Planning'!$A$1:$T$35,13,FALSE))</f>
        <v/>
      </c>
      <c r="Q78" s="495" t="str">
        <f>IF(VLOOKUP(23,'Plate Planning'!$A$1:$T$35,14,FALSE)=0, "", VLOOKUP(23,'Plate Planning'!$A$1:$T$35,14,FALSE))</f>
        <v/>
      </c>
      <c r="R78" s="528" t="str">
        <f>IFERROR(VLOOKUP(23,'Plate Planning'!$A$1:$T$35,18,FALSE),"")</f>
        <v/>
      </c>
      <c r="S78" s="495"/>
      <c r="T78" s="495" t="str">
        <f>IF(VLOOKUP(24,'Plate Planning'!$A$1:$T$35,13,FALSE)=0, "", VLOOKUP(24,'Plate Planning'!$A$1:$T$35,13,FALSE))</f>
        <v/>
      </c>
      <c r="U78" s="495" t="str">
        <f>IF(VLOOKUP(24,'Plate Planning'!$A$1:$T$35,14,FALSE)=0, "", VLOOKUP(24,'Plate Planning'!$A$1:$T$35,14,FALSE))</f>
        <v/>
      </c>
      <c r="V78" s="495"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42"/>
      <c r="AT78" s="537"/>
      <c r="AU78" s="546">
        <f t="shared" si="2"/>
        <v>0</v>
      </c>
      <c r="AX78" s="224"/>
      <c r="BI78" s="224"/>
    </row>
    <row r="79" spans="1:61">
      <c r="A79" s="227" t="s">
        <v>1237</v>
      </c>
      <c r="B79" s="495"/>
      <c r="C79" s="526"/>
      <c r="D79" s="528" t="str">
        <f>IF(VLOOKUP(20,'Plate Planning'!$A$1:$T$35,13,FALSE)=0, "", VLOOKUP(20,'Plate Planning'!$A$1:$T$35,13,FALSE))</f>
        <v/>
      </c>
      <c r="E79" s="495" t="str">
        <f>IF(VLOOKUP(20,'Plate Planning'!$A$1:$T$35,14,FALSE)=0, "", VLOOKUP(20,'Plate Planning'!$A$1:$T$35,14,FALSE))</f>
        <v/>
      </c>
      <c r="F79" s="495" t="str">
        <f>IFERROR(VLOOKUP(20,'Plate Planning'!$A$1:$T$35,18,FALSE),"")</f>
        <v/>
      </c>
      <c r="G79" s="532"/>
      <c r="H79" s="528" t="str">
        <f>IF(VLOOKUP(21,'Plate Planning'!$A$1:$T$35,13,FALSE)=0, "", VLOOKUP(21,'Plate Planning'!$A$1:$T$35,13,FALSE))</f>
        <v/>
      </c>
      <c r="I79" s="495" t="str">
        <f>IF(VLOOKUP(21,'Plate Planning'!$A$1:$T$35,14,FALSE)=0, "", VLOOKUP(21,'Plate Planning'!$A$1:$T$35,14,FALSE))</f>
        <v/>
      </c>
      <c r="J79" s="540" t="str">
        <f>IFERROR(VLOOKUP(21,'Plate Planning'!$A$1:$T$35,18,FALSE),"")</f>
        <v/>
      </c>
      <c r="K79" s="495"/>
      <c r="L79" s="495" t="str">
        <f>IF(VLOOKUP(22,'Plate Planning'!$A$1:$T$35,13,FALSE)=0, "", VLOOKUP(22,'Plate Planning'!$A$1:$T$35,13,FALSE))</f>
        <v/>
      </c>
      <c r="M79" s="495" t="str">
        <f>IF(VLOOKUP(22,'Plate Planning'!$A$1:$T$35,14,FALSE)=0, "", VLOOKUP(22,'Plate Planning'!$A$1:$T$35,14,FALSE))</f>
        <v/>
      </c>
      <c r="N79" s="495" t="str">
        <f>IFERROR(VLOOKUP(22,'Plate Planning'!$A$1:$T$35,18,FALSE),"")</f>
        <v/>
      </c>
      <c r="O79" s="495"/>
      <c r="P79" s="528" t="str">
        <f>IF(VLOOKUP(23,'Plate Planning'!$A$1:$T$35,13,FALSE)=0, "", VLOOKUP(23,'Plate Planning'!$A$1:$T$35,13,FALSE))</f>
        <v/>
      </c>
      <c r="Q79" s="495" t="str">
        <f>IF(VLOOKUP(23,'Plate Planning'!$A$1:$T$35,14,FALSE)=0, "", VLOOKUP(23,'Plate Planning'!$A$1:$T$35,14,FALSE))</f>
        <v/>
      </c>
      <c r="R79" s="528" t="str">
        <f>IFERROR(VLOOKUP(23,'Plate Planning'!$A$1:$T$35,18,FALSE),"")</f>
        <v/>
      </c>
      <c r="S79" s="495"/>
      <c r="T79" s="495" t="str">
        <f>IF(VLOOKUP(24,'Plate Planning'!$A$1:$T$35,13,FALSE)=0, "", VLOOKUP(24,'Plate Planning'!$A$1:$T$35,13,FALSE))</f>
        <v/>
      </c>
      <c r="U79" s="495" t="str">
        <f>IF(VLOOKUP(24,'Plate Planning'!$A$1:$T$35,14,FALSE)=0, "", VLOOKUP(24,'Plate Planning'!$A$1:$T$35,14,FALSE))</f>
        <v/>
      </c>
      <c r="V79" s="495"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42"/>
      <c r="AT79" s="537"/>
      <c r="AU79" s="546">
        <f t="shared" si="2"/>
        <v>0</v>
      </c>
      <c r="AX79" s="224"/>
      <c r="BI79" s="224"/>
    </row>
    <row r="80" spans="1:61">
      <c r="A80" s="227" t="s">
        <v>1238</v>
      </c>
      <c r="B80" s="495"/>
      <c r="C80" s="526"/>
      <c r="D80" s="528" t="str">
        <f>IF(VLOOKUP(20,'Plate Planning'!$A$1:$T$35,13,FALSE)=0, "", VLOOKUP(20,'Plate Planning'!$A$1:$T$35,13,FALSE))</f>
        <v/>
      </c>
      <c r="E80" s="495" t="str">
        <f>IF(VLOOKUP(20,'Plate Planning'!$A$1:$T$35,14,FALSE)=0, "", VLOOKUP(20,'Plate Planning'!$A$1:$T$35,14,FALSE))</f>
        <v/>
      </c>
      <c r="F80" s="495" t="str">
        <f>IFERROR(VLOOKUP(20,'Plate Planning'!$A$1:$T$35,18,FALSE),"")</f>
        <v/>
      </c>
      <c r="G80" s="532"/>
      <c r="H80" s="528" t="str">
        <f>IF(VLOOKUP(21,'Plate Planning'!$A$1:$T$35,13,FALSE)=0, "", VLOOKUP(21,'Plate Planning'!$A$1:$T$35,13,FALSE))</f>
        <v/>
      </c>
      <c r="I80" s="495" t="str">
        <f>IF(VLOOKUP(21,'Plate Planning'!$A$1:$T$35,14,FALSE)=0, "", VLOOKUP(21,'Plate Planning'!$A$1:$T$35,14,FALSE))</f>
        <v/>
      </c>
      <c r="J80" s="540" t="str">
        <f>IFERROR(VLOOKUP(21,'Plate Planning'!$A$1:$T$35,18,FALSE),"")</f>
        <v/>
      </c>
      <c r="K80" s="495"/>
      <c r="L80" s="495" t="str">
        <f>IF(VLOOKUP(22,'Plate Planning'!$A$1:$T$35,13,FALSE)=0, "", VLOOKUP(22,'Plate Planning'!$A$1:$T$35,13,FALSE))</f>
        <v/>
      </c>
      <c r="M80" s="495" t="str">
        <f>IF(VLOOKUP(22,'Plate Planning'!$A$1:$T$35,14,FALSE)=0, "", VLOOKUP(22,'Plate Planning'!$A$1:$T$35,14,FALSE))</f>
        <v/>
      </c>
      <c r="N80" s="495" t="str">
        <f>IFERROR(VLOOKUP(22,'Plate Planning'!$A$1:$T$35,18,FALSE),"")</f>
        <v/>
      </c>
      <c r="O80" s="495"/>
      <c r="P80" s="528" t="str">
        <f>IF(VLOOKUP(23,'Plate Planning'!$A$1:$T$35,13,FALSE)=0, "", VLOOKUP(23,'Plate Planning'!$A$1:$T$35,13,FALSE))</f>
        <v/>
      </c>
      <c r="Q80" s="495" t="str">
        <f>IF(VLOOKUP(23,'Plate Planning'!$A$1:$T$35,14,FALSE)=0, "", VLOOKUP(23,'Plate Planning'!$A$1:$T$35,14,FALSE))</f>
        <v/>
      </c>
      <c r="R80" s="528" t="str">
        <f>IFERROR(VLOOKUP(23,'Plate Planning'!$A$1:$T$35,18,FALSE),"")</f>
        <v/>
      </c>
      <c r="S80" s="495"/>
      <c r="T80" s="495" t="str">
        <f>IF(VLOOKUP(24,'Plate Planning'!$A$1:$T$35,13,FALSE)=0, "", VLOOKUP(24,'Plate Planning'!$A$1:$T$35,13,FALSE))</f>
        <v/>
      </c>
      <c r="U80" s="495" t="str">
        <f>IF(VLOOKUP(24,'Plate Planning'!$A$1:$T$35,14,FALSE)=0, "", VLOOKUP(24,'Plate Planning'!$A$1:$T$35,14,FALSE))</f>
        <v/>
      </c>
      <c r="V80" s="495"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42"/>
      <c r="AT80" s="537"/>
      <c r="AU80" s="546">
        <f t="shared" si="2"/>
        <v>0</v>
      </c>
      <c r="AX80" s="224"/>
      <c r="BI80" s="224"/>
    </row>
    <row r="81" spans="1:61">
      <c r="A81" s="227" t="s">
        <v>1239</v>
      </c>
      <c r="B81" s="495"/>
      <c r="C81" s="526"/>
      <c r="D81" s="528" t="str">
        <f>IF(VLOOKUP(20,'Plate Planning'!$A$1:$T$35,13,FALSE)=0, "", VLOOKUP(20,'Plate Planning'!$A$1:$T$35,13,FALSE))</f>
        <v/>
      </c>
      <c r="E81" s="495" t="str">
        <f>IF(VLOOKUP(20,'Plate Planning'!$A$1:$T$35,14,FALSE)=0, "", VLOOKUP(20,'Plate Planning'!$A$1:$T$35,14,FALSE))</f>
        <v/>
      </c>
      <c r="F81" s="495" t="str">
        <f>IFERROR(VLOOKUP(20,'Plate Planning'!$A$1:$T$35,18,FALSE),"")</f>
        <v/>
      </c>
      <c r="G81" s="532"/>
      <c r="H81" s="528" t="str">
        <f>IF(VLOOKUP(21,'Plate Planning'!$A$1:$T$35,13,FALSE)=0, "", VLOOKUP(21,'Plate Planning'!$A$1:$T$35,13,FALSE))</f>
        <v/>
      </c>
      <c r="I81" s="495" t="str">
        <f>IF(VLOOKUP(21,'Plate Planning'!$A$1:$T$35,14,FALSE)=0, "", VLOOKUP(21,'Plate Planning'!$A$1:$T$35,14,FALSE))</f>
        <v/>
      </c>
      <c r="J81" s="540" t="str">
        <f>IFERROR(VLOOKUP(21,'Plate Planning'!$A$1:$T$35,18,FALSE),"")</f>
        <v/>
      </c>
      <c r="K81" s="495"/>
      <c r="L81" s="495" t="str">
        <f>IF(VLOOKUP(22,'Plate Planning'!$A$1:$T$35,13,FALSE)=0, "", VLOOKUP(22,'Plate Planning'!$A$1:$T$35,13,FALSE))</f>
        <v/>
      </c>
      <c r="M81" s="495" t="str">
        <f>IF(VLOOKUP(22,'Plate Planning'!$A$1:$T$35,14,FALSE)=0, "", VLOOKUP(22,'Plate Planning'!$A$1:$T$35,14,FALSE))</f>
        <v/>
      </c>
      <c r="N81" s="495" t="str">
        <f>IFERROR(VLOOKUP(22,'Plate Planning'!$A$1:$T$35,18,FALSE),"")</f>
        <v/>
      </c>
      <c r="O81" s="495"/>
      <c r="P81" s="528" t="str">
        <f>IF(VLOOKUP(23,'Plate Planning'!$A$1:$T$35,13,FALSE)=0, "", VLOOKUP(23,'Plate Planning'!$A$1:$T$35,13,FALSE))</f>
        <v/>
      </c>
      <c r="Q81" s="495" t="str">
        <f>IF(VLOOKUP(23,'Plate Planning'!$A$1:$T$35,14,FALSE)=0, "", VLOOKUP(23,'Plate Planning'!$A$1:$T$35,14,FALSE))</f>
        <v/>
      </c>
      <c r="R81" s="528" t="str">
        <f>IFERROR(VLOOKUP(23,'Plate Planning'!$A$1:$T$35,18,FALSE),"")</f>
        <v/>
      </c>
      <c r="S81" s="495"/>
      <c r="T81" s="495" t="str">
        <f>IF(VLOOKUP(24,'Plate Planning'!$A$1:$T$35,13,FALSE)=0, "", VLOOKUP(24,'Plate Planning'!$A$1:$T$35,13,FALSE))</f>
        <v/>
      </c>
      <c r="U81" s="495" t="str">
        <f>IF(VLOOKUP(24,'Plate Planning'!$A$1:$T$35,14,FALSE)=0, "", VLOOKUP(24,'Plate Planning'!$A$1:$T$35,14,FALSE))</f>
        <v/>
      </c>
      <c r="V81" s="495"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42"/>
      <c r="AT81" s="537"/>
      <c r="AU81" s="546">
        <f t="shared" si="2"/>
        <v>0</v>
      </c>
      <c r="AX81" s="224"/>
      <c r="BI81" s="224"/>
    </row>
    <row r="82" spans="1:61">
      <c r="A82" s="227" t="s">
        <v>1240</v>
      </c>
      <c r="B82" s="495"/>
      <c r="C82" s="526"/>
      <c r="D82" s="528" t="str">
        <f>IF(VLOOKUP(20,'Plate Planning'!$A$1:$T$35,13,FALSE)=0, "", VLOOKUP(20,'Plate Planning'!$A$1:$T$35,13,FALSE))</f>
        <v/>
      </c>
      <c r="E82" s="495" t="str">
        <f>IF(VLOOKUP(20,'Plate Planning'!$A$1:$T$35,14,FALSE)=0, "", VLOOKUP(20,'Plate Planning'!$A$1:$T$35,14,FALSE))</f>
        <v/>
      </c>
      <c r="F82" s="495" t="str">
        <f>IFERROR(VLOOKUP(20,'Plate Planning'!$A$1:$T$35,18,FALSE),"")</f>
        <v/>
      </c>
      <c r="G82" s="532"/>
      <c r="H82" s="528" t="str">
        <f>IF(VLOOKUP(21,'Plate Planning'!$A$1:$T$35,13,FALSE)=0, "", VLOOKUP(21,'Plate Planning'!$A$1:$T$35,13,FALSE))</f>
        <v/>
      </c>
      <c r="I82" s="495" t="str">
        <f>IF(VLOOKUP(21,'Plate Planning'!$A$1:$T$35,14,FALSE)=0, "", VLOOKUP(21,'Plate Planning'!$A$1:$T$35,14,FALSE))</f>
        <v/>
      </c>
      <c r="J82" s="540" t="str">
        <f>IFERROR(VLOOKUP(21,'Plate Planning'!$A$1:$T$35,18,FALSE),"")</f>
        <v/>
      </c>
      <c r="K82" s="495"/>
      <c r="L82" s="495" t="str">
        <f>IF(VLOOKUP(22,'Plate Planning'!$A$1:$T$35,13,FALSE)=0, "", VLOOKUP(22,'Plate Planning'!$A$1:$T$35,13,FALSE))</f>
        <v/>
      </c>
      <c r="M82" s="495" t="str">
        <f>IF(VLOOKUP(22,'Plate Planning'!$A$1:$T$35,14,FALSE)=0, "", VLOOKUP(22,'Plate Planning'!$A$1:$T$35,14,FALSE))</f>
        <v/>
      </c>
      <c r="N82" s="495" t="str">
        <f>IFERROR(VLOOKUP(22,'Plate Planning'!$A$1:$T$35,18,FALSE),"")</f>
        <v/>
      </c>
      <c r="O82" s="495"/>
      <c r="P82" s="528" t="str">
        <f>IF(VLOOKUP(23,'Plate Planning'!$A$1:$T$35,13,FALSE)=0, "", VLOOKUP(23,'Plate Planning'!$A$1:$T$35,13,FALSE))</f>
        <v/>
      </c>
      <c r="Q82" s="495" t="str">
        <f>IF(VLOOKUP(23,'Plate Planning'!$A$1:$T$35,14,FALSE)=0, "", VLOOKUP(23,'Plate Planning'!$A$1:$T$35,14,FALSE))</f>
        <v/>
      </c>
      <c r="R82" s="528" t="str">
        <f>IFERROR(VLOOKUP(23,'Plate Planning'!$A$1:$T$35,18,FALSE),"")</f>
        <v/>
      </c>
      <c r="S82" s="495"/>
      <c r="T82" s="495" t="str">
        <f>IF(VLOOKUP(24,'Plate Planning'!$A$1:$T$35,13,FALSE)=0, "", VLOOKUP(24,'Plate Planning'!$A$1:$T$35,13,FALSE))</f>
        <v/>
      </c>
      <c r="U82" s="495" t="str">
        <f>IF(VLOOKUP(24,'Plate Planning'!$A$1:$T$35,14,FALSE)=0, "", VLOOKUP(24,'Plate Planning'!$A$1:$T$35,14,FALSE))</f>
        <v/>
      </c>
      <c r="V82" s="495"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42"/>
      <c r="AT82" s="537"/>
      <c r="AU82" s="546">
        <f t="shared" si="2"/>
        <v>0</v>
      </c>
      <c r="AX82" s="224"/>
      <c r="BI82" s="224"/>
    </row>
    <row r="83" spans="1:61">
      <c r="A83" s="227" t="s">
        <v>1241</v>
      </c>
      <c r="B83" s="495"/>
      <c r="C83" s="526"/>
      <c r="D83" s="528" t="str">
        <f>IF(VLOOKUP(20,'Plate Planning'!$A$1:$T$35,13,FALSE)=0, "", VLOOKUP(20,'Plate Planning'!$A$1:$T$35,13,FALSE))</f>
        <v/>
      </c>
      <c r="E83" s="495" t="str">
        <f>IF(VLOOKUP(20,'Plate Planning'!$A$1:$T$35,14,FALSE)=0, "", VLOOKUP(20,'Plate Planning'!$A$1:$T$35,14,FALSE))</f>
        <v/>
      </c>
      <c r="F83" s="495" t="str">
        <f>IFERROR(VLOOKUP(20,'Plate Planning'!$A$1:$T$35,18,FALSE),"")</f>
        <v/>
      </c>
      <c r="G83" s="532"/>
      <c r="H83" s="528" t="str">
        <f>IF(VLOOKUP(21,'Plate Planning'!$A$1:$T$35,13,FALSE)=0, "", VLOOKUP(21,'Plate Planning'!$A$1:$T$35,13,FALSE))</f>
        <v/>
      </c>
      <c r="I83" s="495" t="str">
        <f>IF(VLOOKUP(21,'Plate Planning'!$A$1:$T$35,14,FALSE)=0, "", VLOOKUP(21,'Plate Planning'!$A$1:$T$35,14,FALSE))</f>
        <v/>
      </c>
      <c r="J83" s="540" t="str">
        <f>IFERROR(VLOOKUP(21,'Plate Planning'!$A$1:$T$35,18,FALSE),"")</f>
        <v/>
      </c>
      <c r="K83" s="495"/>
      <c r="L83" s="495" t="str">
        <f>IF(VLOOKUP(22,'Plate Planning'!$A$1:$T$35,13,FALSE)=0, "", VLOOKUP(22,'Plate Planning'!$A$1:$T$35,13,FALSE))</f>
        <v/>
      </c>
      <c r="M83" s="495" t="str">
        <f>IF(VLOOKUP(22,'Plate Planning'!$A$1:$T$35,14,FALSE)=0, "", VLOOKUP(22,'Plate Planning'!$A$1:$T$35,14,FALSE))</f>
        <v/>
      </c>
      <c r="N83" s="495" t="str">
        <f>IFERROR(VLOOKUP(22,'Plate Planning'!$A$1:$T$35,18,FALSE),"")</f>
        <v/>
      </c>
      <c r="O83" s="495"/>
      <c r="P83" s="528" t="str">
        <f>IF(VLOOKUP(23,'Plate Planning'!$A$1:$T$35,13,FALSE)=0, "", VLOOKUP(23,'Plate Planning'!$A$1:$T$35,13,FALSE))</f>
        <v/>
      </c>
      <c r="Q83" s="495" t="str">
        <f>IF(VLOOKUP(23,'Plate Planning'!$A$1:$T$35,14,FALSE)=0, "", VLOOKUP(23,'Plate Planning'!$A$1:$T$35,14,FALSE))</f>
        <v/>
      </c>
      <c r="R83" s="528" t="str">
        <f>IFERROR(VLOOKUP(23,'Plate Planning'!$A$1:$T$35,18,FALSE),"")</f>
        <v/>
      </c>
      <c r="S83" s="495"/>
      <c r="T83" s="495" t="str">
        <f>IF(VLOOKUP(24,'Plate Planning'!$A$1:$T$35,13,FALSE)=0, "", VLOOKUP(24,'Plate Planning'!$A$1:$T$35,13,FALSE))</f>
        <v/>
      </c>
      <c r="U83" s="495" t="str">
        <f>IF(VLOOKUP(24,'Plate Planning'!$A$1:$T$35,14,FALSE)=0, "", VLOOKUP(24,'Plate Planning'!$A$1:$T$35,14,FALSE))</f>
        <v/>
      </c>
      <c r="V83" s="495"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42"/>
      <c r="AT83" s="537"/>
      <c r="AU83" s="546">
        <f t="shared" si="2"/>
        <v>0</v>
      </c>
      <c r="AX83" s="224"/>
      <c r="BI83" s="224"/>
    </row>
    <row r="84" spans="1:61">
      <c r="A84" s="227" t="s">
        <v>1242</v>
      </c>
      <c r="B84" s="495"/>
      <c r="C84" s="526"/>
      <c r="D84" s="528" t="str">
        <f>IF(VLOOKUP(20,'Plate Planning'!$A$1:$T$35,13,FALSE)=0, "", VLOOKUP(20,'Plate Planning'!$A$1:$T$35,13,FALSE))</f>
        <v/>
      </c>
      <c r="E84" s="495" t="str">
        <f>IF(VLOOKUP(20,'Plate Planning'!$A$1:$T$35,14,FALSE)=0, "", VLOOKUP(20,'Plate Planning'!$A$1:$T$35,14,FALSE))</f>
        <v/>
      </c>
      <c r="F84" s="495" t="str">
        <f>IFERROR(VLOOKUP(20,'Plate Planning'!$A$1:$T$35,18,FALSE),"")</f>
        <v/>
      </c>
      <c r="G84" s="532"/>
      <c r="H84" s="528" t="str">
        <f>IF(VLOOKUP(21,'Plate Planning'!$A$1:$T$35,13,FALSE)=0, "", VLOOKUP(21,'Plate Planning'!$A$1:$T$35,13,FALSE))</f>
        <v/>
      </c>
      <c r="I84" s="495" t="str">
        <f>IF(VLOOKUP(21,'Plate Planning'!$A$1:$T$35,14,FALSE)=0, "", VLOOKUP(21,'Plate Planning'!$A$1:$T$35,14,FALSE))</f>
        <v/>
      </c>
      <c r="J84" s="540" t="str">
        <f>IFERROR(VLOOKUP(21,'Plate Planning'!$A$1:$T$35,18,FALSE),"")</f>
        <v/>
      </c>
      <c r="K84" s="495"/>
      <c r="L84" s="495" t="str">
        <f>IF(VLOOKUP(22,'Plate Planning'!$A$1:$T$35,13,FALSE)=0, "", VLOOKUP(22,'Plate Planning'!$A$1:$T$35,13,FALSE))</f>
        <v/>
      </c>
      <c r="M84" s="495" t="str">
        <f>IF(VLOOKUP(22,'Plate Planning'!$A$1:$T$35,14,FALSE)=0, "", VLOOKUP(22,'Plate Planning'!$A$1:$T$35,14,FALSE))</f>
        <v/>
      </c>
      <c r="N84" s="495" t="str">
        <f>IFERROR(VLOOKUP(22,'Plate Planning'!$A$1:$T$35,18,FALSE),"")</f>
        <v/>
      </c>
      <c r="O84" s="495"/>
      <c r="P84" s="528" t="str">
        <f>IF(VLOOKUP(23,'Plate Planning'!$A$1:$T$35,13,FALSE)=0, "", VLOOKUP(23,'Plate Planning'!$A$1:$T$35,13,FALSE))</f>
        <v/>
      </c>
      <c r="Q84" s="495" t="str">
        <f>IF(VLOOKUP(23,'Plate Planning'!$A$1:$T$35,14,FALSE)=0, "", VLOOKUP(23,'Plate Planning'!$A$1:$T$35,14,FALSE))</f>
        <v/>
      </c>
      <c r="R84" s="528" t="str">
        <f>IFERROR(VLOOKUP(23,'Plate Planning'!$A$1:$T$35,18,FALSE),"")</f>
        <v/>
      </c>
      <c r="S84" s="495"/>
      <c r="T84" s="495" t="str">
        <f>IF(VLOOKUP(24,'Plate Planning'!$A$1:$T$35,13,FALSE)=0, "", VLOOKUP(24,'Plate Planning'!$A$1:$T$35,13,FALSE))</f>
        <v/>
      </c>
      <c r="U84" s="495" t="str">
        <f>IF(VLOOKUP(24,'Plate Planning'!$A$1:$T$35,14,FALSE)=0, "", VLOOKUP(24,'Plate Planning'!$A$1:$T$35,14,FALSE))</f>
        <v/>
      </c>
      <c r="V84" s="495"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42"/>
      <c r="AT84" s="537"/>
      <c r="AU84" s="546">
        <f t="shared" si="2"/>
        <v>0</v>
      </c>
      <c r="AX84" s="224"/>
      <c r="BI84" s="224"/>
    </row>
    <row r="85" spans="1:61">
      <c r="A85" s="227" t="s">
        <v>1243</v>
      </c>
      <c r="B85" s="495"/>
      <c r="C85" s="526"/>
      <c r="D85" s="528" t="str">
        <f>IF(VLOOKUP(20,'Plate Planning'!$A$1:$T$35,13,FALSE)=0, "", VLOOKUP(20,'Plate Planning'!$A$1:$T$35,13,FALSE))</f>
        <v/>
      </c>
      <c r="E85" s="495" t="str">
        <f>IF(VLOOKUP(20,'Plate Planning'!$A$1:$T$35,14,FALSE)=0, "", VLOOKUP(20,'Plate Planning'!$A$1:$T$35,14,FALSE))</f>
        <v/>
      </c>
      <c r="F85" s="495" t="str">
        <f>IFERROR(VLOOKUP(20,'Plate Planning'!$A$1:$T$35,18,FALSE),"")</f>
        <v/>
      </c>
      <c r="G85" s="532"/>
      <c r="H85" s="528" t="str">
        <f>IF(VLOOKUP(21,'Plate Planning'!$A$1:$T$35,13,FALSE)=0, "", VLOOKUP(21,'Plate Planning'!$A$1:$T$35,13,FALSE))</f>
        <v/>
      </c>
      <c r="I85" s="495" t="str">
        <f>IF(VLOOKUP(21,'Plate Planning'!$A$1:$T$35,14,FALSE)=0, "", VLOOKUP(21,'Plate Planning'!$A$1:$T$35,14,FALSE))</f>
        <v/>
      </c>
      <c r="J85" s="540" t="str">
        <f>IFERROR(VLOOKUP(21,'Plate Planning'!$A$1:$T$35,18,FALSE),"")</f>
        <v/>
      </c>
      <c r="K85" s="495"/>
      <c r="L85" s="495" t="str">
        <f>IF(VLOOKUP(22,'Plate Planning'!$A$1:$T$35,13,FALSE)=0, "", VLOOKUP(22,'Plate Planning'!$A$1:$T$35,13,FALSE))</f>
        <v/>
      </c>
      <c r="M85" s="495" t="str">
        <f>IF(VLOOKUP(22,'Plate Planning'!$A$1:$T$35,14,FALSE)=0, "", VLOOKUP(22,'Plate Planning'!$A$1:$T$35,14,FALSE))</f>
        <v/>
      </c>
      <c r="N85" s="495" t="str">
        <f>IFERROR(VLOOKUP(22,'Plate Planning'!$A$1:$T$35,18,FALSE),"")</f>
        <v/>
      </c>
      <c r="O85" s="495"/>
      <c r="P85" s="528" t="str">
        <f>IF(VLOOKUP(23,'Plate Planning'!$A$1:$T$35,13,FALSE)=0, "", VLOOKUP(23,'Plate Planning'!$A$1:$T$35,13,FALSE))</f>
        <v/>
      </c>
      <c r="Q85" s="495" t="str">
        <f>IF(VLOOKUP(23,'Plate Planning'!$A$1:$T$35,14,FALSE)=0, "", VLOOKUP(23,'Plate Planning'!$A$1:$T$35,14,FALSE))</f>
        <v/>
      </c>
      <c r="R85" s="528" t="str">
        <f>IFERROR(VLOOKUP(23,'Plate Planning'!$A$1:$T$35,18,FALSE),"")</f>
        <v/>
      </c>
      <c r="S85" s="495"/>
      <c r="T85" s="495" t="str">
        <f>IF(VLOOKUP(24,'Plate Planning'!$A$1:$T$35,13,FALSE)=0, "", VLOOKUP(24,'Plate Planning'!$A$1:$T$35,13,FALSE))</f>
        <v/>
      </c>
      <c r="U85" s="495" t="str">
        <f>IF(VLOOKUP(24,'Plate Planning'!$A$1:$T$35,14,FALSE)=0, "", VLOOKUP(24,'Plate Planning'!$A$1:$T$35,14,FALSE))</f>
        <v/>
      </c>
      <c r="V85" s="495"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42"/>
      <c r="AT85" s="537"/>
      <c r="AU85" s="546">
        <f t="shared" si="2"/>
        <v>0</v>
      </c>
      <c r="AX85" s="224"/>
      <c r="BI85" s="224"/>
    </row>
    <row r="86" spans="1:61">
      <c r="A86" s="227" t="s">
        <v>1244</v>
      </c>
      <c r="B86" s="495"/>
      <c r="C86" s="526"/>
      <c r="D86" s="528" t="str">
        <f>IF(VLOOKUP(20,'Plate Planning'!$A$1:$T$35,13,FALSE)=0, "", VLOOKUP(20,'Plate Planning'!$A$1:$T$35,13,FALSE))</f>
        <v/>
      </c>
      <c r="E86" s="495" t="str">
        <f>IF(VLOOKUP(20,'Plate Planning'!$A$1:$T$35,14,FALSE)=0, "", VLOOKUP(20,'Plate Planning'!$A$1:$T$35,14,FALSE))</f>
        <v/>
      </c>
      <c r="F86" s="495" t="str">
        <f>IFERROR(VLOOKUP(20,'Plate Planning'!$A$1:$T$35,18,FALSE),"")</f>
        <v/>
      </c>
      <c r="G86" s="532"/>
      <c r="H86" s="528" t="str">
        <f>IF(VLOOKUP(21,'Plate Planning'!$A$1:$T$35,13,FALSE)=0, "", VLOOKUP(21,'Plate Planning'!$A$1:$T$35,13,FALSE))</f>
        <v/>
      </c>
      <c r="I86" s="495" t="str">
        <f>IF(VLOOKUP(21,'Plate Planning'!$A$1:$T$35,14,FALSE)=0, "", VLOOKUP(21,'Plate Planning'!$A$1:$T$35,14,FALSE))</f>
        <v/>
      </c>
      <c r="J86" s="540" t="str">
        <f>IFERROR(VLOOKUP(21,'Plate Planning'!$A$1:$T$35,18,FALSE),"")</f>
        <v/>
      </c>
      <c r="K86" s="495"/>
      <c r="L86" s="495" t="str">
        <f>IF(VLOOKUP(22,'Plate Planning'!$A$1:$T$35,13,FALSE)=0, "", VLOOKUP(22,'Plate Planning'!$A$1:$T$35,13,FALSE))</f>
        <v/>
      </c>
      <c r="M86" s="495" t="str">
        <f>IF(VLOOKUP(22,'Plate Planning'!$A$1:$T$35,14,FALSE)=0, "", VLOOKUP(22,'Plate Planning'!$A$1:$T$35,14,FALSE))</f>
        <v/>
      </c>
      <c r="N86" s="495" t="str">
        <f>IFERROR(VLOOKUP(22,'Plate Planning'!$A$1:$T$35,18,FALSE),"")</f>
        <v/>
      </c>
      <c r="O86" s="495"/>
      <c r="P86" s="528" t="str">
        <f>IF(VLOOKUP(23,'Plate Planning'!$A$1:$T$35,13,FALSE)=0, "", VLOOKUP(23,'Plate Planning'!$A$1:$T$35,13,FALSE))</f>
        <v/>
      </c>
      <c r="Q86" s="495" t="str">
        <f>IF(VLOOKUP(23,'Plate Planning'!$A$1:$T$35,14,FALSE)=0, "", VLOOKUP(23,'Plate Planning'!$A$1:$T$35,14,FALSE))</f>
        <v/>
      </c>
      <c r="R86" s="528" t="str">
        <f>IFERROR(VLOOKUP(23,'Plate Planning'!$A$1:$T$35,18,FALSE),"")</f>
        <v/>
      </c>
      <c r="S86" s="495"/>
      <c r="T86" s="495" t="str">
        <f>IF(VLOOKUP(24,'Plate Planning'!$A$1:$T$35,13,FALSE)=0, "", VLOOKUP(24,'Plate Planning'!$A$1:$T$35,13,FALSE))</f>
        <v/>
      </c>
      <c r="U86" s="495" t="str">
        <f>IF(VLOOKUP(24,'Plate Planning'!$A$1:$T$35,14,FALSE)=0, "", VLOOKUP(24,'Plate Planning'!$A$1:$T$35,14,FALSE))</f>
        <v/>
      </c>
      <c r="V86" s="495"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42"/>
      <c r="AT86" s="537"/>
      <c r="AU86" s="546">
        <f t="shared" si="2"/>
        <v>0</v>
      </c>
      <c r="AX86" s="224"/>
      <c r="BI86" s="224"/>
    </row>
    <row r="87" spans="1:61">
      <c r="A87" s="227" t="s">
        <v>1245</v>
      </c>
      <c r="B87" s="495"/>
      <c r="C87" s="526"/>
      <c r="D87" s="528" t="str">
        <f>IF(VLOOKUP(20,'Plate Planning'!$A$1:$T$35,13,FALSE)=0, "", VLOOKUP(20,'Plate Planning'!$A$1:$T$35,13,FALSE))</f>
        <v/>
      </c>
      <c r="E87" s="495" t="str">
        <f>IF(VLOOKUP(20,'Plate Planning'!$A$1:$T$35,14,FALSE)=0, "", VLOOKUP(20,'Plate Planning'!$A$1:$T$35,14,FALSE))</f>
        <v/>
      </c>
      <c r="F87" s="495" t="str">
        <f>IFERROR(VLOOKUP(20,'Plate Planning'!$A$1:$T$35,18,FALSE),"")</f>
        <v/>
      </c>
      <c r="G87" s="532"/>
      <c r="H87" s="528" t="str">
        <f>IF(VLOOKUP(21,'Plate Planning'!$A$1:$T$35,13,FALSE)=0, "", VLOOKUP(21,'Plate Planning'!$A$1:$T$35,13,FALSE))</f>
        <v/>
      </c>
      <c r="I87" s="495" t="str">
        <f>IF(VLOOKUP(21,'Plate Planning'!$A$1:$T$35,14,FALSE)=0, "", VLOOKUP(21,'Plate Planning'!$A$1:$T$35,14,FALSE))</f>
        <v/>
      </c>
      <c r="J87" s="540" t="str">
        <f>IFERROR(VLOOKUP(21,'Plate Planning'!$A$1:$T$35,18,FALSE),"")</f>
        <v/>
      </c>
      <c r="K87" s="495"/>
      <c r="L87" s="495" t="str">
        <f>IF(VLOOKUP(22,'Plate Planning'!$A$1:$T$35,13,FALSE)=0, "", VLOOKUP(22,'Plate Planning'!$A$1:$T$35,13,FALSE))</f>
        <v/>
      </c>
      <c r="M87" s="495" t="str">
        <f>IF(VLOOKUP(22,'Plate Planning'!$A$1:$T$35,14,FALSE)=0, "", VLOOKUP(22,'Plate Planning'!$A$1:$T$35,14,FALSE))</f>
        <v/>
      </c>
      <c r="N87" s="495" t="str">
        <f>IFERROR(VLOOKUP(22,'Plate Planning'!$A$1:$T$35,18,FALSE),"")</f>
        <v/>
      </c>
      <c r="O87" s="495"/>
      <c r="P87" s="528" t="str">
        <f>IF(VLOOKUP(23,'Plate Planning'!$A$1:$T$35,13,FALSE)=0, "", VLOOKUP(23,'Plate Planning'!$A$1:$T$35,13,FALSE))</f>
        <v/>
      </c>
      <c r="Q87" s="495" t="str">
        <f>IF(VLOOKUP(23,'Plate Planning'!$A$1:$T$35,14,FALSE)=0, "", VLOOKUP(23,'Plate Planning'!$A$1:$T$35,14,FALSE))</f>
        <v/>
      </c>
      <c r="R87" s="528" t="str">
        <f>IFERROR(VLOOKUP(23,'Plate Planning'!$A$1:$T$35,18,FALSE),"")</f>
        <v/>
      </c>
      <c r="S87" s="495"/>
      <c r="T87" s="495" t="str">
        <f>IF(VLOOKUP(24,'Plate Planning'!$A$1:$T$35,13,FALSE)=0, "", VLOOKUP(24,'Plate Planning'!$A$1:$T$35,13,FALSE))</f>
        <v/>
      </c>
      <c r="U87" s="495" t="str">
        <f>IF(VLOOKUP(24,'Plate Planning'!$A$1:$T$35,14,FALSE)=0, "", VLOOKUP(24,'Plate Planning'!$A$1:$T$35,14,FALSE))</f>
        <v/>
      </c>
      <c r="V87" s="495"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42"/>
      <c r="AT87" s="537"/>
      <c r="AU87" s="546">
        <f t="shared" si="2"/>
        <v>0</v>
      </c>
      <c r="AX87" s="224"/>
      <c r="BI87" s="224"/>
    </row>
    <row r="88" spans="1:61">
      <c r="A88" s="227" t="s">
        <v>1246</v>
      </c>
      <c r="B88" s="495"/>
      <c r="C88" s="526"/>
      <c r="D88" s="528" t="str">
        <f>IF(VLOOKUP(20,'Plate Planning'!$A$1:$T$35,13,FALSE)=0, "", VLOOKUP(20,'Plate Planning'!$A$1:$T$35,13,FALSE))</f>
        <v/>
      </c>
      <c r="E88" s="495" t="str">
        <f>IF(VLOOKUP(20,'Plate Planning'!$A$1:$T$35,14,FALSE)=0, "", VLOOKUP(20,'Plate Planning'!$A$1:$T$35,14,FALSE))</f>
        <v/>
      </c>
      <c r="F88" s="495" t="str">
        <f>IFERROR(VLOOKUP(20,'Plate Planning'!$A$1:$T$35,18,FALSE),"")</f>
        <v/>
      </c>
      <c r="G88" s="532"/>
      <c r="H88" s="528" t="str">
        <f>IF(VLOOKUP(21,'Plate Planning'!$A$1:$T$35,13,FALSE)=0, "", VLOOKUP(21,'Plate Planning'!$A$1:$T$35,13,FALSE))</f>
        <v/>
      </c>
      <c r="I88" s="495" t="str">
        <f>IF(VLOOKUP(21,'Plate Planning'!$A$1:$T$35,14,FALSE)=0, "", VLOOKUP(21,'Plate Planning'!$A$1:$T$35,14,FALSE))</f>
        <v/>
      </c>
      <c r="J88" s="540" t="str">
        <f>IFERROR(VLOOKUP(21,'Plate Planning'!$A$1:$T$35,18,FALSE),"")</f>
        <v/>
      </c>
      <c r="K88" s="495"/>
      <c r="L88" s="495" t="str">
        <f>IF(VLOOKUP(22,'Plate Planning'!$A$1:$T$35,13,FALSE)=0, "", VLOOKUP(22,'Plate Planning'!$A$1:$T$35,13,FALSE))</f>
        <v/>
      </c>
      <c r="M88" s="495" t="str">
        <f>IF(VLOOKUP(22,'Plate Planning'!$A$1:$T$35,14,FALSE)=0, "", VLOOKUP(22,'Plate Planning'!$A$1:$T$35,14,FALSE))</f>
        <v/>
      </c>
      <c r="N88" s="495" t="str">
        <f>IFERROR(VLOOKUP(22,'Plate Planning'!$A$1:$T$35,18,FALSE),"")</f>
        <v/>
      </c>
      <c r="O88" s="495"/>
      <c r="P88" s="528" t="str">
        <f>IF(VLOOKUP(23,'Plate Planning'!$A$1:$T$35,13,FALSE)=0, "", VLOOKUP(23,'Plate Planning'!$A$1:$T$35,13,FALSE))</f>
        <v/>
      </c>
      <c r="Q88" s="495" t="str">
        <f>IF(VLOOKUP(23,'Plate Planning'!$A$1:$T$35,14,FALSE)=0, "", VLOOKUP(23,'Plate Planning'!$A$1:$T$35,14,FALSE))</f>
        <v/>
      </c>
      <c r="R88" s="528" t="str">
        <f>IFERROR(VLOOKUP(23,'Plate Planning'!$A$1:$T$35,18,FALSE),"")</f>
        <v/>
      </c>
      <c r="S88" s="495"/>
      <c r="T88" s="495" t="str">
        <f>IF(VLOOKUP(24,'Plate Planning'!$A$1:$T$35,13,FALSE)=0, "", VLOOKUP(24,'Plate Planning'!$A$1:$T$35,13,FALSE))</f>
        <v/>
      </c>
      <c r="U88" s="495" t="str">
        <f>IF(VLOOKUP(24,'Plate Planning'!$A$1:$T$35,14,FALSE)=0, "", VLOOKUP(24,'Plate Planning'!$A$1:$T$35,14,FALSE))</f>
        <v/>
      </c>
      <c r="V88" s="495"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42"/>
      <c r="AT88" s="537"/>
      <c r="AU88" s="546">
        <f t="shared" si="2"/>
        <v>0</v>
      </c>
      <c r="AX88" s="224"/>
      <c r="BI88" s="224"/>
    </row>
    <row r="89" spans="1:61">
      <c r="A89" s="227" t="s">
        <v>1247</v>
      </c>
      <c r="B89" s="495"/>
      <c r="C89" s="526"/>
      <c r="D89" s="528" t="str">
        <f>IF(VLOOKUP(20,'Plate Planning'!$A$1:$T$35,13,FALSE)=0, "", VLOOKUP(20,'Plate Planning'!$A$1:$T$35,13,FALSE))</f>
        <v/>
      </c>
      <c r="E89" s="495" t="str">
        <f>IF(VLOOKUP(20,'Plate Planning'!$A$1:$T$35,14,FALSE)=0, "", VLOOKUP(20,'Plate Planning'!$A$1:$T$35,14,FALSE))</f>
        <v/>
      </c>
      <c r="F89" s="495" t="str">
        <f>IFERROR(VLOOKUP(20,'Plate Planning'!$A$1:$T$35,18,FALSE),"")</f>
        <v/>
      </c>
      <c r="G89" s="532"/>
      <c r="H89" s="528" t="str">
        <f>IF(VLOOKUP(21,'Plate Planning'!$A$1:$T$35,13,FALSE)=0, "", VLOOKUP(21,'Plate Planning'!$A$1:$T$35,13,FALSE))</f>
        <v/>
      </c>
      <c r="I89" s="495" t="str">
        <f>IF(VLOOKUP(21,'Plate Planning'!$A$1:$T$35,14,FALSE)=0, "", VLOOKUP(21,'Plate Planning'!$A$1:$T$35,14,FALSE))</f>
        <v/>
      </c>
      <c r="J89" s="540" t="str">
        <f>IFERROR(VLOOKUP(21,'Plate Planning'!$A$1:$T$35,18,FALSE),"")</f>
        <v/>
      </c>
      <c r="K89" s="495"/>
      <c r="L89" s="495" t="str">
        <f>IF(VLOOKUP(22,'Plate Planning'!$A$1:$T$35,13,FALSE)=0, "", VLOOKUP(22,'Plate Planning'!$A$1:$T$35,13,FALSE))</f>
        <v/>
      </c>
      <c r="M89" s="495" t="str">
        <f>IF(VLOOKUP(22,'Plate Planning'!$A$1:$T$35,14,FALSE)=0, "", VLOOKUP(22,'Plate Planning'!$A$1:$T$35,14,FALSE))</f>
        <v/>
      </c>
      <c r="N89" s="495" t="str">
        <f>IFERROR(VLOOKUP(22,'Plate Planning'!$A$1:$T$35,18,FALSE),"")</f>
        <v/>
      </c>
      <c r="O89" s="495"/>
      <c r="P89" s="528" t="str">
        <f>IF(VLOOKUP(23,'Plate Planning'!$A$1:$T$35,13,FALSE)=0, "", VLOOKUP(23,'Plate Planning'!$A$1:$T$35,13,FALSE))</f>
        <v/>
      </c>
      <c r="Q89" s="495" t="str">
        <f>IF(VLOOKUP(23,'Plate Planning'!$A$1:$T$35,14,FALSE)=0, "", VLOOKUP(23,'Plate Planning'!$A$1:$T$35,14,FALSE))</f>
        <v/>
      </c>
      <c r="R89" s="528" t="str">
        <f>IFERROR(VLOOKUP(23,'Plate Planning'!$A$1:$T$35,18,FALSE),"")</f>
        <v/>
      </c>
      <c r="S89" s="495"/>
      <c r="T89" s="495" t="str">
        <f>IF(VLOOKUP(24,'Plate Planning'!$A$1:$T$35,13,FALSE)=0, "", VLOOKUP(24,'Plate Planning'!$A$1:$T$35,13,FALSE))</f>
        <v/>
      </c>
      <c r="U89" s="495" t="str">
        <f>IF(VLOOKUP(24,'Plate Planning'!$A$1:$T$35,14,FALSE)=0, "", VLOOKUP(24,'Plate Planning'!$A$1:$T$35,14,FALSE))</f>
        <v/>
      </c>
      <c r="V89" s="495"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42"/>
      <c r="AT89" s="537"/>
      <c r="AU89" s="546">
        <f t="shared" si="2"/>
        <v>0</v>
      </c>
      <c r="AX89" s="224"/>
      <c r="BI89" s="224"/>
    </row>
    <row r="90" spans="1:61">
      <c r="A90" s="227" t="s">
        <v>1248</v>
      </c>
      <c r="B90" s="495"/>
      <c r="C90" s="526"/>
      <c r="D90" s="528" t="str">
        <f>IF(VLOOKUP(20,'Plate Planning'!$A$1:$T$35,13,FALSE)=0, "", VLOOKUP(20,'Plate Planning'!$A$1:$T$35,13,FALSE))</f>
        <v/>
      </c>
      <c r="E90" s="495" t="str">
        <f>IF(VLOOKUP(20,'Plate Planning'!$A$1:$T$35,14,FALSE)=0, "", VLOOKUP(20,'Plate Planning'!$A$1:$T$35,14,FALSE))</f>
        <v/>
      </c>
      <c r="F90" s="495" t="str">
        <f>IFERROR(VLOOKUP(20,'Plate Planning'!$A$1:$T$35,18,FALSE),"")</f>
        <v/>
      </c>
      <c r="G90" s="532"/>
      <c r="H90" s="528" t="str">
        <f>IF(VLOOKUP(21,'Plate Planning'!$A$1:$T$35,13,FALSE)=0, "", VLOOKUP(21,'Plate Planning'!$A$1:$T$35,13,FALSE))</f>
        <v/>
      </c>
      <c r="I90" s="495" t="str">
        <f>IF(VLOOKUP(21,'Plate Planning'!$A$1:$T$35,14,FALSE)=0, "", VLOOKUP(21,'Plate Planning'!$A$1:$T$35,14,FALSE))</f>
        <v/>
      </c>
      <c r="J90" s="540" t="str">
        <f>IFERROR(VLOOKUP(21,'Plate Planning'!$A$1:$T$35,18,FALSE),"")</f>
        <v/>
      </c>
      <c r="K90" s="495"/>
      <c r="L90" s="495" t="str">
        <f>IF(VLOOKUP(22,'Plate Planning'!$A$1:$T$35,13,FALSE)=0, "", VLOOKUP(22,'Plate Planning'!$A$1:$T$35,13,FALSE))</f>
        <v/>
      </c>
      <c r="M90" s="495" t="str">
        <f>IF(VLOOKUP(22,'Plate Planning'!$A$1:$T$35,14,FALSE)=0, "", VLOOKUP(22,'Plate Planning'!$A$1:$T$35,14,FALSE))</f>
        <v/>
      </c>
      <c r="N90" s="495" t="str">
        <f>IFERROR(VLOOKUP(22,'Plate Planning'!$A$1:$T$35,18,FALSE),"")</f>
        <v/>
      </c>
      <c r="O90" s="495"/>
      <c r="P90" s="528" t="str">
        <f>IF(VLOOKUP(23,'Plate Planning'!$A$1:$T$35,13,FALSE)=0, "", VLOOKUP(23,'Plate Planning'!$A$1:$T$35,13,FALSE))</f>
        <v/>
      </c>
      <c r="Q90" s="495" t="str">
        <f>IF(VLOOKUP(23,'Plate Planning'!$A$1:$T$35,14,FALSE)=0, "", VLOOKUP(23,'Plate Planning'!$A$1:$T$35,14,FALSE))</f>
        <v/>
      </c>
      <c r="R90" s="528" t="str">
        <f>IFERROR(VLOOKUP(23,'Plate Planning'!$A$1:$T$35,18,FALSE),"")</f>
        <v/>
      </c>
      <c r="S90" s="495"/>
      <c r="T90" s="495" t="str">
        <f>IF(VLOOKUP(24,'Plate Planning'!$A$1:$T$35,13,FALSE)=0, "", VLOOKUP(24,'Plate Planning'!$A$1:$T$35,13,FALSE))</f>
        <v/>
      </c>
      <c r="U90" s="495" t="str">
        <f>IF(VLOOKUP(24,'Plate Planning'!$A$1:$T$35,14,FALSE)=0, "", VLOOKUP(24,'Plate Planning'!$A$1:$T$35,14,FALSE))</f>
        <v/>
      </c>
      <c r="V90" s="495"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42"/>
      <c r="AT90" s="537"/>
      <c r="AU90" s="546">
        <f t="shared" si="2"/>
        <v>0</v>
      </c>
      <c r="AX90" s="224"/>
      <c r="BI90" s="224"/>
    </row>
    <row r="91" spans="1:61">
      <c r="A91" s="227" t="s">
        <v>1249</v>
      </c>
      <c r="B91" s="495"/>
      <c r="C91" s="526"/>
      <c r="D91" s="528" t="str">
        <f>IF(VLOOKUP(20,'Plate Planning'!$A$1:$T$35,13,FALSE)=0, "", VLOOKUP(20,'Plate Planning'!$A$1:$T$35,13,FALSE))</f>
        <v/>
      </c>
      <c r="E91" s="495" t="str">
        <f>IF(VLOOKUP(20,'Plate Planning'!$A$1:$T$35,14,FALSE)=0, "", VLOOKUP(20,'Plate Planning'!$A$1:$T$35,14,FALSE))</f>
        <v/>
      </c>
      <c r="F91" s="495" t="str">
        <f>IFERROR(VLOOKUP(20,'Plate Planning'!$A$1:$T$35,18,FALSE),"")</f>
        <v/>
      </c>
      <c r="G91" s="532"/>
      <c r="H91" s="528" t="str">
        <f>IF(VLOOKUP(21,'Plate Planning'!$A$1:$T$35,13,FALSE)=0, "", VLOOKUP(21,'Plate Planning'!$A$1:$T$35,13,FALSE))</f>
        <v/>
      </c>
      <c r="I91" s="495" t="str">
        <f>IF(VLOOKUP(21,'Plate Planning'!$A$1:$T$35,14,FALSE)=0, "", VLOOKUP(21,'Plate Planning'!$A$1:$T$35,14,FALSE))</f>
        <v/>
      </c>
      <c r="J91" s="540" t="str">
        <f>IFERROR(VLOOKUP(21,'Plate Planning'!$A$1:$T$35,18,FALSE),"")</f>
        <v/>
      </c>
      <c r="K91" s="495"/>
      <c r="L91" s="495" t="str">
        <f>IF(VLOOKUP(22,'Plate Planning'!$A$1:$T$35,13,FALSE)=0, "", VLOOKUP(22,'Plate Planning'!$A$1:$T$35,13,FALSE))</f>
        <v/>
      </c>
      <c r="M91" s="495" t="str">
        <f>IF(VLOOKUP(22,'Plate Planning'!$A$1:$T$35,14,FALSE)=0, "", VLOOKUP(22,'Plate Planning'!$A$1:$T$35,14,FALSE))</f>
        <v/>
      </c>
      <c r="N91" s="495" t="str">
        <f>IFERROR(VLOOKUP(22,'Plate Planning'!$A$1:$T$35,18,FALSE),"")</f>
        <v/>
      </c>
      <c r="O91" s="495"/>
      <c r="P91" s="528" t="str">
        <f>IF(VLOOKUP(23,'Plate Planning'!$A$1:$T$35,13,FALSE)=0, "", VLOOKUP(23,'Plate Planning'!$A$1:$T$35,13,FALSE))</f>
        <v/>
      </c>
      <c r="Q91" s="495" t="str">
        <f>IF(VLOOKUP(23,'Plate Planning'!$A$1:$T$35,14,FALSE)=0, "", VLOOKUP(23,'Plate Planning'!$A$1:$T$35,14,FALSE))</f>
        <v/>
      </c>
      <c r="R91" s="528" t="str">
        <f>IFERROR(VLOOKUP(23,'Plate Planning'!$A$1:$T$35,18,FALSE),"")</f>
        <v/>
      </c>
      <c r="S91" s="495"/>
      <c r="T91" s="495" t="str">
        <f>IF(VLOOKUP(24,'Plate Planning'!$A$1:$T$35,13,FALSE)=0, "", VLOOKUP(24,'Plate Planning'!$A$1:$T$35,13,FALSE))</f>
        <v/>
      </c>
      <c r="U91" s="495" t="str">
        <f>IF(VLOOKUP(24,'Plate Planning'!$A$1:$T$35,14,FALSE)=0, "", VLOOKUP(24,'Plate Planning'!$A$1:$T$35,14,FALSE))</f>
        <v/>
      </c>
      <c r="V91" s="495"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42"/>
      <c r="AT91" s="537"/>
      <c r="AU91" s="546">
        <f t="shared" si="2"/>
        <v>0</v>
      </c>
      <c r="AX91" s="224"/>
      <c r="BI91" s="224"/>
    </row>
    <row r="92" spans="1:61">
      <c r="A92" s="227" t="s">
        <v>1250</v>
      </c>
      <c r="B92" s="495"/>
      <c r="C92" s="526"/>
      <c r="D92" s="528" t="str">
        <f>IF(VLOOKUP(20,'Plate Planning'!$A$1:$T$35,13,FALSE)=0, "", VLOOKUP(20,'Plate Planning'!$A$1:$T$35,13,FALSE))</f>
        <v/>
      </c>
      <c r="E92" s="495" t="str">
        <f>IF(VLOOKUP(20,'Plate Planning'!$A$1:$T$35,14,FALSE)=0, "", VLOOKUP(20,'Plate Planning'!$A$1:$T$35,14,FALSE))</f>
        <v/>
      </c>
      <c r="F92" s="495" t="str">
        <f>IFERROR(VLOOKUP(20,'Plate Planning'!$A$1:$T$35,18,FALSE),"")</f>
        <v/>
      </c>
      <c r="G92" s="532"/>
      <c r="H92" s="528" t="str">
        <f>IF(VLOOKUP(21,'Plate Planning'!$A$1:$T$35,13,FALSE)=0, "", VLOOKUP(21,'Plate Planning'!$A$1:$T$35,13,FALSE))</f>
        <v/>
      </c>
      <c r="I92" s="495" t="str">
        <f>IF(VLOOKUP(21,'Plate Planning'!$A$1:$T$35,14,FALSE)=0, "", VLOOKUP(21,'Plate Planning'!$A$1:$T$35,14,FALSE))</f>
        <v/>
      </c>
      <c r="J92" s="540" t="str">
        <f>IFERROR(VLOOKUP(21,'Plate Planning'!$A$1:$T$35,18,FALSE),"")</f>
        <v/>
      </c>
      <c r="K92" s="495"/>
      <c r="L92" s="495" t="str">
        <f>IF(VLOOKUP(22,'Plate Planning'!$A$1:$T$35,13,FALSE)=0, "", VLOOKUP(22,'Plate Planning'!$A$1:$T$35,13,FALSE))</f>
        <v/>
      </c>
      <c r="M92" s="495" t="str">
        <f>IF(VLOOKUP(22,'Plate Planning'!$A$1:$T$35,14,FALSE)=0, "", VLOOKUP(22,'Plate Planning'!$A$1:$T$35,14,FALSE))</f>
        <v/>
      </c>
      <c r="N92" s="495" t="str">
        <f>IFERROR(VLOOKUP(22,'Plate Planning'!$A$1:$T$35,18,FALSE),"")</f>
        <v/>
      </c>
      <c r="O92" s="495"/>
      <c r="P92" s="528" t="str">
        <f>IF(VLOOKUP(23,'Plate Planning'!$A$1:$T$35,13,FALSE)=0, "", VLOOKUP(23,'Plate Planning'!$A$1:$T$35,13,FALSE))</f>
        <v/>
      </c>
      <c r="Q92" s="495" t="str">
        <f>IF(VLOOKUP(23,'Plate Planning'!$A$1:$T$35,14,FALSE)=0, "", VLOOKUP(23,'Plate Planning'!$A$1:$T$35,14,FALSE))</f>
        <v/>
      </c>
      <c r="R92" s="528" t="str">
        <f>IFERROR(VLOOKUP(23,'Plate Planning'!$A$1:$T$35,18,FALSE),"")</f>
        <v/>
      </c>
      <c r="S92" s="495"/>
      <c r="T92" s="495" t="str">
        <f>IF(VLOOKUP(24,'Plate Planning'!$A$1:$T$35,13,FALSE)=0, "", VLOOKUP(24,'Plate Planning'!$A$1:$T$35,13,FALSE))</f>
        <v/>
      </c>
      <c r="U92" s="495" t="str">
        <f>IF(VLOOKUP(24,'Plate Planning'!$A$1:$T$35,14,FALSE)=0, "", VLOOKUP(24,'Plate Planning'!$A$1:$T$35,14,FALSE))</f>
        <v/>
      </c>
      <c r="V92" s="495"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42"/>
      <c r="AT92" s="537"/>
      <c r="AU92" s="546">
        <f t="shared" si="2"/>
        <v>0</v>
      </c>
      <c r="AX92" s="224"/>
      <c r="BI92" s="224"/>
    </row>
    <row r="93" spans="1:61">
      <c r="A93" s="227" t="s">
        <v>1251</v>
      </c>
      <c r="B93" s="495"/>
      <c r="C93" s="526"/>
      <c r="D93" s="528" t="str">
        <f>IF(VLOOKUP(20,'Plate Planning'!$A$1:$T$35,13,FALSE)=0, "", VLOOKUP(20,'Plate Planning'!$A$1:$T$35,13,FALSE))</f>
        <v/>
      </c>
      <c r="E93" s="495" t="str">
        <f>IF(VLOOKUP(20,'Plate Planning'!$A$1:$T$35,14,FALSE)=0, "", VLOOKUP(20,'Plate Planning'!$A$1:$T$35,14,FALSE))</f>
        <v/>
      </c>
      <c r="F93" s="495" t="str">
        <f>IFERROR(VLOOKUP(20,'Plate Planning'!$A$1:$T$35,18,FALSE),"")</f>
        <v/>
      </c>
      <c r="G93" s="532"/>
      <c r="H93" s="528" t="str">
        <f>IF(VLOOKUP(21,'Plate Planning'!$A$1:$T$35,13,FALSE)=0, "", VLOOKUP(21,'Plate Planning'!$A$1:$T$35,13,FALSE))</f>
        <v/>
      </c>
      <c r="I93" s="495" t="str">
        <f>IF(VLOOKUP(21,'Plate Planning'!$A$1:$T$35,14,FALSE)=0, "", VLOOKUP(21,'Plate Planning'!$A$1:$T$35,14,FALSE))</f>
        <v/>
      </c>
      <c r="J93" s="540" t="str">
        <f>IFERROR(VLOOKUP(21,'Plate Planning'!$A$1:$T$35,18,FALSE),"")</f>
        <v/>
      </c>
      <c r="K93" s="495"/>
      <c r="L93" s="495" t="str">
        <f>IF(VLOOKUP(22,'Plate Planning'!$A$1:$T$35,13,FALSE)=0, "", VLOOKUP(22,'Plate Planning'!$A$1:$T$35,13,FALSE))</f>
        <v/>
      </c>
      <c r="M93" s="495" t="str">
        <f>IF(VLOOKUP(22,'Plate Planning'!$A$1:$T$35,14,FALSE)=0, "", VLOOKUP(22,'Plate Planning'!$A$1:$T$35,14,FALSE))</f>
        <v/>
      </c>
      <c r="N93" s="495" t="str">
        <f>IFERROR(VLOOKUP(22,'Plate Planning'!$A$1:$T$35,18,FALSE),"")</f>
        <v/>
      </c>
      <c r="O93" s="495"/>
      <c r="P93" s="528" t="str">
        <f>IF(VLOOKUP(23,'Plate Planning'!$A$1:$T$35,13,FALSE)=0, "", VLOOKUP(23,'Plate Planning'!$A$1:$T$35,13,FALSE))</f>
        <v/>
      </c>
      <c r="Q93" s="495" t="str">
        <f>IF(VLOOKUP(23,'Plate Planning'!$A$1:$T$35,14,FALSE)=0, "", VLOOKUP(23,'Plate Planning'!$A$1:$T$35,14,FALSE))</f>
        <v/>
      </c>
      <c r="R93" s="528" t="str">
        <f>IFERROR(VLOOKUP(23,'Plate Planning'!$A$1:$T$35,18,FALSE),"")</f>
        <v/>
      </c>
      <c r="S93" s="495"/>
      <c r="T93" s="495" t="str">
        <f>IF(VLOOKUP(24,'Plate Planning'!$A$1:$T$35,13,FALSE)=0, "", VLOOKUP(24,'Plate Planning'!$A$1:$T$35,13,FALSE))</f>
        <v/>
      </c>
      <c r="U93" s="495" t="str">
        <f>IF(VLOOKUP(24,'Plate Planning'!$A$1:$T$35,14,FALSE)=0, "", VLOOKUP(24,'Plate Planning'!$A$1:$T$35,14,FALSE))</f>
        <v/>
      </c>
      <c r="V93" s="495"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42"/>
      <c r="AT93" s="537"/>
      <c r="AU93" s="546">
        <f t="shared" si="2"/>
        <v>0</v>
      </c>
      <c r="AX93" s="224"/>
      <c r="BI93" s="224"/>
    </row>
    <row r="94" spans="1:61">
      <c r="A94" s="227" t="s">
        <v>1252</v>
      </c>
      <c r="B94" s="495"/>
      <c r="C94" s="526"/>
      <c r="D94" s="528" t="str">
        <f>IF(VLOOKUP(20,'Plate Planning'!$A$1:$T$35,13,FALSE)=0, "", VLOOKUP(20,'Plate Planning'!$A$1:$T$35,13,FALSE))</f>
        <v/>
      </c>
      <c r="E94" s="495" t="str">
        <f>IF(VLOOKUP(20,'Plate Planning'!$A$1:$T$35,14,FALSE)=0, "", VLOOKUP(20,'Plate Planning'!$A$1:$T$35,14,FALSE))</f>
        <v/>
      </c>
      <c r="F94" s="495" t="str">
        <f>IFERROR(VLOOKUP(20,'Plate Planning'!$A$1:$T$35,18,FALSE),"")</f>
        <v/>
      </c>
      <c r="G94" s="532"/>
      <c r="H94" s="528" t="str">
        <f>IF(VLOOKUP(21,'Plate Planning'!$A$1:$T$35,13,FALSE)=0, "", VLOOKUP(21,'Plate Planning'!$A$1:$T$35,13,FALSE))</f>
        <v/>
      </c>
      <c r="I94" s="495" t="str">
        <f>IF(VLOOKUP(21,'Plate Planning'!$A$1:$T$35,14,FALSE)=0, "", VLOOKUP(21,'Plate Planning'!$A$1:$T$35,14,FALSE))</f>
        <v/>
      </c>
      <c r="J94" s="540" t="str">
        <f>IFERROR(VLOOKUP(21,'Plate Planning'!$A$1:$T$35,18,FALSE),"")</f>
        <v/>
      </c>
      <c r="K94" s="495"/>
      <c r="L94" s="495" t="str">
        <f>IF(VLOOKUP(22,'Plate Planning'!$A$1:$T$35,13,FALSE)=0, "", VLOOKUP(22,'Plate Planning'!$A$1:$T$35,13,FALSE))</f>
        <v/>
      </c>
      <c r="M94" s="495" t="str">
        <f>IF(VLOOKUP(22,'Plate Planning'!$A$1:$T$35,14,FALSE)=0, "", VLOOKUP(22,'Plate Planning'!$A$1:$T$35,14,FALSE))</f>
        <v/>
      </c>
      <c r="N94" s="495" t="str">
        <f>IFERROR(VLOOKUP(22,'Plate Planning'!$A$1:$T$35,18,FALSE),"")</f>
        <v/>
      </c>
      <c r="O94" s="495"/>
      <c r="P94" s="528" t="str">
        <f>IF(VLOOKUP(23,'Plate Planning'!$A$1:$T$35,13,FALSE)=0, "", VLOOKUP(23,'Plate Planning'!$A$1:$T$35,13,FALSE))</f>
        <v/>
      </c>
      <c r="Q94" s="495" t="str">
        <f>IF(VLOOKUP(23,'Plate Planning'!$A$1:$T$35,14,FALSE)=0, "", VLOOKUP(23,'Plate Planning'!$A$1:$T$35,14,FALSE))</f>
        <v/>
      </c>
      <c r="R94" s="528" t="str">
        <f>IFERROR(VLOOKUP(23,'Plate Planning'!$A$1:$T$35,18,FALSE),"")</f>
        <v/>
      </c>
      <c r="S94" s="495"/>
      <c r="T94" s="495" t="str">
        <f>IF(VLOOKUP(24,'Plate Planning'!$A$1:$T$35,13,FALSE)=0, "", VLOOKUP(24,'Plate Planning'!$A$1:$T$35,13,FALSE))</f>
        <v/>
      </c>
      <c r="U94" s="495" t="str">
        <f>IF(VLOOKUP(24,'Plate Planning'!$A$1:$T$35,14,FALSE)=0, "", VLOOKUP(24,'Plate Planning'!$A$1:$T$35,14,FALSE))</f>
        <v/>
      </c>
      <c r="V94" s="495"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42"/>
      <c r="AT94" s="537"/>
      <c r="AU94" s="546">
        <f t="shared" si="2"/>
        <v>0</v>
      </c>
      <c r="AX94" s="224"/>
      <c r="BI94" s="224"/>
    </row>
    <row r="95" spans="1:61">
      <c r="A95" s="227" t="s">
        <v>1253</v>
      </c>
      <c r="B95" s="495"/>
      <c r="C95" s="526"/>
      <c r="D95" s="528" t="str">
        <f>IF(VLOOKUP(20,'Plate Planning'!$A$1:$T$35,13,FALSE)=0, "", VLOOKUP(20,'Plate Planning'!$A$1:$T$35,13,FALSE))</f>
        <v/>
      </c>
      <c r="E95" s="495" t="str">
        <f>IF(VLOOKUP(20,'Plate Planning'!$A$1:$T$35,14,FALSE)=0, "", VLOOKUP(20,'Plate Planning'!$A$1:$T$35,14,FALSE))</f>
        <v/>
      </c>
      <c r="F95" s="495" t="str">
        <f>IFERROR(VLOOKUP(20,'Plate Planning'!$A$1:$T$35,18,FALSE),"")</f>
        <v/>
      </c>
      <c r="G95" s="532"/>
      <c r="H95" s="528" t="str">
        <f>IF(VLOOKUP(21,'Plate Planning'!$A$1:$T$35,13,FALSE)=0, "", VLOOKUP(21,'Plate Planning'!$A$1:$T$35,13,FALSE))</f>
        <v/>
      </c>
      <c r="I95" s="495" t="str">
        <f>IF(VLOOKUP(21,'Plate Planning'!$A$1:$T$35,14,FALSE)=0, "", VLOOKUP(21,'Plate Planning'!$A$1:$T$35,14,FALSE))</f>
        <v/>
      </c>
      <c r="J95" s="540" t="str">
        <f>IFERROR(VLOOKUP(21,'Plate Planning'!$A$1:$T$35,18,FALSE),"")</f>
        <v/>
      </c>
      <c r="K95" s="495"/>
      <c r="L95" s="495" t="str">
        <f>IF(VLOOKUP(22,'Plate Planning'!$A$1:$T$35,13,FALSE)=0, "", VLOOKUP(22,'Plate Planning'!$A$1:$T$35,13,FALSE))</f>
        <v/>
      </c>
      <c r="M95" s="495" t="str">
        <f>IF(VLOOKUP(22,'Plate Planning'!$A$1:$T$35,14,FALSE)=0, "", VLOOKUP(22,'Plate Planning'!$A$1:$T$35,14,FALSE))</f>
        <v/>
      </c>
      <c r="N95" s="495" t="str">
        <f>IFERROR(VLOOKUP(22,'Plate Planning'!$A$1:$T$35,18,FALSE),"")</f>
        <v/>
      </c>
      <c r="O95" s="495"/>
      <c r="P95" s="528" t="str">
        <f>IF(VLOOKUP(23,'Plate Planning'!$A$1:$T$35,13,FALSE)=0, "", VLOOKUP(23,'Plate Planning'!$A$1:$T$35,13,FALSE))</f>
        <v/>
      </c>
      <c r="Q95" s="495" t="str">
        <f>IF(VLOOKUP(23,'Plate Planning'!$A$1:$T$35,14,FALSE)=0, "", VLOOKUP(23,'Plate Planning'!$A$1:$T$35,14,FALSE))</f>
        <v/>
      </c>
      <c r="R95" s="528" t="str">
        <f>IFERROR(VLOOKUP(23,'Plate Planning'!$A$1:$T$35,18,FALSE),"")</f>
        <v/>
      </c>
      <c r="S95" s="495"/>
      <c r="T95" s="495" t="str">
        <f>IF(VLOOKUP(24,'Plate Planning'!$A$1:$T$35,13,FALSE)=0, "", VLOOKUP(24,'Plate Planning'!$A$1:$T$35,13,FALSE))</f>
        <v/>
      </c>
      <c r="U95" s="495" t="str">
        <f>IF(VLOOKUP(24,'Plate Planning'!$A$1:$T$35,14,FALSE)=0, "", VLOOKUP(24,'Plate Planning'!$A$1:$T$35,14,FALSE))</f>
        <v/>
      </c>
      <c r="V95" s="495"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42"/>
      <c r="AT95" s="537"/>
      <c r="AU95" s="546">
        <f t="shared" si="2"/>
        <v>0</v>
      </c>
      <c r="AX95" s="224"/>
      <c r="BI95" s="224"/>
    </row>
    <row r="96" spans="1:61">
      <c r="A96" s="227" t="s">
        <v>1254</v>
      </c>
      <c r="B96" s="495"/>
      <c r="C96" s="526"/>
      <c r="D96" s="528" t="str">
        <f>IF(VLOOKUP(20,'Plate Planning'!$A$1:$T$35,13,FALSE)=0, "", VLOOKUP(20,'Plate Planning'!$A$1:$T$35,13,FALSE))</f>
        <v/>
      </c>
      <c r="E96" s="495" t="str">
        <f>IF(VLOOKUP(20,'Plate Planning'!$A$1:$T$35,14,FALSE)=0, "", VLOOKUP(20,'Plate Planning'!$A$1:$T$35,14,FALSE))</f>
        <v/>
      </c>
      <c r="F96" s="495" t="str">
        <f>IFERROR(VLOOKUP(20,'Plate Planning'!$A$1:$T$35,18,FALSE),"")</f>
        <v/>
      </c>
      <c r="G96" s="532"/>
      <c r="H96" s="528" t="str">
        <f>IF(VLOOKUP(21,'Plate Planning'!$A$1:$T$35,13,FALSE)=0, "", VLOOKUP(21,'Plate Planning'!$A$1:$T$35,13,FALSE))</f>
        <v/>
      </c>
      <c r="I96" s="495" t="str">
        <f>IF(VLOOKUP(21,'Plate Planning'!$A$1:$T$35,14,FALSE)=0, "", VLOOKUP(21,'Plate Planning'!$A$1:$T$35,14,FALSE))</f>
        <v/>
      </c>
      <c r="J96" s="540" t="str">
        <f>IFERROR(VLOOKUP(21,'Plate Planning'!$A$1:$T$35,18,FALSE),"")</f>
        <v/>
      </c>
      <c r="K96" s="495"/>
      <c r="L96" s="495" t="str">
        <f>IF(VLOOKUP(22,'Plate Planning'!$A$1:$T$35,13,FALSE)=0, "", VLOOKUP(22,'Plate Planning'!$A$1:$T$35,13,FALSE))</f>
        <v/>
      </c>
      <c r="M96" s="495" t="str">
        <f>IF(VLOOKUP(22,'Plate Planning'!$A$1:$T$35,14,FALSE)=0, "", VLOOKUP(22,'Plate Planning'!$A$1:$T$35,14,FALSE))</f>
        <v/>
      </c>
      <c r="N96" s="495" t="str">
        <f>IFERROR(VLOOKUP(22,'Plate Planning'!$A$1:$T$35,18,FALSE),"")</f>
        <v/>
      </c>
      <c r="O96" s="495"/>
      <c r="P96" s="528" t="str">
        <f>IF(VLOOKUP(23,'Plate Planning'!$A$1:$T$35,13,FALSE)=0, "", VLOOKUP(23,'Plate Planning'!$A$1:$T$35,13,FALSE))</f>
        <v/>
      </c>
      <c r="Q96" s="495" t="str">
        <f>IF(VLOOKUP(23,'Plate Planning'!$A$1:$T$35,14,FALSE)=0, "", VLOOKUP(23,'Plate Planning'!$A$1:$T$35,14,FALSE))</f>
        <v/>
      </c>
      <c r="R96" s="528" t="str">
        <f>IFERROR(VLOOKUP(23,'Plate Planning'!$A$1:$T$35,18,FALSE),"")</f>
        <v/>
      </c>
      <c r="S96" s="495"/>
      <c r="T96" s="495" t="str">
        <f>IF(VLOOKUP(24,'Plate Planning'!$A$1:$T$35,13,FALSE)=0, "", VLOOKUP(24,'Plate Planning'!$A$1:$T$35,13,FALSE))</f>
        <v/>
      </c>
      <c r="U96" s="495" t="str">
        <f>IF(VLOOKUP(24,'Plate Planning'!$A$1:$T$35,14,FALSE)=0, "", VLOOKUP(24,'Plate Planning'!$A$1:$T$35,14,FALSE))</f>
        <v/>
      </c>
      <c r="V96" s="495"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42"/>
      <c r="AT96" s="537"/>
      <c r="AU96" s="546">
        <f t="shared" si="2"/>
        <v>0</v>
      </c>
      <c r="AX96" s="224"/>
      <c r="BI96" s="224"/>
    </row>
    <row r="97" spans="1:61">
      <c r="A97" s="227" t="s">
        <v>1255</v>
      </c>
      <c r="B97" s="495"/>
      <c r="C97" s="526"/>
      <c r="D97" s="528" t="str">
        <f>IF(VLOOKUP(20,'Plate Planning'!$A$1:$T$35,13,FALSE)=0, "", VLOOKUP(20,'Plate Planning'!$A$1:$T$35,13,FALSE))</f>
        <v/>
      </c>
      <c r="E97" s="495" t="str">
        <f>IF(VLOOKUP(20,'Plate Planning'!$A$1:$T$35,14,FALSE)=0, "", VLOOKUP(20,'Plate Planning'!$A$1:$T$35,14,FALSE))</f>
        <v/>
      </c>
      <c r="F97" s="495" t="str">
        <f>IFERROR(VLOOKUP(20,'Plate Planning'!$A$1:$T$35,18,FALSE),"")</f>
        <v/>
      </c>
      <c r="G97" s="532"/>
      <c r="H97" s="528" t="str">
        <f>IF(VLOOKUP(21,'Plate Planning'!$A$1:$T$35,13,FALSE)=0, "", VLOOKUP(21,'Plate Planning'!$A$1:$T$35,13,FALSE))</f>
        <v/>
      </c>
      <c r="I97" s="495" t="str">
        <f>IF(VLOOKUP(21,'Plate Planning'!$A$1:$T$35,14,FALSE)=0, "", VLOOKUP(21,'Plate Planning'!$A$1:$T$35,14,FALSE))</f>
        <v/>
      </c>
      <c r="J97" s="540" t="str">
        <f>IFERROR(VLOOKUP(21,'Plate Planning'!$A$1:$T$35,18,FALSE),"")</f>
        <v/>
      </c>
      <c r="K97" s="495"/>
      <c r="L97" s="495" t="str">
        <f>IF(VLOOKUP(22,'Plate Planning'!$A$1:$T$35,13,FALSE)=0, "", VLOOKUP(22,'Plate Planning'!$A$1:$T$35,13,FALSE))</f>
        <v/>
      </c>
      <c r="M97" s="495" t="str">
        <f>IF(VLOOKUP(22,'Plate Planning'!$A$1:$T$35,14,FALSE)=0, "", VLOOKUP(22,'Plate Planning'!$A$1:$T$35,14,FALSE))</f>
        <v/>
      </c>
      <c r="N97" s="495" t="str">
        <f>IFERROR(VLOOKUP(22,'Plate Planning'!$A$1:$T$35,18,FALSE),"")</f>
        <v/>
      </c>
      <c r="O97" s="495"/>
      <c r="P97" s="528" t="str">
        <f>IF(VLOOKUP(23,'Plate Planning'!$A$1:$T$35,13,FALSE)=0, "", VLOOKUP(23,'Plate Planning'!$A$1:$T$35,13,FALSE))</f>
        <v/>
      </c>
      <c r="Q97" s="495" t="str">
        <f>IF(VLOOKUP(23,'Plate Planning'!$A$1:$T$35,14,FALSE)=0, "", VLOOKUP(23,'Plate Planning'!$A$1:$T$35,14,FALSE))</f>
        <v/>
      </c>
      <c r="R97" s="528" t="str">
        <f>IFERROR(VLOOKUP(23,'Plate Planning'!$A$1:$T$35,18,FALSE),"")</f>
        <v/>
      </c>
      <c r="S97" s="495"/>
      <c r="T97" s="495" t="str">
        <f>IF(VLOOKUP(24,'Plate Planning'!$A$1:$T$35,13,FALSE)=0, "", VLOOKUP(24,'Plate Planning'!$A$1:$T$35,13,FALSE))</f>
        <v/>
      </c>
      <c r="U97" s="495" t="str">
        <f>IF(VLOOKUP(24,'Plate Planning'!$A$1:$T$35,14,FALSE)=0, "", VLOOKUP(24,'Plate Planning'!$A$1:$T$35,14,FALSE))</f>
        <v/>
      </c>
      <c r="V97" s="495"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42"/>
      <c r="AT97" s="537"/>
      <c r="AU97" s="546">
        <f t="shared" si="2"/>
        <v>0</v>
      </c>
      <c r="AX97" s="224"/>
      <c r="BI97" s="224"/>
    </row>
    <row r="98" spans="1:61">
      <c r="A98" s="227" t="s">
        <v>1256</v>
      </c>
      <c r="B98" s="495"/>
      <c r="C98" s="526"/>
      <c r="D98" s="528" t="str">
        <f>IF(VLOOKUP(20,'Plate Planning'!$A$1:$T$35,13,FALSE)=0, "", VLOOKUP(20,'Plate Planning'!$A$1:$T$35,13,FALSE))</f>
        <v/>
      </c>
      <c r="E98" s="495" t="str">
        <f>IF(VLOOKUP(20,'Plate Planning'!$A$1:$T$35,14,FALSE)=0, "", VLOOKUP(20,'Plate Planning'!$A$1:$T$35,14,FALSE))</f>
        <v/>
      </c>
      <c r="F98" s="495" t="str">
        <f>IFERROR(VLOOKUP(20,'Plate Planning'!$A$1:$T$35,18,FALSE),"")</f>
        <v/>
      </c>
      <c r="G98" s="532"/>
      <c r="H98" s="528" t="str">
        <f>IF(VLOOKUP(21,'Plate Planning'!$A$1:$T$35,13,FALSE)=0, "", VLOOKUP(21,'Plate Planning'!$A$1:$T$35,13,FALSE))</f>
        <v/>
      </c>
      <c r="I98" s="495" t="str">
        <f>IF(VLOOKUP(21,'Plate Planning'!$A$1:$T$35,14,FALSE)=0, "", VLOOKUP(21,'Plate Planning'!$A$1:$T$35,14,FALSE))</f>
        <v/>
      </c>
      <c r="J98" s="540" t="str">
        <f>IFERROR(VLOOKUP(21,'Plate Planning'!$A$1:$T$35,18,FALSE),"")</f>
        <v/>
      </c>
      <c r="K98" s="495"/>
      <c r="L98" s="495" t="str">
        <f>IF(VLOOKUP(22,'Plate Planning'!$A$1:$T$35,13,FALSE)=0, "", VLOOKUP(22,'Plate Planning'!$A$1:$T$35,13,FALSE))</f>
        <v/>
      </c>
      <c r="M98" s="495" t="str">
        <f>IF(VLOOKUP(22,'Plate Planning'!$A$1:$T$35,14,FALSE)=0, "", VLOOKUP(22,'Plate Planning'!$A$1:$T$35,14,FALSE))</f>
        <v/>
      </c>
      <c r="N98" s="495" t="str">
        <f>IFERROR(VLOOKUP(22,'Plate Planning'!$A$1:$T$35,18,FALSE),"")</f>
        <v/>
      </c>
      <c r="O98" s="495"/>
      <c r="P98" s="528" t="str">
        <f>IF(VLOOKUP(23,'Plate Planning'!$A$1:$T$35,13,FALSE)=0, "", VLOOKUP(23,'Plate Planning'!$A$1:$T$35,13,FALSE))</f>
        <v/>
      </c>
      <c r="Q98" s="495" t="str">
        <f>IF(VLOOKUP(23,'Plate Planning'!$A$1:$T$35,14,FALSE)=0, "", VLOOKUP(23,'Plate Planning'!$A$1:$T$35,14,FALSE))</f>
        <v/>
      </c>
      <c r="R98" s="528" t="str">
        <f>IFERROR(VLOOKUP(23,'Plate Planning'!$A$1:$T$35,18,FALSE),"")</f>
        <v/>
      </c>
      <c r="S98" s="495"/>
      <c r="T98" s="495" t="str">
        <f>IF(VLOOKUP(24,'Plate Planning'!$A$1:$T$35,13,FALSE)=0, "", VLOOKUP(24,'Plate Planning'!$A$1:$T$35,13,FALSE))</f>
        <v/>
      </c>
      <c r="U98" s="495" t="str">
        <f>IF(VLOOKUP(24,'Plate Planning'!$A$1:$T$35,14,FALSE)=0, "", VLOOKUP(24,'Plate Planning'!$A$1:$T$35,14,FALSE))</f>
        <v/>
      </c>
      <c r="V98" s="495"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42"/>
      <c r="AT98" s="537"/>
      <c r="AU98" s="546">
        <f t="shared" si="2"/>
        <v>0</v>
      </c>
      <c r="AX98" s="224"/>
      <c r="BI98" s="224"/>
    </row>
    <row r="99" spans="1:61">
      <c r="A99" s="229" t="s">
        <v>1257</v>
      </c>
      <c r="B99" s="495"/>
      <c r="C99" s="527"/>
      <c r="D99" s="528" t="str">
        <f>IF(VLOOKUP(20,'Plate Planning'!$A$1:$T$35,13,FALSE)=0, "", VLOOKUP(20,'Plate Planning'!$A$1:$T$35,13,FALSE))</f>
        <v/>
      </c>
      <c r="E99" s="495" t="str">
        <f>IF(VLOOKUP(20,'Plate Planning'!$A$1:$T$35,14,FALSE)=0, "", VLOOKUP(20,'Plate Planning'!$A$1:$T$35,14,FALSE))</f>
        <v/>
      </c>
      <c r="F99" s="495" t="str">
        <f>IFERROR(VLOOKUP(20,'Plate Planning'!$A$1:$T$35,18,FALSE),"")</f>
        <v/>
      </c>
      <c r="G99" s="534"/>
      <c r="H99" s="528" t="str">
        <f>IF(VLOOKUP(21,'Plate Planning'!$A$1:$T$35,13,FALSE)=0, "", VLOOKUP(21,'Plate Planning'!$A$1:$T$35,13,FALSE))</f>
        <v/>
      </c>
      <c r="I99" s="495" t="str">
        <f>IF(VLOOKUP(21,'Plate Planning'!$A$1:$T$35,14,FALSE)=0, "", VLOOKUP(21,'Plate Planning'!$A$1:$T$35,14,FALSE))</f>
        <v/>
      </c>
      <c r="J99" s="540" t="str">
        <f>IFERROR(VLOOKUP(21,'Plate Planning'!$A$1:$T$35,18,FALSE),"")</f>
        <v/>
      </c>
      <c r="K99" s="495"/>
      <c r="L99" s="495" t="str">
        <f>IF(VLOOKUP(22,'Plate Planning'!$A$1:$T$35,13,FALSE)=0, "", VLOOKUP(22,'Plate Planning'!$A$1:$T$35,13,FALSE))</f>
        <v/>
      </c>
      <c r="M99" s="495" t="str">
        <f>IF(VLOOKUP(22,'Plate Planning'!$A$1:$T$35,14,FALSE)=0, "", VLOOKUP(22,'Plate Planning'!$A$1:$T$35,14,FALSE))</f>
        <v/>
      </c>
      <c r="N99" s="495" t="str">
        <f>IFERROR(VLOOKUP(22,'Plate Planning'!$A$1:$T$35,18,FALSE),"")</f>
        <v/>
      </c>
      <c r="O99" s="495"/>
      <c r="P99" s="528" t="str">
        <f>IF(VLOOKUP(23,'Plate Planning'!$A$1:$T$35,13,FALSE)=0, "", VLOOKUP(23,'Plate Planning'!$A$1:$T$35,13,FALSE))</f>
        <v/>
      </c>
      <c r="Q99" s="495" t="str">
        <f>IF(VLOOKUP(23,'Plate Planning'!$A$1:$T$35,14,FALSE)=0, "", VLOOKUP(23,'Plate Planning'!$A$1:$T$35,14,FALSE))</f>
        <v/>
      </c>
      <c r="R99" s="528" t="str">
        <f>IFERROR(VLOOKUP(23,'Plate Planning'!$A$1:$T$35,18,FALSE),"")</f>
        <v/>
      </c>
      <c r="S99" s="495"/>
      <c r="T99" s="495" t="str">
        <f>IF(VLOOKUP(24,'Plate Planning'!$A$1:$T$35,13,FALSE)=0, "", VLOOKUP(24,'Plate Planning'!$A$1:$T$35,13,FALSE))</f>
        <v/>
      </c>
      <c r="U99" s="495" t="str">
        <f>IF(VLOOKUP(24,'Plate Planning'!$A$1:$T$35,14,FALSE)=0, "", VLOOKUP(24,'Plate Planning'!$A$1:$T$35,14,FALSE))</f>
        <v/>
      </c>
      <c r="V99" s="495"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43"/>
      <c r="AT99" s="537"/>
      <c r="AU99" s="546">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0"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2" s="480" customFormat="1">
      <c r="A1" s="512" t="s">
        <v>12</v>
      </c>
      <c r="B1" s="547" t="s">
        <v>21</v>
      </c>
      <c r="C1" s="570" t="s">
        <v>2027</v>
      </c>
      <c r="D1" s="548" t="s">
        <v>480</v>
      </c>
      <c r="E1" s="570" t="s">
        <v>2028</v>
      </c>
      <c r="F1" s="548" t="s">
        <v>481</v>
      </c>
      <c r="G1" s="570" t="s">
        <v>2029</v>
      </c>
      <c r="H1" s="548" t="s">
        <v>482</v>
      </c>
      <c r="I1" s="570" t="s">
        <v>2030</v>
      </c>
      <c r="J1" s="549" t="s">
        <v>483</v>
      </c>
      <c r="K1" s="578" t="s">
        <v>2031</v>
      </c>
      <c r="L1" s="550" t="s">
        <v>484</v>
      </c>
      <c r="M1" s="582" t="s">
        <v>2032</v>
      </c>
      <c r="N1" s="549" t="s">
        <v>485</v>
      </c>
      <c r="O1" s="578" t="s">
        <v>2033</v>
      </c>
      <c r="P1" s="551" t="s">
        <v>486</v>
      </c>
      <c r="Q1" s="585" t="s">
        <v>2034</v>
      </c>
      <c r="R1" s="552" t="s">
        <v>487</v>
      </c>
      <c r="S1" s="587" t="s">
        <v>2035</v>
      </c>
      <c r="T1" s="551" t="s">
        <v>488</v>
      </c>
      <c r="U1" s="585" t="s">
        <v>2036</v>
      </c>
      <c r="V1" s="601" t="s">
        <v>489</v>
      </c>
    </row>
    <row r="2" spans="1:22" s="480" customFormat="1" hidden="1">
      <c r="A2" s="512"/>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0" customFormat="1" hidden="1">
      <c r="A3" s="512"/>
      <c r="B3" s="560" t="s">
        <v>1161</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78" t="s">
        <v>1162</v>
      </c>
      <c r="B4" s="565" t="s">
        <v>22</v>
      </c>
      <c r="C4" s="573" t="e">
        <f>(VLOOKUP(A4,'Uncorrected Area Counts'!$A$4:$AU$99,7,FALSE)/VLOOKUP(A4,'Uncorrected Area Counts'!$A$4:$AU$99,47,FALSE))*100</f>
        <v>#DIV/0!</v>
      </c>
      <c r="D4" s="566" t="e">
        <f>VLOOKUP(A4,'Uncorrected Area Counts'!$A$4:$AU$99,7,FALSE)/VLOOKUP(A4,'Uncorrected Area Counts'!$A$4:$AU$99,3,FALSE)/VLOOKUP(1,'Plate Planning'!$L$20:$S$35,4,FALSE)*VLOOKUP("standard",'Plate Planning'!$L$20:$S$35,4,FALSE)/VLOOKUP(A4,'Uncorrected Area Counts'!$A$4:$AU$99,6,FALSE)*100</f>
        <v>#DIV/0!</v>
      </c>
      <c r="E4" s="576" t="e">
        <f>(VLOOKUP(A4,'Uncorrected Area Counts'!$A$4:$AU$99,11,FALSE)/VLOOKUP(A4,'Uncorrected Area Counts'!$A$4:$AU$99,47,FALSE))*100</f>
        <v>#DIV/0!</v>
      </c>
      <c r="F4" s="566" t="e">
        <f>VLOOKUP(A4,'Uncorrected Area Counts'!$A$4:$AU$99,11,FALSE)/VLOOKUP(A4,'Uncorrected Area Counts'!$A$4:$AU$99,3,FALSE)/VLOOKUP(2,'Plate Planning'!$L$20:$S$35,4,FALSE)*VLOOKUP("standard",'Plate Planning'!$L$20:$S$35,4,FALSE)/VLOOKUP(A4,'Uncorrected Area Counts'!$A$4:$AU$99,10,FALSE)*100</f>
        <v>#DIV/0!</v>
      </c>
      <c r="G4" s="576" t="e">
        <f>(VLOOKUP(A4,'Uncorrected Area Counts'!$A$4:$AU$99,15,FALSE)/VLOOKUP(A4,'Uncorrected Area Counts'!$A$4:$AU$99,47,FALSE))*100</f>
        <v>#DIV/0!</v>
      </c>
      <c r="H4" s="566" t="e">
        <f>VLOOKUP(A4,'Uncorrected Area Counts'!$A$4:$AU$99,15,FALSE)/VLOOKUP(A4,'Uncorrected Area Counts'!$A$4:$AU$99,3,FALSE)/VLOOKUP(3,'Plate Planning'!$L$20:$S$35,4,FALSE)*VLOOKUP("standard",'Plate Planning'!$L$20:$S$35,4,FALSE)/VLOOKUP(A4,'Uncorrected Area Counts'!$A$4:$AU$99,14,FALSE)*100</f>
        <v>#DIV/0!</v>
      </c>
      <c r="I4" s="576" t="e">
        <f>(VLOOKUP(A4,'Uncorrected Area Counts'!$A$4:$AU$99,19,FALSE)/VLOOKUP(A4,'Uncorrected Area Counts'!$A$4:$AU$99,47,FALSE))*100</f>
        <v>#DIV/0!</v>
      </c>
      <c r="J4" s="567" t="e">
        <f>VLOOKUP(A4,'Uncorrected Area Counts'!$A$4:$AU$99,19,FALSE)/VLOOKUP(A4,'Uncorrected Area Counts'!$A$4:$AU$99,3,FALSE)/VLOOKUP(4,'Plate Planning'!$L$20:$S$35,4,FALSE)*VLOOKUP("standard",'Plate Planning'!$L$20:$S$35,4,FALSE)/VLOOKUP(A4,'Uncorrected Area Counts'!$A$4:$AU$99,18,FALSE)*100</f>
        <v>#DIV/0!</v>
      </c>
      <c r="K4" s="581" t="e">
        <f>(VLOOKUP(A4,'Uncorrected Area Counts'!$A$4:$AU$99,23,FALSE)/VLOOKUP(A4,'Uncorrected Area Counts'!$A$4:$AU$99,47,FALSE))*100</f>
        <v>#DIV/0!</v>
      </c>
      <c r="L4" s="568" t="e">
        <f>VLOOKUP(A4,'Uncorrected Area Counts'!$A$4:$AU$99,23,FALSE)/VLOOKUP(A4,'Uncorrected Area Counts'!$A$4:$AU$99,3,FALSE)/VLOOKUP(5,'Plate Planning'!$L$20:$S$35,4,FALSE)*VLOOKUP("standard",'Plate Planning'!$L$20:$S$35,4,FALSE)/VLOOKUP(A4,'Uncorrected Area Counts'!$A$4:$AU$99,22,FALSE)*100</f>
        <v>#DIV/0!</v>
      </c>
      <c r="M4" s="581" t="e">
        <f>(VLOOKUP(A4,'Uncorrected Area Counts'!$A$4:$AU$99,27,FALSE)/VLOOKUP(A4,'Uncorrected Area Counts'!$A$4:$AU$99,47,FALSE))*100</f>
        <v>#DIV/0!</v>
      </c>
      <c r="N4" s="567" t="e">
        <f>VLOOKUP(A4,'Uncorrected Area Counts'!$A$4:$AU$99,27,FALSE)/VLOOKUP(A4,'Uncorrected Area Counts'!$A$4:$AU$99,3,FALSE)/VLOOKUP(6,'Plate Planning'!$L$20:$S$35,4,FALSE)*VLOOKUP("standard",'Plate Planning'!$L$20:$S$35,4,FALSE)/VLOOKUP(A4,'Uncorrected Area Counts'!$A$4:$AU$99,26,FALSE)*100</f>
        <v>#DIV/0!</v>
      </c>
      <c r="O4" s="581" t="e">
        <f>(VLOOKUP(A4,'Uncorrected Area Counts'!$A$4:$AU$99,31,FALSE)/VLOOKUP(A4,'Uncorrected Area Counts'!$A$4:$AU$99,47,FALSE))*100</f>
        <v>#DIV/0!</v>
      </c>
      <c r="P4" s="568" t="e">
        <f>VLOOKUP(A4,'Uncorrected Area Counts'!$A$4:$AU$99,31,FALSE)/VLOOKUP(A4,'Uncorrected Area Counts'!$A$4:$AU$99,3,FALSE)/VLOOKUP(7,'Plate Planning'!$L$20:$S$35,4,FALSE)*VLOOKUP("standard",'Plate Planning'!$L$20:$S$35,4,FALSE)/VLOOKUP(A4,'Uncorrected Area Counts'!$A$4:$AU$99,30,FALSE)*100</f>
        <v>#DIV/0!</v>
      </c>
      <c r="Q4" s="581" t="e">
        <f>(VLOOKUP(A4,'Uncorrected Area Counts'!$A$4:$AU$99,35,FALSE)/VLOOKUP(A4,'Uncorrected Area Counts'!$A$4:$AU$99,47,FALSE))*100</f>
        <v>#DIV/0!</v>
      </c>
      <c r="R4" s="477" t="e">
        <f>VLOOKUP(A4,'Uncorrected Area Counts'!$A$4:$AU$99,35,FALSE)/VLOOKUP(A4,'Uncorrected Area Counts'!$A$4:$AU$99,3,FALSE)/VLOOKUP(8,'Plate Planning'!$L$20:$S$35,4,FALSE)*VLOOKUP("standard",'Plate Planning'!$L$20:$S$35,4,FALSE)/VLOOKUP(A4,'Uncorrected Area Counts'!$A$4:$AU$99,34,FALSE)*100</f>
        <v>#DIV/0!</v>
      </c>
      <c r="S4" s="589" t="e">
        <f>(VLOOKUP(A4,'Uncorrected Area Counts'!$A$4:$AU$99,39,FALSE)/VLOOKUP(A4,'Uncorrected Area Counts'!$A$4:$AU$99,47,FALSE))*100</f>
        <v>#DIV/0!</v>
      </c>
      <c r="T4" s="569" t="e">
        <f>VLOOKUP(A4,'Uncorrected Area Counts'!$A$4:$AU$99,39,FALSE)/VLOOKUP(A4,'Uncorrected Area Counts'!$A$4:$AU$99,3,FALSE)/VLOOKUP(8,'Plate Planning'!$L$20:$S$35,4,FALSE)*VLOOKUP("standard",'Plate Planning'!$L$20:$S$35,4,FALSE)/VLOOKUP(A4,'Uncorrected Area Counts'!$A$4:$AU$99,38,FALSE)*100</f>
        <v>#DIV/0!</v>
      </c>
      <c r="U4" s="589" t="e">
        <f>(VLOOKUP(A4,'Uncorrected Area Counts'!$A$4:$AU$99,43,FALSE)/VLOOKUP(A4,'Uncorrected Area Counts'!$A$4:$AU$99,47,FALSE))*100</f>
        <v>#DIV/0!</v>
      </c>
      <c r="V4" s="604" t="e">
        <f>VLOOKUP(A4,'Uncorrected Area Counts'!$A$4:$AU$99,43,FALSE)/VLOOKUP(A4,'Uncorrected Area Counts'!$A$4:$AU$99,3,FALSE)/VLOOKUP(8,'Plate Planning'!$L$20:$S$35,4,FALSE)*VLOOKUP("standard",'Plate Planning'!$L$20:$S$35,4,FALSE)/VLOOKUP(A4,'Uncorrected Area Counts'!$A$4:$AU$99,42,FALSE)*100</f>
        <v>#DIV/0!</v>
      </c>
    </row>
    <row r="5" spans="1:22">
      <c r="A5" s="478" t="s">
        <v>1163</v>
      </c>
      <c r="B5" s="565" t="s">
        <v>22</v>
      </c>
      <c r="C5" s="573" t="e">
        <f>(VLOOKUP(A5,'Uncorrected Area Counts'!$A$4:$AU$99,7,FALSE)/VLOOKUP(A5,'Uncorrected Area Counts'!$A$4:$AU$99,47,FALSE))*100</f>
        <v>#DIV/0!</v>
      </c>
      <c r="D5" s="566" t="e">
        <f>VLOOKUP(A5,'Uncorrected Area Counts'!$A$4:$AU$99,7,FALSE)/VLOOKUP(A5,'Uncorrected Area Counts'!$A$4:$AU$99,3,FALSE)/VLOOKUP(1,'Plate Planning'!$L$20:$S$35,4,FALSE)*VLOOKUP("standard",'Plate Planning'!$L$20:$S$35,4,FALSE)/VLOOKUP(A5,'Uncorrected Area Counts'!$A$4:$AU$99,6,FALSE)*100</f>
        <v>#DIV/0!</v>
      </c>
      <c r="E5" s="576" t="e">
        <f>(VLOOKUP(A5,'Uncorrected Area Counts'!$A$4:$AU$99,11,FALSE)/VLOOKUP(A5,'Uncorrected Area Counts'!$A$4:$AU$99,47,FALSE))*100</f>
        <v>#DIV/0!</v>
      </c>
      <c r="F5" s="566" t="e">
        <f>VLOOKUP(A5,'Uncorrected Area Counts'!$A$4:$AU$99,11,FALSE)/VLOOKUP(A5,'Uncorrected Area Counts'!$A$4:$AU$99,3,FALSE)/VLOOKUP(2,'Plate Planning'!$L$20:$S$35,4,FALSE)*VLOOKUP("standard",'Plate Planning'!$L$20:$S$35,4,FALSE)/VLOOKUP(A5,'Uncorrected Area Counts'!$A$4:$AU$99,10,FALSE)*100</f>
        <v>#DIV/0!</v>
      </c>
      <c r="G5" s="576" t="e">
        <f>(VLOOKUP(A5,'Uncorrected Area Counts'!$A$4:$AU$99,15,FALSE)/VLOOKUP(A5,'Uncorrected Area Counts'!$A$4:$AU$99,47,FALSE))*100</f>
        <v>#DIV/0!</v>
      </c>
      <c r="H5" s="566" t="e">
        <f>VLOOKUP(A5,'Uncorrected Area Counts'!$A$4:$AU$99,15,FALSE)/VLOOKUP(A5,'Uncorrected Area Counts'!$A$4:$AU$99,3,FALSE)/VLOOKUP(3,'Plate Planning'!$L$20:$S$35,4,FALSE)*VLOOKUP("standard",'Plate Planning'!$L$20:$S$35,4,FALSE)/VLOOKUP(A5,'Uncorrected Area Counts'!$A$4:$AU$99,14,FALSE)*100</f>
        <v>#DIV/0!</v>
      </c>
      <c r="I5" s="576" t="e">
        <f>(VLOOKUP(A5,'Uncorrected Area Counts'!$A$4:$AU$99,19,FALSE)/VLOOKUP(A5,'Uncorrected Area Counts'!$A$4:$AU$99,47,FALSE))*100</f>
        <v>#DIV/0!</v>
      </c>
      <c r="J5" s="567" t="e">
        <f>VLOOKUP(A5,'Uncorrected Area Counts'!$A$4:$AU$99,19,FALSE)/VLOOKUP(A5,'Uncorrected Area Counts'!$A$4:$AU$99,3,FALSE)/VLOOKUP(4,'Plate Planning'!$L$20:$S$35,4,FALSE)*VLOOKUP("standard",'Plate Planning'!$L$20:$S$35,4,FALSE)/VLOOKUP(A5,'Uncorrected Area Counts'!$A$4:$AU$99,18,FALSE)*100</f>
        <v>#DIV/0!</v>
      </c>
      <c r="K5" s="581" t="e">
        <f>(VLOOKUP(A5,'Uncorrected Area Counts'!$A$4:$AU$99,23,FALSE)/VLOOKUP(A5,'Uncorrected Area Counts'!$A$4:$AU$99,47,FALSE))*100</f>
        <v>#DIV/0!</v>
      </c>
      <c r="L5" s="568" t="e">
        <f>VLOOKUP(A5,'Uncorrected Area Counts'!$A$4:$AU$99,23,FALSE)/VLOOKUP(A5,'Uncorrected Area Counts'!$A$4:$AU$99,3,FALSE)/VLOOKUP(5,'Plate Planning'!$L$20:$S$35,4,FALSE)*VLOOKUP("standard",'Plate Planning'!$L$20:$S$35,4,FALSE)/VLOOKUP(A5,'Uncorrected Area Counts'!$A$4:$AU$99,22,FALSE)*100</f>
        <v>#DIV/0!</v>
      </c>
      <c r="M5" s="581" t="e">
        <f>(VLOOKUP(A5,'Uncorrected Area Counts'!$A$4:$AU$99,27,FALSE)/VLOOKUP(A5,'Uncorrected Area Counts'!$A$4:$AU$99,47,FALSE))*100</f>
        <v>#DIV/0!</v>
      </c>
      <c r="N5" s="567" t="e">
        <f>VLOOKUP(A5,'Uncorrected Area Counts'!$A$4:$AU$99,27,FALSE)/VLOOKUP(A5,'Uncorrected Area Counts'!$A$4:$AU$99,3,FALSE)/VLOOKUP(6,'Plate Planning'!$L$20:$S$35,4,FALSE)*VLOOKUP("standard",'Plate Planning'!$L$20:$S$35,4,FALSE)/VLOOKUP(A5,'Uncorrected Area Counts'!$A$4:$AU$99,26,FALSE)*100</f>
        <v>#DIV/0!</v>
      </c>
      <c r="O5" s="581" t="e">
        <f>(VLOOKUP(A5,'Uncorrected Area Counts'!$A$4:$AU$99,31,FALSE)/VLOOKUP(A5,'Uncorrected Area Counts'!$A$4:$AU$99,47,FALSE))*100</f>
        <v>#DIV/0!</v>
      </c>
      <c r="P5" s="568" t="e">
        <f>VLOOKUP(A5,'Uncorrected Area Counts'!$A$4:$AU$99,31,FALSE)/VLOOKUP(A5,'Uncorrected Area Counts'!$A$4:$AU$99,3,FALSE)/VLOOKUP(7,'Plate Planning'!$L$20:$S$35,4,FALSE)*VLOOKUP("standard",'Plate Planning'!$L$20:$S$35,4,FALSE)/VLOOKUP(A5,'Uncorrected Area Counts'!$A$4:$AU$99,30,FALSE)*100</f>
        <v>#DIV/0!</v>
      </c>
      <c r="Q5" s="581" t="e">
        <f>(VLOOKUP(A5,'Uncorrected Area Counts'!$A$4:$AU$99,35,FALSE)/VLOOKUP(A5,'Uncorrected Area Counts'!$A$4:$AU$99,47,FALSE))*100</f>
        <v>#DIV/0!</v>
      </c>
      <c r="R5" s="477" t="e">
        <f>VLOOKUP(A5,'Uncorrected Area Counts'!$A$4:$AU$99,35,FALSE)/VLOOKUP(A5,'Uncorrected Area Counts'!$A$4:$AU$99,3,FALSE)/VLOOKUP(8,'Plate Planning'!$L$20:$S$35,4,FALSE)*VLOOKUP("standard",'Plate Planning'!$L$20:$S$35,4,FALSE)/VLOOKUP(A5,'Uncorrected Area Counts'!$A$4:$AU$99,34,FALSE)*100</f>
        <v>#DIV/0!</v>
      </c>
      <c r="S5" s="589" t="e">
        <f>(VLOOKUP(A5,'Uncorrected Area Counts'!$A$4:$AU$99,39,FALSE)/VLOOKUP(A5,'Uncorrected Area Counts'!$A$4:$AU$99,47,FALSE))*100</f>
        <v>#DIV/0!</v>
      </c>
      <c r="T5" s="569" t="e">
        <f>VLOOKUP(A5,'Uncorrected Area Counts'!$A$4:$AU$99,39,FALSE)/VLOOKUP(A5,'Uncorrected Area Counts'!$A$4:$AU$99,3,FALSE)/VLOOKUP(8,'Plate Planning'!$L$20:$S$35,4,FALSE)*VLOOKUP("standard",'Plate Planning'!$L$20:$S$35,4,FALSE)/VLOOKUP(A5,'Uncorrected Area Counts'!$A$4:$AU$99,38,FALSE)*100</f>
        <v>#DIV/0!</v>
      </c>
      <c r="U5" s="589" t="e">
        <f>(VLOOKUP(A5,'Uncorrected Area Counts'!$A$4:$AU$99,43,FALSE)/VLOOKUP(A5,'Uncorrected Area Counts'!$A$4:$AU$99,47,FALSE))*100</f>
        <v>#DIV/0!</v>
      </c>
      <c r="V5" s="604" t="e">
        <f>VLOOKUP(A5,'Uncorrected Area Counts'!$A$4:$AU$99,43,FALSE)/VLOOKUP(A5,'Uncorrected Area Counts'!$A$4:$AU$99,3,FALSE)/VLOOKUP(8,'Plate Planning'!$L$20:$S$35,4,FALSE)*VLOOKUP("standard",'Plate Planning'!$L$20:$S$35,4,FALSE)/VLOOKUP(A5,'Uncorrected Area Counts'!$A$4:$AU$99,42,FALSE)*100</f>
        <v>#DIV/0!</v>
      </c>
    </row>
    <row r="6" spans="1:22">
      <c r="A6" s="478" t="s">
        <v>1164</v>
      </c>
      <c r="B6" s="565" t="s">
        <v>22</v>
      </c>
      <c r="C6" s="573" t="e">
        <f>(VLOOKUP(A6,'Uncorrected Area Counts'!$A$4:$AU$99,7,FALSE)/VLOOKUP(A6,'Uncorrected Area Counts'!$A$4:$AU$99,47,FALSE))*100</f>
        <v>#DIV/0!</v>
      </c>
      <c r="D6" s="566" t="e">
        <f>VLOOKUP(A6,'Uncorrected Area Counts'!$A$4:$AU$99,7,FALSE)/VLOOKUP(A6,'Uncorrected Area Counts'!$A$4:$AU$99,3,FALSE)/VLOOKUP(1,'Plate Planning'!$L$20:$S$35,4,FALSE)*VLOOKUP("standard",'Plate Planning'!$L$20:$S$35,4,FALSE)/VLOOKUP(A6,'Uncorrected Area Counts'!$A$4:$AU$99,6,FALSE)*100</f>
        <v>#DIV/0!</v>
      </c>
      <c r="E6" s="576" t="e">
        <f>(VLOOKUP(A6,'Uncorrected Area Counts'!$A$4:$AU$99,11,FALSE)/VLOOKUP(A6,'Uncorrected Area Counts'!$A$4:$AU$99,47,FALSE))*100</f>
        <v>#DIV/0!</v>
      </c>
      <c r="F6" s="566" t="e">
        <f>VLOOKUP(A6,'Uncorrected Area Counts'!$A$4:$AU$99,11,FALSE)/VLOOKUP(A6,'Uncorrected Area Counts'!$A$4:$AU$99,3,FALSE)/VLOOKUP(2,'Plate Planning'!$L$20:$S$35,4,FALSE)*VLOOKUP("standard",'Plate Planning'!$L$20:$S$35,4,FALSE)/VLOOKUP(A6,'Uncorrected Area Counts'!$A$4:$AU$99,10,FALSE)*100</f>
        <v>#DIV/0!</v>
      </c>
      <c r="G6" s="576" t="e">
        <f>(VLOOKUP(A6,'Uncorrected Area Counts'!$A$4:$AU$99,15,FALSE)/VLOOKUP(A6,'Uncorrected Area Counts'!$A$4:$AU$99,47,FALSE))*100</f>
        <v>#DIV/0!</v>
      </c>
      <c r="H6" s="566" t="e">
        <f>VLOOKUP(A6,'Uncorrected Area Counts'!$A$4:$AU$99,15,FALSE)/VLOOKUP(A6,'Uncorrected Area Counts'!$A$4:$AU$99,3,FALSE)/VLOOKUP(3,'Plate Planning'!$L$20:$S$35,4,FALSE)*VLOOKUP("standard",'Plate Planning'!$L$20:$S$35,4,FALSE)/VLOOKUP(A6,'Uncorrected Area Counts'!$A$4:$AU$99,14,FALSE)*100</f>
        <v>#DIV/0!</v>
      </c>
      <c r="I6" s="576" t="e">
        <f>(VLOOKUP(A6,'Uncorrected Area Counts'!$A$4:$AU$99,19,FALSE)/VLOOKUP(A6,'Uncorrected Area Counts'!$A$4:$AU$99,47,FALSE))*100</f>
        <v>#DIV/0!</v>
      </c>
      <c r="J6" s="567" t="e">
        <f>VLOOKUP(A6,'Uncorrected Area Counts'!$A$4:$AU$99,19,FALSE)/VLOOKUP(A6,'Uncorrected Area Counts'!$A$4:$AU$99,3,FALSE)/VLOOKUP(4,'Plate Planning'!$L$20:$S$35,4,FALSE)*VLOOKUP("standard",'Plate Planning'!$L$20:$S$35,4,FALSE)/VLOOKUP(A6,'Uncorrected Area Counts'!$A$4:$AU$99,18,FALSE)*100</f>
        <v>#DIV/0!</v>
      </c>
      <c r="K6" s="581" t="e">
        <f>(VLOOKUP(A6,'Uncorrected Area Counts'!$A$4:$AU$99,23,FALSE)/VLOOKUP(A6,'Uncorrected Area Counts'!$A$4:$AU$99,47,FALSE))*100</f>
        <v>#DIV/0!</v>
      </c>
      <c r="L6" s="568" t="e">
        <f>VLOOKUP(A6,'Uncorrected Area Counts'!$A$4:$AU$99,23,FALSE)/VLOOKUP(A6,'Uncorrected Area Counts'!$A$4:$AU$99,3,FALSE)/VLOOKUP(5,'Plate Planning'!$L$20:$S$35,4,FALSE)*VLOOKUP("standard",'Plate Planning'!$L$20:$S$35,4,FALSE)/VLOOKUP(A6,'Uncorrected Area Counts'!$A$4:$AU$99,22,FALSE)*100</f>
        <v>#DIV/0!</v>
      </c>
      <c r="M6" s="581" t="e">
        <f>(VLOOKUP(A6,'Uncorrected Area Counts'!$A$4:$AU$99,27,FALSE)/VLOOKUP(A6,'Uncorrected Area Counts'!$A$4:$AU$99,47,FALSE))*100</f>
        <v>#DIV/0!</v>
      </c>
      <c r="N6" s="567" t="e">
        <f>VLOOKUP(A6,'Uncorrected Area Counts'!$A$4:$AU$99,27,FALSE)/VLOOKUP(A6,'Uncorrected Area Counts'!$A$4:$AU$99,3,FALSE)/VLOOKUP(6,'Plate Planning'!$L$20:$S$35,4,FALSE)*VLOOKUP("standard",'Plate Planning'!$L$20:$S$35,4,FALSE)/VLOOKUP(A6,'Uncorrected Area Counts'!$A$4:$AU$99,26,FALSE)*100</f>
        <v>#DIV/0!</v>
      </c>
      <c r="O6" s="581" t="e">
        <f>(VLOOKUP(A6,'Uncorrected Area Counts'!$A$4:$AU$99,31,FALSE)/VLOOKUP(A6,'Uncorrected Area Counts'!$A$4:$AU$99,47,FALSE))*100</f>
        <v>#DIV/0!</v>
      </c>
      <c r="P6" s="568" t="e">
        <f>VLOOKUP(A6,'Uncorrected Area Counts'!$A$4:$AU$99,31,FALSE)/VLOOKUP(A6,'Uncorrected Area Counts'!$A$4:$AU$99,3,FALSE)/VLOOKUP(7,'Plate Planning'!$L$20:$S$35,4,FALSE)*VLOOKUP("standard",'Plate Planning'!$L$20:$S$35,4,FALSE)/VLOOKUP(A6,'Uncorrected Area Counts'!$A$4:$AU$99,30,FALSE)*100</f>
        <v>#DIV/0!</v>
      </c>
      <c r="Q6" s="581" t="e">
        <f>(VLOOKUP(A6,'Uncorrected Area Counts'!$A$4:$AU$99,35,FALSE)/VLOOKUP(A6,'Uncorrected Area Counts'!$A$4:$AU$99,47,FALSE))*100</f>
        <v>#DIV/0!</v>
      </c>
      <c r="R6" s="477" t="e">
        <f>VLOOKUP(A6,'Uncorrected Area Counts'!$A$4:$AU$99,35,FALSE)/VLOOKUP(A6,'Uncorrected Area Counts'!$A$4:$AU$99,3,FALSE)/VLOOKUP(8,'Plate Planning'!$L$20:$S$35,4,FALSE)*VLOOKUP("standard",'Plate Planning'!$L$20:$S$35,4,FALSE)/VLOOKUP(A6,'Uncorrected Area Counts'!$A$4:$AU$99,34,FALSE)*100</f>
        <v>#DIV/0!</v>
      </c>
      <c r="S6" s="589" t="e">
        <f>(VLOOKUP(A6,'Uncorrected Area Counts'!$A$4:$AU$99,39,FALSE)/VLOOKUP(A6,'Uncorrected Area Counts'!$A$4:$AU$99,47,FALSE))*100</f>
        <v>#DIV/0!</v>
      </c>
      <c r="T6" s="569" t="e">
        <f>VLOOKUP(A6,'Uncorrected Area Counts'!$A$4:$AU$99,39,FALSE)/VLOOKUP(A6,'Uncorrected Area Counts'!$A$4:$AU$99,3,FALSE)/VLOOKUP(8,'Plate Planning'!$L$20:$S$35,4,FALSE)*VLOOKUP("standard",'Plate Planning'!$L$20:$S$35,4,FALSE)/VLOOKUP(A6,'Uncorrected Area Counts'!$A$4:$AU$99,38,FALSE)*100</f>
        <v>#DIV/0!</v>
      </c>
      <c r="U6" s="589" t="e">
        <f>(VLOOKUP(A6,'Uncorrected Area Counts'!$A$4:$AU$99,43,FALSE)/VLOOKUP(A6,'Uncorrected Area Counts'!$A$4:$AU$99,47,FALSE))*100</f>
        <v>#DIV/0!</v>
      </c>
      <c r="V6" s="604" t="e">
        <f>VLOOKUP(A6,'Uncorrected Area Counts'!$A$4:$AU$99,43,FALSE)/VLOOKUP(A6,'Uncorrected Area Counts'!$A$4:$AU$99,3,FALSE)/VLOOKUP(8,'Plate Planning'!$L$20:$S$35,4,FALSE)*VLOOKUP("standard",'Plate Planning'!$L$20:$S$35,4,FALSE)/VLOOKUP(A6,'Uncorrected Area Counts'!$A$4:$AU$99,42,FALSE)*100</f>
        <v>#DIV/0!</v>
      </c>
    </row>
    <row r="7" spans="1:22">
      <c r="A7" s="478" t="s">
        <v>1165</v>
      </c>
      <c r="B7" s="565" t="s">
        <v>22</v>
      </c>
      <c r="C7" s="573" t="e">
        <f>(VLOOKUP(A7,'Uncorrected Area Counts'!$A$4:$AU$99,7,FALSE)/VLOOKUP(A7,'Uncorrected Area Counts'!$A$4:$AU$99,47,FALSE))*100</f>
        <v>#DIV/0!</v>
      </c>
      <c r="D7" s="566" t="e">
        <f>VLOOKUP(A7,'Uncorrected Area Counts'!$A$4:$AU$99,7,FALSE)/VLOOKUP(A7,'Uncorrected Area Counts'!$A$4:$AU$99,3,FALSE)/VLOOKUP(1,'Plate Planning'!$L$20:$S$35,4,FALSE)*VLOOKUP("standard",'Plate Planning'!$L$20:$S$35,4,FALSE)/VLOOKUP(A7,'Uncorrected Area Counts'!$A$4:$AU$99,6,FALSE)*100</f>
        <v>#DIV/0!</v>
      </c>
      <c r="E7" s="576" t="e">
        <f>(VLOOKUP(A7,'Uncorrected Area Counts'!$A$4:$AU$99,11,FALSE)/VLOOKUP(A7,'Uncorrected Area Counts'!$A$4:$AU$99,47,FALSE))*100</f>
        <v>#DIV/0!</v>
      </c>
      <c r="F7" s="566" t="e">
        <f>VLOOKUP(A7,'Uncorrected Area Counts'!$A$4:$AU$99,11,FALSE)/VLOOKUP(A7,'Uncorrected Area Counts'!$A$4:$AU$99,3,FALSE)/VLOOKUP(2,'Plate Planning'!$L$20:$S$35,4,FALSE)*VLOOKUP("standard",'Plate Planning'!$L$20:$S$35,4,FALSE)/VLOOKUP(A7,'Uncorrected Area Counts'!$A$4:$AU$99,10,FALSE)*100</f>
        <v>#DIV/0!</v>
      </c>
      <c r="G7" s="576" t="e">
        <f>(VLOOKUP(A7,'Uncorrected Area Counts'!$A$4:$AU$99,15,FALSE)/VLOOKUP(A7,'Uncorrected Area Counts'!$A$4:$AU$99,47,FALSE))*100</f>
        <v>#DIV/0!</v>
      </c>
      <c r="H7" s="566" t="e">
        <f>VLOOKUP(A7,'Uncorrected Area Counts'!$A$4:$AU$99,15,FALSE)/VLOOKUP(A7,'Uncorrected Area Counts'!$A$4:$AU$99,3,FALSE)/VLOOKUP(3,'Plate Planning'!$L$20:$S$35,4,FALSE)*VLOOKUP("standard",'Plate Planning'!$L$20:$S$35,4,FALSE)/VLOOKUP(A7,'Uncorrected Area Counts'!$A$4:$AU$99,14,FALSE)*100</f>
        <v>#DIV/0!</v>
      </c>
      <c r="I7" s="576" t="e">
        <f>(VLOOKUP(A7,'Uncorrected Area Counts'!$A$4:$AU$99,19,FALSE)/VLOOKUP(A7,'Uncorrected Area Counts'!$A$4:$AU$99,47,FALSE))*100</f>
        <v>#DIV/0!</v>
      </c>
      <c r="J7" s="567" t="e">
        <f>VLOOKUP(A7,'Uncorrected Area Counts'!$A$4:$AU$99,19,FALSE)/VLOOKUP(A7,'Uncorrected Area Counts'!$A$4:$AU$99,3,FALSE)/VLOOKUP(4,'Plate Planning'!$L$20:$S$35,4,FALSE)*VLOOKUP("standard",'Plate Planning'!$L$20:$S$35,4,FALSE)/VLOOKUP(A7,'Uncorrected Area Counts'!$A$4:$AU$99,18,FALSE)*100</f>
        <v>#DIV/0!</v>
      </c>
      <c r="K7" s="581" t="e">
        <f>(VLOOKUP(A7,'Uncorrected Area Counts'!$A$4:$AU$99,23,FALSE)/VLOOKUP(A7,'Uncorrected Area Counts'!$A$4:$AU$99,47,FALSE))*100</f>
        <v>#DIV/0!</v>
      </c>
      <c r="L7" s="568" t="e">
        <f>VLOOKUP(A7,'Uncorrected Area Counts'!$A$4:$AU$99,23,FALSE)/VLOOKUP(A7,'Uncorrected Area Counts'!$A$4:$AU$99,3,FALSE)/VLOOKUP(5,'Plate Planning'!$L$20:$S$35,4,FALSE)*VLOOKUP("standard",'Plate Planning'!$L$20:$S$35,4,FALSE)/VLOOKUP(A7,'Uncorrected Area Counts'!$A$4:$AU$99,22,FALSE)*100</f>
        <v>#DIV/0!</v>
      </c>
      <c r="M7" s="581" t="e">
        <f>(VLOOKUP(A7,'Uncorrected Area Counts'!$A$4:$AU$99,27,FALSE)/VLOOKUP(A7,'Uncorrected Area Counts'!$A$4:$AU$99,47,FALSE))*100</f>
        <v>#DIV/0!</v>
      </c>
      <c r="N7" s="567" t="e">
        <f>VLOOKUP(A7,'Uncorrected Area Counts'!$A$4:$AU$99,27,FALSE)/VLOOKUP(A7,'Uncorrected Area Counts'!$A$4:$AU$99,3,FALSE)/VLOOKUP(6,'Plate Planning'!$L$20:$S$35,4,FALSE)*VLOOKUP("standard",'Plate Planning'!$L$20:$S$35,4,FALSE)/VLOOKUP(A7,'Uncorrected Area Counts'!$A$4:$AU$99,26,FALSE)*100</f>
        <v>#DIV/0!</v>
      </c>
      <c r="O7" s="581" t="e">
        <f>(VLOOKUP(A7,'Uncorrected Area Counts'!$A$4:$AU$99,31,FALSE)/VLOOKUP(A7,'Uncorrected Area Counts'!$A$4:$AU$99,47,FALSE))*100</f>
        <v>#DIV/0!</v>
      </c>
      <c r="P7" s="568" t="e">
        <f>VLOOKUP(A7,'Uncorrected Area Counts'!$A$4:$AU$99,31,FALSE)/VLOOKUP(A7,'Uncorrected Area Counts'!$A$4:$AU$99,3,FALSE)/VLOOKUP(7,'Plate Planning'!$L$20:$S$35,4,FALSE)*VLOOKUP("standard",'Plate Planning'!$L$20:$S$35,4,FALSE)/VLOOKUP(A7,'Uncorrected Area Counts'!$A$4:$AU$99,30,FALSE)*100</f>
        <v>#DIV/0!</v>
      </c>
      <c r="Q7" s="581" t="e">
        <f>(VLOOKUP(A7,'Uncorrected Area Counts'!$A$4:$AU$99,35,FALSE)/VLOOKUP(A7,'Uncorrected Area Counts'!$A$4:$AU$99,47,FALSE))*100</f>
        <v>#DIV/0!</v>
      </c>
      <c r="R7" s="477" t="e">
        <f>VLOOKUP(A7,'Uncorrected Area Counts'!$A$4:$AU$99,35,FALSE)/VLOOKUP(A7,'Uncorrected Area Counts'!$A$4:$AU$99,3,FALSE)/VLOOKUP(8,'Plate Planning'!$L$20:$S$35,4,FALSE)*VLOOKUP("standard",'Plate Planning'!$L$20:$S$35,4,FALSE)/VLOOKUP(A7,'Uncorrected Area Counts'!$A$4:$AU$99,34,FALSE)*100</f>
        <v>#DIV/0!</v>
      </c>
      <c r="S7" s="589" t="e">
        <f>(VLOOKUP(A7,'Uncorrected Area Counts'!$A$4:$AU$99,39,FALSE)/VLOOKUP(A7,'Uncorrected Area Counts'!$A$4:$AU$99,47,FALSE))*100</f>
        <v>#DIV/0!</v>
      </c>
      <c r="T7" s="569" t="e">
        <f>VLOOKUP(A7,'Uncorrected Area Counts'!$A$4:$AU$99,39,FALSE)/VLOOKUP(A7,'Uncorrected Area Counts'!$A$4:$AU$99,3,FALSE)/VLOOKUP(8,'Plate Planning'!$L$20:$S$35,4,FALSE)*VLOOKUP("standard",'Plate Planning'!$L$20:$S$35,4,FALSE)/VLOOKUP(A7,'Uncorrected Area Counts'!$A$4:$AU$99,38,FALSE)*100</f>
        <v>#DIV/0!</v>
      </c>
      <c r="U7" s="589" t="e">
        <f>(VLOOKUP(A7,'Uncorrected Area Counts'!$A$4:$AU$99,43,FALSE)/VLOOKUP(A7,'Uncorrected Area Counts'!$A$4:$AU$99,47,FALSE))*100</f>
        <v>#DIV/0!</v>
      </c>
      <c r="V7" s="604" t="e">
        <f>VLOOKUP(A7,'Uncorrected Area Counts'!$A$4:$AU$99,43,FALSE)/VLOOKUP(A7,'Uncorrected Area Counts'!$A$4:$AU$99,3,FALSE)/VLOOKUP(8,'Plate Planning'!$L$20:$S$35,4,FALSE)*VLOOKUP("standard",'Plate Planning'!$L$20:$S$35,4,FALSE)/VLOOKUP(A7,'Uncorrected Area Counts'!$A$4:$AU$99,42,FALSE)*100</f>
        <v>#DIV/0!</v>
      </c>
    </row>
    <row r="8" spans="1:22">
      <c r="A8" s="478" t="s">
        <v>1166</v>
      </c>
      <c r="B8" s="565" t="s">
        <v>22</v>
      </c>
      <c r="C8" s="573" t="e">
        <f>(VLOOKUP(A8,'Uncorrected Area Counts'!$A$4:$AU$99,7,FALSE)/VLOOKUP(A8,'Uncorrected Area Counts'!$A$4:$AU$99,47,FALSE))*100</f>
        <v>#DIV/0!</v>
      </c>
      <c r="D8" s="566" t="e">
        <f>VLOOKUP(A8,'Uncorrected Area Counts'!$A$4:$AU$99,7,FALSE)/VLOOKUP(A8,'Uncorrected Area Counts'!$A$4:$AU$99,3,FALSE)/VLOOKUP(1,'Plate Planning'!$L$20:$S$35,4,FALSE)*VLOOKUP("standard",'Plate Planning'!$L$20:$S$35,4,FALSE)/VLOOKUP(A8,'Uncorrected Area Counts'!$A$4:$AU$99,6,FALSE)*100</f>
        <v>#DIV/0!</v>
      </c>
      <c r="E8" s="576" t="e">
        <f>(VLOOKUP(A8,'Uncorrected Area Counts'!$A$4:$AU$99,11,FALSE)/VLOOKUP(A8,'Uncorrected Area Counts'!$A$4:$AU$99,47,FALSE))*100</f>
        <v>#DIV/0!</v>
      </c>
      <c r="F8" s="566" t="e">
        <f>VLOOKUP(A8,'Uncorrected Area Counts'!$A$4:$AU$99,11,FALSE)/VLOOKUP(A8,'Uncorrected Area Counts'!$A$4:$AU$99,3,FALSE)/VLOOKUP(2,'Plate Planning'!$L$20:$S$35,4,FALSE)*VLOOKUP("standard",'Plate Planning'!$L$20:$S$35,4,FALSE)/VLOOKUP(A8,'Uncorrected Area Counts'!$A$4:$AU$99,10,FALSE)*100</f>
        <v>#DIV/0!</v>
      </c>
      <c r="G8" s="576" t="e">
        <f>(VLOOKUP(A8,'Uncorrected Area Counts'!$A$4:$AU$99,15,FALSE)/VLOOKUP(A8,'Uncorrected Area Counts'!$A$4:$AU$99,47,FALSE))*100</f>
        <v>#DIV/0!</v>
      </c>
      <c r="H8" s="566" t="e">
        <f>VLOOKUP(A8,'Uncorrected Area Counts'!$A$4:$AU$99,15,FALSE)/VLOOKUP(A8,'Uncorrected Area Counts'!$A$4:$AU$99,3,FALSE)/VLOOKUP(3,'Plate Planning'!$L$20:$S$35,4,FALSE)*VLOOKUP("standard",'Plate Planning'!$L$20:$S$35,4,FALSE)/VLOOKUP(A8,'Uncorrected Area Counts'!$A$4:$AU$99,14,FALSE)*100</f>
        <v>#DIV/0!</v>
      </c>
      <c r="I8" s="576" t="e">
        <f>(VLOOKUP(A8,'Uncorrected Area Counts'!$A$4:$AU$99,19,FALSE)/VLOOKUP(A8,'Uncorrected Area Counts'!$A$4:$AU$99,47,FALSE))*100</f>
        <v>#DIV/0!</v>
      </c>
      <c r="J8" s="567" t="e">
        <f>VLOOKUP(A8,'Uncorrected Area Counts'!$A$4:$AU$99,19,FALSE)/VLOOKUP(A8,'Uncorrected Area Counts'!$A$4:$AU$99,3,FALSE)/VLOOKUP(4,'Plate Planning'!$L$20:$S$35,4,FALSE)*VLOOKUP("standard",'Plate Planning'!$L$20:$S$35,4,FALSE)/VLOOKUP(A8,'Uncorrected Area Counts'!$A$4:$AU$99,18,FALSE)*100</f>
        <v>#DIV/0!</v>
      </c>
      <c r="K8" s="581" t="e">
        <f>(VLOOKUP(A8,'Uncorrected Area Counts'!$A$4:$AU$99,23,FALSE)/VLOOKUP(A8,'Uncorrected Area Counts'!$A$4:$AU$99,47,FALSE))*100</f>
        <v>#DIV/0!</v>
      </c>
      <c r="L8" s="568" t="e">
        <f>VLOOKUP(A8,'Uncorrected Area Counts'!$A$4:$AU$99,23,FALSE)/VLOOKUP(A8,'Uncorrected Area Counts'!$A$4:$AU$99,3,FALSE)/VLOOKUP(5,'Plate Planning'!$L$20:$S$35,4,FALSE)*VLOOKUP("standard",'Plate Planning'!$L$20:$S$35,4,FALSE)/VLOOKUP(A8,'Uncorrected Area Counts'!$A$4:$AU$99,22,FALSE)*100</f>
        <v>#DIV/0!</v>
      </c>
      <c r="M8" s="581" t="e">
        <f>(VLOOKUP(A8,'Uncorrected Area Counts'!$A$4:$AU$99,27,FALSE)/VLOOKUP(A8,'Uncorrected Area Counts'!$A$4:$AU$99,47,FALSE))*100</f>
        <v>#DIV/0!</v>
      </c>
      <c r="N8" s="567" t="e">
        <f>VLOOKUP(A8,'Uncorrected Area Counts'!$A$4:$AU$99,27,FALSE)/VLOOKUP(A8,'Uncorrected Area Counts'!$A$4:$AU$99,3,FALSE)/VLOOKUP(6,'Plate Planning'!$L$20:$S$35,4,FALSE)*VLOOKUP("standard",'Plate Planning'!$L$20:$S$35,4,FALSE)/VLOOKUP(A8,'Uncorrected Area Counts'!$A$4:$AU$99,26,FALSE)*100</f>
        <v>#DIV/0!</v>
      </c>
      <c r="O8" s="581" t="e">
        <f>(VLOOKUP(A8,'Uncorrected Area Counts'!$A$4:$AU$99,31,FALSE)/VLOOKUP(A8,'Uncorrected Area Counts'!$A$4:$AU$99,47,FALSE))*100</f>
        <v>#DIV/0!</v>
      </c>
      <c r="P8" s="568" t="e">
        <f>VLOOKUP(A8,'Uncorrected Area Counts'!$A$4:$AU$99,31,FALSE)/VLOOKUP(A8,'Uncorrected Area Counts'!$A$4:$AU$99,3,FALSE)/VLOOKUP(7,'Plate Planning'!$L$20:$S$35,4,FALSE)*VLOOKUP("standard",'Plate Planning'!$L$20:$S$35,4,FALSE)/VLOOKUP(A8,'Uncorrected Area Counts'!$A$4:$AU$99,30,FALSE)*100</f>
        <v>#DIV/0!</v>
      </c>
      <c r="Q8" s="581" t="e">
        <f>(VLOOKUP(A8,'Uncorrected Area Counts'!$A$4:$AU$99,35,FALSE)/VLOOKUP(A8,'Uncorrected Area Counts'!$A$4:$AU$99,47,FALSE))*100</f>
        <v>#DIV/0!</v>
      </c>
      <c r="R8" s="477" t="e">
        <f>VLOOKUP(A8,'Uncorrected Area Counts'!$A$4:$AU$99,35,FALSE)/VLOOKUP(A8,'Uncorrected Area Counts'!$A$4:$AU$99,3,FALSE)/VLOOKUP(8,'Plate Planning'!$L$20:$S$35,4,FALSE)*VLOOKUP("standard",'Plate Planning'!$L$20:$S$35,4,FALSE)/VLOOKUP(A8,'Uncorrected Area Counts'!$A$4:$AU$99,34,FALSE)*100</f>
        <v>#DIV/0!</v>
      </c>
      <c r="S8" s="589" t="e">
        <f>(VLOOKUP(A8,'Uncorrected Area Counts'!$A$4:$AU$99,39,FALSE)/VLOOKUP(A8,'Uncorrected Area Counts'!$A$4:$AU$99,47,FALSE))*100</f>
        <v>#DIV/0!</v>
      </c>
      <c r="T8" s="569" t="e">
        <f>VLOOKUP(A8,'Uncorrected Area Counts'!$A$4:$AU$99,39,FALSE)/VLOOKUP(A8,'Uncorrected Area Counts'!$A$4:$AU$99,3,FALSE)/VLOOKUP(8,'Plate Planning'!$L$20:$S$35,4,FALSE)*VLOOKUP("standard",'Plate Planning'!$L$20:$S$35,4,FALSE)/VLOOKUP(A8,'Uncorrected Area Counts'!$A$4:$AU$99,38,FALSE)*100</f>
        <v>#DIV/0!</v>
      </c>
      <c r="U8" s="589" t="e">
        <f>(VLOOKUP(A8,'Uncorrected Area Counts'!$A$4:$AU$99,43,FALSE)/VLOOKUP(A8,'Uncorrected Area Counts'!$A$4:$AU$99,47,FALSE))*100</f>
        <v>#DIV/0!</v>
      </c>
      <c r="V8" s="604" t="e">
        <f>VLOOKUP(A8,'Uncorrected Area Counts'!$A$4:$AU$99,43,FALSE)/VLOOKUP(A8,'Uncorrected Area Counts'!$A$4:$AU$99,3,FALSE)/VLOOKUP(8,'Plate Planning'!$L$20:$S$35,4,FALSE)*VLOOKUP("standard",'Plate Planning'!$L$20:$S$35,4,FALSE)/VLOOKUP(A8,'Uncorrected Area Counts'!$A$4:$AU$99,42,FALSE)*100</f>
        <v>#DIV/0!</v>
      </c>
    </row>
    <row r="9" spans="1:22">
      <c r="A9" s="478" t="s">
        <v>1167</v>
      </c>
      <c r="B9" s="565" t="s">
        <v>22</v>
      </c>
      <c r="C9" s="573" t="e">
        <f>(VLOOKUP(A9,'Uncorrected Area Counts'!$A$4:$AU$99,7,FALSE)/VLOOKUP(A9,'Uncorrected Area Counts'!$A$4:$AU$99,47,FALSE))*100</f>
        <v>#DIV/0!</v>
      </c>
      <c r="D9" s="566" t="e">
        <f>VLOOKUP(A9,'Uncorrected Area Counts'!$A$4:$AU$99,7,FALSE)/VLOOKUP(A9,'Uncorrected Area Counts'!$A$4:$AU$99,3,FALSE)/VLOOKUP(1,'Plate Planning'!$L$20:$S$35,4,FALSE)*VLOOKUP("standard",'Plate Planning'!$L$20:$S$35,4,FALSE)/VLOOKUP(A9,'Uncorrected Area Counts'!$A$4:$AU$99,6,FALSE)*100</f>
        <v>#DIV/0!</v>
      </c>
      <c r="E9" s="576" t="e">
        <f>(VLOOKUP(A9,'Uncorrected Area Counts'!$A$4:$AU$99,11,FALSE)/VLOOKUP(A9,'Uncorrected Area Counts'!$A$4:$AU$99,47,FALSE))*100</f>
        <v>#DIV/0!</v>
      </c>
      <c r="F9" s="566" t="e">
        <f>VLOOKUP(A9,'Uncorrected Area Counts'!$A$4:$AU$99,11,FALSE)/VLOOKUP(A9,'Uncorrected Area Counts'!$A$4:$AU$99,3,FALSE)/VLOOKUP(2,'Plate Planning'!$L$20:$S$35,4,FALSE)*VLOOKUP("standard",'Plate Planning'!$L$20:$S$35,4,FALSE)/VLOOKUP(A9,'Uncorrected Area Counts'!$A$4:$AU$99,10,FALSE)*100</f>
        <v>#DIV/0!</v>
      </c>
      <c r="G9" s="576" t="e">
        <f>(VLOOKUP(A9,'Uncorrected Area Counts'!$A$4:$AU$99,15,FALSE)/VLOOKUP(A9,'Uncorrected Area Counts'!$A$4:$AU$99,47,FALSE))*100</f>
        <v>#DIV/0!</v>
      </c>
      <c r="H9" s="566" t="e">
        <f>VLOOKUP(A9,'Uncorrected Area Counts'!$A$4:$AU$99,15,FALSE)/VLOOKUP(A9,'Uncorrected Area Counts'!$A$4:$AU$99,3,FALSE)/VLOOKUP(3,'Plate Planning'!$L$20:$S$35,4,FALSE)*VLOOKUP("standard",'Plate Planning'!$L$20:$S$35,4,FALSE)/VLOOKUP(A9,'Uncorrected Area Counts'!$A$4:$AU$99,14,FALSE)*100</f>
        <v>#DIV/0!</v>
      </c>
      <c r="I9" s="576" t="e">
        <f>(VLOOKUP(A9,'Uncorrected Area Counts'!$A$4:$AU$99,19,FALSE)/VLOOKUP(A9,'Uncorrected Area Counts'!$A$4:$AU$99,47,FALSE))*100</f>
        <v>#DIV/0!</v>
      </c>
      <c r="J9" s="567" t="e">
        <f>VLOOKUP(A9,'Uncorrected Area Counts'!$A$4:$AU$99,19,FALSE)/VLOOKUP(A9,'Uncorrected Area Counts'!$A$4:$AU$99,3,FALSE)/VLOOKUP(4,'Plate Planning'!$L$20:$S$35,4,FALSE)*VLOOKUP("standard",'Plate Planning'!$L$20:$S$35,4,FALSE)/VLOOKUP(A9,'Uncorrected Area Counts'!$A$4:$AU$99,18,FALSE)*100</f>
        <v>#DIV/0!</v>
      </c>
      <c r="K9" s="581" t="e">
        <f>(VLOOKUP(A9,'Uncorrected Area Counts'!$A$4:$AU$99,23,FALSE)/VLOOKUP(A9,'Uncorrected Area Counts'!$A$4:$AU$99,47,FALSE))*100</f>
        <v>#DIV/0!</v>
      </c>
      <c r="L9" s="568" t="e">
        <f>VLOOKUP(A9,'Uncorrected Area Counts'!$A$4:$AU$99,23,FALSE)/VLOOKUP(A9,'Uncorrected Area Counts'!$A$4:$AU$99,3,FALSE)/VLOOKUP(5,'Plate Planning'!$L$20:$S$35,4,FALSE)*VLOOKUP("standard",'Plate Planning'!$L$20:$S$35,4,FALSE)/VLOOKUP(A9,'Uncorrected Area Counts'!$A$4:$AU$99,22,FALSE)*100</f>
        <v>#DIV/0!</v>
      </c>
      <c r="M9" s="581" t="e">
        <f>(VLOOKUP(A9,'Uncorrected Area Counts'!$A$4:$AU$99,27,FALSE)/VLOOKUP(A9,'Uncorrected Area Counts'!$A$4:$AU$99,47,FALSE))*100</f>
        <v>#DIV/0!</v>
      </c>
      <c r="N9" s="567" t="e">
        <f>VLOOKUP(A9,'Uncorrected Area Counts'!$A$4:$AU$99,27,FALSE)/VLOOKUP(A9,'Uncorrected Area Counts'!$A$4:$AU$99,3,FALSE)/VLOOKUP(6,'Plate Planning'!$L$20:$S$35,4,FALSE)*VLOOKUP("standard",'Plate Planning'!$L$20:$S$35,4,FALSE)/VLOOKUP(A9,'Uncorrected Area Counts'!$A$4:$AU$99,26,FALSE)*100</f>
        <v>#DIV/0!</v>
      </c>
      <c r="O9" s="581" t="e">
        <f>(VLOOKUP(A9,'Uncorrected Area Counts'!$A$4:$AU$99,31,FALSE)/VLOOKUP(A9,'Uncorrected Area Counts'!$A$4:$AU$99,47,FALSE))*100</f>
        <v>#DIV/0!</v>
      </c>
      <c r="P9" s="568" t="e">
        <f>VLOOKUP(A9,'Uncorrected Area Counts'!$A$4:$AU$99,31,FALSE)/VLOOKUP(A9,'Uncorrected Area Counts'!$A$4:$AU$99,3,FALSE)/VLOOKUP(7,'Plate Planning'!$L$20:$S$35,4,FALSE)*VLOOKUP("standard",'Plate Planning'!$L$20:$S$35,4,FALSE)/VLOOKUP(A9,'Uncorrected Area Counts'!$A$4:$AU$99,30,FALSE)*100</f>
        <v>#DIV/0!</v>
      </c>
      <c r="Q9" s="581" t="e">
        <f>(VLOOKUP(A9,'Uncorrected Area Counts'!$A$4:$AU$99,35,FALSE)/VLOOKUP(A9,'Uncorrected Area Counts'!$A$4:$AU$99,47,FALSE))*100</f>
        <v>#DIV/0!</v>
      </c>
      <c r="R9" s="477" t="e">
        <f>VLOOKUP(A9,'Uncorrected Area Counts'!$A$4:$AU$99,35,FALSE)/VLOOKUP(A9,'Uncorrected Area Counts'!$A$4:$AU$99,3,FALSE)/VLOOKUP(8,'Plate Planning'!$L$20:$S$35,4,FALSE)*VLOOKUP("standard",'Plate Planning'!$L$20:$S$35,4,FALSE)/VLOOKUP(A9,'Uncorrected Area Counts'!$A$4:$AU$99,34,FALSE)*100</f>
        <v>#DIV/0!</v>
      </c>
      <c r="S9" s="589" t="e">
        <f>(VLOOKUP(A9,'Uncorrected Area Counts'!$A$4:$AU$99,39,FALSE)/VLOOKUP(A9,'Uncorrected Area Counts'!$A$4:$AU$99,47,FALSE))*100</f>
        <v>#DIV/0!</v>
      </c>
      <c r="T9" s="569" t="e">
        <f>VLOOKUP(A9,'Uncorrected Area Counts'!$A$4:$AU$99,39,FALSE)/VLOOKUP(A9,'Uncorrected Area Counts'!$A$4:$AU$99,3,FALSE)/VLOOKUP(8,'Plate Planning'!$L$20:$S$35,4,FALSE)*VLOOKUP("standard",'Plate Planning'!$L$20:$S$35,4,FALSE)/VLOOKUP(A9,'Uncorrected Area Counts'!$A$4:$AU$99,38,FALSE)*100</f>
        <v>#DIV/0!</v>
      </c>
      <c r="U9" s="589" t="e">
        <f>(VLOOKUP(A9,'Uncorrected Area Counts'!$A$4:$AU$99,43,FALSE)/VLOOKUP(A9,'Uncorrected Area Counts'!$A$4:$AU$99,47,FALSE))*100</f>
        <v>#DIV/0!</v>
      </c>
      <c r="V9" s="604" t="e">
        <f>VLOOKUP(A9,'Uncorrected Area Counts'!$A$4:$AU$99,43,FALSE)/VLOOKUP(A9,'Uncorrected Area Counts'!$A$4:$AU$99,3,FALSE)/VLOOKUP(8,'Plate Planning'!$L$20:$S$35,4,FALSE)*VLOOKUP("standard",'Plate Planning'!$L$20:$S$35,4,FALSE)/VLOOKUP(A9,'Uncorrected Area Counts'!$A$4:$AU$99,42,FALSE)*100</f>
        <v>#DIV/0!</v>
      </c>
    </row>
    <row r="10" spans="1:22">
      <c r="A10" s="478" t="s">
        <v>1168</v>
      </c>
      <c r="B10" s="565" t="s">
        <v>22</v>
      </c>
      <c r="C10" s="573" t="e">
        <f>(VLOOKUP(A10,'Uncorrected Area Counts'!$A$4:$AU$99,7,FALSE)/VLOOKUP(A10,'Uncorrected Area Counts'!$A$4:$AU$99,47,FALSE))*100</f>
        <v>#DIV/0!</v>
      </c>
      <c r="D10" s="566" t="e">
        <f>VLOOKUP(A10,'Uncorrected Area Counts'!$A$4:$AU$99,7,FALSE)/VLOOKUP(A10,'Uncorrected Area Counts'!$A$4:$AU$99,3,FALSE)/VLOOKUP(1,'Plate Planning'!$L$20:$S$35,4,FALSE)*VLOOKUP("standard",'Plate Planning'!$L$20:$S$35,4,FALSE)/VLOOKUP(A10,'Uncorrected Area Counts'!$A$4:$AU$99,6,FALSE)*100</f>
        <v>#DIV/0!</v>
      </c>
      <c r="E10" s="576" t="e">
        <f>(VLOOKUP(A10,'Uncorrected Area Counts'!$A$4:$AU$99,11,FALSE)/VLOOKUP(A10,'Uncorrected Area Counts'!$A$4:$AU$99,47,FALSE))*100</f>
        <v>#DIV/0!</v>
      </c>
      <c r="F10" s="566" t="e">
        <f>VLOOKUP(A10,'Uncorrected Area Counts'!$A$4:$AU$99,11,FALSE)/VLOOKUP(A10,'Uncorrected Area Counts'!$A$4:$AU$99,3,FALSE)/VLOOKUP(2,'Plate Planning'!$L$20:$S$35,4,FALSE)*VLOOKUP("standard",'Plate Planning'!$L$20:$S$35,4,FALSE)/VLOOKUP(A10,'Uncorrected Area Counts'!$A$4:$AU$99,10,FALSE)*100</f>
        <v>#DIV/0!</v>
      </c>
      <c r="G10" s="576" t="e">
        <f>(VLOOKUP(A10,'Uncorrected Area Counts'!$A$4:$AU$99,15,FALSE)/VLOOKUP(A10,'Uncorrected Area Counts'!$A$4:$AU$99,47,FALSE))*100</f>
        <v>#DIV/0!</v>
      </c>
      <c r="H10" s="566" t="e">
        <f>VLOOKUP(A10,'Uncorrected Area Counts'!$A$4:$AU$99,15,FALSE)/VLOOKUP(A10,'Uncorrected Area Counts'!$A$4:$AU$99,3,FALSE)/VLOOKUP(3,'Plate Planning'!$L$20:$S$35,4,FALSE)*VLOOKUP("standard",'Plate Planning'!$L$20:$S$35,4,FALSE)/VLOOKUP(A10,'Uncorrected Area Counts'!$A$4:$AU$99,14,FALSE)*100</f>
        <v>#DIV/0!</v>
      </c>
      <c r="I10" s="576" t="e">
        <f>(VLOOKUP(A10,'Uncorrected Area Counts'!$A$4:$AU$99,19,FALSE)/VLOOKUP(A10,'Uncorrected Area Counts'!$A$4:$AU$99,47,FALSE))*100</f>
        <v>#DIV/0!</v>
      </c>
      <c r="J10" s="567" t="e">
        <f>VLOOKUP(A10,'Uncorrected Area Counts'!$A$4:$AU$99,19,FALSE)/VLOOKUP(A10,'Uncorrected Area Counts'!$A$4:$AU$99,3,FALSE)/VLOOKUP(4,'Plate Planning'!$L$20:$S$35,4,FALSE)*VLOOKUP("standard",'Plate Planning'!$L$20:$S$35,4,FALSE)/VLOOKUP(A10,'Uncorrected Area Counts'!$A$4:$AU$99,18,FALSE)*100</f>
        <v>#DIV/0!</v>
      </c>
      <c r="K10" s="581" t="e">
        <f>(VLOOKUP(A10,'Uncorrected Area Counts'!$A$4:$AU$99,23,FALSE)/VLOOKUP(A10,'Uncorrected Area Counts'!$A$4:$AU$99,47,FALSE))*100</f>
        <v>#DIV/0!</v>
      </c>
      <c r="L10" s="568" t="e">
        <f>VLOOKUP(A10,'Uncorrected Area Counts'!$A$4:$AU$99,23,FALSE)/VLOOKUP(A10,'Uncorrected Area Counts'!$A$4:$AU$99,3,FALSE)/VLOOKUP(5,'Plate Planning'!$L$20:$S$35,4,FALSE)*VLOOKUP("standard",'Plate Planning'!$L$20:$S$35,4,FALSE)/VLOOKUP(A10,'Uncorrected Area Counts'!$A$4:$AU$99,22,FALSE)*100</f>
        <v>#DIV/0!</v>
      </c>
      <c r="M10" s="581" t="e">
        <f>(VLOOKUP(A10,'Uncorrected Area Counts'!$A$4:$AU$99,27,FALSE)/VLOOKUP(A10,'Uncorrected Area Counts'!$A$4:$AU$99,47,FALSE))*100</f>
        <v>#DIV/0!</v>
      </c>
      <c r="N10" s="567" t="e">
        <f>VLOOKUP(A10,'Uncorrected Area Counts'!$A$4:$AU$99,27,FALSE)/VLOOKUP(A10,'Uncorrected Area Counts'!$A$4:$AU$99,3,FALSE)/VLOOKUP(6,'Plate Planning'!$L$20:$S$35,4,FALSE)*VLOOKUP("standard",'Plate Planning'!$L$20:$S$35,4,FALSE)/VLOOKUP(A10,'Uncorrected Area Counts'!$A$4:$AU$99,26,FALSE)*100</f>
        <v>#DIV/0!</v>
      </c>
      <c r="O10" s="581" t="e">
        <f>(VLOOKUP(A10,'Uncorrected Area Counts'!$A$4:$AU$99,31,FALSE)/VLOOKUP(A10,'Uncorrected Area Counts'!$A$4:$AU$99,47,FALSE))*100</f>
        <v>#DIV/0!</v>
      </c>
      <c r="P10" s="568" t="e">
        <f>VLOOKUP(A10,'Uncorrected Area Counts'!$A$4:$AU$99,31,FALSE)/VLOOKUP(A10,'Uncorrected Area Counts'!$A$4:$AU$99,3,FALSE)/VLOOKUP(7,'Plate Planning'!$L$20:$S$35,4,FALSE)*VLOOKUP("standard",'Plate Planning'!$L$20:$S$35,4,FALSE)/VLOOKUP(A10,'Uncorrected Area Counts'!$A$4:$AU$99,30,FALSE)*100</f>
        <v>#DIV/0!</v>
      </c>
      <c r="Q10" s="581" t="e">
        <f>(VLOOKUP(A10,'Uncorrected Area Counts'!$A$4:$AU$99,35,FALSE)/VLOOKUP(A10,'Uncorrected Area Counts'!$A$4:$AU$99,47,FALSE))*100</f>
        <v>#DIV/0!</v>
      </c>
      <c r="R10" s="477" t="e">
        <f>VLOOKUP(A10,'Uncorrected Area Counts'!$A$4:$AU$99,35,FALSE)/VLOOKUP(A10,'Uncorrected Area Counts'!$A$4:$AU$99,3,FALSE)/VLOOKUP(8,'Plate Planning'!$L$20:$S$35,4,FALSE)*VLOOKUP("standard",'Plate Planning'!$L$20:$S$35,4,FALSE)/VLOOKUP(A10,'Uncorrected Area Counts'!$A$4:$AU$99,34,FALSE)*100</f>
        <v>#DIV/0!</v>
      </c>
      <c r="S10" s="589" t="e">
        <f>(VLOOKUP(A10,'Uncorrected Area Counts'!$A$4:$AU$99,39,FALSE)/VLOOKUP(A10,'Uncorrected Area Counts'!$A$4:$AU$99,47,FALSE))*100</f>
        <v>#DIV/0!</v>
      </c>
      <c r="T10" s="569" t="e">
        <f>VLOOKUP(A10,'Uncorrected Area Counts'!$A$4:$AU$99,39,FALSE)/VLOOKUP(A10,'Uncorrected Area Counts'!$A$4:$AU$99,3,FALSE)/VLOOKUP(8,'Plate Planning'!$L$20:$S$35,4,FALSE)*VLOOKUP("standard",'Plate Planning'!$L$20:$S$35,4,FALSE)/VLOOKUP(A10,'Uncorrected Area Counts'!$A$4:$AU$99,38,FALSE)*100</f>
        <v>#DIV/0!</v>
      </c>
      <c r="U10" s="589" t="e">
        <f>(VLOOKUP(A10,'Uncorrected Area Counts'!$A$4:$AU$99,43,FALSE)/VLOOKUP(A10,'Uncorrected Area Counts'!$A$4:$AU$99,47,FALSE))*100</f>
        <v>#DIV/0!</v>
      </c>
      <c r="V10" s="604" t="e">
        <f>VLOOKUP(A10,'Uncorrected Area Counts'!$A$4:$AU$99,43,FALSE)/VLOOKUP(A10,'Uncorrected Area Counts'!$A$4:$AU$99,3,FALSE)/VLOOKUP(8,'Plate Planning'!$L$20:$S$35,4,FALSE)*VLOOKUP("standard",'Plate Planning'!$L$20:$S$35,4,FALSE)/VLOOKUP(A10,'Uncorrected Area Counts'!$A$4:$AU$99,42,FALSE)*100</f>
        <v>#DIV/0!</v>
      </c>
    </row>
    <row r="11" spans="1:22">
      <c r="A11" s="478" t="s">
        <v>1169</v>
      </c>
      <c r="B11" s="565" t="s">
        <v>22</v>
      </c>
      <c r="C11" s="573" t="e">
        <f>(VLOOKUP(A11,'Uncorrected Area Counts'!$A$4:$AU$99,7,FALSE)/VLOOKUP(A11,'Uncorrected Area Counts'!$A$4:$AU$99,47,FALSE))*100</f>
        <v>#DIV/0!</v>
      </c>
      <c r="D11" s="566" t="e">
        <f>VLOOKUP(A11,'Uncorrected Area Counts'!$A$4:$AU$99,7,FALSE)/VLOOKUP(A11,'Uncorrected Area Counts'!$A$4:$AU$99,3,FALSE)/VLOOKUP(1,'Plate Planning'!$L$20:$S$35,4,FALSE)*VLOOKUP("standard",'Plate Planning'!$L$20:$S$35,4,FALSE)/VLOOKUP(A11,'Uncorrected Area Counts'!$A$4:$AU$99,6,FALSE)*100</f>
        <v>#DIV/0!</v>
      </c>
      <c r="E11" s="576" t="e">
        <f>(VLOOKUP(A11,'Uncorrected Area Counts'!$A$4:$AU$99,11,FALSE)/VLOOKUP(A11,'Uncorrected Area Counts'!$A$4:$AU$99,47,FALSE))*100</f>
        <v>#DIV/0!</v>
      </c>
      <c r="F11" s="566" t="e">
        <f>VLOOKUP(A11,'Uncorrected Area Counts'!$A$4:$AU$99,11,FALSE)/VLOOKUP(A11,'Uncorrected Area Counts'!$A$4:$AU$99,3,FALSE)/VLOOKUP(2,'Plate Planning'!$L$20:$S$35,4,FALSE)*VLOOKUP("standard",'Plate Planning'!$L$20:$S$35,4,FALSE)/VLOOKUP(A11,'Uncorrected Area Counts'!$A$4:$AU$99,10,FALSE)*100</f>
        <v>#DIV/0!</v>
      </c>
      <c r="G11" s="576" t="e">
        <f>(VLOOKUP(A11,'Uncorrected Area Counts'!$A$4:$AU$99,15,FALSE)/VLOOKUP(A11,'Uncorrected Area Counts'!$A$4:$AU$99,47,FALSE))*100</f>
        <v>#DIV/0!</v>
      </c>
      <c r="H11" s="566" t="e">
        <f>VLOOKUP(A11,'Uncorrected Area Counts'!$A$4:$AU$99,15,FALSE)/VLOOKUP(A11,'Uncorrected Area Counts'!$A$4:$AU$99,3,FALSE)/VLOOKUP(3,'Plate Planning'!$L$20:$S$35,4,FALSE)*VLOOKUP("standard",'Plate Planning'!$L$20:$S$35,4,FALSE)/VLOOKUP(A11,'Uncorrected Area Counts'!$A$4:$AU$99,14,FALSE)*100</f>
        <v>#DIV/0!</v>
      </c>
      <c r="I11" s="576" t="e">
        <f>(VLOOKUP(A11,'Uncorrected Area Counts'!$A$4:$AU$99,19,FALSE)/VLOOKUP(A11,'Uncorrected Area Counts'!$A$4:$AU$99,47,FALSE))*100</f>
        <v>#DIV/0!</v>
      </c>
      <c r="J11" s="567" t="e">
        <f>VLOOKUP(A11,'Uncorrected Area Counts'!$A$4:$AU$99,19,FALSE)/VLOOKUP(A11,'Uncorrected Area Counts'!$A$4:$AU$99,3,FALSE)/VLOOKUP(4,'Plate Planning'!$L$20:$S$35,4,FALSE)*VLOOKUP("standard",'Plate Planning'!$L$20:$S$35,4,FALSE)/VLOOKUP(A11,'Uncorrected Area Counts'!$A$4:$AU$99,18,FALSE)*100</f>
        <v>#DIV/0!</v>
      </c>
      <c r="K11" s="581" t="e">
        <f>(VLOOKUP(A11,'Uncorrected Area Counts'!$A$4:$AU$99,23,FALSE)/VLOOKUP(A11,'Uncorrected Area Counts'!$A$4:$AU$99,47,FALSE))*100</f>
        <v>#DIV/0!</v>
      </c>
      <c r="L11" s="568" t="e">
        <f>VLOOKUP(A11,'Uncorrected Area Counts'!$A$4:$AU$99,23,FALSE)/VLOOKUP(A11,'Uncorrected Area Counts'!$A$4:$AU$99,3,FALSE)/VLOOKUP(5,'Plate Planning'!$L$20:$S$35,4,FALSE)*VLOOKUP("standard",'Plate Planning'!$L$20:$S$35,4,FALSE)/VLOOKUP(A11,'Uncorrected Area Counts'!$A$4:$AU$99,22,FALSE)*100</f>
        <v>#DIV/0!</v>
      </c>
      <c r="M11" s="581" t="e">
        <f>(VLOOKUP(A11,'Uncorrected Area Counts'!$A$4:$AU$99,27,FALSE)/VLOOKUP(A11,'Uncorrected Area Counts'!$A$4:$AU$99,47,FALSE))*100</f>
        <v>#DIV/0!</v>
      </c>
      <c r="N11" s="567" t="e">
        <f>VLOOKUP(A11,'Uncorrected Area Counts'!$A$4:$AU$99,27,FALSE)/VLOOKUP(A11,'Uncorrected Area Counts'!$A$4:$AU$99,3,FALSE)/VLOOKUP(6,'Plate Planning'!$L$20:$S$35,4,FALSE)*VLOOKUP("standard",'Plate Planning'!$L$20:$S$35,4,FALSE)/VLOOKUP(A11,'Uncorrected Area Counts'!$A$4:$AU$99,26,FALSE)*100</f>
        <v>#DIV/0!</v>
      </c>
      <c r="O11" s="581" t="e">
        <f>(VLOOKUP(A11,'Uncorrected Area Counts'!$A$4:$AU$99,31,FALSE)/VLOOKUP(A11,'Uncorrected Area Counts'!$A$4:$AU$99,47,FALSE))*100</f>
        <v>#DIV/0!</v>
      </c>
      <c r="P11" s="568" t="e">
        <f>VLOOKUP(A11,'Uncorrected Area Counts'!$A$4:$AU$99,31,FALSE)/VLOOKUP(A11,'Uncorrected Area Counts'!$A$4:$AU$99,3,FALSE)/VLOOKUP(7,'Plate Planning'!$L$20:$S$35,4,FALSE)*VLOOKUP("standard",'Plate Planning'!$L$20:$S$35,4,FALSE)/VLOOKUP(A11,'Uncorrected Area Counts'!$A$4:$AU$99,30,FALSE)*100</f>
        <v>#DIV/0!</v>
      </c>
      <c r="Q11" s="581" t="e">
        <f>(VLOOKUP(A11,'Uncorrected Area Counts'!$A$4:$AU$99,35,FALSE)/VLOOKUP(A11,'Uncorrected Area Counts'!$A$4:$AU$99,47,FALSE))*100</f>
        <v>#DIV/0!</v>
      </c>
      <c r="R11" s="477" t="e">
        <f>VLOOKUP(A11,'Uncorrected Area Counts'!$A$4:$AU$99,35,FALSE)/VLOOKUP(A11,'Uncorrected Area Counts'!$A$4:$AU$99,3,FALSE)/VLOOKUP(8,'Plate Planning'!$L$20:$S$35,4,FALSE)*VLOOKUP("standard",'Plate Planning'!$L$20:$S$35,4,FALSE)/VLOOKUP(A11,'Uncorrected Area Counts'!$A$4:$AU$99,34,FALSE)*100</f>
        <v>#DIV/0!</v>
      </c>
      <c r="S11" s="589" t="e">
        <f>(VLOOKUP(A11,'Uncorrected Area Counts'!$A$4:$AU$99,39,FALSE)/VLOOKUP(A11,'Uncorrected Area Counts'!$A$4:$AU$99,47,FALSE))*100</f>
        <v>#DIV/0!</v>
      </c>
      <c r="T11" s="569" t="e">
        <f>VLOOKUP(A11,'Uncorrected Area Counts'!$A$4:$AU$99,39,FALSE)/VLOOKUP(A11,'Uncorrected Area Counts'!$A$4:$AU$99,3,FALSE)/VLOOKUP(8,'Plate Planning'!$L$20:$S$35,4,FALSE)*VLOOKUP("standard",'Plate Planning'!$L$20:$S$35,4,FALSE)/VLOOKUP(A11,'Uncorrected Area Counts'!$A$4:$AU$99,38,FALSE)*100</f>
        <v>#DIV/0!</v>
      </c>
      <c r="U11" s="589" t="e">
        <f>(VLOOKUP(A11,'Uncorrected Area Counts'!$A$4:$AU$99,43,FALSE)/VLOOKUP(A11,'Uncorrected Area Counts'!$A$4:$AU$99,47,FALSE))*100</f>
        <v>#DIV/0!</v>
      </c>
      <c r="V11" s="604" t="e">
        <f>VLOOKUP(A11,'Uncorrected Area Counts'!$A$4:$AU$99,43,FALSE)/VLOOKUP(A11,'Uncorrected Area Counts'!$A$4:$AU$99,3,FALSE)/VLOOKUP(8,'Plate Planning'!$L$20:$S$35,4,FALSE)*VLOOKUP("standard",'Plate Planning'!$L$20:$S$35,4,FALSE)/VLOOKUP(A11,'Uncorrected Area Counts'!$A$4:$AU$99,42,FALSE)*100</f>
        <v>#DIV/0!</v>
      </c>
    </row>
    <row r="12" spans="1:22">
      <c r="A12" s="478" t="s">
        <v>1170</v>
      </c>
      <c r="B12" s="565" t="s">
        <v>22</v>
      </c>
      <c r="C12" s="573" t="e">
        <f>(VLOOKUP(A12,'Uncorrected Area Counts'!$A$4:$AU$99,7,FALSE)/VLOOKUP(A12,'Uncorrected Area Counts'!$A$4:$AU$99,47,FALSE))*100</f>
        <v>#DIV/0!</v>
      </c>
      <c r="D12" s="566" t="e">
        <f>VLOOKUP(A12,'Uncorrected Area Counts'!$A$4:$AU$99,7,FALSE)/VLOOKUP(A12,'Uncorrected Area Counts'!$A$4:$AU$99,3,FALSE)/VLOOKUP(1,'Plate Planning'!$L$20:$S$35,4,FALSE)*VLOOKUP("standard",'Plate Planning'!$L$20:$S$35,4,FALSE)/VLOOKUP(A12,'Uncorrected Area Counts'!$A$4:$AU$99,6,FALSE)*100</f>
        <v>#DIV/0!</v>
      </c>
      <c r="E12" s="576" t="e">
        <f>(VLOOKUP(A12,'Uncorrected Area Counts'!$A$4:$AU$99,11,FALSE)/VLOOKUP(A12,'Uncorrected Area Counts'!$A$4:$AU$99,47,FALSE))*100</f>
        <v>#DIV/0!</v>
      </c>
      <c r="F12" s="566" t="e">
        <f>VLOOKUP(A12,'Uncorrected Area Counts'!$A$4:$AU$99,11,FALSE)/VLOOKUP(A12,'Uncorrected Area Counts'!$A$4:$AU$99,3,FALSE)/VLOOKUP(2,'Plate Planning'!$L$20:$S$35,4,FALSE)*VLOOKUP("standard",'Plate Planning'!$L$20:$S$35,4,FALSE)/VLOOKUP(A12,'Uncorrected Area Counts'!$A$4:$AU$99,10,FALSE)*100</f>
        <v>#DIV/0!</v>
      </c>
      <c r="G12" s="576" t="e">
        <f>(VLOOKUP(A12,'Uncorrected Area Counts'!$A$4:$AU$99,15,FALSE)/VLOOKUP(A12,'Uncorrected Area Counts'!$A$4:$AU$99,47,FALSE))*100</f>
        <v>#DIV/0!</v>
      </c>
      <c r="H12" s="566" t="e">
        <f>VLOOKUP(A12,'Uncorrected Area Counts'!$A$4:$AU$99,15,FALSE)/VLOOKUP(A12,'Uncorrected Area Counts'!$A$4:$AU$99,3,FALSE)/VLOOKUP(3,'Plate Planning'!$L$20:$S$35,4,FALSE)*VLOOKUP("standard",'Plate Planning'!$L$20:$S$35,4,FALSE)/VLOOKUP(A12,'Uncorrected Area Counts'!$A$4:$AU$99,14,FALSE)*100</f>
        <v>#DIV/0!</v>
      </c>
      <c r="I12" s="576" t="e">
        <f>(VLOOKUP(A12,'Uncorrected Area Counts'!$A$4:$AU$99,19,FALSE)/VLOOKUP(A12,'Uncorrected Area Counts'!$A$4:$AU$99,47,FALSE))*100</f>
        <v>#DIV/0!</v>
      </c>
      <c r="J12" s="567" t="e">
        <f>VLOOKUP(A12,'Uncorrected Area Counts'!$A$4:$AU$99,19,FALSE)/VLOOKUP(A12,'Uncorrected Area Counts'!$A$4:$AU$99,3,FALSE)/VLOOKUP(4,'Plate Planning'!$L$20:$S$35,4,FALSE)*VLOOKUP("standard",'Plate Planning'!$L$20:$S$35,4,FALSE)/VLOOKUP(A12,'Uncorrected Area Counts'!$A$4:$AU$99,18,FALSE)*100</f>
        <v>#DIV/0!</v>
      </c>
      <c r="K12" s="581" t="e">
        <f>(VLOOKUP(A12,'Uncorrected Area Counts'!$A$4:$AU$99,23,FALSE)/VLOOKUP(A12,'Uncorrected Area Counts'!$A$4:$AU$99,47,FALSE))*100</f>
        <v>#DIV/0!</v>
      </c>
      <c r="L12" s="568" t="e">
        <f>VLOOKUP(A12,'Uncorrected Area Counts'!$A$4:$AU$99,23,FALSE)/VLOOKUP(A12,'Uncorrected Area Counts'!$A$4:$AU$99,3,FALSE)/VLOOKUP(5,'Plate Planning'!$L$20:$S$35,4,FALSE)*VLOOKUP("standard",'Plate Planning'!$L$20:$S$35,4,FALSE)/VLOOKUP(A12,'Uncorrected Area Counts'!$A$4:$AU$99,22,FALSE)*100</f>
        <v>#DIV/0!</v>
      </c>
      <c r="M12" s="581" t="e">
        <f>(VLOOKUP(A12,'Uncorrected Area Counts'!$A$4:$AU$99,27,FALSE)/VLOOKUP(A12,'Uncorrected Area Counts'!$A$4:$AU$99,47,FALSE))*100</f>
        <v>#DIV/0!</v>
      </c>
      <c r="N12" s="567" t="e">
        <f>VLOOKUP(A12,'Uncorrected Area Counts'!$A$4:$AU$99,27,FALSE)/VLOOKUP(A12,'Uncorrected Area Counts'!$A$4:$AU$99,3,FALSE)/VLOOKUP(6,'Plate Planning'!$L$20:$S$35,4,FALSE)*VLOOKUP("standard",'Plate Planning'!$L$20:$S$35,4,FALSE)/VLOOKUP(A12,'Uncorrected Area Counts'!$A$4:$AU$99,26,FALSE)*100</f>
        <v>#DIV/0!</v>
      </c>
      <c r="O12" s="581" t="e">
        <f>(VLOOKUP(A12,'Uncorrected Area Counts'!$A$4:$AU$99,31,FALSE)/VLOOKUP(A12,'Uncorrected Area Counts'!$A$4:$AU$99,47,FALSE))*100</f>
        <v>#DIV/0!</v>
      </c>
      <c r="P12" s="568" t="e">
        <f>VLOOKUP(A12,'Uncorrected Area Counts'!$A$4:$AU$99,31,FALSE)/VLOOKUP(A12,'Uncorrected Area Counts'!$A$4:$AU$99,3,FALSE)/VLOOKUP(7,'Plate Planning'!$L$20:$S$35,4,FALSE)*VLOOKUP("standard",'Plate Planning'!$L$20:$S$35,4,FALSE)/VLOOKUP(A12,'Uncorrected Area Counts'!$A$4:$AU$99,30,FALSE)*100</f>
        <v>#DIV/0!</v>
      </c>
      <c r="Q12" s="581" t="e">
        <f>(VLOOKUP(A12,'Uncorrected Area Counts'!$A$4:$AU$99,35,FALSE)/VLOOKUP(A12,'Uncorrected Area Counts'!$A$4:$AU$99,47,FALSE))*100</f>
        <v>#DIV/0!</v>
      </c>
      <c r="R12" s="477" t="e">
        <f>VLOOKUP(A12,'Uncorrected Area Counts'!$A$4:$AU$99,35,FALSE)/VLOOKUP(A12,'Uncorrected Area Counts'!$A$4:$AU$99,3,FALSE)/VLOOKUP(8,'Plate Planning'!$L$20:$S$35,4,FALSE)*VLOOKUP("standard",'Plate Planning'!$L$20:$S$35,4,FALSE)/VLOOKUP(A12,'Uncorrected Area Counts'!$A$4:$AU$99,34,FALSE)*100</f>
        <v>#DIV/0!</v>
      </c>
      <c r="S12" s="589" t="e">
        <f>(VLOOKUP(A12,'Uncorrected Area Counts'!$A$4:$AU$99,39,FALSE)/VLOOKUP(A12,'Uncorrected Area Counts'!$A$4:$AU$99,47,FALSE))*100</f>
        <v>#DIV/0!</v>
      </c>
      <c r="T12" s="569" t="e">
        <f>VLOOKUP(A12,'Uncorrected Area Counts'!$A$4:$AU$99,39,FALSE)/VLOOKUP(A12,'Uncorrected Area Counts'!$A$4:$AU$99,3,FALSE)/VLOOKUP(8,'Plate Planning'!$L$20:$S$35,4,FALSE)*VLOOKUP("standard",'Plate Planning'!$L$20:$S$35,4,FALSE)/VLOOKUP(A12,'Uncorrected Area Counts'!$A$4:$AU$99,38,FALSE)*100</f>
        <v>#DIV/0!</v>
      </c>
      <c r="U12" s="589" t="e">
        <f>(VLOOKUP(A12,'Uncorrected Area Counts'!$A$4:$AU$99,43,FALSE)/VLOOKUP(A12,'Uncorrected Area Counts'!$A$4:$AU$99,47,FALSE))*100</f>
        <v>#DIV/0!</v>
      </c>
      <c r="V12" s="604" t="e">
        <f>VLOOKUP(A12,'Uncorrected Area Counts'!$A$4:$AU$99,43,FALSE)/VLOOKUP(A12,'Uncorrected Area Counts'!$A$4:$AU$99,3,FALSE)/VLOOKUP(8,'Plate Planning'!$L$20:$S$35,4,FALSE)*VLOOKUP("standard",'Plate Planning'!$L$20:$S$35,4,FALSE)/VLOOKUP(A12,'Uncorrected Area Counts'!$A$4:$AU$99,42,FALSE)*100</f>
        <v>#DIV/0!</v>
      </c>
    </row>
    <row r="13" spans="1:22">
      <c r="A13" s="478" t="s">
        <v>1171</v>
      </c>
      <c r="B13" s="565" t="s">
        <v>22</v>
      </c>
      <c r="C13" s="573" t="e">
        <f>(VLOOKUP(A13,'Uncorrected Area Counts'!$A$4:$AU$99,7,FALSE)/VLOOKUP(A13,'Uncorrected Area Counts'!$A$4:$AU$99,47,FALSE))*100</f>
        <v>#DIV/0!</v>
      </c>
      <c r="D13" s="566" t="e">
        <f>VLOOKUP(A13,'Uncorrected Area Counts'!$A$4:$AU$99,7,FALSE)/VLOOKUP(A13,'Uncorrected Area Counts'!$A$4:$AU$99,3,FALSE)/VLOOKUP(1,'Plate Planning'!$L$20:$S$35,4,FALSE)*VLOOKUP("standard",'Plate Planning'!$L$20:$S$35,4,FALSE)/VLOOKUP(A13,'Uncorrected Area Counts'!$A$4:$AU$99,6,FALSE)*100</f>
        <v>#DIV/0!</v>
      </c>
      <c r="E13" s="576" t="e">
        <f>(VLOOKUP(A13,'Uncorrected Area Counts'!$A$4:$AU$99,11,FALSE)/VLOOKUP(A13,'Uncorrected Area Counts'!$A$4:$AU$99,47,FALSE))*100</f>
        <v>#DIV/0!</v>
      </c>
      <c r="F13" s="566" t="e">
        <f>VLOOKUP(A13,'Uncorrected Area Counts'!$A$4:$AU$99,11,FALSE)/VLOOKUP(A13,'Uncorrected Area Counts'!$A$4:$AU$99,3,FALSE)/VLOOKUP(2,'Plate Planning'!$L$20:$S$35,4,FALSE)*VLOOKUP("standard",'Plate Planning'!$L$20:$S$35,4,FALSE)/VLOOKUP(A13,'Uncorrected Area Counts'!$A$4:$AU$99,10,FALSE)*100</f>
        <v>#DIV/0!</v>
      </c>
      <c r="G13" s="576" t="e">
        <f>(VLOOKUP(A13,'Uncorrected Area Counts'!$A$4:$AU$99,15,FALSE)/VLOOKUP(A13,'Uncorrected Area Counts'!$A$4:$AU$99,47,FALSE))*100</f>
        <v>#DIV/0!</v>
      </c>
      <c r="H13" s="566" t="e">
        <f>VLOOKUP(A13,'Uncorrected Area Counts'!$A$4:$AU$99,15,FALSE)/VLOOKUP(A13,'Uncorrected Area Counts'!$A$4:$AU$99,3,FALSE)/VLOOKUP(3,'Plate Planning'!$L$20:$S$35,4,FALSE)*VLOOKUP("standard",'Plate Planning'!$L$20:$S$35,4,FALSE)/VLOOKUP(A13,'Uncorrected Area Counts'!$A$4:$AU$99,14,FALSE)*100</f>
        <v>#DIV/0!</v>
      </c>
      <c r="I13" s="576" t="e">
        <f>(VLOOKUP(A13,'Uncorrected Area Counts'!$A$4:$AU$99,19,FALSE)/VLOOKUP(A13,'Uncorrected Area Counts'!$A$4:$AU$99,47,FALSE))*100</f>
        <v>#DIV/0!</v>
      </c>
      <c r="J13" s="567" t="e">
        <f>VLOOKUP(A13,'Uncorrected Area Counts'!$A$4:$AU$99,19,FALSE)/VLOOKUP(A13,'Uncorrected Area Counts'!$A$4:$AU$99,3,FALSE)/VLOOKUP(4,'Plate Planning'!$L$20:$S$35,4,FALSE)*VLOOKUP("standard",'Plate Planning'!$L$20:$S$35,4,FALSE)/VLOOKUP(A13,'Uncorrected Area Counts'!$A$4:$AU$99,18,FALSE)*100</f>
        <v>#DIV/0!</v>
      </c>
      <c r="K13" s="581" t="e">
        <f>(VLOOKUP(A13,'Uncorrected Area Counts'!$A$4:$AU$99,23,FALSE)/VLOOKUP(A13,'Uncorrected Area Counts'!$A$4:$AU$99,47,FALSE))*100</f>
        <v>#DIV/0!</v>
      </c>
      <c r="L13" s="568" t="e">
        <f>VLOOKUP(A13,'Uncorrected Area Counts'!$A$4:$AU$99,23,FALSE)/VLOOKUP(A13,'Uncorrected Area Counts'!$A$4:$AU$99,3,FALSE)/VLOOKUP(5,'Plate Planning'!$L$20:$S$35,4,FALSE)*VLOOKUP("standard",'Plate Planning'!$L$20:$S$35,4,FALSE)/VLOOKUP(A13,'Uncorrected Area Counts'!$A$4:$AU$99,22,FALSE)*100</f>
        <v>#DIV/0!</v>
      </c>
      <c r="M13" s="581" t="e">
        <f>(VLOOKUP(A13,'Uncorrected Area Counts'!$A$4:$AU$99,27,FALSE)/VLOOKUP(A13,'Uncorrected Area Counts'!$A$4:$AU$99,47,FALSE))*100</f>
        <v>#DIV/0!</v>
      </c>
      <c r="N13" s="567" t="e">
        <f>VLOOKUP(A13,'Uncorrected Area Counts'!$A$4:$AU$99,27,FALSE)/VLOOKUP(A13,'Uncorrected Area Counts'!$A$4:$AU$99,3,FALSE)/VLOOKUP(6,'Plate Planning'!$L$20:$S$35,4,FALSE)*VLOOKUP("standard",'Plate Planning'!$L$20:$S$35,4,FALSE)/VLOOKUP(A13,'Uncorrected Area Counts'!$A$4:$AU$99,26,FALSE)*100</f>
        <v>#DIV/0!</v>
      </c>
      <c r="O13" s="581" t="e">
        <f>(VLOOKUP(A13,'Uncorrected Area Counts'!$A$4:$AU$99,31,FALSE)/VLOOKUP(A13,'Uncorrected Area Counts'!$A$4:$AU$99,47,FALSE))*100</f>
        <v>#DIV/0!</v>
      </c>
      <c r="P13" s="568" t="e">
        <f>VLOOKUP(A13,'Uncorrected Area Counts'!$A$4:$AU$99,31,FALSE)/VLOOKUP(A13,'Uncorrected Area Counts'!$A$4:$AU$99,3,FALSE)/VLOOKUP(7,'Plate Planning'!$L$20:$S$35,4,FALSE)*VLOOKUP("standard",'Plate Planning'!$L$20:$S$35,4,FALSE)/VLOOKUP(A13,'Uncorrected Area Counts'!$A$4:$AU$99,30,FALSE)*100</f>
        <v>#DIV/0!</v>
      </c>
      <c r="Q13" s="581" t="e">
        <f>(VLOOKUP(A13,'Uncorrected Area Counts'!$A$4:$AU$99,35,FALSE)/VLOOKUP(A13,'Uncorrected Area Counts'!$A$4:$AU$99,47,FALSE))*100</f>
        <v>#DIV/0!</v>
      </c>
      <c r="R13" s="477" t="e">
        <f>VLOOKUP(A13,'Uncorrected Area Counts'!$A$4:$AU$99,35,FALSE)/VLOOKUP(A13,'Uncorrected Area Counts'!$A$4:$AU$99,3,FALSE)/VLOOKUP(8,'Plate Planning'!$L$20:$S$35,4,FALSE)*VLOOKUP("standard",'Plate Planning'!$L$20:$S$35,4,FALSE)/VLOOKUP(A13,'Uncorrected Area Counts'!$A$4:$AU$99,34,FALSE)*100</f>
        <v>#DIV/0!</v>
      </c>
      <c r="S13" s="589" t="e">
        <f>(VLOOKUP(A13,'Uncorrected Area Counts'!$A$4:$AU$99,39,FALSE)/VLOOKUP(A13,'Uncorrected Area Counts'!$A$4:$AU$99,47,FALSE))*100</f>
        <v>#DIV/0!</v>
      </c>
      <c r="T13" s="569" t="e">
        <f>VLOOKUP(A13,'Uncorrected Area Counts'!$A$4:$AU$99,39,FALSE)/VLOOKUP(A13,'Uncorrected Area Counts'!$A$4:$AU$99,3,FALSE)/VLOOKUP(8,'Plate Planning'!$L$20:$S$35,4,FALSE)*VLOOKUP("standard",'Plate Planning'!$L$20:$S$35,4,FALSE)/VLOOKUP(A13,'Uncorrected Area Counts'!$A$4:$AU$99,38,FALSE)*100</f>
        <v>#DIV/0!</v>
      </c>
      <c r="U13" s="589" t="e">
        <f>(VLOOKUP(A13,'Uncorrected Area Counts'!$A$4:$AU$99,43,FALSE)/VLOOKUP(A13,'Uncorrected Area Counts'!$A$4:$AU$99,47,FALSE))*100</f>
        <v>#DIV/0!</v>
      </c>
      <c r="V13" s="604" t="e">
        <f>VLOOKUP(A13,'Uncorrected Area Counts'!$A$4:$AU$99,43,FALSE)/VLOOKUP(A13,'Uncorrected Area Counts'!$A$4:$AU$99,3,FALSE)/VLOOKUP(8,'Plate Planning'!$L$20:$S$35,4,FALSE)*VLOOKUP("standard",'Plate Planning'!$L$20:$S$35,4,FALSE)/VLOOKUP(A13,'Uncorrected Area Counts'!$A$4:$AU$99,42,FALSE)*100</f>
        <v>#DIV/0!</v>
      </c>
    </row>
    <row r="14" spans="1:22">
      <c r="A14" s="478" t="s">
        <v>1172</v>
      </c>
      <c r="B14" s="565" t="s">
        <v>22</v>
      </c>
      <c r="C14" s="573" t="e">
        <f>(VLOOKUP(A14,'Uncorrected Area Counts'!$A$4:$AU$99,7,FALSE)/VLOOKUP(A14,'Uncorrected Area Counts'!$A$4:$AU$99,47,FALSE))*100</f>
        <v>#DIV/0!</v>
      </c>
      <c r="D14" s="566" t="e">
        <f>VLOOKUP(A14,'Uncorrected Area Counts'!$A$4:$AU$99,7,FALSE)/VLOOKUP(A14,'Uncorrected Area Counts'!$A$4:$AU$99,3,FALSE)/VLOOKUP(1,'Plate Planning'!$L$20:$S$35,4,FALSE)*VLOOKUP("standard",'Plate Planning'!$L$20:$S$35,4,FALSE)/VLOOKUP(A14,'Uncorrected Area Counts'!$A$4:$AU$99,6,FALSE)*100</f>
        <v>#DIV/0!</v>
      </c>
      <c r="E14" s="576" t="e">
        <f>(VLOOKUP(A14,'Uncorrected Area Counts'!$A$4:$AU$99,11,FALSE)/VLOOKUP(A14,'Uncorrected Area Counts'!$A$4:$AU$99,47,FALSE))*100</f>
        <v>#DIV/0!</v>
      </c>
      <c r="F14" s="566" t="e">
        <f>VLOOKUP(A14,'Uncorrected Area Counts'!$A$4:$AU$99,11,FALSE)/VLOOKUP(A14,'Uncorrected Area Counts'!$A$4:$AU$99,3,FALSE)/VLOOKUP(2,'Plate Planning'!$L$20:$S$35,4,FALSE)*VLOOKUP("standard",'Plate Planning'!$L$20:$S$35,4,FALSE)/VLOOKUP(A14,'Uncorrected Area Counts'!$A$4:$AU$99,10,FALSE)*100</f>
        <v>#DIV/0!</v>
      </c>
      <c r="G14" s="576" t="e">
        <f>(VLOOKUP(A14,'Uncorrected Area Counts'!$A$4:$AU$99,15,FALSE)/VLOOKUP(A14,'Uncorrected Area Counts'!$A$4:$AU$99,47,FALSE))*100</f>
        <v>#DIV/0!</v>
      </c>
      <c r="H14" s="566" t="e">
        <f>VLOOKUP(A14,'Uncorrected Area Counts'!$A$4:$AU$99,15,FALSE)/VLOOKUP(A14,'Uncorrected Area Counts'!$A$4:$AU$99,3,FALSE)/VLOOKUP(3,'Plate Planning'!$L$20:$S$35,4,FALSE)*VLOOKUP("standard",'Plate Planning'!$L$20:$S$35,4,FALSE)/VLOOKUP(A14,'Uncorrected Area Counts'!$A$4:$AU$99,14,FALSE)*100</f>
        <v>#DIV/0!</v>
      </c>
      <c r="I14" s="576" t="e">
        <f>(VLOOKUP(A14,'Uncorrected Area Counts'!$A$4:$AU$99,19,FALSE)/VLOOKUP(A14,'Uncorrected Area Counts'!$A$4:$AU$99,47,FALSE))*100</f>
        <v>#DIV/0!</v>
      </c>
      <c r="J14" s="567" t="e">
        <f>VLOOKUP(A14,'Uncorrected Area Counts'!$A$4:$AU$99,19,FALSE)/VLOOKUP(A14,'Uncorrected Area Counts'!$A$4:$AU$99,3,FALSE)/VLOOKUP(4,'Plate Planning'!$L$20:$S$35,4,FALSE)*VLOOKUP("standard",'Plate Planning'!$L$20:$S$35,4,FALSE)/VLOOKUP(A14,'Uncorrected Area Counts'!$A$4:$AU$99,18,FALSE)*100</f>
        <v>#DIV/0!</v>
      </c>
      <c r="K14" s="581" t="e">
        <f>(VLOOKUP(A14,'Uncorrected Area Counts'!$A$4:$AU$99,23,FALSE)/VLOOKUP(A14,'Uncorrected Area Counts'!$A$4:$AU$99,47,FALSE))*100</f>
        <v>#DIV/0!</v>
      </c>
      <c r="L14" s="568" t="e">
        <f>VLOOKUP(A14,'Uncorrected Area Counts'!$A$4:$AU$99,23,FALSE)/VLOOKUP(A14,'Uncorrected Area Counts'!$A$4:$AU$99,3,FALSE)/VLOOKUP(5,'Plate Planning'!$L$20:$S$35,4,FALSE)*VLOOKUP("standard",'Plate Planning'!$L$20:$S$35,4,FALSE)/VLOOKUP(A14,'Uncorrected Area Counts'!$A$4:$AU$99,22,FALSE)*100</f>
        <v>#DIV/0!</v>
      </c>
      <c r="M14" s="581" t="e">
        <f>(VLOOKUP(A14,'Uncorrected Area Counts'!$A$4:$AU$99,27,FALSE)/VLOOKUP(A14,'Uncorrected Area Counts'!$A$4:$AU$99,47,FALSE))*100</f>
        <v>#DIV/0!</v>
      </c>
      <c r="N14" s="567" t="e">
        <f>VLOOKUP(A14,'Uncorrected Area Counts'!$A$4:$AU$99,27,FALSE)/VLOOKUP(A14,'Uncorrected Area Counts'!$A$4:$AU$99,3,FALSE)/VLOOKUP(6,'Plate Planning'!$L$20:$S$35,4,FALSE)*VLOOKUP("standard",'Plate Planning'!$L$20:$S$35,4,FALSE)/VLOOKUP(A14,'Uncorrected Area Counts'!$A$4:$AU$99,26,FALSE)*100</f>
        <v>#DIV/0!</v>
      </c>
      <c r="O14" s="581" t="e">
        <f>(VLOOKUP(A14,'Uncorrected Area Counts'!$A$4:$AU$99,31,FALSE)/VLOOKUP(A14,'Uncorrected Area Counts'!$A$4:$AU$99,47,FALSE))*100</f>
        <v>#DIV/0!</v>
      </c>
      <c r="P14" s="568" t="e">
        <f>VLOOKUP(A14,'Uncorrected Area Counts'!$A$4:$AU$99,31,FALSE)/VLOOKUP(A14,'Uncorrected Area Counts'!$A$4:$AU$99,3,FALSE)/VLOOKUP(7,'Plate Planning'!$L$20:$S$35,4,FALSE)*VLOOKUP("standard",'Plate Planning'!$L$20:$S$35,4,FALSE)/VLOOKUP(A14,'Uncorrected Area Counts'!$A$4:$AU$99,30,FALSE)*100</f>
        <v>#DIV/0!</v>
      </c>
      <c r="Q14" s="581" t="e">
        <f>(VLOOKUP(A14,'Uncorrected Area Counts'!$A$4:$AU$99,35,FALSE)/VLOOKUP(A14,'Uncorrected Area Counts'!$A$4:$AU$99,47,FALSE))*100</f>
        <v>#DIV/0!</v>
      </c>
      <c r="R14" s="477" t="e">
        <f>VLOOKUP(A14,'Uncorrected Area Counts'!$A$4:$AU$99,35,FALSE)/VLOOKUP(A14,'Uncorrected Area Counts'!$A$4:$AU$99,3,FALSE)/VLOOKUP(8,'Plate Planning'!$L$20:$S$35,4,FALSE)*VLOOKUP("standard",'Plate Planning'!$L$20:$S$35,4,FALSE)/VLOOKUP(A14,'Uncorrected Area Counts'!$A$4:$AU$99,34,FALSE)*100</f>
        <v>#DIV/0!</v>
      </c>
      <c r="S14" s="589" t="e">
        <f>(VLOOKUP(A14,'Uncorrected Area Counts'!$A$4:$AU$99,39,FALSE)/VLOOKUP(A14,'Uncorrected Area Counts'!$A$4:$AU$99,47,FALSE))*100</f>
        <v>#DIV/0!</v>
      </c>
      <c r="T14" s="569" t="e">
        <f>VLOOKUP(A14,'Uncorrected Area Counts'!$A$4:$AU$99,39,FALSE)/VLOOKUP(A14,'Uncorrected Area Counts'!$A$4:$AU$99,3,FALSE)/VLOOKUP(8,'Plate Planning'!$L$20:$S$35,4,FALSE)*VLOOKUP("standard",'Plate Planning'!$L$20:$S$35,4,FALSE)/VLOOKUP(A14,'Uncorrected Area Counts'!$A$4:$AU$99,38,FALSE)*100</f>
        <v>#DIV/0!</v>
      </c>
      <c r="U14" s="589" t="e">
        <f>(VLOOKUP(A14,'Uncorrected Area Counts'!$A$4:$AU$99,43,FALSE)/VLOOKUP(A14,'Uncorrected Area Counts'!$A$4:$AU$99,47,FALSE))*100</f>
        <v>#DIV/0!</v>
      </c>
      <c r="V14" s="604" t="e">
        <f>VLOOKUP(A14,'Uncorrected Area Counts'!$A$4:$AU$99,43,FALSE)/VLOOKUP(A14,'Uncorrected Area Counts'!$A$4:$AU$99,3,FALSE)/VLOOKUP(8,'Plate Planning'!$L$20:$S$35,4,FALSE)*VLOOKUP("standard",'Plate Planning'!$L$20:$S$35,4,FALSE)/VLOOKUP(A14,'Uncorrected Area Counts'!$A$4:$AU$99,42,FALSE)*100</f>
        <v>#DIV/0!</v>
      </c>
    </row>
    <row r="15" spans="1:22">
      <c r="A15" s="478" t="s">
        <v>1173</v>
      </c>
      <c r="B15" s="565" t="s">
        <v>22</v>
      </c>
      <c r="C15" s="573" t="e">
        <f>(VLOOKUP(A15,'Uncorrected Area Counts'!$A$4:$AU$99,7,FALSE)/VLOOKUP(A15,'Uncorrected Area Counts'!$A$4:$AU$99,47,FALSE))*100</f>
        <v>#DIV/0!</v>
      </c>
      <c r="D15" s="566" t="e">
        <f>VLOOKUP(A15,'Uncorrected Area Counts'!$A$4:$AU$99,7,FALSE)/VLOOKUP(A15,'Uncorrected Area Counts'!$A$4:$AU$99,3,FALSE)/VLOOKUP(1,'Plate Planning'!$L$20:$S$35,4,FALSE)*VLOOKUP("standard",'Plate Planning'!$L$20:$S$35,4,FALSE)/VLOOKUP(A15,'Uncorrected Area Counts'!$A$4:$AU$99,6,FALSE)*100</f>
        <v>#DIV/0!</v>
      </c>
      <c r="E15" s="576" t="e">
        <f>(VLOOKUP(A15,'Uncorrected Area Counts'!$A$4:$AU$99,11,FALSE)/VLOOKUP(A15,'Uncorrected Area Counts'!$A$4:$AU$99,47,FALSE))*100</f>
        <v>#DIV/0!</v>
      </c>
      <c r="F15" s="566" t="e">
        <f>VLOOKUP(A15,'Uncorrected Area Counts'!$A$4:$AU$99,11,FALSE)/VLOOKUP(A15,'Uncorrected Area Counts'!$A$4:$AU$99,3,FALSE)/VLOOKUP(2,'Plate Planning'!$L$20:$S$35,4,FALSE)*VLOOKUP("standard",'Plate Planning'!$L$20:$S$35,4,FALSE)/VLOOKUP(A15,'Uncorrected Area Counts'!$A$4:$AU$99,10,FALSE)*100</f>
        <v>#DIV/0!</v>
      </c>
      <c r="G15" s="576" t="e">
        <f>(VLOOKUP(A15,'Uncorrected Area Counts'!$A$4:$AU$99,15,FALSE)/VLOOKUP(A15,'Uncorrected Area Counts'!$A$4:$AU$99,47,FALSE))*100</f>
        <v>#DIV/0!</v>
      </c>
      <c r="H15" s="566" t="e">
        <f>VLOOKUP(A15,'Uncorrected Area Counts'!$A$4:$AU$99,15,FALSE)/VLOOKUP(A15,'Uncorrected Area Counts'!$A$4:$AU$99,3,FALSE)/VLOOKUP(3,'Plate Planning'!$L$20:$S$35,4,FALSE)*VLOOKUP("standard",'Plate Planning'!$L$20:$S$35,4,FALSE)/VLOOKUP(A15,'Uncorrected Area Counts'!$A$4:$AU$99,14,FALSE)*100</f>
        <v>#DIV/0!</v>
      </c>
      <c r="I15" s="576" t="e">
        <f>(VLOOKUP(A15,'Uncorrected Area Counts'!$A$4:$AU$99,19,FALSE)/VLOOKUP(A15,'Uncorrected Area Counts'!$A$4:$AU$99,47,FALSE))*100</f>
        <v>#DIV/0!</v>
      </c>
      <c r="J15" s="567" t="e">
        <f>VLOOKUP(A15,'Uncorrected Area Counts'!$A$4:$AU$99,19,FALSE)/VLOOKUP(A15,'Uncorrected Area Counts'!$A$4:$AU$99,3,FALSE)/VLOOKUP(4,'Plate Planning'!$L$20:$S$35,4,FALSE)*VLOOKUP("standard",'Plate Planning'!$L$20:$S$35,4,FALSE)/VLOOKUP(A15,'Uncorrected Area Counts'!$A$4:$AU$99,18,FALSE)*100</f>
        <v>#DIV/0!</v>
      </c>
      <c r="K15" s="581" t="e">
        <f>(VLOOKUP(A15,'Uncorrected Area Counts'!$A$4:$AU$99,23,FALSE)/VLOOKUP(A15,'Uncorrected Area Counts'!$A$4:$AU$99,47,FALSE))*100</f>
        <v>#DIV/0!</v>
      </c>
      <c r="L15" s="568" t="e">
        <f>VLOOKUP(A15,'Uncorrected Area Counts'!$A$4:$AU$99,23,FALSE)/VLOOKUP(A15,'Uncorrected Area Counts'!$A$4:$AU$99,3,FALSE)/VLOOKUP(5,'Plate Planning'!$L$20:$S$35,4,FALSE)*VLOOKUP("standard",'Plate Planning'!$L$20:$S$35,4,FALSE)/VLOOKUP(A15,'Uncorrected Area Counts'!$A$4:$AU$99,22,FALSE)*100</f>
        <v>#DIV/0!</v>
      </c>
      <c r="M15" s="581" t="e">
        <f>(VLOOKUP(A15,'Uncorrected Area Counts'!$A$4:$AU$99,27,FALSE)/VLOOKUP(A15,'Uncorrected Area Counts'!$A$4:$AU$99,47,FALSE))*100</f>
        <v>#DIV/0!</v>
      </c>
      <c r="N15" s="567" t="e">
        <f>VLOOKUP(A15,'Uncorrected Area Counts'!$A$4:$AU$99,27,FALSE)/VLOOKUP(A15,'Uncorrected Area Counts'!$A$4:$AU$99,3,FALSE)/VLOOKUP(6,'Plate Planning'!$L$20:$S$35,4,FALSE)*VLOOKUP("standard",'Plate Planning'!$L$20:$S$35,4,FALSE)/VLOOKUP(A15,'Uncorrected Area Counts'!$A$4:$AU$99,26,FALSE)*100</f>
        <v>#DIV/0!</v>
      </c>
      <c r="O15" s="581" t="e">
        <f>(VLOOKUP(A15,'Uncorrected Area Counts'!$A$4:$AU$99,31,FALSE)/VLOOKUP(A15,'Uncorrected Area Counts'!$A$4:$AU$99,47,FALSE))*100</f>
        <v>#DIV/0!</v>
      </c>
      <c r="P15" s="568" t="e">
        <f>VLOOKUP(A15,'Uncorrected Area Counts'!$A$4:$AU$99,31,FALSE)/VLOOKUP(A15,'Uncorrected Area Counts'!$A$4:$AU$99,3,FALSE)/VLOOKUP(7,'Plate Planning'!$L$20:$S$35,4,FALSE)*VLOOKUP("standard",'Plate Planning'!$L$20:$S$35,4,FALSE)/VLOOKUP(A15,'Uncorrected Area Counts'!$A$4:$AU$99,30,FALSE)*100</f>
        <v>#DIV/0!</v>
      </c>
      <c r="Q15" s="581" t="e">
        <f>(VLOOKUP(A15,'Uncorrected Area Counts'!$A$4:$AU$99,35,FALSE)/VLOOKUP(A15,'Uncorrected Area Counts'!$A$4:$AU$99,47,FALSE))*100</f>
        <v>#DIV/0!</v>
      </c>
      <c r="R15" s="477" t="e">
        <f>VLOOKUP(A15,'Uncorrected Area Counts'!$A$4:$AU$99,35,FALSE)/VLOOKUP(A15,'Uncorrected Area Counts'!$A$4:$AU$99,3,FALSE)/VLOOKUP(8,'Plate Planning'!$L$20:$S$35,4,FALSE)*VLOOKUP("standard",'Plate Planning'!$L$20:$S$35,4,FALSE)/VLOOKUP(A15,'Uncorrected Area Counts'!$A$4:$AU$99,34,FALSE)*100</f>
        <v>#DIV/0!</v>
      </c>
      <c r="S15" s="589" t="e">
        <f>(VLOOKUP(A15,'Uncorrected Area Counts'!$A$4:$AU$99,39,FALSE)/VLOOKUP(A15,'Uncorrected Area Counts'!$A$4:$AU$99,47,FALSE))*100</f>
        <v>#DIV/0!</v>
      </c>
      <c r="T15" s="569" t="e">
        <f>VLOOKUP(A15,'Uncorrected Area Counts'!$A$4:$AU$99,39,FALSE)/VLOOKUP(A15,'Uncorrected Area Counts'!$A$4:$AU$99,3,FALSE)/VLOOKUP(8,'Plate Planning'!$L$20:$S$35,4,FALSE)*VLOOKUP("standard",'Plate Planning'!$L$20:$S$35,4,FALSE)/VLOOKUP(A15,'Uncorrected Area Counts'!$A$4:$AU$99,38,FALSE)*100</f>
        <v>#DIV/0!</v>
      </c>
      <c r="U15" s="589" t="e">
        <f>(VLOOKUP(A15,'Uncorrected Area Counts'!$A$4:$AU$99,43,FALSE)/VLOOKUP(A15,'Uncorrected Area Counts'!$A$4:$AU$99,47,FALSE))*100</f>
        <v>#DIV/0!</v>
      </c>
      <c r="V15" s="604" t="e">
        <f>VLOOKUP(A15,'Uncorrected Area Counts'!$A$4:$AU$99,43,FALSE)/VLOOKUP(A15,'Uncorrected Area Counts'!$A$4:$AU$99,3,FALSE)/VLOOKUP(8,'Plate Planning'!$L$20:$S$35,4,FALSE)*VLOOKUP("standard",'Plate Planning'!$L$20:$S$35,4,FALSE)/VLOOKUP(A15,'Uncorrected Area Counts'!$A$4:$AU$99,42,FALSE)*100</f>
        <v>#DIV/0!</v>
      </c>
    </row>
    <row r="16" spans="1:22">
      <c r="A16" s="478" t="s">
        <v>1174</v>
      </c>
      <c r="B16" s="565" t="s">
        <v>22</v>
      </c>
      <c r="C16" s="573" t="e">
        <f>(VLOOKUP(A16,'Uncorrected Area Counts'!$A$4:$AU$99,7,FALSE)/VLOOKUP(A16,'Uncorrected Area Counts'!$A$4:$AU$99,47,FALSE))*100</f>
        <v>#DIV/0!</v>
      </c>
      <c r="D16" s="566" t="e">
        <f>VLOOKUP(A16,'Uncorrected Area Counts'!$A$4:$AU$99,7,FALSE)/VLOOKUP(A16,'Uncorrected Area Counts'!$A$4:$AU$99,3,FALSE)/VLOOKUP(1,'Plate Planning'!$L$20:$S$35,4,FALSE)*VLOOKUP("standard",'Plate Planning'!$L$20:$S$35,4,FALSE)/VLOOKUP(A16,'Uncorrected Area Counts'!$A$4:$AU$99,6,FALSE)*100</f>
        <v>#DIV/0!</v>
      </c>
      <c r="E16" s="576" t="e">
        <f>(VLOOKUP(A16,'Uncorrected Area Counts'!$A$4:$AU$99,11,FALSE)/VLOOKUP(A16,'Uncorrected Area Counts'!$A$4:$AU$99,47,FALSE))*100</f>
        <v>#DIV/0!</v>
      </c>
      <c r="F16" s="566" t="e">
        <f>VLOOKUP(A16,'Uncorrected Area Counts'!$A$4:$AU$99,11,FALSE)/VLOOKUP(A16,'Uncorrected Area Counts'!$A$4:$AU$99,3,FALSE)/VLOOKUP(2,'Plate Planning'!$L$20:$S$35,4,FALSE)*VLOOKUP("standard",'Plate Planning'!$L$20:$S$35,4,FALSE)/VLOOKUP(A16,'Uncorrected Area Counts'!$A$4:$AU$99,10,FALSE)*100</f>
        <v>#DIV/0!</v>
      </c>
      <c r="G16" s="576" t="e">
        <f>(VLOOKUP(A16,'Uncorrected Area Counts'!$A$4:$AU$99,15,FALSE)/VLOOKUP(A16,'Uncorrected Area Counts'!$A$4:$AU$99,47,FALSE))*100</f>
        <v>#DIV/0!</v>
      </c>
      <c r="H16" s="566" t="e">
        <f>VLOOKUP(A16,'Uncorrected Area Counts'!$A$4:$AU$99,15,FALSE)/VLOOKUP(A16,'Uncorrected Area Counts'!$A$4:$AU$99,3,FALSE)/VLOOKUP(3,'Plate Planning'!$L$20:$S$35,4,FALSE)*VLOOKUP("standard",'Plate Planning'!$L$20:$S$35,4,FALSE)/VLOOKUP(A16,'Uncorrected Area Counts'!$A$4:$AU$99,14,FALSE)*100</f>
        <v>#DIV/0!</v>
      </c>
      <c r="I16" s="576" t="e">
        <f>(VLOOKUP(A16,'Uncorrected Area Counts'!$A$4:$AU$99,19,FALSE)/VLOOKUP(A16,'Uncorrected Area Counts'!$A$4:$AU$99,47,FALSE))*100</f>
        <v>#DIV/0!</v>
      </c>
      <c r="J16" s="567" t="e">
        <f>VLOOKUP(A16,'Uncorrected Area Counts'!$A$4:$AU$99,19,FALSE)/VLOOKUP(A16,'Uncorrected Area Counts'!$A$4:$AU$99,3,FALSE)/VLOOKUP(4,'Plate Planning'!$L$20:$S$35,4,FALSE)*VLOOKUP("standard",'Plate Planning'!$L$20:$S$35,4,FALSE)/VLOOKUP(A16,'Uncorrected Area Counts'!$A$4:$AU$99,18,FALSE)*100</f>
        <v>#DIV/0!</v>
      </c>
      <c r="K16" s="581" t="e">
        <f>(VLOOKUP(A16,'Uncorrected Area Counts'!$A$4:$AU$99,23,FALSE)/VLOOKUP(A16,'Uncorrected Area Counts'!$A$4:$AU$99,47,FALSE))*100</f>
        <v>#DIV/0!</v>
      </c>
      <c r="L16" s="568" t="e">
        <f>VLOOKUP(A16,'Uncorrected Area Counts'!$A$4:$AU$99,23,FALSE)/VLOOKUP(A16,'Uncorrected Area Counts'!$A$4:$AU$99,3,FALSE)/VLOOKUP(5,'Plate Planning'!$L$20:$S$35,4,FALSE)*VLOOKUP("standard",'Plate Planning'!$L$20:$S$35,4,FALSE)/VLOOKUP(A16,'Uncorrected Area Counts'!$A$4:$AU$99,22,FALSE)*100</f>
        <v>#DIV/0!</v>
      </c>
      <c r="M16" s="581" t="e">
        <f>(VLOOKUP(A16,'Uncorrected Area Counts'!$A$4:$AU$99,27,FALSE)/VLOOKUP(A16,'Uncorrected Area Counts'!$A$4:$AU$99,47,FALSE))*100</f>
        <v>#DIV/0!</v>
      </c>
      <c r="N16" s="567" t="e">
        <f>VLOOKUP(A16,'Uncorrected Area Counts'!$A$4:$AU$99,27,FALSE)/VLOOKUP(A16,'Uncorrected Area Counts'!$A$4:$AU$99,3,FALSE)/VLOOKUP(6,'Plate Planning'!$L$20:$S$35,4,FALSE)*VLOOKUP("standard",'Plate Planning'!$L$20:$S$35,4,FALSE)/VLOOKUP(A16,'Uncorrected Area Counts'!$A$4:$AU$99,26,FALSE)*100</f>
        <v>#DIV/0!</v>
      </c>
      <c r="O16" s="581" t="e">
        <f>(VLOOKUP(A16,'Uncorrected Area Counts'!$A$4:$AU$99,31,FALSE)/VLOOKUP(A16,'Uncorrected Area Counts'!$A$4:$AU$99,47,FALSE))*100</f>
        <v>#DIV/0!</v>
      </c>
      <c r="P16" s="568" t="e">
        <f>VLOOKUP(A16,'Uncorrected Area Counts'!$A$4:$AU$99,31,FALSE)/VLOOKUP(A16,'Uncorrected Area Counts'!$A$4:$AU$99,3,FALSE)/VLOOKUP(7,'Plate Planning'!$L$20:$S$35,4,FALSE)*VLOOKUP("standard",'Plate Planning'!$L$20:$S$35,4,FALSE)/VLOOKUP(A16,'Uncorrected Area Counts'!$A$4:$AU$99,30,FALSE)*100</f>
        <v>#DIV/0!</v>
      </c>
      <c r="Q16" s="581" t="e">
        <f>(VLOOKUP(A16,'Uncorrected Area Counts'!$A$4:$AU$99,35,FALSE)/VLOOKUP(A16,'Uncorrected Area Counts'!$A$4:$AU$99,47,FALSE))*100</f>
        <v>#DIV/0!</v>
      </c>
      <c r="R16" s="477" t="e">
        <f>VLOOKUP(A16,'Uncorrected Area Counts'!$A$4:$AU$99,35,FALSE)/VLOOKUP(A16,'Uncorrected Area Counts'!$A$4:$AU$99,3,FALSE)/VLOOKUP(8,'Plate Planning'!$L$20:$S$35,4,FALSE)*VLOOKUP("standard",'Plate Planning'!$L$20:$S$35,4,FALSE)/VLOOKUP(A16,'Uncorrected Area Counts'!$A$4:$AU$99,34,FALSE)*100</f>
        <v>#DIV/0!</v>
      </c>
      <c r="S16" s="589" t="e">
        <f>(VLOOKUP(A16,'Uncorrected Area Counts'!$A$4:$AU$99,39,FALSE)/VLOOKUP(A16,'Uncorrected Area Counts'!$A$4:$AU$99,47,FALSE))*100</f>
        <v>#DIV/0!</v>
      </c>
      <c r="T16" s="569" t="e">
        <f>VLOOKUP(A16,'Uncorrected Area Counts'!$A$4:$AU$99,39,FALSE)/VLOOKUP(A16,'Uncorrected Area Counts'!$A$4:$AU$99,3,FALSE)/VLOOKUP(8,'Plate Planning'!$L$20:$S$35,4,FALSE)*VLOOKUP("standard",'Plate Planning'!$L$20:$S$35,4,FALSE)/VLOOKUP(A16,'Uncorrected Area Counts'!$A$4:$AU$99,38,FALSE)*100</f>
        <v>#DIV/0!</v>
      </c>
      <c r="U16" s="589" t="e">
        <f>(VLOOKUP(A16,'Uncorrected Area Counts'!$A$4:$AU$99,43,FALSE)/VLOOKUP(A16,'Uncorrected Area Counts'!$A$4:$AU$99,47,FALSE))*100</f>
        <v>#DIV/0!</v>
      </c>
      <c r="V16" s="604" t="e">
        <f>VLOOKUP(A16,'Uncorrected Area Counts'!$A$4:$AU$99,43,FALSE)/VLOOKUP(A16,'Uncorrected Area Counts'!$A$4:$AU$99,3,FALSE)/VLOOKUP(8,'Plate Planning'!$L$20:$S$35,4,FALSE)*VLOOKUP("standard",'Plate Planning'!$L$20:$S$35,4,FALSE)/VLOOKUP(A16,'Uncorrected Area Counts'!$A$4:$AU$99,42,FALSE)*100</f>
        <v>#DIV/0!</v>
      </c>
    </row>
    <row r="17" spans="1:22">
      <c r="A17" s="478" t="s">
        <v>1175</v>
      </c>
      <c r="B17" s="565" t="s">
        <v>22</v>
      </c>
      <c r="C17" s="573" t="e">
        <f>(VLOOKUP(A17,'Uncorrected Area Counts'!$A$4:$AU$99,7,FALSE)/VLOOKUP(A17,'Uncorrected Area Counts'!$A$4:$AU$99,47,FALSE))*100</f>
        <v>#DIV/0!</v>
      </c>
      <c r="D17" s="566" t="e">
        <f>VLOOKUP(A17,'Uncorrected Area Counts'!$A$4:$AU$99,7,FALSE)/VLOOKUP(A17,'Uncorrected Area Counts'!$A$4:$AU$99,3,FALSE)/VLOOKUP(1,'Plate Planning'!$L$20:$S$35,4,FALSE)*VLOOKUP("standard",'Plate Planning'!$L$20:$S$35,4,FALSE)/VLOOKUP(A17,'Uncorrected Area Counts'!$A$4:$AU$99,6,FALSE)*100</f>
        <v>#DIV/0!</v>
      </c>
      <c r="E17" s="576" t="e">
        <f>(VLOOKUP(A17,'Uncorrected Area Counts'!$A$4:$AU$99,11,FALSE)/VLOOKUP(A17,'Uncorrected Area Counts'!$A$4:$AU$99,47,FALSE))*100</f>
        <v>#DIV/0!</v>
      </c>
      <c r="F17" s="566" t="e">
        <f>VLOOKUP(A17,'Uncorrected Area Counts'!$A$4:$AU$99,11,FALSE)/VLOOKUP(A17,'Uncorrected Area Counts'!$A$4:$AU$99,3,FALSE)/VLOOKUP(2,'Plate Planning'!$L$20:$S$35,4,FALSE)*VLOOKUP("standard",'Plate Planning'!$L$20:$S$35,4,FALSE)/VLOOKUP(A17,'Uncorrected Area Counts'!$A$4:$AU$99,10,FALSE)*100</f>
        <v>#DIV/0!</v>
      </c>
      <c r="G17" s="576" t="e">
        <f>(VLOOKUP(A17,'Uncorrected Area Counts'!$A$4:$AU$99,15,FALSE)/VLOOKUP(A17,'Uncorrected Area Counts'!$A$4:$AU$99,47,FALSE))*100</f>
        <v>#DIV/0!</v>
      </c>
      <c r="H17" s="566" t="e">
        <f>VLOOKUP(A17,'Uncorrected Area Counts'!$A$4:$AU$99,15,FALSE)/VLOOKUP(A17,'Uncorrected Area Counts'!$A$4:$AU$99,3,FALSE)/VLOOKUP(3,'Plate Planning'!$L$20:$S$35,4,FALSE)*VLOOKUP("standard",'Plate Planning'!$L$20:$S$35,4,FALSE)/VLOOKUP(A17,'Uncorrected Area Counts'!$A$4:$AU$99,14,FALSE)*100</f>
        <v>#DIV/0!</v>
      </c>
      <c r="I17" s="576" t="e">
        <f>(VLOOKUP(A17,'Uncorrected Area Counts'!$A$4:$AU$99,19,FALSE)/VLOOKUP(A17,'Uncorrected Area Counts'!$A$4:$AU$99,47,FALSE))*100</f>
        <v>#DIV/0!</v>
      </c>
      <c r="J17" s="567" t="e">
        <f>VLOOKUP(A17,'Uncorrected Area Counts'!$A$4:$AU$99,19,FALSE)/VLOOKUP(A17,'Uncorrected Area Counts'!$A$4:$AU$99,3,FALSE)/VLOOKUP(4,'Plate Planning'!$L$20:$S$35,4,FALSE)*VLOOKUP("standard",'Plate Planning'!$L$20:$S$35,4,FALSE)/VLOOKUP(A17,'Uncorrected Area Counts'!$A$4:$AU$99,18,FALSE)*100</f>
        <v>#DIV/0!</v>
      </c>
      <c r="K17" s="581" t="e">
        <f>(VLOOKUP(A17,'Uncorrected Area Counts'!$A$4:$AU$99,23,FALSE)/VLOOKUP(A17,'Uncorrected Area Counts'!$A$4:$AU$99,47,FALSE))*100</f>
        <v>#DIV/0!</v>
      </c>
      <c r="L17" s="568" t="e">
        <f>VLOOKUP(A17,'Uncorrected Area Counts'!$A$4:$AU$99,23,FALSE)/VLOOKUP(A17,'Uncorrected Area Counts'!$A$4:$AU$99,3,FALSE)/VLOOKUP(5,'Plate Planning'!$L$20:$S$35,4,FALSE)*VLOOKUP("standard",'Plate Planning'!$L$20:$S$35,4,FALSE)/VLOOKUP(A17,'Uncorrected Area Counts'!$A$4:$AU$99,22,FALSE)*100</f>
        <v>#DIV/0!</v>
      </c>
      <c r="M17" s="581" t="e">
        <f>(VLOOKUP(A17,'Uncorrected Area Counts'!$A$4:$AU$99,27,FALSE)/VLOOKUP(A17,'Uncorrected Area Counts'!$A$4:$AU$99,47,FALSE))*100</f>
        <v>#DIV/0!</v>
      </c>
      <c r="N17" s="567" t="e">
        <f>VLOOKUP(A17,'Uncorrected Area Counts'!$A$4:$AU$99,27,FALSE)/VLOOKUP(A17,'Uncorrected Area Counts'!$A$4:$AU$99,3,FALSE)/VLOOKUP(6,'Plate Planning'!$L$20:$S$35,4,FALSE)*VLOOKUP("standard",'Plate Planning'!$L$20:$S$35,4,FALSE)/VLOOKUP(A17,'Uncorrected Area Counts'!$A$4:$AU$99,26,FALSE)*100</f>
        <v>#DIV/0!</v>
      </c>
      <c r="O17" s="581" t="e">
        <f>(VLOOKUP(A17,'Uncorrected Area Counts'!$A$4:$AU$99,31,FALSE)/VLOOKUP(A17,'Uncorrected Area Counts'!$A$4:$AU$99,47,FALSE))*100</f>
        <v>#DIV/0!</v>
      </c>
      <c r="P17" s="568" t="e">
        <f>VLOOKUP(A17,'Uncorrected Area Counts'!$A$4:$AU$99,31,FALSE)/VLOOKUP(A17,'Uncorrected Area Counts'!$A$4:$AU$99,3,FALSE)/VLOOKUP(7,'Plate Planning'!$L$20:$S$35,4,FALSE)*VLOOKUP("standard",'Plate Planning'!$L$20:$S$35,4,FALSE)/VLOOKUP(A17,'Uncorrected Area Counts'!$A$4:$AU$99,30,FALSE)*100</f>
        <v>#DIV/0!</v>
      </c>
      <c r="Q17" s="581" t="e">
        <f>(VLOOKUP(A17,'Uncorrected Area Counts'!$A$4:$AU$99,35,FALSE)/VLOOKUP(A17,'Uncorrected Area Counts'!$A$4:$AU$99,47,FALSE))*100</f>
        <v>#DIV/0!</v>
      </c>
      <c r="R17" s="477" t="e">
        <f>VLOOKUP(A17,'Uncorrected Area Counts'!$A$4:$AU$99,35,FALSE)/VLOOKUP(A17,'Uncorrected Area Counts'!$A$4:$AU$99,3,FALSE)/VLOOKUP(8,'Plate Planning'!$L$20:$S$35,4,FALSE)*VLOOKUP("standard",'Plate Planning'!$L$20:$S$35,4,FALSE)/VLOOKUP(A17,'Uncorrected Area Counts'!$A$4:$AU$99,34,FALSE)*100</f>
        <v>#DIV/0!</v>
      </c>
      <c r="S17" s="589" t="e">
        <f>(VLOOKUP(A17,'Uncorrected Area Counts'!$A$4:$AU$99,39,FALSE)/VLOOKUP(A17,'Uncorrected Area Counts'!$A$4:$AU$99,47,FALSE))*100</f>
        <v>#DIV/0!</v>
      </c>
      <c r="T17" s="569" t="e">
        <f>VLOOKUP(A17,'Uncorrected Area Counts'!$A$4:$AU$99,39,FALSE)/VLOOKUP(A17,'Uncorrected Area Counts'!$A$4:$AU$99,3,FALSE)/VLOOKUP(8,'Plate Planning'!$L$20:$S$35,4,FALSE)*VLOOKUP("standard",'Plate Planning'!$L$20:$S$35,4,FALSE)/VLOOKUP(A17,'Uncorrected Area Counts'!$A$4:$AU$99,38,FALSE)*100</f>
        <v>#DIV/0!</v>
      </c>
      <c r="U17" s="589" t="e">
        <f>(VLOOKUP(A17,'Uncorrected Area Counts'!$A$4:$AU$99,43,FALSE)/VLOOKUP(A17,'Uncorrected Area Counts'!$A$4:$AU$99,47,FALSE))*100</f>
        <v>#DIV/0!</v>
      </c>
      <c r="V17" s="604" t="e">
        <f>VLOOKUP(A17,'Uncorrected Area Counts'!$A$4:$AU$99,43,FALSE)/VLOOKUP(A17,'Uncorrected Area Counts'!$A$4:$AU$99,3,FALSE)/VLOOKUP(8,'Plate Planning'!$L$20:$S$35,4,FALSE)*VLOOKUP("standard",'Plate Planning'!$L$20:$S$35,4,FALSE)/VLOOKUP(A17,'Uncorrected Area Counts'!$A$4:$AU$99,42,FALSE)*100</f>
        <v>#DIV/0!</v>
      </c>
    </row>
    <row r="18" spans="1:22">
      <c r="A18" s="478" t="s">
        <v>1176</v>
      </c>
      <c r="B18" s="565" t="s">
        <v>22</v>
      </c>
      <c r="C18" s="573" t="e">
        <f>(VLOOKUP(A18,'Uncorrected Area Counts'!$A$4:$AU$99,7,FALSE)/VLOOKUP(A18,'Uncorrected Area Counts'!$A$4:$AU$99,47,FALSE))*100</f>
        <v>#DIV/0!</v>
      </c>
      <c r="D18" s="566" t="e">
        <f>VLOOKUP(A18,'Uncorrected Area Counts'!$A$4:$AU$99,7,FALSE)/VLOOKUP(A18,'Uncorrected Area Counts'!$A$4:$AU$99,3,FALSE)/VLOOKUP(1,'Plate Planning'!$L$20:$S$35,4,FALSE)*VLOOKUP("standard",'Plate Planning'!$L$20:$S$35,4,FALSE)/VLOOKUP(A18,'Uncorrected Area Counts'!$A$4:$AU$99,6,FALSE)*100</f>
        <v>#DIV/0!</v>
      </c>
      <c r="E18" s="576" t="e">
        <f>(VLOOKUP(A18,'Uncorrected Area Counts'!$A$4:$AU$99,11,FALSE)/VLOOKUP(A18,'Uncorrected Area Counts'!$A$4:$AU$99,47,FALSE))*100</f>
        <v>#DIV/0!</v>
      </c>
      <c r="F18" s="566" t="e">
        <f>VLOOKUP(A18,'Uncorrected Area Counts'!$A$4:$AU$99,11,FALSE)/VLOOKUP(A18,'Uncorrected Area Counts'!$A$4:$AU$99,3,FALSE)/VLOOKUP(2,'Plate Planning'!$L$20:$S$35,4,FALSE)*VLOOKUP("standard",'Plate Planning'!$L$20:$S$35,4,FALSE)/VLOOKUP(A18,'Uncorrected Area Counts'!$A$4:$AU$99,10,FALSE)*100</f>
        <v>#DIV/0!</v>
      </c>
      <c r="G18" s="576" t="e">
        <f>(VLOOKUP(A18,'Uncorrected Area Counts'!$A$4:$AU$99,15,FALSE)/VLOOKUP(A18,'Uncorrected Area Counts'!$A$4:$AU$99,47,FALSE))*100</f>
        <v>#DIV/0!</v>
      </c>
      <c r="H18" s="566" t="e">
        <f>VLOOKUP(A18,'Uncorrected Area Counts'!$A$4:$AU$99,15,FALSE)/VLOOKUP(A18,'Uncorrected Area Counts'!$A$4:$AU$99,3,FALSE)/VLOOKUP(3,'Plate Planning'!$L$20:$S$35,4,FALSE)*VLOOKUP("standard",'Plate Planning'!$L$20:$S$35,4,FALSE)/VLOOKUP(A18,'Uncorrected Area Counts'!$A$4:$AU$99,14,FALSE)*100</f>
        <v>#DIV/0!</v>
      </c>
      <c r="I18" s="576" t="e">
        <f>(VLOOKUP(A18,'Uncorrected Area Counts'!$A$4:$AU$99,19,FALSE)/VLOOKUP(A18,'Uncorrected Area Counts'!$A$4:$AU$99,47,FALSE))*100</f>
        <v>#DIV/0!</v>
      </c>
      <c r="J18" s="567" t="e">
        <f>VLOOKUP(A18,'Uncorrected Area Counts'!$A$4:$AU$99,19,FALSE)/VLOOKUP(A18,'Uncorrected Area Counts'!$A$4:$AU$99,3,FALSE)/VLOOKUP(4,'Plate Planning'!$L$20:$S$35,4,FALSE)*VLOOKUP("standard",'Plate Planning'!$L$20:$S$35,4,FALSE)/VLOOKUP(A18,'Uncorrected Area Counts'!$A$4:$AU$99,18,FALSE)*100</f>
        <v>#DIV/0!</v>
      </c>
      <c r="K18" s="581" t="e">
        <f>(VLOOKUP(A18,'Uncorrected Area Counts'!$A$4:$AU$99,23,FALSE)/VLOOKUP(A18,'Uncorrected Area Counts'!$A$4:$AU$99,47,FALSE))*100</f>
        <v>#DIV/0!</v>
      </c>
      <c r="L18" s="568" t="e">
        <f>VLOOKUP(A18,'Uncorrected Area Counts'!$A$4:$AU$99,23,FALSE)/VLOOKUP(A18,'Uncorrected Area Counts'!$A$4:$AU$99,3,FALSE)/VLOOKUP(5,'Plate Planning'!$L$20:$S$35,4,FALSE)*VLOOKUP("standard",'Plate Planning'!$L$20:$S$35,4,FALSE)/VLOOKUP(A18,'Uncorrected Area Counts'!$A$4:$AU$99,22,FALSE)*100</f>
        <v>#DIV/0!</v>
      </c>
      <c r="M18" s="581" t="e">
        <f>(VLOOKUP(A18,'Uncorrected Area Counts'!$A$4:$AU$99,27,FALSE)/VLOOKUP(A18,'Uncorrected Area Counts'!$A$4:$AU$99,47,FALSE))*100</f>
        <v>#DIV/0!</v>
      </c>
      <c r="N18" s="567" t="e">
        <f>VLOOKUP(A18,'Uncorrected Area Counts'!$A$4:$AU$99,27,FALSE)/VLOOKUP(A18,'Uncorrected Area Counts'!$A$4:$AU$99,3,FALSE)/VLOOKUP(6,'Plate Planning'!$L$20:$S$35,4,FALSE)*VLOOKUP("standard",'Plate Planning'!$L$20:$S$35,4,FALSE)/VLOOKUP(A18,'Uncorrected Area Counts'!$A$4:$AU$99,26,FALSE)*100</f>
        <v>#DIV/0!</v>
      </c>
      <c r="O18" s="581" t="e">
        <f>(VLOOKUP(A18,'Uncorrected Area Counts'!$A$4:$AU$99,31,FALSE)/VLOOKUP(A18,'Uncorrected Area Counts'!$A$4:$AU$99,47,FALSE))*100</f>
        <v>#DIV/0!</v>
      </c>
      <c r="P18" s="568" t="e">
        <f>VLOOKUP(A18,'Uncorrected Area Counts'!$A$4:$AU$99,31,FALSE)/VLOOKUP(A18,'Uncorrected Area Counts'!$A$4:$AU$99,3,FALSE)/VLOOKUP(7,'Plate Planning'!$L$20:$S$35,4,FALSE)*VLOOKUP("standard",'Plate Planning'!$L$20:$S$35,4,FALSE)/VLOOKUP(A18,'Uncorrected Area Counts'!$A$4:$AU$99,30,FALSE)*100</f>
        <v>#DIV/0!</v>
      </c>
      <c r="Q18" s="581" t="e">
        <f>(VLOOKUP(A18,'Uncorrected Area Counts'!$A$4:$AU$99,35,FALSE)/VLOOKUP(A18,'Uncorrected Area Counts'!$A$4:$AU$99,47,FALSE))*100</f>
        <v>#DIV/0!</v>
      </c>
      <c r="R18" s="477" t="e">
        <f>VLOOKUP(A18,'Uncorrected Area Counts'!$A$4:$AU$99,35,FALSE)/VLOOKUP(A18,'Uncorrected Area Counts'!$A$4:$AU$99,3,FALSE)/VLOOKUP(8,'Plate Planning'!$L$20:$S$35,4,FALSE)*VLOOKUP("standard",'Plate Planning'!$L$20:$S$35,4,FALSE)/VLOOKUP(A18,'Uncorrected Area Counts'!$A$4:$AU$99,34,FALSE)*100</f>
        <v>#DIV/0!</v>
      </c>
      <c r="S18" s="589" t="e">
        <f>(VLOOKUP(A18,'Uncorrected Area Counts'!$A$4:$AU$99,39,FALSE)/VLOOKUP(A18,'Uncorrected Area Counts'!$A$4:$AU$99,47,FALSE))*100</f>
        <v>#DIV/0!</v>
      </c>
      <c r="T18" s="569" t="e">
        <f>VLOOKUP(A18,'Uncorrected Area Counts'!$A$4:$AU$99,39,FALSE)/VLOOKUP(A18,'Uncorrected Area Counts'!$A$4:$AU$99,3,FALSE)/VLOOKUP(8,'Plate Planning'!$L$20:$S$35,4,FALSE)*VLOOKUP("standard",'Plate Planning'!$L$20:$S$35,4,FALSE)/VLOOKUP(A18,'Uncorrected Area Counts'!$A$4:$AU$99,38,FALSE)*100</f>
        <v>#DIV/0!</v>
      </c>
      <c r="U18" s="589" t="e">
        <f>(VLOOKUP(A18,'Uncorrected Area Counts'!$A$4:$AU$99,43,FALSE)/VLOOKUP(A18,'Uncorrected Area Counts'!$A$4:$AU$99,47,FALSE))*100</f>
        <v>#DIV/0!</v>
      </c>
      <c r="V18" s="604" t="e">
        <f>VLOOKUP(A18,'Uncorrected Area Counts'!$A$4:$AU$99,43,FALSE)/VLOOKUP(A18,'Uncorrected Area Counts'!$A$4:$AU$99,3,FALSE)/VLOOKUP(8,'Plate Planning'!$L$20:$S$35,4,FALSE)*VLOOKUP("standard",'Plate Planning'!$L$20:$S$35,4,FALSE)/VLOOKUP(A18,'Uncorrected Area Counts'!$A$4:$AU$99,42,FALSE)*100</f>
        <v>#DIV/0!</v>
      </c>
    </row>
    <row r="19" spans="1:22">
      <c r="A19" s="478" t="s">
        <v>1177</v>
      </c>
      <c r="B19" s="565" t="s">
        <v>22</v>
      </c>
      <c r="C19" s="573" t="e">
        <f>(VLOOKUP(A19,'Uncorrected Area Counts'!$A$4:$AU$99,7,FALSE)/VLOOKUP(A19,'Uncorrected Area Counts'!$A$4:$AU$99,47,FALSE))*100</f>
        <v>#DIV/0!</v>
      </c>
      <c r="D19" s="566" t="e">
        <f>VLOOKUP(A19,'Uncorrected Area Counts'!$A$4:$AU$99,7,FALSE)/VLOOKUP(A19,'Uncorrected Area Counts'!$A$4:$AU$99,3,FALSE)/VLOOKUP(1,'Plate Planning'!$L$20:$S$35,4,FALSE)*VLOOKUP("standard",'Plate Planning'!$L$20:$S$35,4,FALSE)/VLOOKUP(A19,'Uncorrected Area Counts'!$A$4:$AU$99,6,FALSE)*100</f>
        <v>#DIV/0!</v>
      </c>
      <c r="E19" s="576" t="e">
        <f>(VLOOKUP(A19,'Uncorrected Area Counts'!$A$4:$AU$99,11,FALSE)/VLOOKUP(A19,'Uncorrected Area Counts'!$A$4:$AU$99,47,FALSE))*100</f>
        <v>#DIV/0!</v>
      </c>
      <c r="F19" s="566" t="e">
        <f>VLOOKUP(A19,'Uncorrected Area Counts'!$A$4:$AU$99,11,FALSE)/VLOOKUP(A19,'Uncorrected Area Counts'!$A$4:$AU$99,3,FALSE)/VLOOKUP(2,'Plate Planning'!$L$20:$S$35,4,FALSE)*VLOOKUP("standard",'Plate Planning'!$L$20:$S$35,4,FALSE)/VLOOKUP(A19,'Uncorrected Area Counts'!$A$4:$AU$99,10,FALSE)*100</f>
        <v>#DIV/0!</v>
      </c>
      <c r="G19" s="576" t="e">
        <f>(VLOOKUP(A19,'Uncorrected Area Counts'!$A$4:$AU$99,15,FALSE)/VLOOKUP(A19,'Uncorrected Area Counts'!$A$4:$AU$99,47,FALSE))*100</f>
        <v>#DIV/0!</v>
      </c>
      <c r="H19" s="566" t="e">
        <f>VLOOKUP(A19,'Uncorrected Area Counts'!$A$4:$AU$99,15,FALSE)/VLOOKUP(A19,'Uncorrected Area Counts'!$A$4:$AU$99,3,FALSE)/VLOOKUP(3,'Plate Planning'!$L$20:$S$35,4,FALSE)*VLOOKUP("standard",'Plate Planning'!$L$20:$S$35,4,FALSE)/VLOOKUP(A19,'Uncorrected Area Counts'!$A$4:$AU$99,14,FALSE)*100</f>
        <v>#DIV/0!</v>
      </c>
      <c r="I19" s="576" t="e">
        <f>(VLOOKUP(A19,'Uncorrected Area Counts'!$A$4:$AU$99,19,FALSE)/VLOOKUP(A19,'Uncorrected Area Counts'!$A$4:$AU$99,47,FALSE))*100</f>
        <v>#DIV/0!</v>
      </c>
      <c r="J19" s="567" t="e">
        <f>VLOOKUP(A19,'Uncorrected Area Counts'!$A$4:$AU$99,19,FALSE)/VLOOKUP(A19,'Uncorrected Area Counts'!$A$4:$AU$99,3,FALSE)/VLOOKUP(4,'Plate Planning'!$L$20:$S$35,4,FALSE)*VLOOKUP("standard",'Plate Planning'!$L$20:$S$35,4,FALSE)/VLOOKUP(A19,'Uncorrected Area Counts'!$A$4:$AU$99,18,FALSE)*100</f>
        <v>#DIV/0!</v>
      </c>
      <c r="K19" s="581" t="e">
        <f>(VLOOKUP(A19,'Uncorrected Area Counts'!$A$4:$AU$99,23,FALSE)/VLOOKUP(A19,'Uncorrected Area Counts'!$A$4:$AU$99,47,FALSE))*100</f>
        <v>#DIV/0!</v>
      </c>
      <c r="L19" s="568" t="e">
        <f>VLOOKUP(A19,'Uncorrected Area Counts'!$A$4:$AU$99,23,FALSE)/VLOOKUP(A19,'Uncorrected Area Counts'!$A$4:$AU$99,3,FALSE)/VLOOKUP(5,'Plate Planning'!$L$20:$S$35,4,FALSE)*VLOOKUP("standard",'Plate Planning'!$L$20:$S$35,4,FALSE)/VLOOKUP(A19,'Uncorrected Area Counts'!$A$4:$AU$99,22,FALSE)*100</f>
        <v>#DIV/0!</v>
      </c>
      <c r="M19" s="581" t="e">
        <f>(VLOOKUP(A19,'Uncorrected Area Counts'!$A$4:$AU$99,27,FALSE)/VLOOKUP(A19,'Uncorrected Area Counts'!$A$4:$AU$99,47,FALSE))*100</f>
        <v>#DIV/0!</v>
      </c>
      <c r="N19" s="567" t="e">
        <f>VLOOKUP(A19,'Uncorrected Area Counts'!$A$4:$AU$99,27,FALSE)/VLOOKUP(A19,'Uncorrected Area Counts'!$A$4:$AU$99,3,FALSE)/VLOOKUP(6,'Plate Planning'!$L$20:$S$35,4,FALSE)*VLOOKUP("standard",'Plate Planning'!$L$20:$S$35,4,FALSE)/VLOOKUP(A19,'Uncorrected Area Counts'!$A$4:$AU$99,26,FALSE)*100</f>
        <v>#DIV/0!</v>
      </c>
      <c r="O19" s="581" t="e">
        <f>(VLOOKUP(A19,'Uncorrected Area Counts'!$A$4:$AU$99,31,FALSE)/VLOOKUP(A19,'Uncorrected Area Counts'!$A$4:$AU$99,47,FALSE))*100</f>
        <v>#DIV/0!</v>
      </c>
      <c r="P19" s="568" t="e">
        <f>VLOOKUP(A19,'Uncorrected Area Counts'!$A$4:$AU$99,31,FALSE)/VLOOKUP(A19,'Uncorrected Area Counts'!$A$4:$AU$99,3,FALSE)/VLOOKUP(7,'Plate Planning'!$L$20:$S$35,4,FALSE)*VLOOKUP("standard",'Plate Planning'!$L$20:$S$35,4,FALSE)/VLOOKUP(A19,'Uncorrected Area Counts'!$A$4:$AU$99,30,FALSE)*100</f>
        <v>#DIV/0!</v>
      </c>
      <c r="Q19" s="581" t="e">
        <f>(VLOOKUP(A19,'Uncorrected Area Counts'!$A$4:$AU$99,35,FALSE)/VLOOKUP(A19,'Uncorrected Area Counts'!$A$4:$AU$99,47,FALSE))*100</f>
        <v>#DIV/0!</v>
      </c>
      <c r="R19" s="477" t="e">
        <f>VLOOKUP(A19,'Uncorrected Area Counts'!$A$4:$AU$99,35,FALSE)/VLOOKUP(A19,'Uncorrected Area Counts'!$A$4:$AU$99,3,FALSE)/VLOOKUP(8,'Plate Planning'!$L$20:$S$35,4,FALSE)*VLOOKUP("standard",'Plate Planning'!$L$20:$S$35,4,FALSE)/VLOOKUP(A19,'Uncorrected Area Counts'!$A$4:$AU$99,34,FALSE)*100</f>
        <v>#DIV/0!</v>
      </c>
      <c r="S19" s="589" t="e">
        <f>(VLOOKUP(A19,'Uncorrected Area Counts'!$A$4:$AU$99,39,FALSE)/VLOOKUP(A19,'Uncorrected Area Counts'!$A$4:$AU$99,47,FALSE))*100</f>
        <v>#DIV/0!</v>
      </c>
      <c r="T19" s="569" t="e">
        <f>VLOOKUP(A19,'Uncorrected Area Counts'!$A$4:$AU$99,39,FALSE)/VLOOKUP(A19,'Uncorrected Area Counts'!$A$4:$AU$99,3,FALSE)/VLOOKUP(8,'Plate Planning'!$L$20:$S$35,4,FALSE)*VLOOKUP("standard",'Plate Planning'!$L$20:$S$35,4,FALSE)/VLOOKUP(A19,'Uncorrected Area Counts'!$A$4:$AU$99,38,FALSE)*100</f>
        <v>#DIV/0!</v>
      </c>
      <c r="U19" s="589" t="e">
        <f>(VLOOKUP(A19,'Uncorrected Area Counts'!$A$4:$AU$99,43,FALSE)/VLOOKUP(A19,'Uncorrected Area Counts'!$A$4:$AU$99,47,FALSE))*100</f>
        <v>#DIV/0!</v>
      </c>
      <c r="V19" s="604" t="e">
        <f>VLOOKUP(A19,'Uncorrected Area Counts'!$A$4:$AU$99,43,FALSE)/VLOOKUP(A19,'Uncorrected Area Counts'!$A$4:$AU$99,3,FALSE)/VLOOKUP(8,'Plate Planning'!$L$20:$S$35,4,FALSE)*VLOOKUP("standard",'Plate Planning'!$L$20:$S$35,4,FALSE)/VLOOKUP(A19,'Uncorrected Area Counts'!$A$4:$AU$99,42,FALSE)*100</f>
        <v>#DIV/0!</v>
      </c>
    </row>
    <row r="20" spans="1:22">
      <c r="A20" s="478" t="s">
        <v>1178</v>
      </c>
      <c r="B20" s="565" t="s">
        <v>22</v>
      </c>
      <c r="C20" s="573" t="e">
        <f>(VLOOKUP(A20,'Uncorrected Area Counts'!$A$4:$AU$99,7,FALSE)/VLOOKUP(A20,'Uncorrected Area Counts'!$A$4:$AU$99,47,FALSE))*100</f>
        <v>#DIV/0!</v>
      </c>
      <c r="D20" s="566" t="e">
        <f>VLOOKUP(A20,'Uncorrected Area Counts'!$A$4:$AU$99,7,FALSE)/VLOOKUP(A20,'Uncorrected Area Counts'!$A$4:$AU$99,3,FALSE)/VLOOKUP(1,'Plate Planning'!$L$20:$S$35,4,FALSE)*VLOOKUP("standard",'Plate Planning'!$L$20:$S$35,4,FALSE)/VLOOKUP(A20,'Uncorrected Area Counts'!$A$4:$AU$99,6,FALSE)*100</f>
        <v>#DIV/0!</v>
      </c>
      <c r="E20" s="576" t="e">
        <f>(VLOOKUP(A20,'Uncorrected Area Counts'!$A$4:$AU$99,11,FALSE)/VLOOKUP(A20,'Uncorrected Area Counts'!$A$4:$AU$99,47,FALSE))*100</f>
        <v>#DIV/0!</v>
      </c>
      <c r="F20" s="566" t="e">
        <f>VLOOKUP(A20,'Uncorrected Area Counts'!$A$4:$AU$99,11,FALSE)/VLOOKUP(A20,'Uncorrected Area Counts'!$A$4:$AU$99,3,FALSE)/VLOOKUP(2,'Plate Planning'!$L$20:$S$35,4,FALSE)*VLOOKUP("standard",'Plate Planning'!$L$20:$S$35,4,FALSE)/VLOOKUP(A20,'Uncorrected Area Counts'!$A$4:$AU$99,10,FALSE)*100</f>
        <v>#DIV/0!</v>
      </c>
      <c r="G20" s="576" t="e">
        <f>(VLOOKUP(A20,'Uncorrected Area Counts'!$A$4:$AU$99,15,FALSE)/VLOOKUP(A20,'Uncorrected Area Counts'!$A$4:$AU$99,47,FALSE))*100</f>
        <v>#DIV/0!</v>
      </c>
      <c r="H20" s="566" t="e">
        <f>VLOOKUP(A20,'Uncorrected Area Counts'!$A$4:$AU$99,15,FALSE)/VLOOKUP(A20,'Uncorrected Area Counts'!$A$4:$AU$99,3,FALSE)/VLOOKUP(3,'Plate Planning'!$L$20:$S$35,4,FALSE)*VLOOKUP("standard",'Plate Planning'!$L$20:$S$35,4,FALSE)/VLOOKUP(A20,'Uncorrected Area Counts'!$A$4:$AU$99,14,FALSE)*100</f>
        <v>#DIV/0!</v>
      </c>
      <c r="I20" s="576" t="e">
        <f>(VLOOKUP(A20,'Uncorrected Area Counts'!$A$4:$AU$99,19,FALSE)/VLOOKUP(A20,'Uncorrected Area Counts'!$A$4:$AU$99,47,FALSE))*100</f>
        <v>#DIV/0!</v>
      </c>
      <c r="J20" s="567" t="e">
        <f>VLOOKUP(A20,'Uncorrected Area Counts'!$A$4:$AU$99,19,FALSE)/VLOOKUP(A20,'Uncorrected Area Counts'!$A$4:$AU$99,3,FALSE)/VLOOKUP(4,'Plate Planning'!$L$20:$S$35,4,FALSE)*VLOOKUP("standard",'Plate Planning'!$L$20:$S$35,4,FALSE)/VLOOKUP(A20,'Uncorrected Area Counts'!$A$4:$AU$99,18,FALSE)*100</f>
        <v>#DIV/0!</v>
      </c>
      <c r="K20" s="581" t="e">
        <f>(VLOOKUP(A20,'Uncorrected Area Counts'!$A$4:$AU$99,23,FALSE)/VLOOKUP(A20,'Uncorrected Area Counts'!$A$4:$AU$99,47,FALSE))*100</f>
        <v>#DIV/0!</v>
      </c>
      <c r="L20" s="568" t="e">
        <f>VLOOKUP(A20,'Uncorrected Area Counts'!$A$4:$AU$99,23,FALSE)/VLOOKUP(A20,'Uncorrected Area Counts'!$A$4:$AU$99,3,FALSE)/VLOOKUP(5,'Plate Planning'!$L$20:$S$35,4,FALSE)*VLOOKUP("standard",'Plate Planning'!$L$20:$S$35,4,FALSE)/VLOOKUP(A20,'Uncorrected Area Counts'!$A$4:$AU$99,22,FALSE)*100</f>
        <v>#DIV/0!</v>
      </c>
      <c r="M20" s="581" t="e">
        <f>(VLOOKUP(A20,'Uncorrected Area Counts'!$A$4:$AU$99,27,FALSE)/VLOOKUP(A20,'Uncorrected Area Counts'!$A$4:$AU$99,47,FALSE))*100</f>
        <v>#DIV/0!</v>
      </c>
      <c r="N20" s="567" t="e">
        <f>VLOOKUP(A20,'Uncorrected Area Counts'!$A$4:$AU$99,27,FALSE)/VLOOKUP(A20,'Uncorrected Area Counts'!$A$4:$AU$99,3,FALSE)/VLOOKUP(6,'Plate Planning'!$L$20:$S$35,4,FALSE)*VLOOKUP("standard",'Plate Planning'!$L$20:$S$35,4,FALSE)/VLOOKUP(A20,'Uncorrected Area Counts'!$A$4:$AU$99,26,FALSE)*100</f>
        <v>#DIV/0!</v>
      </c>
      <c r="O20" s="581" t="e">
        <f>(VLOOKUP(A20,'Uncorrected Area Counts'!$A$4:$AU$99,31,FALSE)/VLOOKUP(A20,'Uncorrected Area Counts'!$A$4:$AU$99,47,FALSE))*100</f>
        <v>#DIV/0!</v>
      </c>
      <c r="P20" s="568" t="e">
        <f>VLOOKUP(A20,'Uncorrected Area Counts'!$A$4:$AU$99,31,FALSE)/VLOOKUP(A20,'Uncorrected Area Counts'!$A$4:$AU$99,3,FALSE)/VLOOKUP(7,'Plate Planning'!$L$20:$S$35,4,FALSE)*VLOOKUP("standard",'Plate Planning'!$L$20:$S$35,4,FALSE)/VLOOKUP(A20,'Uncorrected Area Counts'!$A$4:$AU$99,30,FALSE)*100</f>
        <v>#DIV/0!</v>
      </c>
      <c r="Q20" s="581" t="e">
        <f>(VLOOKUP(A20,'Uncorrected Area Counts'!$A$4:$AU$99,35,FALSE)/VLOOKUP(A20,'Uncorrected Area Counts'!$A$4:$AU$99,47,FALSE))*100</f>
        <v>#DIV/0!</v>
      </c>
      <c r="R20" s="477" t="e">
        <f>VLOOKUP(A20,'Uncorrected Area Counts'!$A$4:$AU$99,35,FALSE)/VLOOKUP(A20,'Uncorrected Area Counts'!$A$4:$AU$99,3,FALSE)/VLOOKUP(8,'Plate Planning'!$L$20:$S$35,4,FALSE)*VLOOKUP("standard",'Plate Planning'!$L$20:$S$35,4,FALSE)/VLOOKUP(A20,'Uncorrected Area Counts'!$A$4:$AU$99,34,FALSE)*100</f>
        <v>#DIV/0!</v>
      </c>
      <c r="S20" s="589" t="e">
        <f>(VLOOKUP(A20,'Uncorrected Area Counts'!$A$4:$AU$99,39,FALSE)/VLOOKUP(A20,'Uncorrected Area Counts'!$A$4:$AU$99,47,FALSE))*100</f>
        <v>#DIV/0!</v>
      </c>
      <c r="T20" s="569" t="e">
        <f>VLOOKUP(A20,'Uncorrected Area Counts'!$A$4:$AU$99,39,FALSE)/VLOOKUP(A20,'Uncorrected Area Counts'!$A$4:$AU$99,3,FALSE)/VLOOKUP(8,'Plate Planning'!$L$20:$S$35,4,FALSE)*VLOOKUP("standard",'Plate Planning'!$L$20:$S$35,4,FALSE)/VLOOKUP(A20,'Uncorrected Area Counts'!$A$4:$AU$99,38,FALSE)*100</f>
        <v>#DIV/0!</v>
      </c>
      <c r="U20" s="589" t="e">
        <f>(VLOOKUP(A20,'Uncorrected Area Counts'!$A$4:$AU$99,43,FALSE)/VLOOKUP(A20,'Uncorrected Area Counts'!$A$4:$AU$99,47,FALSE))*100</f>
        <v>#DIV/0!</v>
      </c>
      <c r="V20" s="604" t="e">
        <f>VLOOKUP(A20,'Uncorrected Area Counts'!$A$4:$AU$99,43,FALSE)/VLOOKUP(A20,'Uncorrected Area Counts'!$A$4:$AU$99,3,FALSE)/VLOOKUP(8,'Plate Planning'!$L$20:$S$35,4,FALSE)*VLOOKUP("standard",'Plate Planning'!$L$20:$S$35,4,FALSE)/VLOOKUP(A20,'Uncorrected Area Counts'!$A$4:$AU$99,42,FALSE)*100</f>
        <v>#DIV/0!</v>
      </c>
    </row>
    <row r="21" spans="1:22">
      <c r="A21" s="478" t="s">
        <v>1179</v>
      </c>
      <c r="B21" s="565" t="s">
        <v>22</v>
      </c>
      <c r="C21" s="573" t="e">
        <f>(VLOOKUP(A21,'Uncorrected Area Counts'!$A$4:$AU$99,7,FALSE)/VLOOKUP(A21,'Uncorrected Area Counts'!$A$4:$AU$99,47,FALSE))*100</f>
        <v>#DIV/0!</v>
      </c>
      <c r="D21" s="566" t="e">
        <f>VLOOKUP(A21,'Uncorrected Area Counts'!$A$4:$AU$99,7,FALSE)/VLOOKUP(A21,'Uncorrected Area Counts'!$A$4:$AU$99,3,FALSE)/VLOOKUP(1,'Plate Planning'!$L$20:$S$35,4,FALSE)*VLOOKUP("standard",'Plate Planning'!$L$20:$S$35,4,FALSE)/VLOOKUP(A21,'Uncorrected Area Counts'!$A$4:$AU$99,6,FALSE)*100</f>
        <v>#DIV/0!</v>
      </c>
      <c r="E21" s="576" t="e">
        <f>(VLOOKUP(A21,'Uncorrected Area Counts'!$A$4:$AU$99,11,FALSE)/VLOOKUP(A21,'Uncorrected Area Counts'!$A$4:$AU$99,47,FALSE))*100</f>
        <v>#DIV/0!</v>
      </c>
      <c r="F21" s="566" t="e">
        <f>VLOOKUP(A21,'Uncorrected Area Counts'!$A$4:$AU$99,11,FALSE)/VLOOKUP(A21,'Uncorrected Area Counts'!$A$4:$AU$99,3,FALSE)/VLOOKUP(2,'Plate Planning'!$L$20:$S$35,4,FALSE)*VLOOKUP("standard",'Plate Planning'!$L$20:$S$35,4,FALSE)/VLOOKUP(A21,'Uncorrected Area Counts'!$A$4:$AU$99,10,FALSE)*100</f>
        <v>#DIV/0!</v>
      </c>
      <c r="G21" s="576" t="e">
        <f>(VLOOKUP(A21,'Uncorrected Area Counts'!$A$4:$AU$99,15,FALSE)/VLOOKUP(A21,'Uncorrected Area Counts'!$A$4:$AU$99,47,FALSE))*100</f>
        <v>#DIV/0!</v>
      </c>
      <c r="H21" s="566" t="e">
        <f>VLOOKUP(A21,'Uncorrected Area Counts'!$A$4:$AU$99,15,FALSE)/VLOOKUP(A21,'Uncorrected Area Counts'!$A$4:$AU$99,3,FALSE)/VLOOKUP(3,'Plate Planning'!$L$20:$S$35,4,FALSE)*VLOOKUP("standard",'Plate Planning'!$L$20:$S$35,4,FALSE)/VLOOKUP(A21,'Uncorrected Area Counts'!$A$4:$AU$99,14,FALSE)*100</f>
        <v>#DIV/0!</v>
      </c>
      <c r="I21" s="576" t="e">
        <f>(VLOOKUP(A21,'Uncorrected Area Counts'!$A$4:$AU$99,19,FALSE)/VLOOKUP(A21,'Uncorrected Area Counts'!$A$4:$AU$99,47,FALSE))*100</f>
        <v>#DIV/0!</v>
      </c>
      <c r="J21" s="567" t="e">
        <f>VLOOKUP(A21,'Uncorrected Area Counts'!$A$4:$AU$99,19,FALSE)/VLOOKUP(A21,'Uncorrected Area Counts'!$A$4:$AU$99,3,FALSE)/VLOOKUP(4,'Plate Planning'!$L$20:$S$35,4,FALSE)*VLOOKUP("standard",'Plate Planning'!$L$20:$S$35,4,FALSE)/VLOOKUP(A21,'Uncorrected Area Counts'!$A$4:$AU$99,18,FALSE)*100</f>
        <v>#DIV/0!</v>
      </c>
      <c r="K21" s="581" t="e">
        <f>(VLOOKUP(A21,'Uncorrected Area Counts'!$A$4:$AU$99,23,FALSE)/VLOOKUP(A21,'Uncorrected Area Counts'!$A$4:$AU$99,47,FALSE))*100</f>
        <v>#DIV/0!</v>
      </c>
      <c r="L21" s="568" t="e">
        <f>VLOOKUP(A21,'Uncorrected Area Counts'!$A$4:$AU$99,23,FALSE)/VLOOKUP(A21,'Uncorrected Area Counts'!$A$4:$AU$99,3,FALSE)/VLOOKUP(5,'Plate Planning'!$L$20:$S$35,4,FALSE)*VLOOKUP("standard",'Plate Planning'!$L$20:$S$35,4,FALSE)/VLOOKUP(A21,'Uncorrected Area Counts'!$A$4:$AU$99,22,FALSE)*100</f>
        <v>#DIV/0!</v>
      </c>
      <c r="M21" s="581" t="e">
        <f>(VLOOKUP(A21,'Uncorrected Area Counts'!$A$4:$AU$99,27,FALSE)/VLOOKUP(A21,'Uncorrected Area Counts'!$A$4:$AU$99,47,FALSE))*100</f>
        <v>#DIV/0!</v>
      </c>
      <c r="N21" s="567" t="e">
        <f>VLOOKUP(A21,'Uncorrected Area Counts'!$A$4:$AU$99,27,FALSE)/VLOOKUP(A21,'Uncorrected Area Counts'!$A$4:$AU$99,3,FALSE)/VLOOKUP(6,'Plate Planning'!$L$20:$S$35,4,FALSE)*VLOOKUP("standard",'Plate Planning'!$L$20:$S$35,4,FALSE)/VLOOKUP(A21,'Uncorrected Area Counts'!$A$4:$AU$99,26,FALSE)*100</f>
        <v>#DIV/0!</v>
      </c>
      <c r="O21" s="581" t="e">
        <f>(VLOOKUP(A21,'Uncorrected Area Counts'!$A$4:$AU$99,31,FALSE)/VLOOKUP(A21,'Uncorrected Area Counts'!$A$4:$AU$99,47,FALSE))*100</f>
        <v>#DIV/0!</v>
      </c>
      <c r="P21" s="568" t="e">
        <f>VLOOKUP(A21,'Uncorrected Area Counts'!$A$4:$AU$99,31,FALSE)/VLOOKUP(A21,'Uncorrected Area Counts'!$A$4:$AU$99,3,FALSE)/VLOOKUP(7,'Plate Planning'!$L$20:$S$35,4,FALSE)*VLOOKUP("standard",'Plate Planning'!$L$20:$S$35,4,FALSE)/VLOOKUP(A21,'Uncorrected Area Counts'!$A$4:$AU$99,30,FALSE)*100</f>
        <v>#DIV/0!</v>
      </c>
      <c r="Q21" s="581" t="e">
        <f>(VLOOKUP(A21,'Uncorrected Area Counts'!$A$4:$AU$99,35,FALSE)/VLOOKUP(A21,'Uncorrected Area Counts'!$A$4:$AU$99,47,FALSE))*100</f>
        <v>#DIV/0!</v>
      </c>
      <c r="R21" s="477" t="e">
        <f>VLOOKUP(A21,'Uncorrected Area Counts'!$A$4:$AU$99,35,FALSE)/VLOOKUP(A21,'Uncorrected Area Counts'!$A$4:$AU$99,3,FALSE)/VLOOKUP(8,'Plate Planning'!$L$20:$S$35,4,FALSE)*VLOOKUP("standard",'Plate Planning'!$L$20:$S$35,4,FALSE)/VLOOKUP(A21,'Uncorrected Area Counts'!$A$4:$AU$99,34,FALSE)*100</f>
        <v>#DIV/0!</v>
      </c>
      <c r="S21" s="589" t="e">
        <f>(VLOOKUP(A21,'Uncorrected Area Counts'!$A$4:$AU$99,39,FALSE)/VLOOKUP(A21,'Uncorrected Area Counts'!$A$4:$AU$99,47,FALSE))*100</f>
        <v>#DIV/0!</v>
      </c>
      <c r="T21" s="569" t="e">
        <f>VLOOKUP(A21,'Uncorrected Area Counts'!$A$4:$AU$99,39,FALSE)/VLOOKUP(A21,'Uncorrected Area Counts'!$A$4:$AU$99,3,FALSE)/VLOOKUP(8,'Plate Planning'!$L$20:$S$35,4,FALSE)*VLOOKUP("standard",'Plate Planning'!$L$20:$S$35,4,FALSE)/VLOOKUP(A21,'Uncorrected Area Counts'!$A$4:$AU$99,38,FALSE)*100</f>
        <v>#DIV/0!</v>
      </c>
      <c r="U21" s="589" t="e">
        <f>(VLOOKUP(A21,'Uncorrected Area Counts'!$A$4:$AU$99,43,FALSE)/VLOOKUP(A21,'Uncorrected Area Counts'!$A$4:$AU$99,47,FALSE))*100</f>
        <v>#DIV/0!</v>
      </c>
      <c r="V21" s="604" t="e">
        <f>VLOOKUP(A21,'Uncorrected Area Counts'!$A$4:$AU$99,43,FALSE)/VLOOKUP(A21,'Uncorrected Area Counts'!$A$4:$AU$99,3,FALSE)/VLOOKUP(8,'Plate Planning'!$L$20:$S$35,4,FALSE)*VLOOKUP("standard",'Plate Planning'!$L$20:$S$35,4,FALSE)/VLOOKUP(A21,'Uncorrected Area Counts'!$A$4:$AU$99,42,FALSE)*100</f>
        <v>#DIV/0!</v>
      </c>
    </row>
    <row r="22" spans="1:22">
      <c r="A22" s="478" t="s">
        <v>1180</v>
      </c>
      <c r="B22" s="565" t="s">
        <v>22</v>
      </c>
      <c r="C22" s="573" t="e">
        <f>(VLOOKUP(A22,'Uncorrected Area Counts'!$A$4:$AU$99,7,FALSE)/VLOOKUP(A22,'Uncorrected Area Counts'!$A$4:$AU$99,47,FALSE))*100</f>
        <v>#DIV/0!</v>
      </c>
      <c r="D22" s="566" t="e">
        <f>VLOOKUP(A22,'Uncorrected Area Counts'!$A$4:$AU$99,7,FALSE)/VLOOKUP(A22,'Uncorrected Area Counts'!$A$4:$AU$99,3,FALSE)/VLOOKUP(1,'Plate Planning'!$L$20:$S$35,4,FALSE)*VLOOKUP("standard",'Plate Planning'!$L$20:$S$35,4,FALSE)/VLOOKUP(A22,'Uncorrected Area Counts'!$A$4:$AU$99,6,FALSE)*100</f>
        <v>#DIV/0!</v>
      </c>
      <c r="E22" s="576" t="e">
        <f>(VLOOKUP(A22,'Uncorrected Area Counts'!$A$4:$AU$99,11,FALSE)/VLOOKUP(A22,'Uncorrected Area Counts'!$A$4:$AU$99,47,FALSE))*100</f>
        <v>#DIV/0!</v>
      </c>
      <c r="F22" s="566" t="e">
        <f>VLOOKUP(A22,'Uncorrected Area Counts'!$A$4:$AU$99,11,FALSE)/VLOOKUP(A22,'Uncorrected Area Counts'!$A$4:$AU$99,3,FALSE)/VLOOKUP(2,'Plate Planning'!$L$20:$S$35,4,FALSE)*VLOOKUP("standard",'Plate Planning'!$L$20:$S$35,4,FALSE)/VLOOKUP(A22,'Uncorrected Area Counts'!$A$4:$AU$99,10,FALSE)*100</f>
        <v>#DIV/0!</v>
      </c>
      <c r="G22" s="576" t="e">
        <f>(VLOOKUP(A22,'Uncorrected Area Counts'!$A$4:$AU$99,15,FALSE)/VLOOKUP(A22,'Uncorrected Area Counts'!$A$4:$AU$99,47,FALSE))*100</f>
        <v>#DIV/0!</v>
      </c>
      <c r="H22" s="566" t="e">
        <f>VLOOKUP(A22,'Uncorrected Area Counts'!$A$4:$AU$99,15,FALSE)/VLOOKUP(A22,'Uncorrected Area Counts'!$A$4:$AU$99,3,FALSE)/VLOOKUP(3,'Plate Planning'!$L$20:$S$35,4,FALSE)*VLOOKUP("standard",'Plate Planning'!$L$20:$S$35,4,FALSE)/VLOOKUP(A22,'Uncorrected Area Counts'!$A$4:$AU$99,14,FALSE)*100</f>
        <v>#DIV/0!</v>
      </c>
      <c r="I22" s="576" t="e">
        <f>(VLOOKUP(A22,'Uncorrected Area Counts'!$A$4:$AU$99,19,FALSE)/VLOOKUP(A22,'Uncorrected Area Counts'!$A$4:$AU$99,47,FALSE))*100</f>
        <v>#DIV/0!</v>
      </c>
      <c r="J22" s="567" t="e">
        <f>VLOOKUP(A22,'Uncorrected Area Counts'!$A$4:$AU$99,19,FALSE)/VLOOKUP(A22,'Uncorrected Area Counts'!$A$4:$AU$99,3,FALSE)/VLOOKUP(4,'Plate Planning'!$L$20:$S$35,4,FALSE)*VLOOKUP("standard",'Plate Planning'!$L$20:$S$35,4,FALSE)/VLOOKUP(A22,'Uncorrected Area Counts'!$A$4:$AU$99,18,FALSE)*100</f>
        <v>#DIV/0!</v>
      </c>
      <c r="K22" s="581" t="e">
        <f>(VLOOKUP(A22,'Uncorrected Area Counts'!$A$4:$AU$99,23,FALSE)/VLOOKUP(A22,'Uncorrected Area Counts'!$A$4:$AU$99,47,FALSE))*100</f>
        <v>#DIV/0!</v>
      </c>
      <c r="L22" s="568" t="e">
        <f>VLOOKUP(A22,'Uncorrected Area Counts'!$A$4:$AU$99,23,FALSE)/VLOOKUP(A22,'Uncorrected Area Counts'!$A$4:$AU$99,3,FALSE)/VLOOKUP(5,'Plate Planning'!$L$20:$S$35,4,FALSE)*VLOOKUP("standard",'Plate Planning'!$L$20:$S$35,4,FALSE)/VLOOKUP(A22,'Uncorrected Area Counts'!$A$4:$AU$99,22,FALSE)*100</f>
        <v>#DIV/0!</v>
      </c>
      <c r="M22" s="581" t="e">
        <f>(VLOOKUP(A22,'Uncorrected Area Counts'!$A$4:$AU$99,27,FALSE)/VLOOKUP(A22,'Uncorrected Area Counts'!$A$4:$AU$99,47,FALSE))*100</f>
        <v>#DIV/0!</v>
      </c>
      <c r="N22" s="567" t="e">
        <f>VLOOKUP(A22,'Uncorrected Area Counts'!$A$4:$AU$99,27,FALSE)/VLOOKUP(A22,'Uncorrected Area Counts'!$A$4:$AU$99,3,FALSE)/VLOOKUP(6,'Plate Planning'!$L$20:$S$35,4,FALSE)*VLOOKUP("standard",'Plate Planning'!$L$20:$S$35,4,FALSE)/VLOOKUP(A22,'Uncorrected Area Counts'!$A$4:$AU$99,26,FALSE)*100</f>
        <v>#DIV/0!</v>
      </c>
      <c r="O22" s="581" t="e">
        <f>(VLOOKUP(A22,'Uncorrected Area Counts'!$A$4:$AU$99,31,FALSE)/VLOOKUP(A22,'Uncorrected Area Counts'!$A$4:$AU$99,47,FALSE))*100</f>
        <v>#DIV/0!</v>
      </c>
      <c r="P22" s="568" t="e">
        <f>VLOOKUP(A22,'Uncorrected Area Counts'!$A$4:$AU$99,31,FALSE)/VLOOKUP(A22,'Uncorrected Area Counts'!$A$4:$AU$99,3,FALSE)/VLOOKUP(7,'Plate Planning'!$L$20:$S$35,4,FALSE)*VLOOKUP("standard",'Plate Planning'!$L$20:$S$35,4,FALSE)/VLOOKUP(A22,'Uncorrected Area Counts'!$A$4:$AU$99,30,FALSE)*100</f>
        <v>#DIV/0!</v>
      </c>
      <c r="Q22" s="581" t="e">
        <f>(VLOOKUP(A22,'Uncorrected Area Counts'!$A$4:$AU$99,35,FALSE)/VLOOKUP(A22,'Uncorrected Area Counts'!$A$4:$AU$99,47,FALSE))*100</f>
        <v>#DIV/0!</v>
      </c>
      <c r="R22" s="477" t="e">
        <f>VLOOKUP(A22,'Uncorrected Area Counts'!$A$4:$AU$99,35,FALSE)/VLOOKUP(A22,'Uncorrected Area Counts'!$A$4:$AU$99,3,FALSE)/VLOOKUP(8,'Plate Planning'!$L$20:$S$35,4,FALSE)*VLOOKUP("standard",'Plate Planning'!$L$20:$S$35,4,FALSE)/VLOOKUP(A22,'Uncorrected Area Counts'!$A$4:$AU$99,34,FALSE)*100</f>
        <v>#DIV/0!</v>
      </c>
      <c r="S22" s="589" t="e">
        <f>(VLOOKUP(A22,'Uncorrected Area Counts'!$A$4:$AU$99,39,FALSE)/VLOOKUP(A22,'Uncorrected Area Counts'!$A$4:$AU$99,47,FALSE))*100</f>
        <v>#DIV/0!</v>
      </c>
      <c r="T22" s="569" t="e">
        <f>VLOOKUP(A22,'Uncorrected Area Counts'!$A$4:$AU$99,39,FALSE)/VLOOKUP(A22,'Uncorrected Area Counts'!$A$4:$AU$99,3,FALSE)/VLOOKUP(8,'Plate Planning'!$L$20:$S$35,4,FALSE)*VLOOKUP("standard",'Plate Planning'!$L$20:$S$35,4,FALSE)/VLOOKUP(A22,'Uncorrected Area Counts'!$A$4:$AU$99,38,FALSE)*100</f>
        <v>#DIV/0!</v>
      </c>
      <c r="U22" s="589" t="e">
        <f>(VLOOKUP(A22,'Uncorrected Area Counts'!$A$4:$AU$99,43,FALSE)/VLOOKUP(A22,'Uncorrected Area Counts'!$A$4:$AU$99,47,FALSE))*100</f>
        <v>#DIV/0!</v>
      </c>
      <c r="V22" s="604" t="e">
        <f>VLOOKUP(A22,'Uncorrected Area Counts'!$A$4:$AU$99,43,FALSE)/VLOOKUP(A22,'Uncorrected Area Counts'!$A$4:$AU$99,3,FALSE)/VLOOKUP(8,'Plate Planning'!$L$20:$S$35,4,FALSE)*VLOOKUP("standard",'Plate Planning'!$L$20:$S$35,4,FALSE)/VLOOKUP(A22,'Uncorrected Area Counts'!$A$4:$AU$99,42,FALSE)*100</f>
        <v>#DIV/0!</v>
      </c>
    </row>
    <row r="23" spans="1:22">
      <c r="A23" s="478" t="s">
        <v>1181</v>
      </c>
      <c r="B23" s="565" t="s">
        <v>22</v>
      </c>
      <c r="C23" s="573" t="e">
        <f>(VLOOKUP(A23,'Uncorrected Area Counts'!$A$4:$AU$99,7,FALSE)/VLOOKUP(A23,'Uncorrected Area Counts'!$A$4:$AU$99,47,FALSE))*100</f>
        <v>#DIV/0!</v>
      </c>
      <c r="D23" s="566" t="e">
        <f>VLOOKUP(A23,'Uncorrected Area Counts'!$A$4:$AU$99,7,FALSE)/VLOOKUP(A23,'Uncorrected Area Counts'!$A$4:$AU$99,3,FALSE)/VLOOKUP(1,'Plate Planning'!$L$20:$S$35,4,FALSE)*VLOOKUP("standard",'Plate Planning'!$L$20:$S$35,4,FALSE)/VLOOKUP(A23,'Uncorrected Area Counts'!$A$4:$AU$99,6,FALSE)*100</f>
        <v>#DIV/0!</v>
      </c>
      <c r="E23" s="576" t="e">
        <f>(VLOOKUP(A23,'Uncorrected Area Counts'!$A$4:$AU$99,11,FALSE)/VLOOKUP(A23,'Uncorrected Area Counts'!$A$4:$AU$99,47,FALSE))*100</f>
        <v>#DIV/0!</v>
      </c>
      <c r="F23" s="566" t="e">
        <f>VLOOKUP(A23,'Uncorrected Area Counts'!$A$4:$AU$99,11,FALSE)/VLOOKUP(A23,'Uncorrected Area Counts'!$A$4:$AU$99,3,FALSE)/VLOOKUP(2,'Plate Planning'!$L$20:$S$35,4,FALSE)*VLOOKUP("standard",'Plate Planning'!$L$20:$S$35,4,FALSE)/VLOOKUP(A23,'Uncorrected Area Counts'!$A$4:$AU$99,10,FALSE)*100</f>
        <v>#DIV/0!</v>
      </c>
      <c r="G23" s="576" t="e">
        <f>(VLOOKUP(A23,'Uncorrected Area Counts'!$A$4:$AU$99,15,FALSE)/VLOOKUP(A23,'Uncorrected Area Counts'!$A$4:$AU$99,47,FALSE))*100</f>
        <v>#DIV/0!</v>
      </c>
      <c r="H23" s="566" t="e">
        <f>VLOOKUP(A23,'Uncorrected Area Counts'!$A$4:$AU$99,15,FALSE)/VLOOKUP(A23,'Uncorrected Area Counts'!$A$4:$AU$99,3,FALSE)/VLOOKUP(3,'Plate Planning'!$L$20:$S$35,4,FALSE)*VLOOKUP("standard",'Plate Planning'!$L$20:$S$35,4,FALSE)/VLOOKUP(A23,'Uncorrected Area Counts'!$A$4:$AU$99,14,FALSE)*100</f>
        <v>#DIV/0!</v>
      </c>
      <c r="I23" s="576" t="e">
        <f>(VLOOKUP(A23,'Uncorrected Area Counts'!$A$4:$AU$99,19,FALSE)/VLOOKUP(A23,'Uncorrected Area Counts'!$A$4:$AU$99,47,FALSE))*100</f>
        <v>#DIV/0!</v>
      </c>
      <c r="J23" s="567" t="e">
        <f>VLOOKUP(A23,'Uncorrected Area Counts'!$A$4:$AU$99,19,FALSE)/VLOOKUP(A23,'Uncorrected Area Counts'!$A$4:$AU$99,3,FALSE)/VLOOKUP(4,'Plate Planning'!$L$20:$S$35,4,FALSE)*VLOOKUP("standard",'Plate Planning'!$L$20:$S$35,4,FALSE)/VLOOKUP(A23,'Uncorrected Area Counts'!$A$4:$AU$99,18,FALSE)*100</f>
        <v>#DIV/0!</v>
      </c>
      <c r="K23" s="581" t="e">
        <f>(VLOOKUP(A23,'Uncorrected Area Counts'!$A$4:$AU$99,23,FALSE)/VLOOKUP(A23,'Uncorrected Area Counts'!$A$4:$AU$99,47,FALSE))*100</f>
        <v>#DIV/0!</v>
      </c>
      <c r="L23" s="568" t="e">
        <f>VLOOKUP(A23,'Uncorrected Area Counts'!$A$4:$AU$99,23,FALSE)/VLOOKUP(A23,'Uncorrected Area Counts'!$A$4:$AU$99,3,FALSE)/VLOOKUP(5,'Plate Planning'!$L$20:$S$35,4,FALSE)*VLOOKUP("standard",'Plate Planning'!$L$20:$S$35,4,FALSE)/VLOOKUP(A23,'Uncorrected Area Counts'!$A$4:$AU$99,22,FALSE)*100</f>
        <v>#DIV/0!</v>
      </c>
      <c r="M23" s="581" t="e">
        <f>(VLOOKUP(A23,'Uncorrected Area Counts'!$A$4:$AU$99,27,FALSE)/VLOOKUP(A23,'Uncorrected Area Counts'!$A$4:$AU$99,47,FALSE))*100</f>
        <v>#DIV/0!</v>
      </c>
      <c r="N23" s="567" t="e">
        <f>VLOOKUP(A23,'Uncorrected Area Counts'!$A$4:$AU$99,27,FALSE)/VLOOKUP(A23,'Uncorrected Area Counts'!$A$4:$AU$99,3,FALSE)/VLOOKUP(6,'Plate Planning'!$L$20:$S$35,4,FALSE)*VLOOKUP("standard",'Plate Planning'!$L$20:$S$35,4,FALSE)/VLOOKUP(A23,'Uncorrected Area Counts'!$A$4:$AU$99,26,FALSE)*100</f>
        <v>#DIV/0!</v>
      </c>
      <c r="O23" s="581" t="e">
        <f>(VLOOKUP(A23,'Uncorrected Area Counts'!$A$4:$AU$99,31,FALSE)/VLOOKUP(A23,'Uncorrected Area Counts'!$A$4:$AU$99,47,FALSE))*100</f>
        <v>#DIV/0!</v>
      </c>
      <c r="P23" s="568" t="e">
        <f>VLOOKUP(A23,'Uncorrected Area Counts'!$A$4:$AU$99,31,FALSE)/VLOOKUP(A23,'Uncorrected Area Counts'!$A$4:$AU$99,3,FALSE)/VLOOKUP(7,'Plate Planning'!$L$20:$S$35,4,FALSE)*VLOOKUP("standard",'Plate Planning'!$L$20:$S$35,4,FALSE)/VLOOKUP(A23,'Uncorrected Area Counts'!$A$4:$AU$99,30,FALSE)*100</f>
        <v>#DIV/0!</v>
      </c>
      <c r="Q23" s="581" t="e">
        <f>(VLOOKUP(A23,'Uncorrected Area Counts'!$A$4:$AU$99,35,FALSE)/VLOOKUP(A23,'Uncorrected Area Counts'!$A$4:$AU$99,47,FALSE))*100</f>
        <v>#DIV/0!</v>
      </c>
      <c r="R23" s="477" t="e">
        <f>VLOOKUP(A23,'Uncorrected Area Counts'!$A$4:$AU$99,35,FALSE)/VLOOKUP(A23,'Uncorrected Area Counts'!$A$4:$AU$99,3,FALSE)/VLOOKUP(8,'Plate Planning'!$L$20:$S$35,4,FALSE)*VLOOKUP("standard",'Plate Planning'!$L$20:$S$35,4,FALSE)/VLOOKUP(A23,'Uncorrected Area Counts'!$A$4:$AU$99,34,FALSE)*100</f>
        <v>#DIV/0!</v>
      </c>
      <c r="S23" s="589" t="e">
        <f>(VLOOKUP(A23,'Uncorrected Area Counts'!$A$4:$AU$99,39,FALSE)/VLOOKUP(A23,'Uncorrected Area Counts'!$A$4:$AU$99,47,FALSE))*100</f>
        <v>#DIV/0!</v>
      </c>
      <c r="T23" s="569" t="e">
        <f>VLOOKUP(A23,'Uncorrected Area Counts'!$A$4:$AU$99,39,FALSE)/VLOOKUP(A23,'Uncorrected Area Counts'!$A$4:$AU$99,3,FALSE)/VLOOKUP(8,'Plate Planning'!$L$20:$S$35,4,FALSE)*VLOOKUP("standard",'Plate Planning'!$L$20:$S$35,4,FALSE)/VLOOKUP(A23,'Uncorrected Area Counts'!$A$4:$AU$99,38,FALSE)*100</f>
        <v>#DIV/0!</v>
      </c>
      <c r="U23" s="589" t="e">
        <f>(VLOOKUP(A23,'Uncorrected Area Counts'!$A$4:$AU$99,43,FALSE)/VLOOKUP(A23,'Uncorrected Area Counts'!$A$4:$AU$99,47,FALSE))*100</f>
        <v>#DIV/0!</v>
      </c>
      <c r="V23" s="604" t="e">
        <f>VLOOKUP(A23,'Uncorrected Area Counts'!$A$4:$AU$99,43,FALSE)/VLOOKUP(A23,'Uncorrected Area Counts'!$A$4:$AU$99,3,FALSE)/VLOOKUP(8,'Plate Planning'!$L$20:$S$35,4,FALSE)*VLOOKUP("standard",'Plate Planning'!$L$20:$S$35,4,FALSE)/VLOOKUP(A23,'Uncorrected Area Counts'!$A$4:$AU$99,42,FALSE)*100</f>
        <v>#DIV/0!</v>
      </c>
    </row>
    <row r="24" spans="1:22">
      <c r="A24" s="478" t="s">
        <v>1182</v>
      </c>
      <c r="B24" s="565" t="s">
        <v>22</v>
      </c>
      <c r="C24" s="573" t="e">
        <f>(VLOOKUP(A24,'Uncorrected Area Counts'!$A$4:$AU$99,7,FALSE)/VLOOKUP(A24,'Uncorrected Area Counts'!$A$4:$AU$99,47,FALSE))*100</f>
        <v>#DIV/0!</v>
      </c>
      <c r="D24" s="566" t="e">
        <f>VLOOKUP(A24,'Uncorrected Area Counts'!$A$4:$AU$99,7,FALSE)/VLOOKUP(A24,'Uncorrected Area Counts'!$A$4:$AU$99,3,FALSE)/VLOOKUP(1,'Plate Planning'!$L$20:$S$35,4,FALSE)*VLOOKUP("standard",'Plate Planning'!$L$20:$S$35,4,FALSE)/VLOOKUP(A24,'Uncorrected Area Counts'!$A$4:$AU$99,6,FALSE)*100</f>
        <v>#DIV/0!</v>
      </c>
      <c r="E24" s="576" t="e">
        <f>(VLOOKUP(A24,'Uncorrected Area Counts'!$A$4:$AU$99,11,FALSE)/VLOOKUP(A24,'Uncorrected Area Counts'!$A$4:$AU$99,47,FALSE))*100</f>
        <v>#DIV/0!</v>
      </c>
      <c r="F24" s="566" t="e">
        <f>VLOOKUP(A24,'Uncorrected Area Counts'!$A$4:$AU$99,11,FALSE)/VLOOKUP(A24,'Uncorrected Area Counts'!$A$4:$AU$99,3,FALSE)/VLOOKUP(2,'Plate Planning'!$L$20:$S$35,4,FALSE)*VLOOKUP("standard",'Plate Planning'!$L$20:$S$35,4,FALSE)/VLOOKUP(A24,'Uncorrected Area Counts'!$A$4:$AU$99,10,FALSE)*100</f>
        <v>#DIV/0!</v>
      </c>
      <c r="G24" s="576" t="e">
        <f>(VLOOKUP(A24,'Uncorrected Area Counts'!$A$4:$AU$99,15,FALSE)/VLOOKUP(A24,'Uncorrected Area Counts'!$A$4:$AU$99,47,FALSE))*100</f>
        <v>#DIV/0!</v>
      </c>
      <c r="H24" s="566" t="e">
        <f>VLOOKUP(A24,'Uncorrected Area Counts'!$A$4:$AU$99,15,FALSE)/VLOOKUP(A24,'Uncorrected Area Counts'!$A$4:$AU$99,3,FALSE)/VLOOKUP(3,'Plate Planning'!$L$20:$S$35,4,FALSE)*VLOOKUP("standard",'Plate Planning'!$L$20:$S$35,4,FALSE)/VLOOKUP(A24,'Uncorrected Area Counts'!$A$4:$AU$99,14,FALSE)*100</f>
        <v>#DIV/0!</v>
      </c>
      <c r="I24" s="576" t="e">
        <f>(VLOOKUP(A24,'Uncorrected Area Counts'!$A$4:$AU$99,19,FALSE)/VLOOKUP(A24,'Uncorrected Area Counts'!$A$4:$AU$99,47,FALSE))*100</f>
        <v>#DIV/0!</v>
      </c>
      <c r="J24" s="567" t="e">
        <f>VLOOKUP(A24,'Uncorrected Area Counts'!$A$4:$AU$99,19,FALSE)/VLOOKUP(A24,'Uncorrected Area Counts'!$A$4:$AU$99,3,FALSE)/VLOOKUP(4,'Plate Planning'!$L$20:$S$35,4,FALSE)*VLOOKUP("standard",'Plate Planning'!$L$20:$S$35,4,FALSE)/VLOOKUP(A24,'Uncorrected Area Counts'!$A$4:$AU$99,18,FALSE)*100</f>
        <v>#DIV/0!</v>
      </c>
      <c r="K24" s="581" t="e">
        <f>(VLOOKUP(A24,'Uncorrected Area Counts'!$A$4:$AU$99,23,FALSE)/VLOOKUP(A24,'Uncorrected Area Counts'!$A$4:$AU$99,47,FALSE))*100</f>
        <v>#DIV/0!</v>
      </c>
      <c r="L24" s="568" t="e">
        <f>VLOOKUP(A24,'Uncorrected Area Counts'!$A$4:$AU$99,23,FALSE)/VLOOKUP(A24,'Uncorrected Area Counts'!$A$4:$AU$99,3,FALSE)/VLOOKUP(5,'Plate Planning'!$L$20:$S$35,4,FALSE)*VLOOKUP("standard",'Plate Planning'!$L$20:$S$35,4,FALSE)/VLOOKUP(A24,'Uncorrected Area Counts'!$A$4:$AU$99,22,FALSE)*100</f>
        <v>#DIV/0!</v>
      </c>
      <c r="M24" s="581" t="e">
        <f>(VLOOKUP(A24,'Uncorrected Area Counts'!$A$4:$AU$99,27,FALSE)/VLOOKUP(A24,'Uncorrected Area Counts'!$A$4:$AU$99,47,FALSE))*100</f>
        <v>#DIV/0!</v>
      </c>
      <c r="N24" s="567" t="e">
        <f>VLOOKUP(A24,'Uncorrected Area Counts'!$A$4:$AU$99,27,FALSE)/VLOOKUP(A24,'Uncorrected Area Counts'!$A$4:$AU$99,3,FALSE)/VLOOKUP(6,'Plate Planning'!$L$20:$S$35,4,FALSE)*VLOOKUP("standard",'Plate Planning'!$L$20:$S$35,4,FALSE)/VLOOKUP(A24,'Uncorrected Area Counts'!$A$4:$AU$99,26,FALSE)*100</f>
        <v>#DIV/0!</v>
      </c>
      <c r="O24" s="581" t="e">
        <f>(VLOOKUP(A24,'Uncorrected Area Counts'!$A$4:$AU$99,31,FALSE)/VLOOKUP(A24,'Uncorrected Area Counts'!$A$4:$AU$99,47,FALSE))*100</f>
        <v>#DIV/0!</v>
      </c>
      <c r="P24" s="568" t="e">
        <f>VLOOKUP(A24,'Uncorrected Area Counts'!$A$4:$AU$99,31,FALSE)/VLOOKUP(A24,'Uncorrected Area Counts'!$A$4:$AU$99,3,FALSE)/VLOOKUP(7,'Plate Planning'!$L$20:$S$35,4,FALSE)*VLOOKUP("standard",'Plate Planning'!$L$20:$S$35,4,FALSE)/VLOOKUP(A24,'Uncorrected Area Counts'!$A$4:$AU$99,30,FALSE)*100</f>
        <v>#DIV/0!</v>
      </c>
      <c r="Q24" s="581" t="e">
        <f>(VLOOKUP(A24,'Uncorrected Area Counts'!$A$4:$AU$99,35,FALSE)/VLOOKUP(A24,'Uncorrected Area Counts'!$A$4:$AU$99,47,FALSE))*100</f>
        <v>#DIV/0!</v>
      </c>
      <c r="R24" s="477" t="e">
        <f>VLOOKUP(A24,'Uncorrected Area Counts'!$A$4:$AU$99,35,FALSE)/VLOOKUP(A24,'Uncorrected Area Counts'!$A$4:$AU$99,3,FALSE)/VLOOKUP(8,'Plate Planning'!$L$20:$S$35,4,FALSE)*VLOOKUP("standard",'Plate Planning'!$L$20:$S$35,4,FALSE)/VLOOKUP(A24,'Uncorrected Area Counts'!$A$4:$AU$99,34,FALSE)*100</f>
        <v>#DIV/0!</v>
      </c>
      <c r="S24" s="589" t="e">
        <f>(VLOOKUP(A24,'Uncorrected Area Counts'!$A$4:$AU$99,39,FALSE)/VLOOKUP(A24,'Uncorrected Area Counts'!$A$4:$AU$99,47,FALSE))*100</f>
        <v>#DIV/0!</v>
      </c>
      <c r="T24" s="569" t="e">
        <f>VLOOKUP(A24,'Uncorrected Area Counts'!$A$4:$AU$99,39,FALSE)/VLOOKUP(A24,'Uncorrected Area Counts'!$A$4:$AU$99,3,FALSE)/VLOOKUP(8,'Plate Planning'!$L$20:$S$35,4,FALSE)*VLOOKUP("standard",'Plate Planning'!$L$20:$S$35,4,FALSE)/VLOOKUP(A24,'Uncorrected Area Counts'!$A$4:$AU$99,38,FALSE)*100</f>
        <v>#DIV/0!</v>
      </c>
      <c r="U24" s="589" t="e">
        <f>(VLOOKUP(A24,'Uncorrected Area Counts'!$A$4:$AU$99,43,FALSE)/VLOOKUP(A24,'Uncorrected Area Counts'!$A$4:$AU$99,47,FALSE))*100</f>
        <v>#DIV/0!</v>
      </c>
      <c r="V24" s="604" t="e">
        <f>VLOOKUP(A24,'Uncorrected Area Counts'!$A$4:$AU$99,43,FALSE)/VLOOKUP(A24,'Uncorrected Area Counts'!$A$4:$AU$99,3,FALSE)/VLOOKUP(8,'Plate Planning'!$L$20:$S$35,4,FALSE)*VLOOKUP("standard",'Plate Planning'!$L$20:$S$35,4,FALSE)/VLOOKUP(A24,'Uncorrected Area Counts'!$A$4:$AU$99,42,FALSE)*100</f>
        <v>#DIV/0!</v>
      </c>
    </row>
    <row r="25" spans="1:22">
      <c r="A25" s="478" t="s">
        <v>1183</v>
      </c>
      <c r="B25" s="565" t="s">
        <v>22</v>
      </c>
      <c r="C25" s="573" t="e">
        <f>(VLOOKUP(A25,'Uncorrected Area Counts'!$A$4:$AU$99,7,FALSE)/VLOOKUP(A25,'Uncorrected Area Counts'!$A$4:$AU$99,47,FALSE))*100</f>
        <v>#DIV/0!</v>
      </c>
      <c r="D25" s="566" t="e">
        <f>VLOOKUP(A25,'Uncorrected Area Counts'!$A$4:$AU$99,7,FALSE)/VLOOKUP(A25,'Uncorrected Area Counts'!$A$4:$AU$99,3,FALSE)/VLOOKUP(1,'Plate Planning'!$L$20:$S$35,4,FALSE)*VLOOKUP("standard",'Plate Planning'!$L$20:$S$35,4,FALSE)/VLOOKUP(A25,'Uncorrected Area Counts'!$A$4:$AU$99,6,FALSE)*100</f>
        <v>#DIV/0!</v>
      </c>
      <c r="E25" s="576" t="e">
        <f>(VLOOKUP(A25,'Uncorrected Area Counts'!$A$4:$AU$99,11,FALSE)/VLOOKUP(A25,'Uncorrected Area Counts'!$A$4:$AU$99,47,FALSE))*100</f>
        <v>#DIV/0!</v>
      </c>
      <c r="F25" s="566" t="e">
        <f>VLOOKUP(A25,'Uncorrected Area Counts'!$A$4:$AU$99,11,FALSE)/VLOOKUP(A25,'Uncorrected Area Counts'!$A$4:$AU$99,3,FALSE)/VLOOKUP(2,'Plate Planning'!$L$20:$S$35,4,FALSE)*VLOOKUP("standard",'Plate Planning'!$L$20:$S$35,4,FALSE)/VLOOKUP(A25,'Uncorrected Area Counts'!$A$4:$AU$99,10,FALSE)*100</f>
        <v>#DIV/0!</v>
      </c>
      <c r="G25" s="576" t="e">
        <f>(VLOOKUP(A25,'Uncorrected Area Counts'!$A$4:$AU$99,15,FALSE)/VLOOKUP(A25,'Uncorrected Area Counts'!$A$4:$AU$99,47,FALSE))*100</f>
        <v>#DIV/0!</v>
      </c>
      <c r="H25" s="566" t="e">
        <f>VLOOKUP(A25,'Uncorrected Area Counts'!$A$4:$AU$99,15,FALSE)/VLOOKUP(A25,'Uncorrected Area Counts'!$A$4:$AU$99,3,FALSE)/VLOOKUP(3,'Plate Planning'!$L$20:$S$35,4,FALSE)*VLOOKUP("standard",'Plate Planning'!$L$20:$S$35,4,FALSE)/VLOOKUP(A25,'Uncorrected Area Counts'!$A$4:$AU$99,14,FALSE)*100</f>
        <v>#DIV/0!</v>
      </c>
      <c r="I25" s="576" t="e">
        <f>(VLOOKUP(A25,'Uncorrected Area Counts'!$A$4:$AU$99,19,FALSE)/VLOOKUP(A25,'Uncorrected Area Counts'!$A$4:$AU$99,47,FALSE))*100</f>
        <v>#DIV/0!</v>
      </c>
      <c r="J25" s="567" t="e">
        <f>VLOOKUP(A25,'Uncorrected Area Counts'!$A$4:$AU$99,19,FALSE)/VLOOKUP(A25,'Uncorrected Area Counts'!$A$4:$AU$99,3,FALSE)/VLOOKUP(4,'Plate Planning'!$L$20:$S$35,4,FALSE)*VLOOKUP("standard",'Plate Planning'!$L$20:$S$35,4,FALSE)/VLOOKUP(A25,'Uncorrected Area Counts'!$A$4:$AU$99,18,FALSE)*100</f>
        <v>#DIV/0!</v>
      </c>
      <c r="K25" s="581" t="e">
        <f>(VLOOKUP(A25,'Uncorrected Area Counts'!$A$4:$AU$99,23,FALSE)/VLOOKUP(A25,'Uncorrected Area Counts'!$A$4:$AU$99,47,FALSE))*100</f>
        <v>#DIV/0!</v>
      </c>
      <c r="L25" s="568" t="e">
        <f>VLOOKUP(A25,'Uncorrected Area Counts'!$A$4:$AU$99,23,FALSE)/VLOOKUP(A25,'Uncorrected Area Counts'!$A$4:$AU$99,3,FALSE)/VLOOKUP(5,'Plate Planning'!$L$20:$S$35,4,FALSE)*VLOOKUP("standard",'Plate Planning'!$L$20:$S$35,4,FALSE)/VLOOKUP(A25,'Uncorrected Area Counts'!$A$4:$AU$99,22,FALSE)*100</f>
        <v>#DIV/0!</v>
      </c>
      <c r="M25" s="581" t="e">
        <f>(VLOOKUP(A25,'Uncorrected Area Counts'!$A$4:$AU$99,27,FALSE)/VLOOKUP(A25,'Uncorrected Area Counts'!$A$4:$AU$99,47,FALSE))*100</f>
        <v>#DIV/0!</v>
      </c>
      <c r="N25" s="567" t="e">
        <f>VLOOKUP(A25,'Uncorrected Area Counts'!$A$4:$AU$99,27,FALSE)/VLOOKUP(A25,'Uncorrected Area Counts'!$A$4:$AU$99,3,FALSE)/VLOOKUP(6,'Plate Planning'!$L$20:$S$35,4,FALSE)*VLOOKUP("standard",'Plate Planning'!$L$20:$S$35,4,FALSE)/VLOOKUP(A25,'Uncorrected Area Counts'!$A$4:$AU$99,26,FALSE)*100</f>
        <v>#DIV/0!</v>
      </c>
      <c r="O25" s="581" t="e">
        <f>(VLOOKUP(A25,'Uncorrected Area Counts'!$A$4:$AU$99,31,FALSE)/VLOOKUP(A25,'Uncorrected Area Counts'!$A$4:$AU$99,47,FALSE))*100</f>
        <v>#DIV/0!</v>
      </c>
      <c r="P25" s="568" t="e">
        <f>VLOOKUP(A25,'Uncorrected Area Counts'!$A$4:$AU$99,31,FALSE)/VLOOKUP(A25,'Uncorrected Area Counts'!$A$4:$AU$99,3,FALSE)/VLOOKUP(7,'Plate Planning'!$L$20:$S$35,4,FALSE)*VLOOKUP("standard",'Plate Planning'!$L$20:$S$35,4,FALSE)/VLOOKUP(A25,'Uncorrected Area Counts'!$A$4:$AU$99,30,FALSE)*100</f>
        <v>#DIV/0!</v>
      </c>
      <c r="Q25" s="581" t="e">
        <f>(VLOOKUP(A25,'Uncorrected Area Counts'!$A$4:$AU$99,35,FALSE)/VLOOKUP(A25,'Uncorrected Area Counts'!$A$4:$AU$99,47,FALSE))*100</f>
        <v>#DIV/0!</v>
      </c>
      <c r="R25" s="477" t="e">
        <f>VLOOKUP(A25,'Uncorrected Area Counts'!$A$4:$AU$99,35,FALSE)/VLOOKUP(A25,'Uncorrected Area Counts'!$A$4:$AU$99,3,FALSE)/VLOOKUP(8,'Plate Planning'!$L$20:$S$35,4,FALSE)*VLOOKUP("standard",'Plate Planning'!$L$20:$S$35,4,FALSE)/VLOOKUP(A25,'Uncorrected Area Counts'!$A$4:$AU$99,34,FALSE)*100</f>
        <v>#DIV/0!</v>
      </c>
      <c r="S25" s="589" t="e">
        <f>(VLOOKUP(A25,'Uncorrected Area Counts'!$A$4:$AU$99,39,FALSE)/VLOOKUP(A25,'Uncorrected Area Counts'!$A$4:$AU$99,47,FALSE))*100</f>
        <v>#DIV/0!</v>
      </c>
      <c r="T25" s="569" t="e">
        <f>VLOOKUP(A25,'Uncorrected Area Counts'!$A$4:$AU$99,39,FALSE)/VLOOKUP(A25,'Uncorrected Area Counts'!$A$4:$AU$99,3,FALSE)/VLOOKUP(8,'Plate Planning'!$L$20:$S$35,4,FALSE)*VLOOKUP("standard",'Plate Planning'!$L$20:$S$35,4,FALSE)/VLOOKUP(A25,'Uncorrected Area Counts'!$A$4:$AU$99,38,FALSE)*100</f>
        <v>#DIV/0!</v>
      </c>
      <c r="U25" s="589" t="e">
        <f>(VLOOKUP(A25,'Uncorrected Area Counts'!$A$4:$AU$99,43,FALSE)/VLOOKUP(A25,'Uncorrected Area Counts'!$A$4:$AU$99,47,FALSE))*100</f>
        <v>#DIV/0!</v>
      </c>
      <c r="V25" s="604" t="e">
        <f>VLOOKUP(A25,'Uncorrected Area Counts'!$A$4:$AU$99,43,FALSE)/VLOOKUP(A25,'Uncorrected Area Counts'!$A$4:$AU$99,3,FALSE)/VLOOKUP(8,'Plate Planning'!$L$20:$S$35,4,FALSE)*VLOOKUP("standard",'Plate Planning'!$L$20:$S$35,4,FALSE)/VLOOKUP(A25,'Uncorrected Area Counts'!$A$4:$AU$99,42,FALSE)*100</f>
        <v>#DIV/0!</v>
      </c>
    </row>
    <row r="26" spans="1:22">
      <c r="A26" s="478" t="s">
        <v>1184</v>
      </c>
      <c r="B26" s="565" t="s">
        <v>22</v>
      </c>
      <c r="C26" s="573" t="e">
        <f>(VLOOKUP(A26,'Uncorrected Area Counts'!$A$4:$AU$99,7,FALSE)/VLOOKUP(A26,'Uncorrected Area Counts'!$A$4:$AU$99,47,FALSE))*100</f>
        <v>#DIV/0!</v>
      </c>
      <c r="D26" s="566" t="e">
        <f>VLOOKUP(A26,'Uncorrected Area Counts'!$A$4:$AU$99,7,FALSE)/VLOOKUP(A26,'Uncorrected Area Counts'!$A$4:$AU$99,3,FALSE)/VLOOKUP(1,'Plate Planning'!$L$20:$S$35,4,FALSE)*VLOOKUP("standard",'Plate Planning'!$L$20:$S$35,4,FALSE)/VLOOKUP(A26,'Uncorrected Area Counts'!$A$4:$AU$99,6,FALSE)*100</f>
        <v>#DIV/0!</v>
      </c>
      <c r="E26" s="576" t="e">
        <f>(VLOOKUP(A26,'Uncorrected Area Counts'!$A$4:$AU$99,11,FALSE)/VLOOKUP(A26,'Uncorrected Area Counts'!$A$4:$AU$99,47,FALSE))*100</f>
        <v>#DIV/0!</v>
      </c>
      <c r="F26" s="566" t="e">
        <f>VLOOKUP(A26,'Uncorrected Area Counts'!$A$4:$AU$99,11,FALSE)/VLOOKUP(A26,'Uncorrected Area Counts'!$A$4:$AU$99,3,FALSE)/VLOOKUP(2,'Plate Planning'!$L$20:$S$35,4,FALSE)*VLOOKUP("standard",'Plate Planning'!$L$20:$S$35,4,FALSE)/VLOOKUP(A26,'Uncorrected Area Counts'!$A$4:$AU$99,10,FALSE)*100</f>
        <v>#DIV/0!</v>
      </c>
      <c r="G26" s="576" t="e">
        <f>(VLOOKUP(A26,'Uncorrected Area Counts'!$A$4:$AU$99,15,FALSE)/VLOOKUP(A26,'Uncorrected Area Counts'!$A$4:$AU$99,47,FALSE))*100</f>
        <v>#DIV/0!</v>
      </c>
      <c r="H26" s="566" t="e">
        <f>VLOOKUP(A26,'Uncorrected Area Counts'!$A$4:$AU$99,15,FALSE)/VLOOKUP(A26,'Uncorrected Area Counts'!$A$4:$AU$99,3,FALSE)/VLOOKUP(3,'Plate Planning'!$L$20:$S$35,4,FALSE)*VLOOKUP("standard",'Plate Planning'!$L$20:$S$35,4,FALSE)/VLOOKUP(A26,'Uncorrected Area Counts'!$A$4:$AU$99,14,FALSE)*100</f>
        <v>#DIV/0!</v>
      </c>
      <c r="I26" s="576" t="e">
        <f>(VLOOKUP(A26,'Uncorrected Area Counts'!$A$4:$AU$99,19,FALSE)/VLOOKUP(A26,'Uncorrected Area Counts'!$A$4:$AU$99,47,FALSE))*100</f>
        <v>#DIV/0!</v>
      </c>
      <c r="J26" s="567" t="e">
        <f>VLOOKUP(A26,'Uncorrected Area Counts'!$A$4:$AU$99,19,FALSE)/VLOOKUP(A26,'Uncorrected Area Counts'!$A$4:$AU$99,3,FALSE)/VLOOKUP(4,'Plate Planning'!$L$20:$S$35,4,FALSE)*VLOOKUP("standard",'Plate Planning'!$L$20:$S$35,4,FALSE)/VLOOKUP(A26,'Uncorrected Area Counts'!$A$4:$AU$99,18,FALSE)*100</f>
        <v>#DIV/0!</v>
      </c>
      <c r="K26" s="581" t="e">
        <f>(VLOOKUP(A26,'Uncorrected Area Counts'!$A$4:$AU$99,23,FALSE)/VLOOKUP(A26,'Uncorrected Area Counts'!$A$4:$AU$99,47,FALSE))*100</f>
        <v>#DIV/0!</v>
      </c>
      <c r="L26" s="568" t="e">
        <f>VLOOKUP(A26,'Uncorrected Area Counts'!$A$4:$AU$99,23,FALSE)/VLOOKUP(A26,'Uncorrected Area Counts'!$A$4:$AU$99,3,FALSE)/VLOOKUP(5,'Plate Planning'!$L$20:$S$35,4,FALSE)*VLOOKUP("standard",'Plate Planning'!$L$20:$S$35,4,FALSE)/VLOOKUP(A26,'Uncorrected Area Counts'!$A$4:$AU$99,22,FALSE)*100</f>
        <v>#DIV/0!</v>
      </c>
      <c r="M26" s="581" t="e">
        <f>(VLOOKUP(A26,'Uncorrected Area Counts'!$A$4:$AU$99,27,FALSE)/VLOOKUP(A26,'Uncorrected Area Counts'!$A$4:$AU$99,47,FALSE))*100</f>
        <v>#DIV/0!</v>
      </c>
      <c r="N26" s="567" t="e">
        <f>VLOOKUP(A26,'Uncorrected Area Counts'!$A$4:$AU$99,27,FALSE)/VLOOKUP(A26,'Uncorrected Area Counts'!$A$4:$AU$99,3,FALSE)/VLOOKUP(6,'Plate Planning'!$L$20:$S$35,4,FALSE)*VLOOKUP("standard",'Plate Planning'!$L$20:$S$35,4,FALSE)/VLOOKUP(A26,'Uncorrected Area Counts'!$A$4:$AU$99,26,FALSE)*100</f>
        <v>#DIV/0!</v>
      </c>
      <c r="O26" s="581" t="e">
        <f>(VLOOKUP(A26,'Uncorrected Area Counts'!$A$4:$AU$99,31,FALSE)/VLOOKUP(A26,'Uncorrected Area Counts'!$A$4:$AU$99,47,FALSE))*100</f>
        <v>#DIV/0!</v>
      </c>
      <c r="P26" s="568" t="e">
        <f>VLOOKUP(A26,'Uncorrected Area Counts'!$A$4:$AU$99,31,FALSE)/VLOOKUP(A26,'Uncorrected Area Counts'!$A$4:$AU$99,3,FALSE)/VLOOKUP(7,'Plate Planning'!$L$20:$S$35,4,FALSE)*VLOOKUP("standard",'Plate Planning'!$L$20:$S$35,4,FALSE)/VLOOKUP(A26,'Uncorrected Area Counts'!$A$4:$AU$99,30,FALSE)*100</f>
        <v>#DIV/0!</v>
      </c>
      <c r="Q26" s="581" t="e">
        <f>(VLOOKUP(A26,'Uncorrected Area Counts'!$A$4:$AU$99,35,FALSE)/VLOOKUP(A26,'Uncorrected Area Counts'!$A$4:$AU$99,47,FALSE))*100</f>
        <v>#DIV/0!</v>
      </c>
      <c r="R26" s="477" t="e">
        <f>VLOOKUP(A26,'Uncorrected Area Counts'!$A$4:$AU$99,35,FALSE)/VLOOKUP(A26,'Uncorrected Area Counts'!$A$4:$AU$99,3,FALSE)/VLOOKUP(8,'Plate Planning'!$L$20:$S$35,4,FALSE)*VLOOKUP("standard",'Plate Planning'!$L$20:$S$35,4,FALSE)/VLOOKUP(A26,'Uncorrected Area Counts'!$A$4:$AU$99,34,FALSE)*100</f>
        <v>#DIV/0!</v>
      </c>
      <c r="S26" s="589" t="e">
        <f>(VLOOKUP(A26,'Uncorrected Area Counts'!$A$4:$AU$99,39,FALSE)/VLOOKUP(A26,'Uncorrected Area Counts'!$A$4:$AU$99,47,FALSE))*100</f>
        <v>#DIV/0!</v>
      </c>
      <c r="T26" s="569" t="e">
        <f>VLOOKUP(A26,'Uncorrected Area Counts'!$A$4:$AU$99,39,FALSE)/VLOOKUP(A26,'Uncorrected Area Counts'!$A$4:$AU$99,3,FALSE)/VLOOKUP(8,'Plate Planning'!$L$20:$S$35,4,FALSE)*VLOOKUP("standard",'Plate Planning'!$L$20:$S$35,4,FALSE)/VLOOKUP(A26,'Uncorrected Area Counts'!$A$4:$AU$99,38,FALSE)*100</f>
        <v>#DIV/0!</v>
      </c>
      <c r="U26" s="589" t="e">
        <f>(VLOOKUP(A26,'Uncorrected Area Counts'!$A$4:$AU$99,43,FALSE)/VLOOKUP(A26,'Uncorrected Area Counts'!$A$4:$AU$99,47,FALSE))*100</f>
        <v>#DIV/0!</v>
      </c>
      <c r="V26" s="604" t="e">
        <f>VLOOKUP(A26,'Uncorrected Area Counts'!$A$4:$AU$99,43,FALSE)/VLOOKUP(A26,'Uncorrected Area Counts'!$A$4:$AU$99,3,FALSE)/VLOOKUP(8,'Plate Planning'!$L$20:$S$35,4,FALSE)*VLOOKUP("standard",'Plate Planning'!$L$20:$S$35,4,FALSE)/VLOOKUP(A26,'Uncorrected Area Counts'!$A$4:$AU$99,42,FALSE)*100</f>
        <v>#DIV/0!</v>
      </c>
    </row>
    <row r="27" spans="1:22">
      <c r="A27" s="478" t="s">
        <v>1185</v>
      </c>
      <c r="B27" s="565" t="s">
        <v>22</v>
      </c>
      <c r="C27" s="573" t="e">
        <f>(VLOOKUP(A27,'Uncorrected Area Counts'!$A$4:$AU$99,7,FALSE)/VLOOKUP(A27,'Uncorrected Area Counts'!$A$4:$AU$99,47,FALSE))*100</f>
        <v>#DIV/0!</v>
      </c>
      <c r="D27" s="566" t="e">
        <f>VLOOKUP(A27,'Uncorrected Area Counts'!$A$4:$AU$99,7,FALSE)/VLOOKUP(A27,'Uncorrected Area Counts'!$A$4:$AU$99,3,FALSE)/VLOOKUP(1,'Plate Planning'!$L$20:$S$35,4,FALSE)*VLOOKUP("standard",'Plate Planning'!$L$20:$S$35,4,FALSE)/VLOOKUP(A27,'Uncorrected Area Counts'!$A$4:$AU$99,6,FALSE)*100</f>
        <v>#DIV/0!</v>
      </c>
      <c r="E27" s="576" t="e">
        <f>(VLOOKUP(A27,'Uncorrected Area Counts'!$A$4:$AU$99,11,FALSE)/VLOOKUP(A27,'Uncorrected Area Counts'!$A$4:$AU$99,47,FALSE))*100</f>
        <v>#DIV/0!</v>
      </c>
      <c r="F27" s="566" t="e">
        <f>VLOOKUP(A27,'Uncorrected Area Counts'!$A$4:$AU$99,11,FALSE)/VLOOKUP(A27,'Uncorrected Area Counts'!$A$4:$AU$99,3,FALSE)/VLOOKUP(2,'Plate Planning'!$L$20:$S$35,4,FALSE)*VLOOKUP("standard",'Plate Planning'!$L$20:$S$35,4,FALSE)/VLOOKUP(A27,'Uncorrected Area Counts'!$A$4:$AU$99,10,FALSE)*100</f>
        <v>#DIV/0!</v>
      </c>
      <c r="G27" s="576" t="e">
        <f>(VLOOKUP(A27,'Uncorrected Area Counts'!$A$4:$AU$99,15,FALSE)/VLOOKUP(A27,'Uncorrected Area Counts'!$A$4:$AU$99,47,FALSE))*100</f>
        <v>#DIV/0!</v>
      </c>
      <c r="H27" s="566" t="e">
        <f>VLOOKUP(A27,'Uncorrected Area Counts'!$A$4:$AU$99,15,FALSE)/VLOOKUP(A27,'Uncorrected Area Counts'!$A$4:$AU$99,3,FALSE)/VLOOKUP(3,'Plate Planning'!$L$20:$S$35,4,FALSE)*VLOOKUP("standard",'Plate Planning'!$L$20:$S$35,4,FALSE)/VLOOKUP(A27,'Uncorrected Area Counts'!$A$4:$AU$99,14,FALSE)*100</f>
        <v>#DIV/0!</v>
      </c>
      <c r="I27" s="576" t="e">
        <f>(VLOOKUP(A27,'Uncorrected Area Counts'!$A$4:$AU$99,19,FALSE)/VLOOKUP(A27,'Uncorrected Area Counts'!$A$4:$AU$99,47,FALSE))*100</f>
        <v>#DIV/0!</v>
      </c>
      <c r="J27" s="567" t="e">
        <f>VLOOKUP(A27,'Uncorrected Area Counts'!$A$4:$AU$99,19,FALSE)/VLOOKUP(A27,'Uncorrected Area Counts'!$A$4:$AU$99,3,FALSE)/VLOOKUP(4,'Plate Planning'!$L$20:$S$35,4,FALSE)*VLOOKUP("standard",'Plate Planning'!$L$20:$S$35,4,FALSE)/VLOOKUP(A27,'Uncorrected Area Counts'!$A$4:$AU$99,18,FALSE)*100</f>
        <v>#DIV/0!</v>
      </c>
      <c r="K27" s="581" t="e">
        <f>(VLOOKUP(A27,'Uncorrected Area Counts'!$A$4:$AU$99,23,FALSE)/VLOOKUP(A27,'Uncorrected Area Counts'!$A$4:$AU$99,47,FALSE))*100</f>
        <v>#DIV/0!</v>
      </c>
      <c r="L27" s="568" t="e">
        <f>VLOOKUP(A27,'Uncorrected Area Counts'!$A$4:$AU$99,23,FALSE)/VLOOKUP(A27,'Uncorrected Area Counts'!$A$4:$AU$99,3,FALSE)/VLOOKUP(5,'Plate Planning'!$L$20:$S$35,4,FALSE)*VLOOKUP("standard",'Plate Planning'!$L$20:$S$35,4,FALSE)/VLOOKUP(A27,'Uncorrected Area Counts'!$A$4:$AU$99,22,FALSE)*100</f>
        <v>#DIV/0!</v>
      </c>
      <c r="M27" s="581" t="e">
        <f>(VLOOKUP(A27,'Uncorrected Area Counts'!$A$4:$AU$99,27,FALSE)/VLOOKUP(A27,'Uncorrected Area Counts'!$A$4:$AU$99,47,FALSE))*100</f>
        <v>#DIV/0!</v>
      </c>
      <c r="N27" s="567" t="e">
        <f>VLOOKUP(A27,'Uncorrected Area Counts'!$A$4:$AU$99,27,FALSE)/VLOOKUP(A27,'Uncorrected Area Counts'!$A$4:$AU$99,3,FALSE)/VLOOKUP(6,'Plate Planning'!$L$20:$S$35,4,FALSE)*VLOOKUP("standard",'Plate Planning'!$L$20:$S$35,4,FALSE)/VLOOKUP(A27,'Uncorrected Area Counts'!$A$4:$AU$99,26,FALSE)*100</f>
        <v>#DIV/0!</v>
      </c>
      <c r="O27" s="581" t="e">
        <f>(VLOOKUP(A27,'Uncorrected Area Counts'!$A$4:$AU$99,31,FALSE)/VLOOKUP(A27,'Uncorrected Area Counts'!$A$4:$AU$99,47,FALSE))*100</f>
        <v>#DIV/0!</v>
      </c>
      <c r="P27" s="568" t="e">
        <f>VLOOKUP(A27,'Uncorrected Area Counts'!$A$4:$AU$99,31,FALSE)/VLOOKUP(A27,'Uncorrected Area Counts'!$A$4:$AU$99,3,FALSE)/VLOOKUP(7,'Plate Planning'!$L$20:$S$35,4,FALSE)*VLOOKUP("standard",'Plate Planning'!$L$20:$S$35,4,FALSE)/VLOOKUP(A27,'Uncorrected Area Counts'!$A$4:$AU$99,30,FALSE)*100</f>
        <v>#DIV/0!</v>
      </c>
      <c r="Q27" s="581" t="e">
        <f>(VLOOKUP(A27,'Uncorrected Area Counts'!$A$4:$AU$99,35,FALSE)/VLOOKUP(A27,'Uncorrected Area Counts'!$A$4:$AU$99,47,FALSE))*100</f>
        <v>#DIV/0!</v>
      </c>
      <c r="R27" s="477" t="e">
        <f>VLOOKUP(A27,'Uncorrected Area Counts'!$A$4:$AU$99,35,FALSE)/VLOOKUP(A27,'Uncorrected Area Counts'!$A$4:$AU$99,3,FALSE)/VLOOKUP(8,'Plate Planning'!$L$20:$S$35,4,FALSE)*VLOOKUP("standard",'Plate Planning'!$L$20:$S$35,4,FALSE)/VLOOKUP(A27,'Uncorrected Area Counts'!$A$4:$AU$99,34,FALSE)*100</f>
        <v>#DIV/0!</v>
      </c>
      <c r="S27" s="589" t="e">
        <f>(VLOOKUP(A27,'Uncorrected Area Counts'!$A$4:$AU$99,39,FALSE)/VLOOKUP(A27,'Uncorrected Area Counts'!$A$4:$AU$99,47,FALSE))*100</f>
        <v>#DIV/0!</v>
      </c>
      <c r="T27" s="569" t="e">
        <f>VLOOKUP(A27,'Uncorrected Area Counts'!$A$4:$AU$99,39,FALSE)/VLOOKUP(A27,'Uncorrected Area Counts'!$A$4:$AU$99,3,FALSE)/VLOOKUP(8,'Plate Planning'!$L$20:$S$35,4,FALSE)*VLOOKUP("standard",'Plate Planning'!$L$20:$S$35,4,FALSE)/VLOOKUP(A27,'Uncorrected Area Counts'!$A$4:$AU$99,38,FALSE)*100</f>
        <v>#DIV/0!</v>
      </c>
      <c r="U27" s="589" t="e">
        <f>(VLOOKUP(A27,'Uncorrected Area Counts'!$A$4:$AU$99,43,FALSE)/VLOOKUP(A27,'Uncorrected Area Counts'!$A$4:$AU$99,47,FALSE))*100</f>
        <v>#DIV/0!</v>
      </c>
      <c r="V27" s="604" t="e">
        <f>VLOOKUP(A27,'Uncorrected Area Counts'!$A$4:$AU$99,43,FALSE)/VLOOKUP(A27,'Uncorrected Area Counts'!$A$4:$AU$99,3,FALSE)/VLOOKUP(8,'Plate Planning'!$L$20:$S$35,4,FALSE)*VLOOKUP("standard",'Plate Planning'!$L$20:$S$35,4,FALSE)/VLOOKUP(A27,'Uncorrected Area Counts'!$A$4:$AU$99,42,FALSE)*100</f>
        <v>#DIV/0!</v>
      </c>
    </row>
    <row r="28" spans="1:22">
      <c r="A28" s="478" t="s">
        <v>1186</v>
      </c>
      <c r="B28" s="565" t="s">
        <v>22</v>
      </c>
      <c r="C28" s="573" t="e">
        <f>(VLOOKUP(A28,'Uncorrected Area Counts'!$A$4:$AU$99,7,FALSE)/VLOOKUP(A28,'Uncorrected Area Counts'!$A$4:$AU$99,47,FALSE))*100</f>
        <v>#DIV/0!</v>
      </c>
      <c r="D28" s="566" t="e">
        <f>VLOOKUP(A28,'Uncorrected Area Counts'!$A$4:$AU$99,7,FALSE)/VLOOKUP(A28,'Uncorrected Area Counts'!$A$4:$AU$99,3,FALSE)/VLOOKUP(1,'Plate Planning'!$L$20:$S$35,4,FALSE)*VLOOKUP("standard",'Plate Planning'!$L$20:$S$35,4,FALSE)/VLOOKUP(A28,'Uncorrected Area Counts'!$A$4:$AU$99,6,FALSE)*100</f>
        <v>#DIV/0!</v>
      </c>
      <c r="E28" s="576" t="e">
        <f>(VLOOKUP(A28,'Uncorrected Area Counts'!$A$4:$AU$99,11,FALSE)/VLOOKUP(A28,'Uncorrected Area Counts'!$A$4:$AU$99,47,FALSE))*100</f>
        <v>#DIV/0!</v>
      </c>
      <c r="F28" s="566" t="e">
        <f>VLOOKUP(A28,'Uncorrected Area Counts'!$A$4:$AU$99,11,FALSE)/VLOOKUP(A28,'Uncorrected Area Counts'!$A$4:$AU$99,3,FALSE)/VLOOKUP(2,'Plate Planning'!$L$20:$S$35,4,FALSE)*VLOOKUP("standard",'Plate Planning'!$L$20:$S$35,4,FALSE)/VLOOKUP(A28,'Uncorrected Area Counts'!$A$4:$AU$99,10,FALSE)*100</f>
        <v>#DIV/0!</v>
      </c>
      <c r="G28" s="576" t="e">
        <f>(VLOOKUP(A28,'Uncorrected Area Counts'!$A$4:$AU$99,15,FALSE)/VLOOKUP(A28,'Uncorrected Area Counts'!$A$4:$AU$99,47,FALSE))*100</f>
        <v>#DIV/0!</v>
      </c>
      <c r="H28" s="566" t="e">
        <f>VLOOKUP(A28,'Uncorrected Area Counts'!$A$4:$AU$99,15,FALSE)/VLOOKUP(A28,'Uncorrected Area Counts'!$A$4:$AU$99,3,FALSE)/VLOOKUP(3,'Plate Planning'!$L$20:$S$35,4,FALSE)*VLOOKUP("standard",'Plate Planning'!$L$20:$S$35,4,FALSE)/VLOOKUP(A28,'Uncorrected Area Counts'!$A$4:$AU$99,14,FALSE)*100</f>
        <v>#DIV/0!</v>
      </c>
      <c r="I28" s="576" t="e">
        <f>(VLOOKUP(A28,'Uncorrected Area Counts'!$A$4:$AU$99,19,FALSE)/VLOOKUP(A28,'Uncorrected Area Counts'!$A$4:$AU$99,47,FALSE))*100</f>
        <v>#DIV/0!</v>
      </c>
      <c r="J28" s="567" t="e">
        <f>VLOOKUP(A28,'Uncorrected Area Counts'!$A$4:$AU$99,19,FALSE)/VLOOKUP(A28,'Uncorrected Area Counts'!$A$4:$AU$99,3,FALSE)/VLOOKUP(4,'Plate Planning'!$L$20:$S$35,4,FALSE)*VLOOKUP("standard",'Plate Planning'!$L$20:$S$35,4,FALSE)/VLOOKUP(A28,'Uncorrected Area Counts'!$A$4:$AU$99,18,FALSE)*100</f>
        <v>#DIV/0!</v>
      </c>
      <c r="K28" s="581" t="e">
        <f>(VLOOKUP(A28,'Uncorrected Area Counts'!$A$4:$AU$99,23,FALSE)/VLOOKUP(A28,'Uncorrected Area Counts'!$A$4:$AU$99,47,FALSE))*100</f>
        <v>#DIV/0!</v>
      </c>
      <c r="L28" s="568" t="e">
        <f>VLOOKUP(A28,'Uncorrected Area Counts'!$A$4:$AU$99,23,FALSE)/VLOOKUP(A28,'Uncorrected Area Counts'!$A$4:$AU$99,3,FALSE)/VLOOKUP(5,'Plate Planning'!$L$20:$S$35,4,FALSE)*VLOOKUP("standard",'Plate Planning'!$L$20:$S$35,4,FALSE)/VLOOKUP(A28,'Uncorrected Area Counts'!$A$4:$AU$99,22,FALSE)*100</f>
        <v>#DIV/0!</v>
      </c>
      <c r="M28" s="581" t="e">
        <f>(VLOOKUP(A28,'Uncorrected Area Counts'!$A$4:$AU$99,27,FALSE)/VLOOKUP(A28,'Uncorrected Area Counts'!$A$4:$AU$99,47,FALSE))*100</f>
        <v>#DIV/0!</v>
      </c>
      <c r="N28" s="567" t="e">
        <f>VLOOKUP(A28,'Uncorrected Area Counts'!$A$4:$AU$99,27,FALSE)/VLOOKUP(A28,'Uncorrected Area Counts'!$A$4:$AU$99,3,FALSE)/VLOOKUP(6,'Plate Planning'!$L$20:$S$35,4,FALSE)*VLOOKUP("standard",'Plate Planning'!$L$20:$S$35,4,FALSE)/VLOOKUP(A28,'Uncorrected Area Counts'!$A$4:$AU$99,26,FALSE)*100</f>
        <v>#DIV/0!</v>
      </c>
      <c r="O28" s="581" t="e">
        <f>(VLOOKUP(A28,'Uncorrected Area Counts'!$A$4:$AU$99,31,FALSE)/VLOOKUP(A28,'Uncorrected Area Counts'!$A$4:$AU$99,47,FALSE))*100</f>
        <v>#DIV/0!</v>
      </c>
      <c r="P28" s="568" t="e">
        <f>VLOOKUP(A28,'Uncorrected Area Counts'!$A$4:$AU$99,31,FALSE)/VLOOKUP(A28,'Uncorrected Area Counts'!$A$4:$AU$99,3,FALSE)/VLOOKUP(7,'Plate Planning'!$L$20:$S$35,4,FALSE)*VLOOKUP("standard",'Plate Planning'!$L$20:$S$35,4,FALSE)/VLOOKUP(A28,'Uncorrected Area Counts'!$A$4:$AU$99,30,FALSE)*100</f>
        <v>#DIV/0!</v>
      </c>
      <c r="Q28" s="581" t="e">
        <f>(VLOOKUP(A28,'Uncorrected Area Counts'!$A$4:$AU$99,35,FALSE)/VLOOKUP(A28,'Uncorrected Area Counts'!$A$4:$AU$99,47,FALSE))*100</f>
        <v>#DIV/0!</v>
      </c>
      <c r="R28" s="477" t="e">
        <f>VLOOKUP(A28,'Uncorrected Area Counts'!$A$4:$AU$99,35,FALSE)/VLOOKUP(A28,'Uncorrected Area Counts'!$A$4:$AU$99,3,FALSE)/VLOOKUP(8,'Plate Planning'!$L$20:$S$35,4,FALSE)*VLOOKUP("standard",'Plate Planning'!$L$20:$S$35,4,FALSE)/VLOOKUP(A28,'Uncorrected Area Counts'!$A$4:$AU$99,34,FALSE)*100</f>
        <v>#DIV/0!</v>
      </c>
      <c r="S28" s="589" t="e">
        <f>(VLOOKUP(A28,'Uncorrected Area Counts'!$A$4:$AU$99,39,FALSE)/VLOOKUP(A28,'Uncorrected Area Counts'!$A$4:$AU$99,47,FALSE))*100</f>
        <v>#DIV/0!</v>
      </c>
      <c r="T28" s="569" t="e">
        <f>VLOOKUP(A28,'Uncorrected Area Counts'!$A$4:$AU$99,39,FALSE)/VLOOKUP(A28,'Uncorrected Area Counts'!$A$4:$AU$99,3,FALSE)/VLOOKUP(8,'Plate Planning'!$L$20:$S$35,4,FALSE)*VLOOKUP("standard",'Plate Planning'!$L$20:$S$35,4,FALSE)/VLOOKUP(A28,'Uncorrected Area Counts'!$A$4:$AU$99,38,FALSE)*100</f>
        <v>#DIV/0!</v>
      </c>
      <c r="U28" s="589" t="e">
        <f>(VLOOKUP(A28,'Uncorrected Area Counts'!$A$4:$AU$99,43,FALSE)/VLOOKUP(A28,'Uncorrected Area Counts'!$A$4:$AU$99,47,FALSE))*100</f>
        <v>#DIV/0!</v>
      </c>
      <c r="V28" s="604" t="e">
        <f>VLOOKUP(A28,'Uncorrected Area Counts'!$A$4:$AU$99,43,FALSE)/VLOOKUP(A28,'Uncorrected Area Counts'!$A$4:$AU$99,3,FALSE)/VLOOKUP(8,'Plate Planning'!$L$20:$S$35,4,FALSE)*VLOOKUP("standard",'Plate Planning'!$L$20:$S$35,4,FALSE)/VLOOKUP(A28,'Uncorrected Area Counts'!$A$4:$AU$99,42,FALSE)*100</f>
        <v>#DIV/0!</v>
      </c>
    </row>
    <row r="29" spans="1:22">
      <c r="A29" s="478" t="s">
        <v>1187</v>
      </c>
      <c r="B29" s="565" t="s">
        <v>22</v>
      </c>
      <c r="C29" s="573" t="e">
        <f>(VLOOKUP(A29,'Uncorrected Area Counts'!$A$4:$AU$99,7,FALSE)/VLOOKUP(A29,'Uncorrected Area Counts'!$A$4:$AU$99,47,FALSE))*100</f>
        <v>#DIV/0!</v>
      </c>
      <c r="D29" s="566" t="e">
        <f>VLOOKUP(A29,'Uncorrected Area Counts'!$A$4:$AU$99,7,FALSE)/VLOOKUP(A29,'Uncorrected Area Counts'!$A$4:$AU$99,3,FALSE)/VLOOKUP(1,'Plate Planning'!$L$20:$S$35,4,FALSE)*VLOOKUP("standard",'Plate Planning'!$L$20:$S$35,4,FALSE)/VLOOKUP(A29,'Uncorrected Area Counts'!$A$4:$AU$99,6,FALSE)*100</f>
        <v>#DIV/0!</v>
      </c>
      <c r="E29" s="576" t="e">
        <f>(VLOOKUP(A29,'Uncorrected Area Counts'!$A$4:$AU$99,11,FALSE)/VLOOKUP(A29,'Uncorrected Area Counts'!$A$4:$AU$99,47,FALSE))*100</f>
        <v>#DIV/0!</v>
      </c>
      <c r="F29" s="566" t="e">
        <f>VLOOKUP(A29,'Uncorrected Area Counts'!$A$4:$AU$99,11,FALSE)/VLOOKUP(A29,'Uncorrected Area Counts'!$A$4:$AU$99,3,FALSE)/VLOOKUP(2,'Plate Planning'!$L$20:$S$35,4,FALSE)*VLOOKUP("standard",'Plate Planning'!$L$20:$S$35,4,FALSE)/VLOOKUP(A29,'Uncorrected Area Counts'!$A$4:$AU$99,10,FALSE)*100</f>
        <v>#DIV/0!</v>
      </c>
      <c r="G29" s="576" t="e">
        <f>(VLOOKUP(A29,'Uncorrected Area Counts'!$A$4:$AU$99,15,FALSE)/VLOOKUP(A29,'Uncorrected Area Counts'!$A$4:$AU$99,47,FALSE))*100</f>
        <v>#DIV/0!</v>
      </c>
      <c r="H29" s="566" t="e">
        <f>VLOOKUP(A29,'Uncorrected Area Counts'!$A$4:$AU$99,15,FALSE)/VLOOKUP(A29,'Uncorrected Area Counts'!$A$4:$AU$99,3,FALSE)/VLOOKUP(3,'Plate Planning'!$L$20:$S$35,4,FALSE)*VLOOKUP("standard",'Plate Planning'!$L$20:$S$35,4,FALSE)/VLOOKUP(A29,'Uncorrected Area Counts'!$A$4:$AU$99,14,FALSE)*100</f>
        <v>#DIV/0!</v>
      </c>
      <c r="I29" s="576" t="e">
        <f>(VLOOKUP(A29,'Uncorrected Area Counts'!$A$4:$AU$99,19,FALSE)/VLOOKUP(A29,'Uncorrected Area Counts'!$A$4:$AU$99,47,FALSE))*100</f>
        <v>#DIV/0!</v>
      </c>
      <c r="J29" s="567" t="e">
        <f>VLOOKUP(A29,'Uncorrected Area Counts'!$A$4:$AU$99,19,FALSE)/VLOOKUP(A29,'Uncorrected Area Counts'!$A$4:$AU$99,3,FALSE)/VLOOKUP(4,'Plate Planning'!$L$20:$S$35,4,FALSE)*VLOOKUP("standard",'Plate Planning'!$L$20:$S$35,4,FALSE)/VLOOKUP(A29,'Uncorrected Area Counts'!$A$4:$AU$99,18,FALSE)*100</f>
        <v>#DIV/0!</v>
      </c>
      <c r="K29" s="581" t="e">
        <f>(VLOOKUP(A29,'Uncorrected Area Counts'!$A$4:$AU$99,23,FALSE)/VLOOKUP(A29,'Uncorrected Area Counts'!$A$4:$AU$99,47,FALSE))*100</f>
        <v>#DIV/0!</v>
      </c>
      <c r="L29" s="568" t="e">
        <f>VLOOKUP(A29,'Uncorrected Area Counts'!$A$4:$AU$99,23,FALSE)/VLOOKUP(A29,'Uncorrected Area Counts'!$A$4:$AU$99,3,FALSE)/VLOOKUP(5,'Plate Planning'!$L$20:$S$35,4,FALSE)*VLOOKUP("standard",'Plate Planning'!$L$20:$S$35,4,FALSE)/VLOOKUP(A29,'Uncorrected Area Counts'!$A$4:$AU$99,22,FALSE)*100</f>
        <v>#DIV/0!</v>
      </c>
      <c r="M29" s="581" t="e">
        <f>(VLOOKUP(A29,'Uncorrected Area Counts'!$A$4:$AU$99,27,FALSE)/VLOOKUP(A29,'Uncorrected Area Counts'!$A$4:$AU$99,47,FALSE))*100</f>
        <v>#DIV/0!</v>
      </c>
      <c r="N29" s="567" t="e">
        <f>VLOOKUP(A29,'Uncorrected Area Counts'!$A$4:$AU$99,27,FALSE)/VLOOKUP(A29,'Uncorrected Area Counts'!$A$4:$AU$99,3,FALSE)/VLOOKUP(6,'Plate Planning'!$L$20:$S$35,4,FALSE)*VLOOKUP("standard",'Plate Planning'!$L$20:$S$35,4,FALSE)/VLOOKUP(A29,'Uncorrected Area Counts'!$A$4:$AU$99,26,FALSE)*100</f>
        <v>#DIV/0!</v>
      </c>
      <c r="O29" s="581" t="e">
        <f>(VLOOKUP(A29,'Uncorrected Area Counts'!$A$4:$AU$99,31,FALSE)/VLOOKUP(A29,'Uncorrected Area Counts'!$A$4:$AU$99,47,FALSE))*100</f>
        <v>#DIV/0!</v>
      </c>
      <c r="P29" s="568" t="e">
        <f>VLOOKUP(A29,'Uncorrected Area Counts'!$A$4:$AU$99,31,FALSE)/VLOOKUP(A29,'Uncorrected Area Counts'!$A$4:$AU$99,3,FALSE)/VLOOKUP(7,'Plate Planning'!$L$20:$S$35,4,FALSE)*VLOOKUP("standard",'Plate Planning'!$L$20:$S$35,4,FALSE)/VLOOKUP(A29,'Uncorrected Area Counts'!$A$4:$AU$99,30,FALSE)*100</f>
        <v>#DIV/0!</v>
      </c>
      <c r="Q29" s="581" t="e">
        <f>(VLOOKUP(A29,'Uncorrected Area Counts'!$A$4:$AU$99,35,FALSE)/VLOOKUP(A29,'Uncorrected Area Counts'!$A$4:$AU$99,47,FALSE))*100</f>
        <v>#DIV/0!</v>
      </c>
      <c r="R29" s="477" t="e">
        <f>VLOOKUP(A29,'Uncorrected Area Counts'!$A$4:$AU$99,35,FALSE)/VLOOKUP(A29,'Uncorrected Area Counts'!$A$4:$AU$99,3,FALSE)/VLOOKUP(8,'Plate Planning'!$L$20:$S$35,4,FALSE)*VLOOKUP("standard",'Plate Planning'!$L$20:$S$35,4,FALSE)/VLOOKUP(A29,'Uncorrected Area Counts'!$A$4:$AU$99,34,FALSE)*100</f>
        <v>#DIV/0!</v>
      </c>
      <c r="S29" s="589" t="e">
        <f>(VLOOKUP(A29,'Uncorrected Area Counts'!$A$4:$AU$99,39,FALSE)/VLOOKUP(A29,'Uncorrected Area Counts'!$A$4:$AU$99,47,FALSE))*100</f>
        <v>#DIV/0!</v>
      </c>
      <c r="T29" s="569" t="e">
        <f>VLOOKUP(A29,'Uncorrected Area Counts'!$A$4:$AU$99,39,FALSE)/VLOOKUP(A29,'Uncorrected Area Counts'!$A$4:$AU$99,3,FALSE)/VLOOKUP(8,'Plate Planning'!$L$20:$S$35,4,FALSE)*VLOOKUP("standard",'Plate Planning'!$L$20:$S$35,4,FALSE)/VLOOKUP(A29,'Uncorrected Area Counts'!$A$4:$AU$99,38,FALSE)*100</f>
        <v>#DIV/0!</v>
      </c>
      <c r="U29" s="589" t="e">
        <f>(VLOOKUP(A29,'Uncorrected Area Counts'!$A$4:$AU$99,43,FALSE)/VLOOKUP(A29,'Uncorrected Area Counts'!$A$4:$AU$99,47,FALSE))*100</f>
        <v>#DIV/0!</v>
      </c>
      <c r="V29" s="604" t="e">
        <f>VLOOKUP(A29,'Uncorrected Area Counts'!$A$4:$AU$99,43,FALSE)/VLOOKUP(A29,'Uncorrected Area Counts'!$A$4:$AU$99,3,FALSE)/VLOOKUP(8,'Plate Planning'!$L$20:$S$35,4,FALSE)*VLOOKUP("standard",'Plate Planning'!$L$20:$S$35,4,FALSE)/VLOOKUP(A29,'Uncorrected Area Counts'!$A$4:$AU$99,42,FALSE)*100</f>
        <v>#DIV/0!</v>
      </c>
    </row>
    <row r="30" spans="1:22">
      <c r="A30" s="478" t="s">
        <v>1188</v>
      </c>
      <c r="B30" s="565" t="s">
        <v>22</v>
      </c>
      <c r="C30" s="573" t="e">
        <f>(VLOOKUP(A30,'Uncorrected Area Counts'!$A$4:$AU$99,7,FALSE)/VLOOKUP(A30,'Uncorrected Area Counts'!$A$4:$AU$99,47,FALSE))*100</f>
        <v>#DIV/0!</v>
      </c>
      <c r="D30" s="566" t="e">
        <f>VLOOKUP(A30,'Uncorrected Area Counts'!$A$4:$AU$99,7,FALSE)/VLOOKUP(A30,'Uncorrected Area Counts'!$A$4:$AU$99,3,FALSE)/VLOOKUP(1,'Plate Planning'!$L$20:$S$35,4,FALSE)*VLOOKUP("standard",'Plate Planning'!$L$20:$S$35,4,FALSE)/VLOOKUP(A30,'Uncorrected Area Counts'!$A$4:$AU$99,6,FALSE)*100</f>
        <v>#DIV/0!</v>
      </c>
      <c r="E30" s="576" t="e">
        <f>(VLOOKUP(A30,'Uncorrected Area Counts'!$A$4:$AU$99,11,FALSE)/VLOOKUP(A30,'Uncorrected Area Counts'!$A$4:$AU$99,47,FALSE))*100</f>
        <v>#DIV/0!</v>
      </c>
      <c r="F30" s="566" t="e">
        <f>VLOOKUP(A30,'Uncorrected Area Counts'!$A$4:$AU$99,11,FALSE)/VLOOKUP(A30,'Uncorrected Area Counts'!$A$4:$AU$99,3,FALSE)/VLOOKUP(2,'Plate Planning'!$L$20:$S$35,4,FALSE)*VLOOKUP("standard",'Plate Planning'!$L$20:$S$35,4,FALSE)/VLOOKUP(A30,'Uncorrected Area Counts'!$A$4:$AU$99,10,FALSE)*100</f>
        <v>#DIV/0!</v>
      </c>
      <c r="G30" s="576" t="e">
        <f>(VLOOKUP(A30,'Uncorrected Area Counts'!$A$4:$AU$99,15,FALSE)/VLOOKUP(A30,'Uncorrected Area Counts'!$A$4:$AU$99,47,FALSE))*100</f>
        <v>#DIV/0!</v>
      </c>
      <c r="H30" s="566" t="e">
        <f>VLOOKUP(A30,'Uncorrected Area Counts'!$A$4:$AU$99,15,FALSE)/VLOOKUP(A30,'Uncorrected Area Counts'!$A$4:$AU$99,3,FALSE)/VLOOKUP(3,'Plate Planning'!$L$20:$S$35,4,FALSE)*VLOOKUP("standard",'Plate Planning'!$L$20:$S$35,4,FALSE)/VLOOKUP(A30,'Uncorrected Area Counts'!$A$4:$AU$99,14,FALSE)*100</f>
        <v>#DIV/0!</v>
      </c>
      <c r="I30" s="576" t="e">
        <f>(VLOOKUP(A30,'Uncorrected Area Counts'!$A$4:$AU$99,19,FALSE)/VLOOKUP(A30,'Uncorrected Area Counts'!$A$4:$AU$99,47,FALSE))*100</f>
        <v>#DIV/0!</v>
      </c>
      <c r="J30" s="567" t="e">
        <f>VLOOKUP(A30,'Uncorrected Area Counts'!$A$4:$AU$99,19,FALSE)/VLOOKUP(A30,'Uncorrected Area Counts'!$A$4:$AU$99,3,FALSE)/VLOOKUP(4,'Plate Planning'!$L$20:$S$35,4,FALSE)*VLOOKUP("standard",'Plate Planning'!$L$20:$S$35,4,FALSE)/VLOOKUP(A30,'Uncorrected Area Counts'!$A$4:$AU$99,18,FALSE)*100</f>
        <v>#DIV/0!</v>
      </c>
      <c r="K30" s="581" t="e">
        <f>(VLOOKUP(A30,'Uncorrected Area Counts'!$A$4:$AU$99,23,FALSE)/VLOOKUP(A30,'Uncorrected Area Counts'!$A$4:$AU$99,47,FALSE))*100</f>
        <v>#DIV/0!</v>
      </c>
      <c r="L30" s="568" t="e">
        <f>VLOOKUP(A30,'Uncorrected Area Counts'!$A$4:$AU$99,23,FALSE)/VLOOKUP(A30,'Uncorrected Area Counts'!$A$4:$AU$99,3,FALSE)/VLOOKUP(5,'Plate Planning'!$L$20:$S$35,4,FALSE)*VLOOKUP("standard",'Plate Planning'!$L$20:$S$35,4,FALSE)/VLOOKUP(A30,'Uncorrected Area Counts'!$A$4:$AU$99,22,FALSE)*100</f>
        <v>#DIV/0!</v>
      </c>
      <c r="M30" s="581" t="e">
        <f>(VLOOKUP(A30,'Uncorrected Area Counts'!$A$4:$AU$99,27,FALSE)/VLOOKUP(A30,'Uncorrected Area Counts'!$A$4:$AU$99,47,FALSE))*100</f>
        <v>#DIV/0!</v>
      </c>
      <c r="N30" s="567" t="e">
        <f>VLOOKUP(A30,'Uncorrected Area Counts'!$A$4:$AU$99,27,FALSE)/VLOOKUP(A30,'Uncorrected Area Counts'!$A$4:$AU$99,3,FALSE)/VLOOKUP(6,'Plate Planning'!$L$20:$S$35,4,FALSE)*VLOOKUP("standard",'Plate Planning'!$L$20:$S$35,4,FALSE)/VLOOKUP(A30,'Uncorrected Area Counts'!$A$4:$AU$99,26,FALSE)*100</f>
        <v>#DIV/0!</v>
      </c>
      <c r="O30" s="581" t="e">
        <f>(VLOOKUP(A30,'Uncorrected Area Counts'!$A$4:$AU$99,31,FALSE)/VLOOKUP(A30,'Uncorrected Area Counts'!$A$4:$AU$99,47,FALSE))*100</f>
        <v>#DIV/0!</v>
      </c>
      <c r="P30" s="568" t="e">
        <f>VLOOKUP(A30,'Uncorrected Area Counts'!$A$4:$AU$99,31,FALSE)/VLOOKUP(A30,'Uncorrected Area Counts'!$A$4:$AU$99,3,FALSE)/VLOOKUP(7,'Plate Planning'!$L$20:$S$35,4,FALSE)*VLOOKUP("standard",'Plate Planning'!$L$20:$S$35,4,FALSE)/VLOOKUP(A30,'Uncorrected Area Counts'!$A$4:$AU$99,30,FALSE)*100</f>
        <v>#DIV/0!</v>
      </c>
      <c r="Q30" s="581" t="e">
        <f>(VLOOKUP(A30,'Uncorrected Area Counts'!$A$4:$AU$99,35,FALSE)/VLOOKUP(A30,'Uncorrected Area Counts'!$A$4:$AU$99,47,FALSE))*100</f>
        <v>#DIV/0!</v>
      </c>
      <c r="R30" s="477" t="e">
        <f>VLOOKUP(A30,'Uncorrected Area Counts'!$A$4:$AU$99,35,FALSE)/VLOOKUP(A30,'Uncorrected Area Counts'!$A$4:$AU$99,3,FALSE)/VLOOKUP(8,'Plate Planning'!$L$20:$S$35,4,FALSE)*VLOOKUP("standard",'Plate Planning'!$L$20:$S$35,4,FALSE)/VLOOKUP(A30,'Uncorrected Area Counts'!$A$4:$AU$99,34,FALSE)*100</f>
        <v>#DIV/0!</v>
      </c>
      <c r="S30" s="589" t="e">
        <f>(VLOOKUP(A30,'Uncorrected Area Counts'!$A$4:$AU$99,39,FALSE)/VLOOKUP(A30,'Uncorrected Area Counts'!$A$4:$AU$99,47,FALSE))*100</f>
        <v>#DIV/0!</v>
      </c>
      <c r="T30" s="569" t="e">
        <f>VLOOKUP(A30,'Uncorrected Area Counts'!$A$4:$AU$99,39,FALSE)/VLOOKUP(A30,'Uncorrected Area Counts'!$A$4:$AU$99,3,FALSE)/VLOOKUP(8,'Plate Planning'!$L$20:$S$35,4,FALSE)*VLOOKUP("standard",'Plate Planning'!$L$20:$S$35,4,FALSE)/VLOOKUP(A30,'Uncorrected Area Counts'!$A$4:$AU$99,38,FALSE)*100</f>
        <v>#DIV/0!</v>
      </c>
      <c r="U30" s="589" t="e">
        <f>(VLOOKUP(A30,'Uncorrected Area Counts'!$A$4:$AU$99,43,FALSE)/VLOOKUP(A30,'Uncorrected Area Counts'!$A$4:$AU$99,47,FALSE))*100</f>
        <v>#DIV/0!</v>
      </c>
      <c r="V30" s="604" t="e">
        <f>VLOOKUP(A30,'Uncorrected Area Counts'!$A$4:$AU$99,43,FALSE)/VLOOKUP(A30,'Uncorrected Area Counts'!$A$4:$AU$99,3,FALSE)/VLOOKUP(8,'Plate Planning'!$L$20:$S$35,4,FALSE)*VLOOKUP("standard",'Plate Planning'!$L$20:$S$35,4,FALSE)/VLOOKUP(A30,'Uncorrected Area Counts'!$A$4:$AU$99,42,FALSE)*100</f>
        <v>#DIV/0!</v>
      </c>
    </row>
    <row r="31" spans="1:22">
      <c r="A31" s="478" t="s">
        <v>1189</v>
      </c>
      <c r="B31" s="565" t="s">
        <v>22</v>
      </c>
      <c r="C31" s="573" t="e">
        <f>(VLOOKUP(A31,'Uncorrected Area Counts'!$A$4:$AU$99,7,FALSE)/VLOOKUP(A31,'Uncorrected Area Counts'!$A$4:$AU$99,47,FALSE))*100</f>
        <v>#DIV/0!</v>
      </c>
      <c r="D31" s="566" t="e">
        <f>VLOOKUP(A31,'Uncorrected Area Counts'!$A$4:$AU$99,7,FALSE)/VLOOKUP(A31,'Uncorrected Area Counts'!$A$4:$AU$99,3,FALSE)/VLOOKUP(1,'Plate Planning'!$L$20:$S$35,4,FALSE)*VLOOKUP("standard",'Plate Planning'!$L$20:$S$35,4,FALSE)/VLOOKUP(A31,'Uncorrected Area Counts'!$A$4:$AU$99,6,FALSE)*100</f>
        <v>#DIV/0!</v>
      </c>
      <c r="E31" s="576" t="e">
        <f>(VLOOKUP(A31,'Uncorrected Area Counts'!$A$4:$AU$99,11,FALSE)/VLOOKUP(A31,'Uncorrected Area Counts'!$A$4:$AU$99,47,FALSE))*100</f>
        <v>#DIV/0!</v>
      </c>
      <c r="F31" s="566" t="e">
        <f>VLOOKUP(A31,'Uncorrected Area Counts'!$A$4:$AU$99,11,FALSE)/VLOOKUP(A31,'Uncorrected Area Counts'!$A$4:$AU$99,3,FALSE)/VLOOKUP(2,'Plate Planning'!$L$20:$S$35,4,FALSE)*VLOOKUP("standard",'Plate Planning'!$L$20:$S$35,4,FALSE)/VLOOKUP(A31,'Uncorrected Area Counts'!$A$4:$AU$99,10,FALSE)*100</f>
        <v>#DIV/0!</v>
      </c>
      <c r="G31" s="576" t="e">
        <f>(VLOOKUP(A31,'Uncorrected Area Counts'!$A$4:$AU$99,15,FALSE)/VLOOKUP(A31,'Uncorrected Area Counts'!$A$4:$AU$99,47,FALSE))*100</f>
        <v>#DIV/0!</v>
      </c>
      <c r="H31" s="566" t="e">
        <f>VLOOKUP(A31,'Uncorrected Area Counts'!$A$4:$AU$99,15,FALSE)/VLOOKUP(A31,'Uncorrected Area Counts'!$A$4:$AU$99,3,FALSE)/VLOOKUP(3,'Plate Planning'!$L$20:$S$35,4,FALSE)*VLOOKUP("standard",'Plate Planning'!$L$20:$S$35,4,FALSE)/VLOOKUP(A31,'Uncorrected Area Counts'!$A$4:$AU$99,14,FALSE)*100</f>
        <v>#DIV/0!</v>
      </c>
      <c r="I31" s="576" t="e">
        <f>(VLOOKUP(A31,'Uncorrected Area Counts'!$A$4:$AU$99,19,FALSE)/VLOOKUP(A31,'Uncorrected Area Counts'!$A$4:$AU$99,47,FALSE))*100</f>
        <v>#DIV/0!</v>
      </c>
      <c r="J31" s="567" t="e">
        <f>VLOOKUP(A31,'Uncorrected Area Counts'!$A$4:$AU$99,19,FALSE)/VLOOKUP(A31,'Uncorrected Area Counts'!$A$4:$AU$99,3,FALSE)/VLOOKUP(4,'Plate Planning'!$L$20:$S$35,4,FALSE)*VLOOKUP("standard",'Plate Planning'!$L$20:$S$35,4,FALSE)/VLOOKUP(A31,'Uncorrected Area Counts'!$A$4:$AU$99,18,FALSE)*100</f>
        <v>#DIV/0!</v>
      </c>
      <c r="K31" s="581" t="e">
        <f>(VLOOKUP(A31,'Uncorrected Area Counts'!$A$4:$AU$99,23,FALSE)/VLOOKUP(A31,'Uncorrected Area Counts'!$A$4:$AU$99,47,FALSE))*100</f>
        <v>#DIV/0!</v>
      </c>
      <c r="L31" s="568" t="e">
        <f>VLOOKUP(A31,'Uncorrected Area Counts'!$A$4:$AU$99,23,FALSE)/VLOOKUP(A31,'Uncorrected Area Counts'!$A$4:$AU$99,3,FALSE)/VLOOKUP(5,'Plate Planning'!$L$20:$S$35,4,FALSE)*VLOOKUP("standard",'Plate Planning'!$L$20:$S$35,4,FALSE)/VLOOKUP(A31,'Uncorrected Area Counts'!$A$4:$AU$99,22,FALSE)*100</f>
        <v>#DIV/0!</v>
      </c>
      <c r="M31" s="581" t="e">
        <f>(VLOOKUP(A31,'Uncorrected Area Counts'!$A$4:$AU$99,27,FALSE)/VLOOKUP(A31,'Uncorrected Area Counts'!$A$4:$AU$99,47,FALSE))*100</f>
        <v>#DIV/0!</v>
      </c>
      <c r="N31" s="567" t="e">
        <f>VLOOKUP(A31,'Uncorrected Area Counts'!$A$4:$AU$99,27,FALSE)/VLOOKUP(A31,'Uncorrected Area Counts'!$A$4:$AU$99,3,FALSE)/VLOOKUP(6,'Plate Planning'!$L$20:$S$35,4,FALSE)*VLOOKUP("standard",'Plate Planning'!$L$20:$S$35,4,FALSE)/VLOOKUP(A31,'Uncorrected Area Counts'!$A$4:$AU$99,26,FALSE)*100</f>
        <v>#DIV/0!</v>
      </c>
      <c r="O31" s="581" t="e">
        <f>(VLOOKUP(A31,'Uncorrected Area Counts'!$A$4:$AU$99,31,FALSE)/VLOOKUP(A31,'Uncorrected Area Counts'!$A$4:$AU$99,47,FALSE))*100</f>
        <v>#DIV/0!</v>
      </c>
      <c r="P31" s="568" t="e">
        <f>VLOOKUP(A31,'Uncorrected Area Counts'!$A$4:$AU$99,31,FALSE)/VLOOKUP(A31,'Uncorrected Area Counts'!$A$4:$AU$99,3,FALSE)/VLOOKUP(7,'Plate Planning'!$L$20:$S$35,4,FALSE)*VLOOKUP("standard",'Plate Planning'!$L$20:$S$35,4,FALSE)/VLOOKUP(A31,'Uncorrected Area Counts'!$A$4:$AU$99,30,FALSE)*100</f>
        <v>#DIV/0!</v>
      </c>
      <c r="Q31" s="581" t="e">
        <f>(VLOOKUP(A31,'Uncorrected Area Counts'!$A$4:$AU$99,35,FALSE)/VLOOKUP(A31,'Uncorrected Area Counts'!$A$4:$AU$99,47,FALSE))*100</f>
        <v>#DIV/0!</v>
      </c>
      <c r="R31" s="477" t="e">
        <f>VLOOKUP(A31,'Uncorrected Area Counts'!$A$4:$AU$99,35,FALSE)/VLOOKUP(A31,'Uncorrected Area Counts'!$A$4:$AU$99,3,FALSE)/VLOOKUP(8,'Plate Planning'!$L$20:$S$35,4,FALSE)*VLOOKUP("standard",'Plate Planning'!$L$20:$S$35,4,FALSE)/VLOOKUP(A31,'Uncorrected Area Counts'!$A$4:$AU$99,34,FALSE)*100</f>
        <v>#DIV/0!</v>
      </c>
      <c r="S31" s="589" t="e">
        <f>(VLOOKUP(A31,'Uncorrected Area Counts'!$A$4:$AU$99,39,FALSE)/VLOOKUP(A31,'Uncorrected Area Counts'!$A$4:$AU$99,47,FALSE))*100</f>
        <v>#DIV/0!</v>
      </c>
      <c r="T31" s="569" t="e">
        <f>VLOOKUP(A31,'Uncorrected Area Counts'!$A$4:$AU$99,39,FALSE)/VLOOKUP(A31,'Uncorrected Area Counts'!$A$4:$AU$99,3,FALSE)/VLOOKUP(8,'Plate Planning'!$L$20:$S$35,4,FALSE)*VLOOKUP("standard",'Plate Planning'!$L$20:$S$35,4,FALSE)/VLOOKUP(A31,'Uncorrected Area Counts'!$A$4:$AU$99,38,FALSE)*100</f>
        <v>#DIV/0!</v>
      </c>
      <c r="U31" s="589" t="e">
        <f>(VLOOKUP(A31,'Uncorrected Area Counts'!$A$4:$AU$99,43,FALSE)/VLOOKUP(A31,'Uncorrected Area Counts'!$A$4:$AU$99,47,FALSE))*100</f>
        <v>#DIV/0!</v>
      </c>
      <c r="V31" s="604" t="e">
        <f>VLOOKUP(A31,'Uncorrected Area Counts'!$A$4:$AU$99,43,FALSE)/VLOOKUP(A31,'Uncorrected Area Counts'!$A$4:$AU$99,3,FALSE)/VLOOKUP(8,'Plate Planning'!$L$20:$S$35,4,FALSE)*VLOOKUP("standard",'Plate Planning'!$L$20:$S$35,4,FALSE)/VLOOKUP(A31,'Uncorrected Area Counts'!$A$4:$AU$99,42,FALSE)*100</f>
        <v>#DIV/0!</v>
      </c>
    </row>
    <row r="32" spans="1:22">
      <c r="A32" s="478" t="s">
        <v>1190</v>
      </c>
      <c r="B32" s="565" t="s">
        <v>22</v>
      </c>
      <c r="C32" s="573" t="e">
        <f>(VLOOKUP(A32,'Uncorrected Area Counts'!$A$4:$AU$99,7,FALSE)/VLOOKUP(A32,'Uncorrected Area Counts'!$A$4:$AU$99,47,FALSE))*100</f>
        <v>#DIV/0!</v>
      </c>
      <c r="D32" s="566" t="e">
        <f>VLOOKUP(A32,'Uncorrected Area Counts'!$A$4:$AU$99,7,FALSE)/VLOOKUP(A32,'Uncorrected Area Counts'!$A$4:$AU$99,3,FALSE)/VLOOKUP(1,'Plate Planning'!$L$20:$S$35,4,FALSE)*VLOOKUP("standard",'Plate Planning'!$L$20:$S$35,4,FALSE)/VLOOKUP(A32,'Uncorrected Area Counts'!$A$4:$AU$99,6,FALSE)*100</f>
        <v>#DIV/0!</v>
      </c>
      <c r="E32" s="576" t="e">
        <f>(VLOOKUP(A32,'Uncorrected Area Counts'!$A$4:$AU$99,11,FALSE)/VLOOKUP(A32,'Uncorrected Area Counts'!$A$4:$AU$99,47,FALSE))*100</f>
        <v>#DIV/0!</v>
      </c>
      <c r="F32" s="566" t="e">
        <f>VLOOKUP(A32,'Uncorrected Area Counts'!$A$4:$AU$99,11,FALSE)/VLOOKUP(A32,'Uncorrected Area Counts'!$A$4:$AU$99,3,FALSE)/VLOOKUP(2,'Plate Planning'!$L$20:$S$35,4,FALSE)*VLOOKUP("standard",'Plate Planning'!$L$20:$S$35,4,FALSE)/VLOOKUP(A32,'Uncorrected Area Counts'!$A$4:$AU$99,10,FALSE)*100</f>
        <v>#DIV/0!</v>
      </c>
      <c r="G32" s="576" t="e">
        <f>(VLOOKUP(A32,'Uncorrected Area Counts'!$A$4:$AU$99,15,FALSE)/VLOOKUP(A32,'Uncorrected Area Counts'!$A$4:$AU$99,47,FALSE))*100</f>
        <v>#DIV/0!</v>
      </c>
      <c r="H32" s="566" t="e">
        <f>VLOOKUP(A32,'Uncorrected Area Counts'!$A$4:$AU$99,15,FALSE)/VLOOKUP(A32,'Uncorrected Area Counts'!$A$4:$AU$99,3,FALSE)/VLOOKUP(3,'Plate Planning'!$L$20:$S$35,4,FALSE)*VLOOKUP("standard",'Plate Planning'!$L$20:$S$35,4,FALSE)/VLOOKUP(A32,'Uncorrected Area Counts'!$A$4:$AU$99,14,FALSE)*100</f>
        <v>#DIV/0!</v>
      </c>
      <c r="I32" s="576" t="e">
        <f>(VLOOKUP(A32,'Uncorrected Area Counts'!$A$4:$AU$99,19,FALSE)/VLOOKUP(A32,'Uncorrected Area Counts'!$A$4:$AU$99,47,FALSE))*100</f>
        <v>#DIV/0!</v>
      </c>
      <c r="J32" s="567" t="e">
        <f>VLOOKUP(A32,'Uncorrected Area Counts'!$A$4:$AU$99,19,FALSE)/VLOOKUP(A32,'Uncorrected Area Counts'!$A$4:$AU$99,3,FALSE)/VLOOKUP(4,'Plate Planning'!$L$20:$S$35,4,FALSE)*VLOOKUP("standard",'Plate Planning'!$L$20:$S$35,4,FALSE)/VLOOKUP(A32,'Uncorrected Area Counts'!$A$4:$AU$99,18,FALSE)*100</f>
        <v>#DIV/0!</v>
      </c>
      <c r="K32" s="581" t="e">
        <f>(VLOOKUP(A32,'Uncorrected Area Counts'!$A$4:$AU$99,23,FALSE)/VLOOKUP(A32,'Uncorrected Area Counts'!$A$4:$AU$99,47,FALSE))*100</f>
        <v>#DIV/0!</v>
      </c>
      <c r="L32" s="568" t="e">
        <f>VLOOKUP(A32,'Uncorrected Area Counts'!$A$4:$AU$99,23,FALSE)/VLOOKUP(A32,'Uncorrected Area Counts'!$A$4:$AU$99,3,FALSE)/VLOOKUP(5,'Plate Planning'!$L$20:$S$35,4,FALSE)*VLOOKUP("standard",'Plate Planning'!$L$20:$S$35,4,FALSE)/VLOOKUP(A32,'Uncorrected Area Counts'!$A$4:$AU$99,22,FALSE)*100</f>
        <v>#DIV/0!</v>
      </c>
      <c r="M32" s="581" t="e">
        <f>(VLOOKUP(A32,'Uncorrected Area Counts'!$A$4:$AU$99,27,FALSE)/VLOOKUP(A32,'Uncorrected Area Counts'!$A$4:$AU$99,47,FALSE))*100</f>
        <v>#DIV/0!</v>
      </c>
      <c r="N32" s="567" t="e">
        <f>VLOOKUP(A32,'Uncorrected Area Counts'!$A$4:$AU$99,27,FALSE)/VLOOKUP(A32,'Uncorrected Area Counts'!$A$4:$AU$99,3,FALSE)/VLOOKUP(6,'Plate Planning'!$L$20:$S$35,4,FALSE)*VLOOKUP("standard",'Plate Planning'!$L$20:$S$35,4,FALSE)/VLOOKUP(A32,'Uncorrected Area Counts'!$A$4:$AU$99,26,FALSE)*100</f>
        <v>#DIV/0!</v>
      </c>
      <c r="O32" s="581" t="e">
        <f>(VLOOKUP(A32,'Uncorrected Area Counts'!$A$4:$AU$99,31,FALSE)/VLOOKUP(A32,'Uncorrected Area Counts'!$A$4:$AU$99,47,FALSE))*100</f>
        <v>#DIV/0!</v>
      </c>
      <c r="P32" s="568" t="e">
        <f>VLOOKUP(A32,'Uncorrected Area Counts'!$A$4:$AU$99,31,FALSE)/VLOOKUP(A32,'Uncorrected Area Counts'!$A$4:$AU$99,3,FALSE)/VLOOKUP(7,'Plate Planning'!$L$20:$S$35,4,FALSE)*VLOOKUP("standard",'Plate Planning'!$L$20:$S$35,4,FALSE)/VLOOKUP(A32,'Uncorrected Area Counts'!$A$4:$AU$99,30,FALSE)*100</f>
        <v>#DIV/0!</v>
      </c>
      <c r="Q32" s="581" t="e">
        <f>(VLOOKUP(A32,'Uncorrected Area Counts'!$A$4:$AU$99,35,FALSE)/VLOOKUP(A32,'Uncorrected Area Counts'!$A$4:$AU$99,47,FALSE))*100</f>
        <v>#DIV/0!</v>
      </c>
      <c r="R32" s="477" t="e">
        <f>VLOOKUP(A32,'Uncorrected Area Counts'!$A$4:$AU$99,35,FALSE)/VLOOKUP(A32,'Uncorrected Area Counts'!$A$4:$AU$99,3,FALSE)/VLOOKUP(8,'Plate Planning'!$L$20:$S$35,4,FALSE)*VLOOKUP("standard",'Plate Planning'!$L$20:$S$35,4,FALSE)/VLOOKUP(A32,'Uncorrected Area Counts'!$A$4:$AU$99,34,FALSE)*100</f>
        <v>#DIV/0!</v>
      </c>
      <c r="S32" s="589" t="e">
        <f>(VLOOKUP(A32,'Uncorrected Area Counts'!$A$4:$AU$99,39,FALSE)/VLOOKUP(A32,'Uncorrected Area Counts'!$A$4:$AU$99,47,FALSE))*100</f>
        <v>#DIV/0!</v>
      </c>
      <c r="T32" s="569" t="e">
        <f>VLOOKUP(A32,'Uncorrected Area Counts'!$A$4:$AU$99,39,FALSE)/VLOOKUP(A32,'Uncorrected Area Counts'!$A$4:$AU$99,3,FALSE)/VLOOKUP(8,'Plate Planning'!$L$20:$S$35,4,FALSE)*VLOOKUP("standard",'Plate Planning'!$L$20:$S$35,4,FALSE)/VLOOKUP(A32,'Uncorrected Area Counts'!$A$4:$AU$99,38,FALSE)*100</f>
        <v>#DIV/0!</v>
      </c>
      <c r="U32" s="589" t="e">
        <f>(VLOOKUP(A32,'Uncorrected Area Counts'!$A$4:$AU$99,43,FALSE)/VLOOKUP(A32,'Uncorrected Area Counts'!$A$4:$AU$99,47,FALSE))*100</f>
        <v>#DIV/0!</v>
      </c>
      <c r="V32" s="604" t="e">
        <f>VLOOKUP(A32,'Uncorrected Area Counts'!$A$4:$AU$99,43,FALSE)/VLOOKUP(A32,'Uncorrected Area Counts'!$A$4:$AU$99,3,FALSE)/VLOOKUP(8,'Plate Planning'!$L$20:$S$35,4,FALSE)*VLOOKUP("standard",'Plate Planning'!$L$20:$S$35,4,FALSE)/VLOOKUP(A32,'Uncorrected Area Counts'!$A$4:$AU$99,42,FALSE)*100</f>
        <v>#DIV/0!</v>
      </c>
    </row>
    <row r="33" spans="1:22">
      <c r="A33" s="478" t="s">
        <v>1191</v>
      </c>
      <c r="B33" s="565" t="s">
        <v>22</v>
      </c>
      <c r="C33" s="573" t="e">
        <f>(VLOOKUP(A33,'Uncorrected Area Counts'!$A$4:$AU$99,7,FALSE)/VLOOKUP(A33,'Uncorrected Area Counts'!$A$4:$AU$99,47,FALSE))*100</f>
        <v>#DIV/0!</v>
      </c>
      <c r="D33" s="566" t="e">
        <f>VLOOKUP(A33,'Uncorrected Area Counts'!$A$4:$AU$99,7,FALSE)/VLOOKUP(A33,'Uncorrected Area Counts'!$A$4:$AU$99,3,FALSE)/VLOOKUP(1,'Plate Planning'!$L$20:$S$35,4,FALSE)*VLOOKUP("standard",'Plate Planning'!$L$20:$S$35,4,FALSE)/VLOOKUP(A33,'Uncorrected Area Counts'!$A$4:$AU$99,6,FALSE)*100</f>
        <v>#DIV/0!</v>
      </c>
      <c r="E33" s="576" t="e">
        <f>(VLOOKUP(A33,'Uncorrected Area Counts'!$A$4:$AU$99,11,FALSE)/VLOOKUP(A33,'Uncorrected Area Counts'!$A$4:$AU$99,47,FALSE))*100</f>
        <v>#DIV/0!</v>
      </c>
      <c r="F33" s="566" t="e">
        <f>VLOOKUP(A33,'Uncorrected Area Counts'!$A$4:$AU$99,11,FALSE)/VLOOKUP(A33,'Uncorrected Area Counts'!$A$4:$AU$99,3,FALSE)/VLOOKUP(2,'Plate Planning'!$L$20:$S$35,4,FALSE)*VLOOKUP("standard",'Plate Planning'!$L$20:$S$35,4,FALSE)/VLOOKUP(A33,'Uncorrected Area Counts'!$A$4:$AU$99,10,FALSE)*100</f>
        <v>#DIV/0!</v>
      </c>
      <c r="G33" s="576" t="e">
        <f>(VLOOKUP(A33,'Uncorrected Area Counts'!$A$4:$AU$99,15,FALSE)/VLOOKUP(A33,'Uncorrected Area Counts'!$A$4:$AU$99,47,FALSE))*100</f>
        <v>#DIV/0!</v>
      </c>
      <c r="H33" s="566" t="e">
        <f>VLOOKUP(A33,'Uncorrected Area Counts'!$A$4:$AU$99,15,FALSE)/VLOOKUP(A33,'Uncorrected Area Counts'!$A$4:$AU$99,3,FALSE)/VLOOKUP(3,'Plate Planning'!$L$20:$S$35,4,FALSE)*VLOOKUP("standard",'Plate Planning'!$L$20:$S$35,4,FALSE)/VLOOKUP(A33,'Uncorrected Area Counts'!$A$4:$AU$99,14,FALSE)*100</f>
        <v>#DIV/0!</v>
      </c>
      <c r="I33" s="576" t="e">
        <f>(VLOOKUP(A33,'Uncorrected Area Counts'!$A$4:$AU$99,19,FALSE)/VLOOKUP(A33,'Uncorrected Area Counts'!$A$4:$AU$99,47,FALSE))*100</f>
        <v>#DIV/0!</v>
      </c>
      <c r="J33" s="567" t="e">
        <f>VLOOKUP(A33,'Uncorrected Area Counts'!$A$4:$AU$99,19,FALSE)/VLOOKUP(A33,'Uncorrected Area Counts'!$A$4:$AU$99,3,FALSE)/VLOOKUP(4,'Plate Planning'!$L$20:$S$35,4,FALSE)*VLOOKUP("standard",'Plate Planning'!$L$20:$S$35,4,FALSE)/VLOOKUP(A33,'Uncorrected Area Counts'!$A$4:$AU$99,18,FALSE)*100</f>
        <v>#DIV/0!</v>
      </c>
      <c r="K33" s="581" t="e">
        <f>(VLOOKUP(A33,'Uncorrected Area Counts'!$A$4:$AU$99,23,FALSE)/VLOOKUP(A33,'Uncorrected Area Counts'!$A$4:$AU$99,47,FALSE))*100</f>
        <v>#DIV/0!</v>
      </c>
      <c r="L33" s="568" t="e">
        <f>VLOOKUP(A33,'Uncorrected Area Counts'!$A$4:$AU$99,23,FALSE)/VLOOKUP(A33,'Uncorrected Area Counts'!$A$4:$AU$99,3,FALSE)/VLOOKUP(5,'Plate Planning'!$L$20:$S$35,4,FALSE)*VLOOKUP("standard",'Plate Planning'!$L$20:$S$35,4,FALSE)/VLOOKUP(A33,'Uncorrected Area Counts'!$A$4:$AU$99,22,FALSE)*100</f>
        <v>#DIV/0!</v>
      </c>
      <c r="M33" s="581" t="e">
        <f>(VLOOKUP(A33,'Uncorrected Area Counts'!$A$4:$AU$99,27,FALSE)/VLOOKUP(A33,'Uncorrected Area Counts'!$A$4:$AU$99,47,FALSE))*100</f>
        <v>#DIV/0!</v>
      </c>
      <c r="N33" s="567" t="e">
        <f>VLOOKUP(A33,'Uncorrected Area Counts'!$A$4:$AU$99,27,FALSE)/VLOOKUP(A33,'Uncorrected Area Counts'!$A$4:$AU$99,3,FALSE)/VLOOKUP(6,'Plate Planning'!$L$20:$S$35,4,FALSE)*VLOOKUP("standard",'Plate Planning'!$L$20:$S$35,4,FALSE)/VLOOKUP(A33,'Uncorrected Area Counts'!$A$4:$AU$99,26,FALSE)*100</f>
        <v>#DIV/0!</v>
      </c>
      <c r="O33" s="581" t="e">
        <f>(VLOOKUP(A33,'Uncorrected Area Counts'!$A$4:$AU$99,31,FALSE)/VLOOKUP(A33,'Uncorrected Area Counts'!$A$4:$AU$99,47,FALSE))*100</f>
        <v>#DIV/0!</v>
      </c>
      <c r="P33" s="568" t="e">
        <f>VLOOKUP(A33,'Uncorrected Area Counts'!$A$4:$AU$99,31,FALSE)/VLOOKUP(A33,'Uncorrected Area Counts'!$A$4:$AU$99,3,FALSE)/VLOOKUP(7,'Plate Planning'!$L$20:$S$35,4,FALSE)*VLOOKUP("standard",'Plate Planning'!$L$20:$S$35,4,FALSE)/VLOOKUP(A33,'Uncorrected Area Counts'!$A$4:$AU$99,30,FALSE)*100</f>
        <v>#DIV/0!</v>
      </c>
      <c r="Q33" s="581" t="e">
        <f>(VLOOKUP(A33,'Uncorrected Area Counts'!$A$4:$AU$99,35,FALSE)/VLOOKUP(A33,'Uncorrected Area Counts'!$A$4:$AU$99,47,FALSE))*100</f>
        <v>#DIV/0!</v>
      </c>
      <c r="R33" s="477" t="e">
        <f>VLOOKUP(A33,'Uncorrected Area Counts'!$A$4:$AU$99,35,FALSE)/VLOOKUP(A33,'Uncorrected Area Counts'!$A$4:$AU$99,3,FALSE)/VLOOKUP(8,'Plate Planning'!$L$20:$S$35,4,FALSE)*VLOOKUP("standard",'Plate Planning'!$L$20:$S$35,4,FALSE)/VLOOKUP(A33,'Uncorrected Area Counts'!$A$4:$AU$99,34,FALSE)*100</f>
        <v>#DIV/0!</v>
      </c>
      <c r="S33" s="589" t="e">
        <f>(VLOOKUP(A33,'Uncorrected Area Counts'!$A$4:$AU$99,39,FALSE)/VLOOKUP(A33,'Uncorrected Area Counts'!$A$4:$AU$99,47,FALSE))*100</f>
        <v>#DIV/0!</v>
      </c>
      <c r="T33" s="569" t="e">
        <f>VLOOKUP(A33,'Uncorrected Area Counts'!$A$4:$AU$99,39,FALSE)/VLOOKUP(A33,'Uncorrected Area Counts'!$A$4:$AU$99,3,FALSE)/VLOOKUP(8,'Plate Planning'!$L$20:$S$35,4,FALSE)*VLOOKUP("standard",'Plate Planning'!$L$20:$S$35,4,FALSE)/VLOOKUP(A33,'Uncorrected Area Counts'!$A$4:$AU$99,38,FALSE)*100</f>
        <v>#DIV/0!</v>
      </c>
      <c r="U33" s="589" t="e">
        <f>(VLOOKUP(A33,'Uncorrected Area Counts'!$A$4:$AU$99,43,FALSE)/VLOOKUP(A33,'Uncorrected Area Counts'!$A$4:$AU$99,47,FALSE))*100</f>
        <v>#DIV/0!</v>
      </c>
      <c r="V33" s="604" t="e">
        <f>VLOOKUP(A33,'Uncorrected Area Counts'!$A$4:$AU$99,43,FALSE)/VLOOKUP(A33,'Uncorrected Area Counts'!$A$4:$AU$99,3,FALSE)/VLOOKUP(8,'Plate Planning'!$L$20:$S$35,4,FALSE)*VLOOKUP("standard",'Plate Planning'!$L$20:$S$35,4,FALSE)/VLOOKUP(A33,'Uncorrected Area Counts'!$A$4:$AU$99,42,FALSE)*100</f>
        <v>#DIV/0!</v>
      </c>
    </row>
    <row r="34" spans="1:22">
      <c r="A34" s="478" t="s">
        <v>1192</v>
      </c>
      <c r="B34" s="565" t="s">
        <v>22</v>
      </c>
      <c r="C34" s="573" t="e">
        <f>(VLOOKUP(A34,'Uncorrected Area Counts'!$A$4:$AU$99,7,FALSE)/VLOOKUP(A34,'Uncorrected Area Counts'!$A$4:$AU$99,47,FALSE))*100</f>
        <v>#DIV/0!</v>
      </c>
      <c r="D34" s="566" t="e">
        <f>VLOOKUP(A34,'Uncorrected Area Counts'!$A$4:$AU$99,7,FALSE)/VLOOKUP(A34,'Uncorrected Area Counts'!$A$4:$AU$99,3,FALSE)/VLOOKUP(1,'Plate Planning'!$L$20:$S$35,4,FALSE)*VLOOKUP("standard",'Plate Planning'!$L$20:$S$35,4,FALSE)/VLOOKUP(A34,'Uncorrected Area Counts'!$A$4:$AU$99,6,FALSE)*100</f>
        <v>#DIV/0!</v>
      </c>
      <c r="E34" s="576" t="e">
        <f>(VLOOKUP(A34,'Uncorrected Area Counts'!$A$4:$AU$99,11,FALSE)/VLOOKUP(A34,'Uncorrected Area Counts'!$A$4:$AU$99,47,FALSE))*100</f>
        <v>#DIV/0!</v>
      </c>
      <c r="F34" s="566" t="e">
        <f>VLOOKUP(A34,'Uncorrected Area Counts'!$A$4:$AU$99,11,FALSE)/VLOOKUP(A34,'Uncorrected Area Counts'!$A$4:$AU$99,3,FALSE)/VLOOKUP(2,'Plate Planning'!$L$20:$S$35,4,FALSE)*VLOOKUP("standard",'Plate Planning'!$L$20:$S$35,4,FALSE)/VLOOKUP(A34,'Uncorrected Area Counts'!$A$4:$AU$99,10,FALSE)*100</f>
        <v>#DIV/0!</v>
      </c>
      <c r="G34" s="576" t="e">
        <f>(VLOOKUP(A34,'Uncorrected Area Counts'!$A$4:$AU$99,15,FALSE)/VLOOKUP(A34,'Uncorrected Area Counts'!$A$4:$AU$99,47,FALSE))*100</f>
        <v>#DIV/0!</v>
      </c>
      <c r="H34" s="566" t="e">
        <f>VLOOKUP(A34,'Uncorrected Area Counts'!$A$4:$AU$99,15,FALSE)/VLOOKUP(A34,'Uncorrected Area Counts'!$A$4:$AU$99,3,FALSE)/VLOOKUP(3,'Plate Planning'!$L$20:$S$35,4,FALSE)*VLOOKUP("standard",'Plate Planning'!$L$20:$S$35,4,FALSE)/VLOOKUP(A34,'Uncorrected Area Counts'!$A$4:$AU$99,14,FALSE)*100</f>
        <v>#DIV/0!</v>
      </c>
      <c r="I34" s="576" t="e">
        <f>(VLOOKUP(A34,'Uncorrected Area Counts'!$A$4:$AU$99,19,FALSE)/VLOOKUP(A34,'Uncorrected Area Counts'!$A$4:$AU$99,47,FALSE))*100</f>
        <v>#DIV/0!</v>
      </c>
      <c r="J34" s="567" t="e">
        <f>VLOOKUP(A34,'Uncorrected Area Counts'!$A$4:$AU$99,19,FALSE)/VLOOKUP(A34,'Uncorrected Area Counts'!$A$4:$AU$99,3,FALSE)/VLOOKUP(4,'Plate Planning'!$L$20:$S$35,4,FALSE)*VLOOKUP("standard",'Plate Planning'!$L$20:$S$35,4,FALSE)/VLOOKUP(A34,'Uncorrected Area Counts'!$A$4:$AU$99,18,FALSE)*100</f>
        <v>#DIV/0!</v>
      </c>
      <c r="K34" s="581" t="e">
        <f>(VLOOKUP(A34,'Uncorrected Area Counts'!$A$4:$AU$99,23,FALSE)/VLOOKUP(A34,'Uncorrected Area Counts'!$A$4:$AU$99,47,FALSE))*100</f>
        <v>#DIV/0!</v>
      </c>
      <c r="L34" s="568" t="e">
        <f>VLOOKUP(A34,'Uncorrected Area Counts'!$A$4:$AU$99,23,FALSE)/VLOOKUP(A34,'Uncorrected Area Counts'!$A$4:$AU$99,3,FALSE)/VLOOKUP(5,'Plate Planning'!$L$20:$S$35,4,FALSE)*VLOOKUP("standard",'Plate Planning'!$L$20:$S$35,4,FALSE)/VLOOKUP(A34,'Uncorrected Area Counts'!$A$4:$AU$99,22,FALSE)*100</f>
        <v>#DIV/0!</v>
      </c>
      <c r="M34" s="581" t="e">
        <f>(VLOOKUP(A34,'Uncorrected Area Counts'!$A$4:$AU$99,27,FALSE)/VLOOKUP(A34,'Uncorrected Area Counts'!$A$4:$AU$99,47,FALSE))*100</f>
        <v>#DIV/0!</v>
      </c>
      <c r="N34" s="567" t="e">
        <f>VLOOKUP(A34,'Uncorrected Area Counts'!$A$4:$AU$99,27,FALSE)/VLOOKUP(A34,'Uncorrected Area Counts'!$A$4:$AU$99,3,FALSE)/VLOOKUP(6,'Plate Planning'!$L$20:$S$35,4,FALSE)*VLOOKUP("standard",'Plate Planning'!$L$20:$S$35,4,FALSE)/VLOOKUP(A34,'Uncorrected Area Counts'!$A$4:$AU$99,26,FALSE)*100</f>
        <v>#DIV/0!</v>
      </c>
      <c r="O34" s="581" t="e">
        <f>(VLOOKUP(A34,'Uncorrected Area Counts'!$A$4:$AU$99,31,FALSE)/VLOOKUP(A34,'Uncorrected Area Counts'!$A$4:$AU$99,47,FALSE))*100</f>
        <v>#DIV/0!</v>
      </c>
      <c r="P34" s="568" t="e">
        <f>VLOOKUP(A34,'Uncorrected Area Counts'!$A$4:$AU$99,31,FALSE)/VLOOKUP(A34,'Uncorrected Area Counts'!$A$4:$AU$99,3,FALSE)/VLOOKUP(7,'Plate Planning'!$L$20:$S$35,4,FALSE)*VLOOKUP("standard",'Plate Planning'!$L$20:$S$35,4,FALSE)/VLOOKUP(A34,'Uncorrected Area Counts'!$A$4:$AU$99,30,FALSE)*100</f>
        <v>#DIV/0!</v>
      </c>
      <c r="Q34" s="581" t="e">
        <f>(VLOOKUP(A34,'Uncorrected Area Counts'!$A$4:$AU$99,35,FALSE)/VLOOKUP(A34,'Uncorrected Area Counts'!$A$4:$AU$99,47,FALSE))*100</f>
        <v>#DIV/0!</v>
      </c>
      <c r="R34" s="477" t="e">
        <f>VLOOKUP(A34,'Uncorrected Area Counts'!$A$4:$AU$99,35,FALSE)/VLOOKUP(A34,'Uncorrected Area Counts'!$A$4:$AU$99,3,FALSE)/VLOOKUP(8,'Plate Planning'!$L$20:$S$35,4,FALSE)*VLOOKUP("standard",'Plate Planning'!$L$20:$S$35,4,FALSE)/VLOOKUP(A34,'Uncorrected Area Counts'!$A$4:$AU$99,34,FALSE)*100</f>
        <v>#DIV/0!</v>
      </c>
      <c r="S34" s="589" t="e">
        <f>(VLOOKUP(A34,'Uncorrected Area Counts'!$A$4:$AU$99,39,FALSE)/VLOOKUP(A34,'Uncorrected Area Counts'!$A$4:$AU$99,47,FALSE))*100</f>
        <v>#DIV/0!</v>
      </c>
      <c r="T34" s="569" t="e">
        <f>VLOOKUP(A34,'Uncorrected Area Counts'!$A$4:$AU$99,39,FALSE)/VLOOKUP(A34,'Uncorrected Area Counts'!$A$4:$AU$99,3,FALSE)/VLOOKUP(8,'Plate Planning'!$L$20:$S$35,4,FALSE)*VLOOKUP("standard",'Plate Planning'!$L$20:$S$35,4,FALSE)/VLOOKUP(A34,'Uncorrected Area Counts'!$A$4:$AU$99,38,FALSE)*100</f>
        <v>#DIV/0!</v>
      </c>
      <c r="U34" s="589" t="e">
        <f>(VLOOKUP(A34,'Uncorrected Area Counts'!$A$4:$AU$99,43,FALSE)/VLOOKUP(A34,'Uncorrected Area Counts'!$A$4:$AU$99,47,FALSE))*100</f>
        <v>#DIV/0!</v>
      </c>
      <c r="V34" s="604" t="e">
        <f>VLOOKUP(A34,'Uncorrected Area Counts'!$A$4:$AU$99,43,FALSE)/VLOOKUP(A34,'Uncorrected Area Counts'!$A$4:$AU$99,3,FALSE)/VLOOKUP(8,'Plate Planning'!$L$20:$S$35,4,FALSE)*VLOOKUP("standard",'Plate Planning'!$L$20:$S$35,4,FALSE)/VLOOKUP(A34,'Uncorrected Area Counts'!$A$4:$AU$99,42,FALSE)*100</f>
        <v>#DIV/0!</v>
      </c>
    </row>
    <row r="35" spans="1:22">
      <c r="A35" s="478" t="s">
        <v>1193</v>
      </c>
      <c r="B35" s="565" t="s">
        <v>22</v>
      </c>
      <c r="C35" s="573" t="e">
        <f>(VLOOKUP(A35,'Uncorrected Area Counts'!$A$4:$AU$99,7,FALSE)/VLOOKUP(A35,'Uncorrected Area Counts'!$A$4:$AU$99,47,FALSE))*100</f>
        <v>#DIV/0!</v>
      </c>
      <c r="D35" s="566" t="e">
        <f>VLOOKUP(A35,'Uncorrected Area Counts'!$A$4:$AU$99,7,FALSE)/VLOOKUP(A35,'Uncorrected Area Counts'!$A$4:$AU$99,3,FALSE)/VLOOKUP(1,'Plate Planning'!$L$20:$S$35,4,FALSE)*VLOOKUP("standard",'Plate Planning'!$L$20:$S$35,4,FALSE)/VLOOKUP(A35,'Uncorrected Area Counts'!$A$4:$AU$99,6,FALSE)*100</f>
        <v>#DIV/0!</v>
      </c>
      <c r="E35" s="576" t="e">
        <f>(VLOOKUP(A35,'Uncorrected Area Counts'!$A$4:$AU$99,11,FALSE)/VLOOKUP(A35,'Uncorrected Area Counts'!$A$4:$AU$99,47,FALSE))*100</f>
        <v>#DIV/0!</v>
      </c>
      <c r="F35" s="566" t="e">
        <f>VLOOKUP(A35,'Uncorrected Area Counts'!$A$4:$AU$99,11,FALSE)/VLOOKUP(A35,'Uncorrected Area Counts'!$A$4:$AU$99,3,FALSE)/VLOOKUP(2,'Plate Planning'!$L$20:$S$35,4,FALSE)*VLOOKUP("standard",'Plate Planning'!$L$20:$S$35,4,FALSE)/VLOOKUP(A35,'Uncorrected Area Counts'!$A$4:$AU$99,10,FALSE)*100</f>
        <v>#DIV/0!</v>
      </c>
      <c r="G35" s="576" t="e">
        <f>(VLOOKUP(A35,'Uncorrected Area Counts'!$A$4:$AU$99,15,FALSE)/VLOOKUP(A35,'Uncorrected Area Counts'!$A$4:$AU$99,47,FALSE))*100</f>
        <v>#DIV/0!</v>
      </c>
      <c r="H35" s="566" t="e">
        <f>VLOOKUP(A35,'Uncorrected Area Counts'!$A$4:$AU$99,15,FALSE)/VLOOKUP(A35,'Uncorrected Area Counts'!$A$4:$AU$99,3,FALSE)/VLOOKUP(3,'Plate Planning'!$L$20:$S$35,4,FALSE)*VLOOKUP("standard",'Plate Planning'!$L$20:$S$35,4,FALSE)/VLOOKUP(A35,'Uncorrected Area Counts'!$A$4:$AU$99,14,FALSE)*100</f>
        <v>#DIV/0!</v>
      </c>
      <c r="I35" s="576" t="e">
        <f>(VLOOKUP(A35,'Uncorrected Area Counts'!$A$4:$AU$99,19,FALSE)/VLOOKUP(A35,'Uncorrected Area Counts'!$A$4:$AU$99,47,FALSE))*100</f>
        <v>#DIV/0!</v>
      </c>
      <c r="J35" s="567" t="e">
        <f>VLOOKUP(A35,'Uncorrected Area Counts'!$A$4:$AU$99,19,FALSE)/VLOOKUP(A35,'Uncorrected Area Counts'!$A$4:$AU$99,3,FALSE)/VLOOKUP(4,'Plate Planning'!$L$20:$S$35,4,FALSE)*VLOOKUP("standard",'Plate Planning'!$L$20:$S$35,4,FALSE)/VLOOKUP(A35,'Uncorrected Area Counts'!$A$4:$AU$99,18,FALSE)*100</f>
        <v>#DIV/0!</v>
      </c>
      <c r="K35" s="581" t="e">
        <f>(VLOOKUP(A35,'Uncorrected Area Counts'!$A$4:$AU$99,23,FALSE)/VLOOKUP(A35,'Uncorrected Area Counts'!$A$4:$AU$99,47,FALSE))*100</f>
        <v>#DIV/0!</v>
      </c>
      <c r="L35" s="568" t="e">
        <f>VLOOKUP(A35,'Uncorrected Area Counts'!$A$4:$AU$99,23,FALSE)/VLOOKUP(A35,'Uncorrected Area Counts'!$A$4:$AU$99,3,FALSE)/VLOOKUP(5,'Plate Planning'!$L$20:$S$35,4,FALSE)*VLOOKUP("standard",'Plate Planning'!$L$20:$S$35,4,FALSE)/VLOOKUP(A35,'Uncorrected Area Counts'!$A$4:$AU$99,22,FALSE)*100</f>
        <v>#DIV/0!</v>
      </c>
      <c r="M35" s="581" t="e">
        <f>(VLOOKUP(A35,'Uncorrected Area Counts'!$A$4:$AU$99,27,FALSE)/VLOOKUP(A35,'Uncorrected Area Counts'!$A$4:$AU$99,47,FALSE))*100</f>
        <v>#DIV/0!</v>
      </c>
      <c r="N35" s="567" t="e">
        <f>VLOOKUP(A35,'Uncorrected Area Counts'!$A$4:$AU$99,27,FALSE)/VLOOKUP(A35,'Uncorrected Area Counts'!$A$4:$AU$99,3,FALSE)/VLOOKUP(6,'Plate Planning'!$L$20:$S$35,4,FALSE)*VLOOKUP("standard",'Plate Planning'!$L$20:$S$35,4,FALSE)/VLOOKUP(A35,'Uncorrected Area Counts'!$A$4:$AU$99,26,FALSE)*100</f>
        <v>#DIV/0!</v>
      </c>
      <c r="O35" s="581" t="e">
        <f>(VLOOKUP(A35,'Uncorrected Area Counts'!$A$4:$AU$99,31,FALSE)/VLOOKUP(A35,'Uncorrected Area Counts'!$A$4:$AU$99,47,FALSE))*100</f>
        <v>#DIV/0!</v>
      </c>
      <c r="P35" s="568" t="e">
        <f>VLOOKUP(A35,'Uncorrected Area Counts'!$A$4:$AU$99,31,FALSE)/VLOOKUP(A35,'Uncorrected Area Counts'!$A$4:$AU$99,3,FALSE)/VLOOKUP(7,'Plate Planning'!$L$20:$S$35,4,FALSE)*VLOOKUP("standard",'Plate Planning'!$L$20:$S$35,4,FALSE)/VLOOKUP(A35,'Uncorrected Area Counts'!$A$4:$AU$99,30,FALSE)*100</f>
        <v>#DIV/0!</v>
      </c>
      <c r="Q35" s="581" t="e">
        <f>(VLOOKUP(A35,'Uncorrected Area Counts'!$A$4:$AU$99,35,FALSE)/VLOOKUP(A35,'Uncorrected Area Counts'!$A$4:$AU$99,47,FALSE))*100</f>
        <v>#DIV/0!</v>
      </c>
      <c r="R35" s="477" t="e">
        <f>VLOOKUP(A35,'Uncorrected Area Counts'!$A$4:$AU$99,35,FALSE)/VLOOKUP(A35,'Uncorrected Area Counts'!$A$4:$AU$99,3,FALSE)/VLOOKUP(8,'Plate Planning'!$L$20:$S$35,4,FALSE)*VLOOKUP("standard",'Plate Planning'!$L$20:$S$35,4,FALSE)/VLOOKUP(A35,'Uncorrected Area Counts'!$A$4:$AU$99,34,FALSE)*100</f>
        <v>#DIV/0!</v>
      </c>
      <c r="S35" s="589" t="e">
        <f>(VLOOKUP(A35,'Uncorrected Area Counts'!$A$4:$AU$99,39,FALSE)/VLOOKUP(A35,'Uncorrected Area Counts'!$A$4:$AU$99,47,FALSE))*100</f>
        <v>#DIV/0!</v>
      </c>
      <c r="T35" s="569" t="e">
        <f>VLOOKUP(A35,'Uncorrected Area Counts'!$A$4:$AU$99,39,FALSE)/VLOOKUP(A35,'Uncorrected Area Counts'!$A$4:$AU$99,3,FALSE)/VLOOKUP(8,'Plate Planning'!$L$20:$S$35,4,FALSE)*VLOOKUP("standard",'Plate Planning'!$L$20:$S$35,4,FALSE)/VLOOKUP(A35,'Uncorrected Area Counts'!$A$4:$AU$99,38,FALSE)*100</f>
        <v>#DIV/0!</v>
      </c>
      <c r="U35" s="589" t="e">
        <f>(VLOOKUP(A35,'Uncorrected Area Counts'!$A$4:$AU$99,43,FALSE)/VLOOKUP(A35,'Uncorrected Area Counts'!$A$4:$AU$99,47,FALSE))*100</f>
        <v>#DIV/0!</v>
      </c>
      <c r="V35" s="604" t="e">
        <f>VLOOKUP(A35,'Uncorrected Area Counts'!$A$4:$AU$99,43,FALSE)/VLOOKUP(A35,'Uncorrected Area Counts'!$A$4:$AU$99,3,FALSE)/VLOOKUP(8,'Plate Planning'!$L$20:$S$35,4,FALSE)*VLOOKUP("standard",'Plate Planning'!$L$20:$S$35,4,FALSE)/VLOOKUP(A35,'Uncorrected Area Counts'!$A$4:$AU$99,42,FALSE)*100</f>
        <v>#DIV/0!</v>
      </c>
    </row>
    <row r="36" spans="1:22">
      <c r="A36" s="478" t="s">
        <v>1194</v>
      </c>
      <c r="B36" s="565" t="s">
        <v>22</v>
      </c>
      <c r="C36" s="573" t="e">
        <f>(VLOOKUP(A36,'Uncorrected Area Counts'!$A$4:$AU$99,7,FALSE)/VLOOKUP(A36,'Uncorrected Area Counts'!$A$4:$AU$99,47,FALSE))*100</f>
        <v>#DIV/0!</v>
      </c>
      <c r="D36" s="566" t="e">
        <f>VLOOKUP(A36,'Uncorrected Area Counts'!$A$4:$AU$99,7,FALSE)/VLOOKUP(A36,'Uncorrected Area Counts'!$A$4:$AU$99,3,FALSE)/VLOOKUP(1,'Plate Planning'!$L$20:$S$35,4,FALSE)*VLOOKUP("standard",'Plate Planning'!$L$20:$S$35,4,FALSE)/VLOOKUP(A36,'Uncorrected Area Counts'!$A$4:$AU$99,6,FALSE)*100</f>
        <v>#DIV/0!</v>
      </c>
      <c r="E36" s="576" t="e">
        <f>(VLOOKUP(A36,'Uncorrected Area Counts'!$A$4:$AU$99,11,FALSE)/VLOOKUP(A36,'Uncorrected Area Counts'!$A$4:$AU$99,47,FALSE))*100</f>
        <v>#DIV/0!</v>
      </c>
      <c r="F36" s="566" t="e">
        <f>VLOOKUP(A36,'Uncorrected Area Counts'!$A$4:$AU$99,11,FALSE)/VLOOKUP(A36,'Uncorrected Area Counts'!$A$4:$AU$99,3,FALSE)/VLOOKUP(2,'Plate Planning'!$L$20:$S$35,4,FALSE)*VLOOKUP("standard",'Plate Planning'!$L$20:$S$35,4,FALSE)/VLOOKUP(A36,'Uncorrected Area Counts'!$A$4:$AU$99,10,FALSE)*100</f>
        <v>#DIV/0!</v>
      </c>
      <c r="G36" s="576" t="e">
        <f>(VLOOKUP(A36,'Uncorrected Area Counts'!$A$4:$AU$99,15,FALSE)/VLOOKUP(A36,'Uncorrected Area Counts'!$A$4:$AU$99,47,FALSE))*100</f>
        <v>#DIV/0!</v>
      </c>
      <c r="H36" s="566" t="e">
        <f>VLOOKUP(A36,'Uncorrected Area Counts'!$A$4:$AU$99,15,FALSE)/VLOOKUP(A36,'Uncorrected Area Counts'!$A$4:$AU$99,3,FALSE)/VLOOKUP(3,'Plate Planning'!$L$20:$S$35,4,FALSE)*VLOOKUP("standard",'Plate Planning'!$L$20:$S$35,4,FALSE)/VLOOKUP(A36,'Uncorrected Area Counts'!$A$4:$AU$99,14,FALSE)*100</f>
        <v>#DIV/0!</v>
      </c>
      <c r="I36" s="576" t="e">
        <f>(VLOOKUP(A36,'Uncorrected Area Counts'!$A$4:$AU$99,19,FALSE)/VLOOKUP(A36,'Uncorrected Area Counts'!$A$4:$AU$99,47,FALSE))*100</f>
        <v>#DIV/0!</v>
      </c>
      <c r="J36" s="567" t="e">
        <f>VLOOKUP(A36,'Uncorrected Area Counts'!$A$4:$AU$99,19,FALSE)/VLOOKUP(A36,'Uncorrected Area Counts'!$A$4:$AU$99,3,FALSE)/VLOOKUP(4,'Plate Planning'!$L$20:$S$35,4,FALSE)*VLOOKUP("standard",'Plate Planning'!$L$20:$S$35,4,FALSE)/VLOOKUP(A36,'Uncorrected Area Counts'!$A$4:$AU$99,18,FALSE)*100</f>
        <v>#DIV/0!</v>
      </c>
      <c r="K36" s="581" t="e">
        <f>(VLOOKUP(A36,'Uncorrected Area Counts'!$A$4:$AU$99,23,FALSE)/VLOOKUP(A36,'Uncorrected Area Counts'!$A$4:$AU$99,47,FALSE))*100</f>
        <v>#DIV/0!</v>
      </c>
      <c r="L36" s="568" t="e">
        <f>VLOOKUP(A36,'Uncorrected Area Counts'!$A$4:$AU$99,23,FALSE)/VLOOKUP(A36,'Uncorrected Area Counts'!$A$4:$AU$99,3,FALSE)/VLOOKUP(5,'Plate Planning'!$L$20:$S$35,4,FALSE)*VLOOKUP("standard",'Plate Planning'!$L$20:$S$35,4,FALSE)/VLOOKUP(A36,'Uncorrected Area Counts'!$A$4:$AU$99,22,FALSE)*100</f>
        <v>#DIV/0!</v>
      </c>
      <c r="M36" s="581" t="e">
        <f>(VLOOKUP(A36,'Uncorrected Area Counts'!$A$4:$AU$99,27,FALSE)/VLOOKUP(A36,'Uncorrected Area Counts'!$A$4:$AU$99,47,FALSE))*100</f>
        <v>#DIV/0!</v>
      </c>
      <c r="N36" s="567" t="e">
        <f>VLOOKUP(A36,'Uncorrected Area Counts'!$A$4:$AU$99,27,FALSE)/VLOOKUP(A36,'Uncorrected Area Counts'!$A$4:$AU$99,3,FALSE)/VLOOKUP(6,'Plate Planning'!$L$20:$S$35,4,FALSE)*VLOOKUP("standard",'Plate Planning'!$L$20:$S$35,4,FALSE)/VLOOKUP(A36,'Uncorrected Area Counts'!$A$4:$AU$99,26,FALSE)*100</f>
        <v>#DIV/0!</v>
      </c>
      <c r="O36" s="581" t="e">
        <f>(VLOOKUP(A36,'Uncorrected Area Counts'!$A$4:$AU$99,31,FALSE)/VLOOKUP(A36,'Uncorrected Area Counts'!$A$4:$AU$99,47,FALSE))*100</f>
        <v>#DIV/0!</v>
      </c>
      <c r="P36" s="568" t="e">
        <f>VLOOKUP(A36,'Uncorrected Area Counts'!$A$4:$AU$99,31,FALSE)/VLOOKUP(A36,'Uncorrected Area Counts'!$A$4:$AU$99,3,FALSE)/VLOOKUP(7,'Plate Planning'!$L$20:$S$35,4,FALSE)*VLOOKUP("standard",'Plate Planning'!$L$20:$S$35,4,FALSE)/VLOOKUP(A36,'Uncorrected Area Counts'!$A$4:$AU$99,30,FALSE)*100</f>
        <v>#DIV/0!</v>
      </c>
      <c r="Q36" s="581" t="e">
        <f>(VLOOKUP(A36,'Uncorrected Area Counts'!$A$4:$AU$99,35,FALSE)/VLOOKUP(A36,'Uncorrected Area Counts'!$A$4:$AU$99,47,FALSE))*100</f>
        <v>#DIV/0!</v>
      </c>
      <c r="R36" s="477" t="e">
        <f>VLOOKUP(A36,'Uncorrected Area Counts'!$A$4:$AU$99,35,FALSE)/VLOOKUP(A36,'Uncorrected Area Counts'!$A$4:$AU$99,3,FALSE)/VLOOKUP(8,'Plate Planning'!$L$20:$S$35,4,FALSE)*VLOOKUP("standard",'Plate Planning'!$L$20:$S$35,4,FALSE)/VLOOKUP(A36,'Uncorrected Area Counts'!$A$4:$AU$99,34,FALSE)*100</f>
        <v>#DIV/0!</v>
      </c>
      <c r="S36" s="589" t="e">
        <f>(VLOOKUP(A36,'Uncorrected Area Counts'!$A$4:$AU$99,39,FALSE)/VLOOKUP(A36,'Uncorrected Area Counts'!$A$4:$AU$99,47,FALSE))*100</f>
        <v>#DIV/0!</v>
      </c>
      <c r="T36" s="569" t="e">
        <f>VLOOKUP(A36,'Uncorrected Area Counts'!$A$4:$AU$99,39,FALSE)/VLOOKUP(A36,'Uncorrected Area Counts'!$A$4:$AU$99,3,FALSE)/VLOOKUP(8,'Plate Planning'!$L$20:$S$35,4,FALSE)*VLOOKUP("standard",'Plate Planning'!$L$20:$S$35,4,FALSE)/VLOOKUP(A36,'Uncorrected Area Counts'!$A$4:$AU$99,38,FALSE)*100</f>
        <v>#DIV/0!</v>
      </c>
      <c r="U36" s="589" t="e">
        <f>(VLOOKUP(A36,'Uncorrected Area Counts'!$A$4:$AU$99,43,FALSE)/VLOOKUP(A36,'Uncorrected Area Counts'!$A$4:$AU$99,47,FALSE))*100</f>
        <v>#DIV/0!</v>
      </c>
      <c r="V36" s="604" t="e">
        <f>VLOOKUP(A36,'Uncorrected Area Counts'!$A$4:$AU$99,43,FALSE)/VLOOKUP(A36,'Uncorrected Area Counts'!$A$4:$AU$99,3,FALSE)/VLOOKUP(8,'Plate Planning'!$L$20:$S$35,4,FALSE)*VLOOKUP("standard",'Plate Planning'!$L$20:$S$35,4,FALSE)/VLOOKUP(A36,'Uncorrected Area Counts'!$A$4:$AU$99,42,FALSE)*100</f>
        <v>#DIV/0!</v>
      </c>
    </row>
    <row r="37" spans="1:22">
      <c r="A37" s="478" t="s">
        <v>1195</v>
      </c>
      <c r="B37" s="565" t="s">
        <v>22</v>
      </c>
      <c r="C37" s="573" t="e">
        <f>(VLOOKUP(A37,'Uncorrected Area Counts'!$A$4:$AU$99,7,FALSE)/VLOOKUP(A37,'Uncorrected Area Counts'!$A$4:$AU$99,47,FALSE))*100</f>
        <v>#DIV/0!</v>
      </c>
      <c r="D37" s="566" t="e">
        <f>VLOOKUP(A37,'Uncorrected Area Counts'!$A$4:$AU$99,7,FALSE)/VLOOKUP(A37,'Uncorrected Area Counts'!$A$4:$AU$99,3,FALSE)/VLOOKUP(1,'Plate Planning'!$L$20:$S$35,4,FALSE)*VLOOKUP("standard",'Plate Planning'!$L$20:$S$35,4,FALSE)/VLOOKUP(A37,'Uncorrected Area Counts'!$A$4:$AU$99,6,FALSE)*100</f>
        <v>#DIV/0!</v>
      </c>
      <c r="E37" s="576" t="e">
        <f>(VLOOKUP(A37,'Uncorrected Area Counts'!$A$4:$AU$99,11,FALSE)/VLOOKUP(A37,'Uncorrected Area Counts'!$A$4:$AU$99,47,FALSE))*100</f>
        <v>#DIV/0!</v>
      </c>
      <c r="F37" s="566" t="e">
        <f>VLOOKUP(A37,'Uncorrected Area Counts'!$A$4:$AU$99,11,FALSE)/VLOOKUP(A37,'Uncorrected Area Counts'!$A$4:$AU$99,3,FALSE)/VLOOKUP(2,'Plate Planning'!$L$20:$S$35,4,FALSE)*VLOOKUP("standard",'Plate Planning'!$L$20:$S$35,4,FALSE)/VLOOKUP(A37,'Uncorrected Area Counts'!$A$4:$AU$99,10,FALSE)*100</f>
        <v>#DIV/0!</v>
      </c>
      <c r="G37" s="576" t="e">
        <f>(VLOOKUP(A37,'Uncorrected Area Counts'!$A$4:$AU$99,15,FALSE)/VLOOKUP(A37,'Uncorrected Area Counts'!$A$4:$AU$99,47,FALSE))*100</f>
        <v>#DIV/0!</v>
      </c>
      <c r="H37" s="566" t="e">
        <f>VLOOKUP(A37,'Uncorrected Area Counts'!$A$4:$AU$99,15,FALSE)/VLOOKUP(A37,'Uncorrected Area Counts'!$A$4:$AU$99,3,FALSE)/VLOOKUP(3,'Plate Planning'!$L$20:$S$35,4,FALSE)*VLOOKUP("standard",'Plate Planning'!$L$20:$S$35,4,FALSE)/VLOOKUP(A37,'Uncorrected Area Counts'!$A$4:$AU$99,14,FALSE)*100</f>
        <v>#DIV/0!</v>
      </c>
      <c r="I37" s="576" t="e">
        <f>(VLOOKUP(A37,'Uncorrected Area Counts'!$A$4:$AU$99,19,FALSE)/VLOOKUP(A37,'Uncorrected Area Counts'!$A$4:$AU$99,47,FALSE))*100</f>
        <v>#DIV/0!</v>
      </c>
      <c r="J37" s="567" t="e">
        <f>VLOOKUP(A37,'Uncorrected Area Counts'!$A$4:$AU$99,19,FALSE)/VLOOKUP(A37,'Uncorrected Area Counts'!$A$4:$AU$99,3,FALSE)/VLOOKUP(4,'Plate Planning'!$L$20:$S$35,4,FALSE)*VLOOKUP("standard",'Plate Planning'!$L$20:$S$35,4,FALSE)/VLOOKUP(A37,'Uncorrected Area Counts'!$A$4:$AU$99,18,FALSE)*100</f>
        <v>#DIV/0!</v>
      </c>
      <c r="K37" s="581" t="e">
        <f>(VLOOKUP(A37,'Uncorrected Area Counts'!$A$4:$AU$99,23,FALSE)/VLOOKUP(A37,'Uncorrected Area Counts'!$A$4:$AU$99,47,FALSE))*100</f>
        <v>#DIV/0!</v>
      </c>
      <c r="L37" s="568" t="e">
        <f>VLOOKUP(A37,'Uncorrected Area Counts'!$A$4:$AU$99,23,FALSE)/VLOOKUP(A37,'Uncorrected Area Counts'!$A$4:$AU$99,3,FALSE)/VLOOKUP(5,'Plate Planning'!$L$20:$S$35,4,FALSE)*VLOOKUP("standard",'Plate Planning'!$L$20:$S$35,4,FALSE)/VLOOKUP(A37,'Uncorrected Area Counts'!$A$4:$AU$99,22,FALSE)*100</f>
        <v>#DIV/0!</v>
      </c>
      <c r="M37" s="581" t="e">
        <f>(VLOOKUP(A37,'Uncorrected Area Counts'!$A$4:$AU$99,27,FALSE)/VLOOKUP(A37,'Uncorrected Area Counts'!$A$4:$AU$99,47,FALSE))*100</f>
        <v>#DIV/0!</v>
      </c>
      <c r="N37" s="567" t="e">
        <f>VLOOKUP(A37,'Uncorrected Area Counts'!$A$4:$AU$99,27,FALSE)/VLOOKUP(A37,'Uncorrected Area Counts'!$A$4:$AU$99,3,FALSE)/VLOOKUP(6,'Plate Planning'!$L$20:$S$35,4,FALSE)*VLOOKUP("standard",'Plate Planning'!$L$20:$S$35,4,FALSE)/VLOOKUP(A37,'Uncorrected Area Counts'!$A$4:$AU$99,26,FALSE)*100</f>
        <v>#DIV/0!</v>
      </c>
      <c r="O37" s="581" t="e">
        <f>(VLOOKUP(A37,'Uncorrected Area Counts'!$A$4:$AU$99,31,FALSE)/VLOOKUP(A37,'Uncorrected Area Counts'!$A$4:$AU$99,47,FALSE))*100</f>
        <v>#DIV/0!</v>
      </c>
      <c r="P37" s="568" t="e">
        <f>VLOOKUP(A37,'Uncorrected Area Counts'!$A$4:$AU$99,31,FALSE)/VLOOKUP(A37,'Uncorrected Area Counts'!$A$4:$AU$99,3,FALSE)/VLOOKUP(7,'Plate Planning'!$L$20:$S$35,4,FALSE)*VLOOKUP("standard",'Plate Planning'!$L$20:$S$35,4,FALSE)/VLOOKUP(A37,'Uncorrected Area Counts'!$A$4:$AU$99,30,FALSE)*100</f>
        <v>#DIV/0!</v>
      </c>
      <c r="Q37" s="581" t="e">
        <f>(VLOOKUP(A37,'Uncorrected Area Counts'!$A$4:$AU$99,35,FALSE)/VLOOKUP(A37,'Uncorrected Area Counts'!$A$4:$AU$99,47,FALSE))*100</f>
        <v>#DIV/0!</v>
      </c>
      <c r="R37" s="477" t="e">
        <f>VLOOKUP(A37,'Uncorrected Area Counts'!$A$4:$AU$99,35,FALSE)/VLOOKUP(A37,'Uncorrected Area Counts'!$A$4:$AU$99,3,FALSE)/VLOOKUP(8,'Plate Planning'!$L$20:$S$35,4,FALSE)*VLOOKUP("standard",'Plate Planning'!$L$20:$S$35,4,FALSE)/VLOOKUP(A37,'Uncorrected Area Counts'!$A$4:$AU$99,34,FALSE)*100</f>
        <v>#DIV/0!</v>
      </c>
      <c r="S37" s="589" t="e">
        <f>(VLOOKUP(A37,'Uncorrected Area Counts'!$A$4:$AU$99,39,FALSE)/VLOOKUP(A37,'Uncorrected Area Counts'!$A$4:$AU$99,47,FALSE))*100</f>
        <v>#DIV/0!</v>
      </c>
      <c r="T37" s="569" t="e">
        <f>VLOOKUP(A37,'Uncorrected Area Counts'!$A$4:$AU$99,39,FALSE)/VLOOKUP(A37,'Uncorrected Area Counts'!$A$4:$AU$99,3,FALSE)/VLOOKUP(8,'Plate Planning'!$L$20:$S$35,4,FALSE)*VLOOKUP("standard",'Plate Planning'!$L$20:$S$35,4,FALSE)/VLOOKUP(A37,'Uncorrected Area Counts'!$A$4:$AU$99,38,FALSE)*100</f>
        <v>#DIV/0!</v>
      </c>
      <c r="U37" s="589" t="e">
        <f>(VLOOKUP(A37,'Uncorrected Area Counts'!$A$4:$AU$99,43,FALSE)/VLOOKUP(A37,'Uncorrected Area Counts'!$A$4:$AU$99,47,FALSE))*100</f>
        <v>#DIV/0!</v>
      </c>
      <c r="V37" s="604" t="e">
        <f>VLOOKUP(A37,'Uncorrected Area Counts'!$A$4:$AU$99,43,FALSE)/VLOOKUP(A37,'Uncorrected Area Counts'!$A$4:$AU$99,3,FALSE)/VLOOKUP(8,'Plate Planning'!$L$20:$S$35,4,FALSE)*VLOOKUP("standard",'Plate Planning'!$L$20:$S$35,4,FALSE)/VLOOKUP(A37,'Uncorrected Area Counts'!$A$4:$AU$99,42,FALSE)*100</f>
        <v>#DIV/0!</v>
      </c>
    </row>
    <row r="38" spans="1:22">
      <c r="A38" s="478" t="s">
        <v>1196</v>
      </c>
      <c r="B38" s="565" t="s">
        <v>22</v>
      </c>
      <c r="C38" s="573" t="e">
        <f>(VLOOKUP(A38,'Uncorrected Area Counts'!$A$4:$AU$99,7,FALSE)/VLOOKUP(A38,'Uncorrected Area Counts'!$A$4:$AU$99,47,FALSE))*100</f>
        <v>#DIV/0!</v>
      </c>
      <c r="D38" s="566" t="e">
        <f>VLOOKUP(A38,'Uncorrected Area Counts'!$A$4:$AU$99,7,FALSE)/VLOOKUP(A38,'Uncorrected Area Counts'!$A$4:$AU$99,3,FALSE)/VLOOKUP(1,'Plate Planning'!$L$20:$S$35,4,FALSE)*VLOOKUP("standard",'Plate Planning'!$L$20:$S$35,4,FALSE)/VLOOKUP(A38,'Uncorrected Area Counts'!$A$4:$AU$99,6,FALSE)*100</f>
        <v>#DIV/0!</v>
      </c>
      <c r="E38" s="576" t="e">
        <f>(VLOOKUP(A38,'Uncorrected Area Counts'!$A$4:$AU$99,11,FALSE)/VLOOKUP(A38,'Uncorrected Area Counts'!$A$4:$AU$99,47,FALSE))*100</f>
        <v>#DIV/0!</v>
      </c>
      <c r="F38" s="566" t="e">
        <f>VLOOKUP(A38,'Uncorrected Area Counts'!$A$4:$AU$99,11,FALSE)/VLOOKUP(A38,'Uncorrected Area Counts'!$A$4:$AU$99,3,FALSE)/VLOOKUP(2,'Plate Planning'!$L$20:$S$35,4,FALSE)*VLOOKUP("standard",'Plate Planning'!$L$20:$S$35,4,FALSE)/VLOOKUP(A38,'Uncorrected Area Counts'!$A$4:$AU$99,10,FALSE)*100</f>
        <v>#DIV/0!</v>
      </c>
      <c r="G38" s="576" t="e">
        <f>(VLOOKUP(A38,'Uncorrected Area Counts'!$A$4:$AU$99,15,FALSE)/VLOOKUP(A38,'Uncorrected Area Counts'!$A$4:$AU$99,47,FALSE))*100</f>
        <v>#DIV/0!</v>
      </c>
      <c r="H38" s="566" t="e">
        <f>VLOOKUP(A38,'Uncorrected Area Counts'!$A$4:$AU$99,15,FALSE)/VLOOKUP(A38,'Uncorrected Area Counts'!$A$4:$AU$99,3,FALSE)/VLOOKUP(3,'Plate Planning'!$L$20:$S$35,4,FALSE)*VLOOKUP("standard",'Plate Planning'!$L$20:$S$35,4,FALSE)/VLOOKUP(A38,'Uncorrected Area Counts'!$A$4:$AU$99,14,FALSE)*100</f>
        <v>#DIV/0!</v>
      </c>
      <c r="I38" s="576" t="e">
        <f>(VLOOKUP(A38,'Uncorrected Area Counts'!$A$4:$AU$99,19,FALSE)/VLOOKUP(A38,'Uncorrected Area Counts'!$A$4:$AU$99,47,FALSE))*100</f>
        <v>#DIV/0!</v>
      </c>
      <c r="J38" s="567" t="e">
        <f>VLOOKUP(A38,'Uncorrected Area Counts'!$A$4:$AU$99,19,FALSE)/VLOOKUP(A38,'Uncorrected Area Counts'!$A$4:$AU$99,3,FALSE)/VLOOKUP(4,'Plate Planning'!$L$20:$S$35,4,FALSE)*VLOOKUP("standard",'Plate Planning'!$L$20:$S$35,4,FALSE)/VLOOKUP(A38,'Uncorrected Area Counts'!$A$4:$AU$99,18,FALSE)*100</f>
        <v>#DIV/0!</v>
      </c>
      <c r="K38" s="581" t="e">
        <f>(VLOOKUP(A38,'Uncorrected Area Counts'!$A$4:$AU$99,23,FALSE)/VLOOKUP(A38,'Uncorrected Area Counts'!$A$4:$AU$99,47,FALSE))*100</f>
        <v>#DIV/0!</v>
      </c>
      <c r="L38" s="568" t="e">
        <f>VLOOKUP(A38,'Uncorrected Area Counts'!$A$4:$AU$99,23,FALSE)/VLOOKUP(A38,'Uncorrected Area Counts'!$A$4:$AU$99,3,FALSE)/VLOOKUP(5,'Plate Planning'!$L$20:$S$35,4,FALSE)*VLOOKUP("standard",'Plate Planning'!$L$20:$S$35,4,FALSE)/VLOOKUP(A38,'Uncorrected Area Counts'!$A$4:$AU$99,22,FALSE)*100</f>
        <v>#DIV/0!</v>
      </c>
      <c r="M38" s="581" t="e">
        <f>(VLOOKUP(A38,'Uncorrected Area Counts'!$A$4:$AU$99,27,FALSE)/VLOOKUP(A38,'Uncorrected Area Counts'!$A$4:$AU$99,47,FALSE))*100</f>
        <v>#DIV/0!</v>
      </c>
      <c r="N38" s="567" t="e">
        <f>VLOOKUP(A38,'Uncorrected Area Counts'!$A$4:$AU$99,27,FALSE)/VLOOKUP(A38,'Uncorrected Area Counts'!$A$4:$AU$99,3,FALSE)/VLOOKUP(6,'Plate Planning'!$L$20:$S$35,4,FALSE)*VLOOKUP("standard",'Plate Planning'!$L$20:$S$35,4,FALSE)/VLOOKUP(A38,'Uncorrected Area Counts'!$A$4:$AU$99,26,FALSE)*100</f>
        <v>#DIV/0!</v>
      </c>
      <c r="O38" s="581" t="e">
        <f>(VLOOKUP(A38,'Uncorrected Area Counts'!$A$4:$AU$99,31,FALSE)/VLOOKUP(A38,'Uncorrected Area Counts'!$A$4:$AU$99,47,FALSE))*100</f>
        <v>#DIV/0!</v>
      </c>
      <c r="P38" s="568" t="e">
        <f>VLOOKUP(A38,'Uncorrected Area Counts'!$A$4:$AU$99,31,FALSE)/VLOOKUP(A38,'Uncorrected Area Counts'!$A$4:$AU$99,3,FALSE)/VLOOKUP(7,'Plate Planning'!$L$20:$S$35,4,FALSE)*VLOOKUP("standard",'Plate Planning'!$L$20:$S$35,4,FALSE)/VLOOKUP(A38,'Uncorrected Area Counts'!$A$4:$AU$99,30,FALSE)*100</f>
        <v>#DIV/0!</v>
      </c>
      <c r="Q38" s="581" t="e">
        <f>(VLOOKUP(A38,'Uncorrected Area Counts'!$A$4:$AU$99,35,FALSE)/VLOOKUP(A38,'Uncorrected Area Counts'!$A$4:$AU$99,47,FALSE))*100</f>
        <v>#DIV/0!</v>
      </c>
      <c r="R38" s="477" t="e">
        <f>VLOOKUP(A38,'Uncorrected Area Counts'!$A$4:$AU$99,35,FALSE)/VLOOKUP(A38,'Uncorrected Area Counts'!$A$4:$AU$99,3,FALSE)/VLOOKUP(8,'Plate Planning'!$L$20:$S$35,4,FALSE)*VLOOKUP("standard",'Plate Planning'!$L$20:$S$35,4,FALSE)/VLOOKUP(A38,'Uncorrected Area Counts'!$A$4:$AU$99,34,FALSE)*100</f>
        <v>#DIV/0!</v>
      </c>
      <c r="S38" s="589" t="e">
        <f>(VLOOKUP(A38,'Uncorrected Area Counts'!$A$4:$AU$99,39,FALSE)/VLOOKUP(A38,'Uncorrected Area Counts'!$A$4:$AU$99,47,FALSE))*100</f>
        <v>#DIV/0!</v>
      </c>
      <c r="T38" s="569" t="e">
        <f>VLOOKUP(A38,'Uncorrected Area Counts'!$A$4:$AU$99,39,FALSE)/VLOOKUP(A38,'Uncorrected Area Counts'!$A$4:$AU$99,3,FALSE)/VLOOKUP(8,'Plate Planning'!$L$20:$S$35,4,FALSE)*VLOOKUP("standard",'Plate Planning'!$L$20:$S$35,4,FALSE)/VLOOKUP(A38,'Uncorrected Area Counts'!$A$4:$AU$99,38,FALSE)*100</f>
        <v>#DIV/0!</v>
      </c>
      <c r="U38" s="589" t="e">
        <f>(VLOOKUP(A38,'Uncorrected Area Counts'!$A$4:$AU$99,43,FALSE)/VLOOKUP(A38,'Uncorrected Area Counts'!$A$4:$AU$99,47,FALSE))*100</f>
        <v>#DIV/0!</v>
      </c>
      <c r="V38" s="604" t="e">
        <f>VLOOKUP(A38,'Uncorrected Area Counts'!$A$4:$AU$99,43,FALSE)/VLOOKUP(A38,'Uncorrected Area Counts'!$A$4:$AU$99,3,FALSE)/VLOOKUP(8,'Plate Planning'!$L$20:$S$35,4,FALSE)*VLOOKUP("standard",'Plate Planning'!$L$20:$S$35,4,FALSE)/VLOOKUP(A38,'Uncorrected Area Counts'!$A$4:$AU$99,42,FALSE)*100</f>
        <v>#DIV/0!</v>
      </c>
    </row>
    <row r="39" spans="1:22">
      <c r="A39" s="478" t="s">
        <v>1197</v>
      </c>
      <c r="B39" s="565" t="s">
        <v>22</v>
      </c>
      <c r="C39" s="573" t="e">
        <f>(VLOOKUP(A39,'Uncorrected Area Counts'!$A$4:$AU$99,7,FALSE)/VLOOKUP(A39,'Uncorrected Area Counts'!$A$4:$AU$99,47,FALSE))*100</f>
        <v>#DIV/0!</v>
      </c>
      <c r="D39" s="566" t="e">
        <f>VLOOKUP(A39,'Uncorrected Area Counts'!$A$4:$AU$99,7,FALSE)/VLOOKUP(A39,'Uncorrected Area Counts'!$A$4:$AU$99,3,FALSE)/VLOOKUP(1,'Plate Planning'!$L$20:$S$35,4,FALSE)*VLOOKUP("standard",'Plate Planning'!$L$20:$S$35,4,FALSE)/VLOOKUP(A39,'Uncorrected Area Counts'!$A$4:$AU$99,6,FALSE)*100</f>
        <v>#DIV/0!</v>
      </c>
      <c r="E39" s="576" t="e">
        <f>(VLOOKUP(A39,'Uncorrected Area Counts'!$A$4:$AU$99,11,FALSE)/VLOOKUP(A39,'Uncorrected Area Counts'!$A$4:$AU$99,47,FALSE))*100</f>
        <v>#DIV/0!</v>
      </c>
      <c r="F39" s="566" t="e">
        <f>VLOOKUP(A39,'Uncorrected Area Counts'!$A$4:$AU$99,11,FALSE)/VLOOKUP(A39,'Uncorrected Area Counts'!$A$4:$AU$99,3,FALSE)/VLOOKUP(2,'Plate Planning'!$L$20:$S$35,4,FALSE)*VLOOKUP("standard",'Plate Planning'!$L$20:$S$35,4,FALSE)/VLOOKUP(A39,'Uncorrected Area Counts'!$A$4:$AU$99,10,FALSE)*100</f>
        <v>#DIV/0!</v>
      </c>
      <c r="G39" s="576" t="e">
        <f>(VLOOKUP(A39,'Uncorrected Area Counts'!$A$4:$AU$99,15,FALSE)/VLOOKUP(A39,'Uncorrected Area Counts'!$A$4:$AU$99,47,FALSE))*100</f>
        <v>#DIV/0!</v>
      </c>
      <c r="H39" s="566" t="e">
        <f>VLOOKUP(A39,'Uncorrected Area Counts'!$A$4:$AU$99,15,FALSE)/VLOOKUP(A39,'Uncorrected Area Counts'!$A$4:$AU$99,3,FALSE)/VLOOKUP(3,'Plate Planning'!$L$20:$S$35,4,FALSE)*VLOOKUP("standard",'Plate Planning'!$L$20:$S$35,4,FALSE)/VLOOKUP(A39,'Uncorrected Area Counts'!$A$4:$AU$99,14,FALSE)*100</f>
        <v>#DIV/0!</v>
      </c>
      <c r="I39" s="576" t="e">
        <f>(VLOOKUP(A39,'Uncorrected Area Counts'!$A$4:$AU$99,19,FALSE)/VLOOKUP(A39,'Uncorrected Area Counts'!$A$4:$AU$99,47,FALSE))*100</f>
        <v>#DIV/0!</v>
      </c>
      <c r="J39" s="567" t="e">
        <f>VLOOKUP(A39,'Uncorrected Area Counts'!$A$4:$AU$99,19,FALSE)/VLOOKUP(A39,'Uncorrected Area Counts'!$A$4:$AU$99,3,FALSE)/VLOOKUP(4,'Plate Planning'!$L$20:$S$35,4,FALSE)*VLOOKUP("standard",'Plate Planning'!$L$20:$S$35,4,FALSE)/VLOOKUP(A39,'Uncorrected Area Counts'!$A$4:$AU$99,18,FALSE)*100</f>
        <v>#DIV/0!</v>
      </c>
      <c r="K39" s="581" t="e">
        <f>(VLOOKUP(A39,'Uncorrected Area Counts'!$A$4:$AU$99,23,FALSE)/VLOOKUP(A39,'Uncorrected Area Counts'!$A$4:$AU$99,47,FALSE))*100</f>
        <v>#DIV/0!</v>
      </c>
      <c r="L39" s="568" t="e">
        <f>VLOOKUP(A39,'Uncorrected Area Counts'!$A$4:$AU$99,23,FALSE)/VLOOKUP(A39,'Uncorrected Area Counts'!$A$4:$AU$99,3,FALSE)/VLOOKUP(5,'Plate Planning'!$L$20:$S$35,4,FALSE)*VLOOKUP("standard",'Plate Planning'!$L$20:$S$35,4,FALSE)/VLOOKUP(A39,'Uncorrected Area Counts'!$A$4:$AU$99,22,FALSE)*100</f>
        <v>#DIV/0!</v>
      </c>
      <c r="M39" s="581" t="e">
        <f>(VLOOKUP(A39,'Uncorrected Area Counts'!$A$4:$AU$99,27,FALSE)/VLOOKUP(A39,'Uncorrected Area Counts'!$A$4:$AU$99,47,FALSE))*100</f>
        <v>#DIV/0!</v>
      </c>
      <c r="N39" s="567" t="e">
        <f>VLOOKUP(A39,'Uncorrected Area Counts'!$A$4:$AU$99,27,FALSE)/VLOOKUP(A39,'Uncorrected Area Counts'!$A$4:$AU$99,3,FALSE)/VLOOKUP(6,'Plate Planning'!$L$20:$S$35,4,FALSE)*VLOOKUP("standard",'Plate Planning'!$L$20:$S$35,4,FALSE)/VLOOKUP(A39,'Uncorrected Area Counts'!$A$4:$AU$99,26,FALSE)*100</f>
        <v>#DIV/0!</v>
      </c>
      <c r="O39" s="581" t="e">
        <f>(VLOOKUP(A39,'Uncorrected Area Counts'!$A$4:$AU$99,31,FALSE)/VLOOKUP(A39,'Uncorrected Area Counts'!$A$4:$AU$99,47,FALSE))*100</f>
        <v>#DIV/0!</v>
      </c>
      <c r="P39" s="568" t="e">
        <f>VLOOKUP(A39,'Uncorrected Area Counts'!$A$4:$AU$99,31,FALSE)/VLOOKUP(A39,'Uncorrected Area Counts'!$A$4:$AU$99,3,FALSE)/VLOOKUP(7,'Plate Planning'!$L$20:$S$35,4,FALSE)*VLOOKUP("standard",'Plate Planning'!$L$20:$S$35,4,FALSE)/VLOOKUP(A39,'Uncorrected Area Counts'!$A$4:$AU$99,30,FALSE)*100</f>
        <v>#DIV/0!</v>
      </c>
      <c r="Q39" s="581" t="e">
        <f>(VLOOKUP(A39,'Uncorrected Area Counts'!$A$4:$AU$99,35,FALSE)/VLOOKUP(A39,'Uncorrected Area Counts'!$A$4:$AU$99,47,FALSE))*100</f>
        <v>#DIV/0!</v>
      </c>
      <c r="R39" s="477" t="e">
        <f>VLOOKUP(A39,'Uncorrected Area Counts'!$A$4:$AU$99,35,FALSE)/VLOOKUP(A39,'Uncorrected Area Counts'!$A$4:$AU$99,3,FALSE)/VLOOKUP(8,'Plate Planning'!$L$20:$S$35,4,FALSE)*VLOOKUP("standard",'Plate Planning'!$L$20:$S$35,4,FALSE)/VLOOKUP(A39,'Uncorrected Area Counts'!$A$4:$AU$99,34,FALSE)*100</f>
        <v>#DIV/0!</v>
      </c>
      <c r="S39" s="589" t="e">
        <f>(VLOOKUP(A39,'Uncorrected Area Counts'!$A$4:$AU$99,39,FALSE)/VLOOKUP(A39,'Uncorrected Area Counts'!$A$4:$AU$99,47,FALSE))*100</f>
        <v>#DIV/0!</v>
      </c>
      <c r="T39" s="569" t="e">
        <f>VLOOKUP(A39,'Uncorrected Area Counts'!$A$4:$AU$99,39,FALSE)/VLOOKUP(A39,'Uncorrected Area Counts'!$A$4:$AU$99,3,FALSE)/VLOOKUP(8,'Plate Planning'!$L$20:$S$35,4,FALSE)*VLOOKUP("standard",'Plate Planning'!$L$20:$S$35,4,FALSE)/VLOOKUP(A39,'Uncorrected Area Counts'!$A$4:$AU$99,38,FALSE)*100</f>
        <v>#DIV/0!</v>
      </c>
      <c r="U39" s="589" t="e">
        <f>(VLOOKUP(A39,'Uncorrected Area Counts'!$A$4:$AU$99,43,FALSE)/VLOOKUP(A39,'Uncorrected Area Counts'!$A$4:$AU$99,47,FALSE))*100</f>
        <v>#DIV/0!</v>
      </c>
      <c r="V39" s="604" t="e">
        <f>VLOOKUP(A39,'Uncorrected Area Counts'!$A$4:$AU$99,43,FALSE)/VLOOKUP(A39,'Uncorrected Area Counts'!$A$4:$AU$99,3,FALSE)/VLOOKUP(8,'Plate Planning'!$L$20:$S$35,4,FALSE)*VLOOKUP("standard",'Plate Planning'!$L$20:$S$35,4,FALSE)/VLOOKUP(A39,'Uncorrected Area Counts'!$A$4:$AU$99,42,FALSE)*100</f>
        <v>#DIV/0!</v>
      </c>
    </row>
    <row r="40" spans="1:22">
      <c r="A40" s="478" t="s">
        <v>1198</v>
      </c>
      <c r="B40" s="565" t="s">
        <v>22</v>
      </c>
      <c r="C40" s="573" t="e">
        <f>(VLOOKUP(A40,'Uncorrected Area Counts'!$A$4:$AU$99,7,FALSE)/VLOOKUP(A40,'Uncorrected Area Counts'!$A$4:$AU$99,47,FALSE))*100</f>
        <v>#DIV/0!</v>
      </c>
      <c r="D40" s="566" t="e">
        <f>VLOOKUP(A40,'Uncorrected Area Counts'!$A$4:$AU$99,7,FALSE)/VLOOKUP(A40,'Uncorrected Area Counts'!$A$4:$AU$99,3,FALSE)/VLOOKUP(1,'Plate Planning'!$L$20:$S$35,4,FALSE)*VLOOKUP("standard",'Plate Planning'!$L$20:$S$35,4,FALSE)/VLOOKUP(A40,'Uncorrected Area Counts'!$A$4:$AU$99,6,FALSE)*100</f>
        <v>#DIV/0!</v>
      </c>
      <c r="E40" s="576" t="e">
        <f>(VLOOKUP(A40,'Uncorrected Area Counts'!$A$4:$AU$99,11,FALSE)/VLOOKUP(A40,'Uncorrected Area Counts'!$A$4:$AU$99,47,FALSE))*100</f>
        <v>#DIV/0!</v>
      </c>
      <c r="F40" s="566" t="e">
        <f>VLOOKUP(A40,'Uncorrected Area Counts'!$A$4:$AU$99,11,FALSE)/VLOOKUP(A40,'Uncorrected Area Counts'!$A$4:$AU$99,3,FALSE)/VLOOKUP(2,'Plate Planning'!$L$20:$S$35,4,FALSE)*VLOOKUP("standard",'Plate Planning'!$L$20:$S$35,4,FALSE)/VLOOKUP(A40,'Uncorrected Area Counts'!$A$4:$AU$99,10,FALSE)*100</f>
        <v>#DIV/0!</v>
      </c>
      <c r="G40" s="576" t="e">
        <f>(VLOOKUP(A40,'Uncorrected Area Counts'!$A$4:$AU$99,15,FALSE)/VLOOKUP(A40,'Uncorrected Area Counts'!$A$4:$AU$99,47,FALSE))*100</f>
        <v>#DIV/0!</v>
      </c>
      <c r="H40" s="566" t="e">
        <f>VLOOKUP(A40,'Uncorrected Area Counts'!$A$4:$AU$99,15,FALSE)/VLOOKUP(A40,'Uncorrected Area Counts'!$A$4:$AU$99,3,FALSE)/VLOOKUP(3,'Plate Planning'!$L$20:$S$35,4,FALSE)*VLOOKUP("standard",'Plate Planning'!$L$20:$S$35,4,FALSE)/VLOOKUP(A40,'Uncorrected Area Counts'!$A$4:$AU$99,14,FALSE)*100</f>
        <v>#DIV/0!</v>
      </c>
      <c r="I40" s="576" t="e">
        <f>(VLOOKUP(A40,'Uncorrected Area Counts'!$A$4:$AU$99,19,FALSE)/VLOOKUP(A40,'Uncorrected Area Counts'!$A$4:$AU$99,47,FALSE))*100</f>
        <v>#DIV/0!</v>
      </c>
      <c r="J40" s="567" t="e">
        <f>VLOOKUP(A40,'Uncorrected Area Counts'!$A$4:$AU$99,19,FALSE)/VLOOKUP(A40,'Uncorrected Area Counts'!$A$4:$AU$99,3,FALSE)/VLOOKUP(4,'Plate Planning'!$L$20:$S$35,4,FALSE)*VLOOKUP("standard",'Plate Planning'!$L$20:$S$35,4,FALSE)/VLOOKUP(A40,'Uncorrected Area Counts'!$A$4:$AU$99,18,FALSE)*100</f>
        <v>#DIV/0!</v>
      </c>
      <c r="K40" s="581" t="e">
        <f>(VLOOKUP(A40,'Uncorrected Area Counts'!$A$4:$AU$99,23,FALSE)/VLOOKUP(A40,'Uncorrected Area Counts'!$A$4:$AU$99,47,FALSE))*100</f>
        <v>#DIV/0!</v>
      </c>
      <c r="L40" s="568" t="e">
        <f>VLOOKUP(A40,'Uncorrected Area Counts'!$A$4:$AU$99,23,FALSE)/VLOOKUP(A40,'Uncorrected Area Counts'!$A$4:$AU$99,3,FALSE)/VLOOKUP(5,'Plate Planning'!$L$20:$S$35,4,FALSE)*VLOOKUP("standard",'Plate Planning'!$L$20:$S$35,4,FALSE)/VLOOKUP(A40,'Uncorrected Area Counts'!$A$4:$AU$99,22,FALSE)*100</f>
        <v>#DIV/0!</v>
      </c>
      <c r="M40" s="581" t="e">
        <f>(VLOOKUP(A40,'Uncorrected Area Counts'!$A$4:$AU$99,27,FALSE)/VLOOKUP(A40,'Uncorrected Area Counts'!$A$4:$AU$99,47,FALSE))*100</f>
        <v>#DIV/0!</v>
      </c>
      <c r="N40" s="567" t="e">
        <f>VLOOKUP(A40,'Uncorrected Area Counts'!$A$4:$AU$99,27,FALSE)/VLOOKUP(A40,'Uncorrected Area Counts'!$A$4:$AU$99,3,FALSE)/VLOOKUP(6,'Plate Planning'!$L$20:$S$35,4,FALSE)*VLOOKUP("standard",'Plate Planning'!$L$20:$S$35,4,FALSE)/VLOOKUP(A40,'Uncorrected Area Counts'!$A$4:$AU$99,26,FALSE)*100</f>
        <v>#DIV/0!</v>
      </c>
      <c r="O40" s="581" t="e">
        <f>(VLOOKUP(A40,'Uncorrected Area Counts'!$A$4:$AU$99,31,FALSE)/VLOOKUP(A40,'Uncorrected Area Counts'!$A$4:$AU$99,47,FALSE))*100</f>
        <v>#DIV/0!</v>
      </c>
      <c r="P40" s="568" t="e">
        <f>VLOOKUP(A40,'Uncorrected Area Counts'!$A$4:$AU$99,31,FALSE)/VLOOKUP(A40,'Uncorrected Area Counts'!$A$4:$AU$99,3,FALSE)/VLOOKUP(7,'Plate Planning'!$L$20:$S$35,4,FALSE)*VLOOKUP("standard",'Plate Planning'!$L$20:$S$35,4,FALSE)/VLOOKUP(A40,'Uncorrected Area Counts'!$A$4:$AU$99,30,FALSE)*100</f>
        <v>#DIV/0!</v>
      </c>
      <c r="Q40" s="581" t="e">
        <f>(VLOOKUP(A40,'Uncorrected Area Counts'!$A$4:$AU$99,35,FALSE)/VLOOKUP(A40,'Uncorrected Area Counts'!$A$4:$AU$99,47,FALSE))*100</f>
        <v>#DIV/0!</v>
      </c>
      <c r="R40" s="477" t="e">
        <f>VLOOKUP(A40,'Uncorrected Area Counts'!$A$4:$AU$99,35,FALSE)/VLOOKUP(A40,'Uncorrected Area Counts'!$A$4:$AU$99,3,FALSE)/VLOOKUP(8,'Plate Planning'!$L$20:$S$35,4,FALSE)*VLOOKUP("standard",'Plate Planning'!$L$20:$S$35,4,FALSE)/VLOOKUP(A40,'Uncorrected Area Counts'!$A$4:$AU$99,34,FALSE)*100</f>
        <v>#DIV/0!</v>
      </c>
      <c r="S40" s="589" t="e">
        <f>(VLOOKUP(A40,'Uncorrected Area Counts'!$A$4:$AU$99,39,FALSE)/VLOOKUP(A40,'Uncorrected Area Counts'!$A$4:$AU$99,47,FALSE))*100</f>
        <v>#DIV/0!</v>
      </c>
      <c r="T40" s="569" t="e">
        <f>VLOOKUP(A40,'Uncorrected Area Counts'!$A$4:$AU$99,39,FALSE)/VLOOKUP(A40,'Uncorrected Area Counts'!$A$4:$AU$99,3,FALSE)/VLOOKUP(8,'Plate Planning'!$L$20:$S$35,4,FALSE)*VLOOKUP("standard",'Plate Planning'!$L$20:$S$35,4,FALSE)/VLOOKUP(A40,'Uncorrected Area Counts'!$A$4:$AU$99,38,FALSE)*100</f>
        <v>#DIV/0!</v>
      </c>
      <c r="U40" s="589" t="e">
        <f>(VLOOKUP(A40,'Uncorrected Area Counts'!$A$4:$AU$99,43,FALSE)/VLOOKUP(A40,'Uncorrected Area Counts'!$A$4:$AU$99,47,FALSE))*100</f>
        <v>#DIV/0!</v>
      </c>
      <c r="V40" s="604" t="e">
        <f>VLOOKUP(A40,'Uncorrected Area Counts'!$A$4:$AU$99,43,FALSE)/VLOOKUP(A40,'Uncorrected Area Counts'!$A$4:$AU$99,3,FALSE)/VLOOKUP(8,'Plate Planning'!$L$20:$S$35,4,FALSE)*VLOOKUP("standard",'Plate Planning'!$L$20:$S$35,4,FALSE)/VLOOKUP(A40,'Uncorrected Area Counts'!$A$4:$AU$99,42,FALSE)*100</f>
        <v>#DIV/0!</v>
      </c>
    </row>
    <row r="41" spans="1:22">
      <c r="A41" s="478" t="s">
        <v>1199</v>
      </c>
      <c r="B41" s="565" t="s">
        <v>22</v>
      </c>
      <c r="C41" s="573" t="e">
        <f>(VLOOKUP(A41,'Uncorrected Area Counts'!$A$4:$AU$99,7,FALSE)/VLOOKUP(A41,'Uncorrected Area Counts'!$A$4:$AU$99,47,FALSE))*100</f>
        <v>#DIV/0!</v>
      </c>
      <c r="D41" s="566" t="e">
        <f>VLOOKUP(A41,'Uncorrected Area Counts'!$A$4:$AU$99,7,FALSE)/VLOOKUP(A41,'Uncorrected Area Counts'!$A$4:$AU$99,3,FALSE)/VLOOKUP(1,'Plate Planning'!$L$20:$S$35,4,FALSE)*VLOOKUP("standard",'Plate Planning'!$L$20:$S$35,4,FALSE)/VLOOKUP(A41,'Uncorrected Area Counts'!$A$4:$AU$99,6,FALSE)*100</f>
        <v>#DIV/0!</v>
      </c>
      <c r="E41" s="576" t="e">
        <f>(VLOOKUP(A41,'Uncorrected Area Counts'!$A$4:$AU$99,11,FALSE)/VLOOKUP(A41,'Uncorrected Area Counts'!$A$4:$AU$99,47,FALSE))*100</f>
        <v>#DIV/0!</v>
      </c>
      <c r="F41" s="566" t="e">
        <f>VLOOKUP(A41,'Uncorrected Area Counts'!$A$4:$AU$99,11,FALSE)/VLOOKUP(A41,'Uncorrected Area Counts'!$A$4:$AU$99,3,FALSE)/VLOOKUP(2,'Plate Planning'!$L$20:$S$35,4,FALSE)*VLOOKUP("standard",'Plate Planning'!$L$20:$S$35,4,FALSE)/VLOOKUP(A41,'Uncorrected Area Counts'!$A$4:$AU$99,10,FALSE)*100</f>
        <v>#DIV/0!</v>
      </c>
      <c r="G41" s="576" t="e">
        <f>(VLOOKUP(A41,'Uncorrected Area Counts'!$A$4:$AU$99,15,FALSE)/VLOOKUP(A41,'Uncorrected Area Counts'!$A$4:$AU$99,47,FALSE))*100</f>
        <v>#DIV/0!</v>
      </c>
      <c r="H41" s="566" t="e">
        <f>VLOOKUP(A41,'Uncorrected Area Counts'!$A$4:$AU$99,15,FALSE)/VLOOKUP(A41,'Uncorrected Area Counts'!$A$4:$AU$99,3,FALSE)/VLOOKUP(3,'Plate Planning'!$L$20:$S$35,4,FALSE)*VLOOKUP("standard",'Plate Planning'!$L$20:$S$35,4,FALSE)/VLOOKUP(A41,'Uncorrected Area Counts'!$A$4:$AU$99,14,FALSE)*100</f>
        <v>#DIV/0!</v>
      </c>
      <c r="I41" s="576" t="e">
        <f>(VLOOKUP(A41,'Uncorrected Area Counts'!$A$4:$AU$99,19,FALSE)/VLOOKUP(A41,'Uncorrected Area Counts'!$A$4:$AU$99,47,FALSE))*100</f>
        <v>#DIV/0!</v>
      </c>
      <c r="J41" s="567" t="e">
        <f>VLOOKUP(A41,'Uncorrected Area Counts'!$A$4:$AU$99,19,FALSE)/VLOOKUP(A41,'Uncorrected Area Counts'!$A$4:$AU$99,3,FALSE)/VLOOKUP(4,'Plate Planning'!$L$20:$S$35,4,FALSE)*VLOOKUP("standard",'Plate Planning'!$L$20:$S$35,4,FALSE)/VLOOKUP(A41,'Uncorrected Area Counts'!$A$4:$AU$99,18,FALSE)*100</f>
        <v>#DIV/0!</v>
      </c>
      <c r="K41" s="581" t="e">
        <f>(VLOOKUP(A41,'Uncorrected Area Counts'!$A$4:$AU$99,23,FALSE)/VLOOKUP(A41,'Uncorrected Area Counts'!$A$4:$AU$99,47,FALSE))*100</f>
        <v>#DIV/0!</v>
      </c>
      <c r="L41" s="568" t="e">
        <f>VLOOKUP(A41,'Uncorrected Area Counts'!$A$4:$AU$99,23,FALSE)/VLOOKUP(A41,'Uncorrected Area Counts'!$A$4:$AU$99,3,FALSE)/VLOOKUP(5,'Plate Planning'!$L$20:$S$35,4,FALSE)*VLOOKUP("standard",'Plate Planning'!$L$20:$S$35,4,FALSE)/VLOOKUP(A41,'Uncorrected Area Counts'!$A$4:$AU$99,22,FALSE)*100</f>
        <v>#DIV/0!</v>
      </c>
      <c r="M41" s="581" t="e">
        <f>(VLOOKUP(A41,'Uncorrected Area Counts'!$A$4:$AU$99,27,FALSE)/VLOOKUP(A41,'Uncorrected Area Counts'!$A$4:$AU$99,47,FALSE))*100</f>
        <v>#DIV/0!</v>
      </c>
      <c r="N41" s="567" t="e">
        <f>VLOOKUP(A41,'Uncorrected Area Counts'!$A$4:$AU$99,27,FALSE)/VLOOKUP(A41,'Uncorrected Area Counts'!$A$4:$AU$99,3,FALSE)/VLOOKUP(6,'Plate Planning'!$L$20:$S$35,4,FALSE)*VLOOKUP("standard",'Plate Planning'!$L$20:$S$35,4,FALSE)/VLOOKUP(A41,'Uncorrected Area Counts'!$A$4:$AU$99,26,FALSE)*100</f>
        <v>#DIV/0!</v>
      </c>
      <c r="O41" s="581" t="e">
        <f>(VLOOKUP(A41,'Uncorrected Area Counts'!$A$4:$AU$99,31,FALSE)/VLOOKUP(A41,'Uncorrected Area Counts'!$A$4:$AU$99,47,FALSE))*100</f>
        <v>#DIV/0!</v>
      </c>
      <c r="P41" s="568" t="e">
        <f>VLOOKUP(A41,'Uncorrected Area Counts'!$A$4:$AU$99,31,FALSE)/VLOOKUP(A41,'Uncorrected Area Counts'!$A$4:$AU$99,3,FALSE)/VLOOKUP(7,'Plate Planning'!$L$20:$S$35,4,FALSE)*VLOOKUP("standard",'Plate Planning'!$L$20:$S$35,4,FALSE)/VLOOKUP(A41,'Uncorrected Area Counts'!$A$4:$AU$99,30,FALSE)*100</f>
        <v>#DIV/0!</v>
      </c>
      <c r="Q41" s="581" t="e">
        <f>(VLOOKUP(A41,'Uncorrected Area Counts'!$A$4:$AU$99,35,FALSE)/VLOOKUP(A41,'Uncorrected Area Counts'!$A$4:$AU$99,47,FALSE))*100</f>
        <v>#DIV/0!</v>
      </c>
      <c r="R41" s="477" t="e">
        <f>VLOOKUP(A41,'Uncorrected Area Counts'!$A$4:$AU$99,35,FALSE)/VLOOKUP(A41,'Uncorrected Area Counts'!$A$4:$AU$99,3,FALSE)/VLOOKUP(8,'Plate Planning'!$L$20:$S$35,4,FALSE)*VLOOKUP("standard",'Plate Planning'!$L$20:$S$35,4,FALSE)/VLOOKUP(A41,'Uncorrected Area Counts'!$A$4:$AU$99,34,FALSE)*100</f>
        <v>#DIV/0!</v>
      </c>
      <c r="S41" s="589" t="e">
        <f>(VLOOKUP(A41,'Uncorrected Area Counts'!$A$4:$AU$99,39,FALSE)/VLOOKUP(A41,'Uncorrected Area Counts'!$A$4:$AU$99,47,FALSE))*100</f>
        <v>#DIV/0!</v>
      </c>
      <c r="T41" s="569" t="e">
        <f>VLOOKUP(A41,'Uncorrected Area Counts'!$A$4:$AU$99,39,FALSE)/VLOOKUP(A41,'Uncorrected Area Counts'!$A$4:$AU$99,3,FALSE)/VLOOKUP(8,'Plate Planning'!$L$20:$S$35,4,FALSE)*VLOOKUP("standard",'Plate Planning'!$L$20:$S$35,4,FALSE)/VLOOKUP(A41,'Uncorrected Area Counts'!$A$4:$AU$99,38,FALSE)*100</f>
        <v>#DIV/0!</v>
      </c>
      <c r="U41" s="589" t="e">
        <f>(VLOOKUP(A41,'Uncorrected Area Counts'!$A$4:$AU$99,43,FALSE)/VLOOKUP(A41,'Uncorrected Area Counts'!$A$4:$AU$99,47,FALSE))*100</f>
        <v>#DIV/0!</v>
      </c>
      <c r="V41" s="604" t="e">
        <f>VLOOKUP(A41,'Uncorrected Area Counts'!$A$4:$AU$99,43,FALSE)/VLOOKUP(A41,'Uncorrected Area Counts'!$A$4:$AU$99,3,FALSE)/VLOOKUP(8,'Plate Planning'!$L$20:$S$35,4,FALSE)*VLOOKUP("standard",'Plate Planning'!$L$20:$S$35,4,FALSE)/VLOOKUP(A41,'Uncorrected Area Counts'!$A$4:$AU$99,42,FALSE)*100</f>
        <v>#DIV/0!</v>
      </c>
    </row>
    <row r="42" spans="1:22">
      <c r="A42" s="478" t="s">
        <v>1200</v>
      </c>
      <c r="B42" s="565" t="s">
        <v>22</v>
      </c>
      <c r="C42" s="573" t="e">
        <f>(VLOOKUP(A42,'Uncorrected Area Counts'!$A$4:$AU$99,7,FALSE)/VLOOKUP(A42,'Uncorrected Area Counts'!$A$4:$AU$99,47,FALSE))*100</f>
        <v>#DIV/0!</v>
      </c>
      <c r="D42" s="566" t="e">
        <f>VLOOKUP(A42,'Uncorrected Area Counts'!$A$4:$AU$99,7,FALSE)/VLOOKUP(A42,'Uncorrected Area Counts'!$A$4:$AU$99,3,FALSE)/VLOOKUP(1,'Plate Planning'!$L$20:$S$35,4,FALSE)*VLOOKUP("standard",'Plate Planning'!$L$20:$S$35,4,FALSE)/VLOOKUP(A42,'Uncorrected Area Counts'!$A$4:$AU$99,6,FALSE)*100</f>
        <v>#DIV/0!</v>
      </c>
      <c r="E42" s="576" t="e">
        <f>(VLOOKUP(A42,'Uncorrected Area Counts'!$A$4:$AU$99,11,FALSE)/VLOOKUP(A42,'Uncorrected Area Counts'!$A$4:$AU$99,47,FALSE))*100</f>
        <v>#DIV/0!</v>
      </c>
      <c r="F42" s="566" t="e">
        <f>VLOOKUP(A42,'Uncorrected Area Counts'!$A$4:$AU$99,11,FALSE)/VLOOKUP(A42,'Uncorrected Area Counts'!$A$4:$AU$99,3,FALSE)/VLOOKUP(2,'Plate Planning'!$L$20:$S$35,4,FALSE)*VLOOKUP("standard",'Plate Planning'!$L$20:$S$35,4,FALSE)/VLOOKUP(A42,'Uncorrected Area Counts'!$A$4:$AU$99,10,FALSE)*100</f>
        <v>#DIV/0!</v>
      </c>
      <c r="G42" s="576" t="e">
        <f>(VLOOKUP(A42,'Uncorrected Area Counts'!$A$4:$AU$99,15,FALSE)/VLOOKUP(A42,'Uncorrected Area Counts'!$A$4:$AU$99,47,FALSE))*100</f>
        <v>#DIV/0!</v>
      </c>
      <c r="H42" s="566" t="e">
        <f>VLOOKUP(A42,'Uncorrected Area Counts'!$A$4:$AU$99,15,FALSE)/VLOOKUP(A42,'Uncorrected Area Counts'!$A$4:$AU$99,3,FALSE)/VLOOKUP(3,'Plate Planning'!$L$20:$S$35,4,FALSE)*VLOOKUP("standard",'Plate Planning'!$L$20:$S$35,4,FALSE)/VLOOKUP(A42,'Uncorrected Area Counts'!$A$4:$AU$99,14,FALSE)*100</f>
        <v>#DIV/0!</v>
      </c>
      <c r="I42" s="576" t="e">
        <f>(VLOOKUP(A42,'Uncorrected Area Counts'!$A$4:$AU$99,19,FALSE)/VLOOKUP(A42,'Uncorrected Area Counts'!$A$4:$AU$99,47,FALSE))*100</f>
        <v>#DIV/0!</v>
      </c>
      <c r="J42" s="567" t="e">
        <f>VLOOKUP(A42,'Uncorrected Area Counts'!$A$4:$AU$99,19,FALSE)/VLOOKUP(A42,'Uncorrected Area Counts'!$A$4:$AU$99,3,FALSE)/VLOOKUP(4,'Plate Planning'!$L$20:$S$35,4,FALSE)*VLOOKUP("standard",'Plate Planning'!$L$20:$S$35,4,FALSE)/VLOOKUP(A42,'Uncorrected Area Counts'!$A$4:$AU$99,18,FALSE)*100</f>
        <v>#DIV/0!</v>
      </c>
      <c r="K42" s="581" t="e">
        <f>(VLOOKUP(A42,'Uncorrected Area Counts'!$A$4:$AU$99,23,FALSE)/VLOOKUP(A42,'Uncorrected Area Counts'!$A$4:$AU$99,47,FALSE))*100</f>
        <v>#DIV/0!</v>
      </c>
      <c r="L42" s="568" t="e">
        <f>VLOOKUP(A42,'Uncorrected Area Counts'!$A$4:$AU$99,23,FALSE)/VLOOKUP(A42,'Uncorrected Area Counts'!$A$4:$AU$99,3,FALSE)/VLOOKUP(5,'Plate Planning'!$L$20:$S$35,4,FALSE)*VLOOKUP("standard",'Plate Planning'!$L$20:$S$35,4,FALSE)/VLOOKUP(A42,'Uncorrected Area Counts'!$A$4:$AU$99,22,FALSE)*100</f>
        <v>#DIV/0!</v>
      </c>
      <c r="M42" s="581" t="e">
        <f>(VLOOKUP(A42,'Uncorrected Area Counts'!$A$4:$AU$99,27,FALSE)/VLOOKUP(A42,'Uncorrected Area Counts'!$A$4:$AU$99,47,FALSE))*100</f>
        <v>#DIV/0!</v>
      </c>
      <c r="N42" s="567" t="e">
        <f>VLOOKUP(A42,'Uncorrected Area Counts'!$A$4:$AU$99,27,FALSE)/VLOOKUP(A42,'Uncorrected Area Counts'!$A$4:$AU$99,3,FALSE)/VLOOKUP(6,'Plate Planning'!$L$20:$S$35,4,FALSE)*VLOOKUP("standard",'Plate Planning'!$L$20:$S$35,4,FALSE)/VLOOKUP(A42,'Uncorrected Area Counts'!$A$4:$AU$99,26,FALSE)*100</f>
        <v>#DIV/0!</v>
      </c>
      <c r="O42" s="581" t="e">
        <f>(VLOOKUP(A42,'Uncorrected Area Counts'!$A$4:$AU$99,31,FALSE)/VLOOKUP(A42,'Uncorrected Area Counts'!$A$4:$AU$99,47,FALSE))*100</f>
        <v>#DIV/0!</v>
      </c>
      <c r="P42" s="568" t="e">
        <f>VLOOKUP(A42,'Uncorrected Area Counts'!$A$4:$AU$99,31,FALSE)/VLOOKUP(A42,'Uncorrected Area Counts'!$A$4:$AU$99,3,FALSE)/VLOOKUP(7,'Plate Planning'!$L$20:$S$35,4,FALSE)*VLOOKUP("standard",'Plate Planning'!$L$20:$S$35,4,FALSE)/VLOOKUP(A42,'Uncorrected Area Counts'!$A$4:$AU$99,30,FALSE)*100</f>
        <v>#DIV/0!</v>
      </c>
      <c r="Q42" s="581" t="e">
        <f>(VLOOKUP(A42,'Uncorrected Area Counts'!$A$4:$AU$99,35,FALSE)/VLOOKUP(A42,'Uncorrected Area Counts'!$A$4:$AU$99,47,FALSE))*100</f>
        <v>#DIV/0!</v>
      </c>
      <c r="R42" s="477" t="e">
        <f>VLOOKUP(A42,'Uncorrected Area Counts'!$A$4:$AU$99,35,FALSE)/VLOOKUP(A42,'Uncorrected Area Counts'!$A$4:$AU$99,3,FALSE)/VLOOKUP(8,'Plate Planning'!$L$20:$S$35,4,FALSE)*VLOOKUP("standard",'Plate Planning'!$L$20:$S$35,4,FALSE)/VLOOKUP(A42,'Uncorrected Area Counts'!$A$4:$AU$99,34,FALSE)*100</f>
        <v>#DIV/0!</v>
      </c>
      <c r="S42" s="589" t="e">
        <f>(VLOOKUP(A42,'Uncorrected Area Counts'!$A$4:$AU$99,39,FALSE)/VLOOKUP(A42,'Uncorrected Area Counts'!$A$4:$AU$99,47,FALSE))*100</f>
        <v>#DIV/0!</v>
      </c>
      <c r="T42" s="569" t="e">
        <f>VLOOKUP(A42,'Uncorrected Area Counts'!$A$4:$AU$99,39,FALSE)/VLOOKUP(A42,'Uncorrected Area Counts'!$A$4:$AU$99,3,FALSE)/VLOOKUP(8,'Plate Planning'!$L$20:$S$35,4,FALSE)*VLOOKUP("standard",'Plate Planning'!$L$20:$S$35,4,FALSE)/VLOOKUP(A42,'Uncorrected Area Counts'!$A$4:$AU$99,38,FALSE)*100</f>
        <v>#DIV/0!</v>
      </c>
      <c r="U42" s="589" t="e">
        <f>(VLOOKUP(A42,'Uncorrected Area Counts'!$A$4:$AU$99,43,FALSE)/VLOOKUP(A42,'Uncorrected Area Counts'!$A$4:$AU$99,47,FALSE))*100</f>
        <v>#DIV/0!</v>
      </c>
      <c r="V42" s="604" t="e">
        <f>VLOOKUP(A42,'Uncorrected Area Counts'!$A$4:$AU$99,43,FALSE)/VLOOKUP(A42,'Uncorrected Area Counts'!$A$4:$AU$99,3,FALSE)/VLOOKUP(8,'Plate Planning'!$L$20:$S$35,4,FALSE)*VLOOKUP("standard",'Plate Planning'!$L$20:$S$35,4,FALSE)/VLOOKUP(A42,'Uncorrected Area Counts'!$A$4:$AU$99,42,FALSE)*100</f>
        <v>#DIV/0!</v>
      </c>
    </row>
    <row r="43" spans="1:22">
      <c r="A43" s="478" t="s">
        <v>1201</v>
      </c>
      <c r="B43" s="565" t="s">
        <v>22</v>
      </c>
      <c r="C43" s="573" t="e">
        <f>(VLOOKUP(A43,'Uncorrected Area Counts'!$A$4:$AU$99,7,FALSE)/VLOOKUP(A43,'Uncorrected Area Counts'!$A$4:$AU$99,47,FALSE))*100</f>
        <v>#DIV/0!</v>
      </c>
      <c r="D43" s="566" t="e">
        <f>VLOOKUP(A43,'Uncorrected Area Counts'!$A$4:$AU$99,7,FALSE)/VLOOKUP(A43,'Uncorrected Area Counts'!$A$4:$AU$99,3,FALSE)/VLOOKUP(1,'Plate Planning'!$L$20:$S$35,4,FALSE)*VLOOKUP("standard",'Plate Planning'!$L$20:$S$35,4,FALSE)/VLOOKUP(A43,'Uncorrected Area Counts'!$A$4:$AU$99,6,FALSE)*100</f>
        <v>#DIV/0!</v>
      </c>
      <c r="E43" s="576" t="e">
        <f>(VLOOKUP(A43,'Uncorrected Area Counts'!$A$4:$AU$99,11,FALSE)/VLOOKUP(A43,'Uncorrected Area Counts'!$A$4:$AU$99,47,FALSE))*100</f>
        <v>#DIV/0!</v>
      </c>
      <c r="F43" s="566" t="e">
        <f>VLOOKUP(A43,'Uncorrected Area Counts'!$A$4:$AU$99,11,FALSE)/VLOOKUP(A43,'Uncorrected Area Counts'!$A$4:$AU$99,3,FALSE)/VLOOKUP(2,'Plate Planning'!$L$20:$S$35,4,FALSE)*VLOOKUP("standard",'Plate Planning'!$L$20:$S$35,4,FALSE)/VLOOKUP(A43,'Uncorrected Area Counts'!$A$4:$AU$99,10,FALSE)*100</f>
        <v>#DIV/0!</v>
      </c>
      <c r="G43" s="576" t="e">
        <f>(VLOOKUP(A43,'Uncorrected Area Counts'!$A$4:$AU$99,15,FALSE)/VLOOKUP(A43,'Uncorrected Area Counts'!$A$4:$AU$99,47,FALSE))*100</f>
        <v>#DIV/0!</v>
      </c>
      <c r="H43" s="566" t="e">
        <f>VLOOKUP(A43,'Uncorrected Area Counts'!$A$4:$AU$99,15,FALSE)/VLOOKUP(A43,'Uncorrected Area Counts'!$A$4:$AU$99,3,FALSE)/VLOOKUP(3,'Plate Planning'!$L$20:$S$35,4,FALSE)*VLOOKUP("standard",'Plate Planning'!$L$20:$S$35,4,FALSE)/VLOOKUP(A43,'Uncorrected Area Counts'!$A$4:$AU$99,14,FALSE)*100</f>
        <v>#DIV/0!</v>
      </c>
      <c r="I43" s="576" t="e">
        <f>(VLOOKUP(A43,'Uncorrected Area Counts'!$A$4:$AU$99,19,FALSE)/VLOOKUP(A43,'Uncorrected Area Counts'!$A$4:$AU$99,47,FALSE))*100</f>
        <v>#DIV/0!</v>
      </c>
      <c r="J43" s="567" t="e">
        <f>VLOOKUP(A43,'Uncorrected Area Counts'!$A$4:$AU$99,19,FALSE)/VLOOKUP(A43,'Uncorrected Area Counts'!$A$4:$AU$99,3,FALSE)/VLOOKUP(4,'Plate Planning'!$L$20:$S$35,4,FALSE)*VLOOKUP("standard",'Plate Planning'!$L$20:$S$35,4,FALSE)/VLOOKUP(A43,'Uncorrected Area Counts'!$A$4:$AU$99,18,FALSE)*100</f>
        <v>#DIV/0!</v>
      </c>
      <c r="K43" s="581" t="e">
        <f>(VLOOKUP(A43,'Uncorrected Area Counts'!$A$4:$AU$99,23,FALSE)/VLOOKUP(A43,'Uncorrected Area Counts'!$A$4:$AU$99,47,FALSE))*100</f>
        <v>#DIV/0!</v>
      </c>
      <c r="L43" s="568" t="e">
        <f>VLOOKUP(A43,'Uncorrected Area Counts'!$A$4:$AU$99,23,FALSE)/VLOOKUP(A43,'Uncorrected Area Counts'!$A$4:$AU$99,3,FALSE)/VLOOKUP(5,'Plate Planning'!$L$20:$S$35,4,FALSE)*VLOOKUP("standard",'Plate Planning'!$L$20:$S$35,4,FALSE)/VLOOKUP(A43,'Uncorrected Area Counts'!$A$4:$AU$99,22,FALSE)*100</f>
        <v>#DIV/0!</v>
      </c>
      <c r="M43" s="581" t="e">
        <f>(VLOOKUP(A43,'Uncorrected Area Counts'!$A$4:$AU$99,27,FALSE)/VLOOKUP(A43,'Uncorrected Area Counts'!$A$4:$AU$99,47,FALSE))*100</f>
        <v>#DIV/0!</v>
      </c>
      <c r="N43" s="567" t="e">
        <f>VLOOKUP(A43,'Uncorrected Area Counts'!$A$4:$AU$99,27,FALSE)/VLOOKUP(A43,'Uncorrected Area Counts'!$A$4:$AU$99,3,FALSE)/VLOOKUP(6,'Plate Planning'!$L$20:$S$35,4,FALSE)*VLOOKUP("standard",'Plate Planning'!$L$20:$S$35,4,FALSE)/VLOOKUP(A43,'Uncorrected Area Counts'!$A$4:$AU$99,26,FALSE)*100</f>
        <v>#DIV/0!</v>
      </c>
      <c r="O43" s="581" t="e">
        <f>(VLOOKUP(A43,'Uncorrected Area Counts'!$A$4:$AU$99,31,FALSE)/VLOOKUP(A43,'Uncorrected Area Counts'!$A$4:$AU$99,47,FALSE))*100</f>
        <v>#DIV/0!</v>
      </c>
      <c r="P43" s="568" t="e">
        <f>VLOOKUP(A43,'Uncorrected Area Counts'!$A$4:$AU$99,31,FALSE)/VLOOKUP(A43,'Uncorrected Area Counts'!$A$4:$AU$99,3,FALSE)/VLOOKUP(7,'Plate Planning'!$L$20:$S$35,4,FALSE)*VLOOKUP("standard",'Plate Planning'!$L$20:$S$35,4,FALSE)/VLOOKUP(A43,'Uncorrected Area Counts'!$A$4:$AU$99,30,FALSE)*100</f>
        <v>#DIV/0!</v>
      </c>
      <c r="Q43" s="581" t="e">
        <f>(VLOOKUP(A43,'Uncorrected Area Counts'!$A$4:$AU$99,35,FALSE)/VLOOKUP(A43,'Uncorrected Area Counts'!$A$4:$AU$99,47,FALSE))*100</f>
        <v>#DIV/0!</v>
      </c>
      <c r="R43" s="477" t="e">
        <f>VLOOKUP(A43,'Uncorrected Area Counts'!$A$4:$AU$99,35,FALSE)/VLOOKUP(A43,'Uncorrected Area Counts'!$A$4:$AU$99,3,FALSE)/VLOOKUP(8,'Plate Planning'!$L$20:$S$35,4,FALSE)*VLOOKUP("standard",'Plate Planning'!$L$20:$S$35,4,FALSE)/VLOOKUP(A43,'Uncorrected Area Counts'!$A$4:$AU$99,34,FALSE)*100</f>
        <v>#DIV/0!</v>
      </c>
      <c r="S43" s="589" t="e">
        <f>(VLOOKUP(A43,'Uncorrected Area Counts'!$A$4:$AU$99,39,FALSE)/VLOOKUP(A43,'Uncorrected Area Counts'!$A$4:$AU$99,47,FALSE))*100</f>
        <v>#DIV/0!</v>
      </c>
      <c r="T43" s="569" t="e">
        <f>VLOOKUP(A43,'Uncorrected Area Counts'!$A$4:$AU$99,39,FALSE)/VLOOKUP(A43,'Uncorrected Area Counts'!$A$4:$AU$99,3,FALSE)/VLOOKUP(8,'Plate Planning'!$L$20:$S$35,4,FALSE)*VLOOKUP("standard",'Plate Planning'!$L$20:$S$35,4,FALSE)/VLOOKUP(A43,'Uncorrected Area Counts'!$A$4:$AU$99,38,FALSE)*100</f>
        <v>#DIV/0!</v>
      </c>
      <c r="U43" s="589" t="e">
        <f>(VLOOKUP(A43,'Uncorrected Area Counts'!$A$4:$AU$99,43,FALSE)/VLOOKUP(A43,'Uncorrected Area Counts'!$A$4:$AU$99,47,FALSE))*100</f>
        <v>#DIV/0!</v>
      </c>
      <c r="V43" s="604" t="e">
        <f>VLOOKUP(A43,'Uncorrected Area Counts'!$A$4:$AU$99,43,FALSE)/VLOOKUP(A43,'Uncorrected Area Counts'!$A$4:$AU$99,3,FALSE)/VLOOKUP(8,'Plate Planning'!$L$20:$S$35,4,FALSE)*VLOOKUP("standard",'Plate Planning'!$L$20:$S$35,4,FALSE)/VLOOKUP(A43,'Uncorrected Area Counts'!$A$4:$AU$99,42,FALSE)*100</f>
        <v>#DIV/0!</v>
      </c>
    </row>
    <row r="44" spans="1:22">
      <c r="A44" s="478" t="s">
        <v>1202</v>
      </c>
      <c r="B44" s="565" t="s">
        <v>22</v>
      </c>
      <c r="C44" s="573" t="e">
        <f>(VLOOKUP(A44,'Uncorrected Area Counts'!$A$4:$AU$99,7,FALSE)/VLOOKUP(A44,'Uncorrected Area Counts'!$A$4:$AU$99,47,FALSE))*100</f>
        <v>#DIV/0!</v>
      </c>
      <c r="D44" s="566" t="e">
        <f>VLOOKUP(A44,'Uncorrected Area Counts'!$A$4:$AU$99,7,FALSE)/VLOOKUP(A44,'Uncorrected Area Counts'!$A$4:$AU$99,3,FALSE)/VLOOKUP(1,'Plate Planning'!$L$20:$S$35,4,FALSE)*VLOOKUP("standard",'Plate Planning'!$L$20:$S$35,4,FALSE)/VLOOKUP(A44,'Uncorrected Area Counts'!$A$4:$AU$99,6,FALSE)*100</f>
        <v>#DIV/0!</v>
      </c>
      <c r="E44" s="576" t="e">
        <f>(VLOOKUP(A44,'Uncorrected Area Counts'!$A$4:$AU$99,11,FALSE)/VLOOKUP(A44,'Uncorrected Area Counts'!$A$4:$AU$99,47,FALSE))*100</f>
        <v>#DIV/0!</v>
      </c>
      <c r="F44" s="566" t="e">
        <f>VLOOKUP(A44,'Uncorrected Area Counts'!$A$4:$AU$99,11,FALSE)/VLOOKUP(A44,'Uncorrected Area Counts'!$A$4:$AU$99,3,FALSE)/VLOOKUP(2,'Plate Planning'!$L$20:$S$35,4,FALSE)*VLOOKUP("standard",'Plate Planning'!$L$20:$S$35,4,FALSE)/VLOOKUP(A44,'Uncorrected Area Counts'!$A$4:$AU$99,10,FALSE)*100</f>
        <v>#DIV/0!</v>
      </c>
      <c r="G44" s="576" t="e">
        <f>(VLOOKUP(A44,'Uncorrected Area Counts'!$A$4:$AU$99,15,FALSE)/VLOOKUP(A44,'Uncorrected Area Counts'!$A$4:$AU$99,47,FALSE))*100</f>
        <v>#DIV/0!</v>
      </c>
      <c r="H44" s="566" t="e">
        <f>VLOOKUP(A44,'Uncorrected Area Counts'!$A$4:$AU$99,15,FALSE)/VLOOKUP(A44,'Uncorrected Area Counts'!$A$4:$AU$99,3,FALSE)/VLOOKUP(3,'Plate Planning'!$L$20:$S$35,4,FALSE)*VLOOKUP("standard",'Plate Planning'!$L$20:$S$35,4,FALSE)/VLOOKUP(A44,'Uncorrected Area Counts'!$A$4:$AU$99,14,FALSE)*100</f>
        <v>#DIV/0!</v>
      </c>
      <c r="I44" s="576" t="e">
        <f>(VLOOKUP(A44,'Uncorrected Area Counts'!$A$4:$AU$99,19,FALSE)/VLOOKUP(A44,'Uncorrected Area Counts'!$A$4:$AU$99,47,FALSE))*100</f>
        <v>#DIV/0!</v>
      </c>
      <c r="J44" s="567" t="e">
        <f>VLOOKUP(A44,'Uncorrected Area Counts'!$A$4:$AU$99,19,FALSE)/VLOOKUP(A44,'Uncorrected Area Counts'!$A$4:$AU$99,3,FALSE)/VLOOKUP(4,'Plate Planning'!$L$20:$S$35,4,FALSE)*VLOOKUP("standard",'Plate Planning'!$L$20:$S$35,4,FALSE)/VLOOKUP(A44,'Uncorrected Area Counts'!$A$4:$AU$99,18,FALSE)*100</f>
        <v>#DIV/0!</v>
      </c>
      <c r="K44" s="581" t="e">
        <f>(VLOOKUP(A44,'Uncorrected Area Counts'!$A$4:$AU$99,23,FALSE)/VLOOKUP(A44,'Uncorrected Area Counts'!$A$4:$AU$99,47,FALSE))*100</f>
        <v>#DIV/0!</v>
      </c>
      <c r="L44" s="568" t="e">
        <f>VLOOKUP(A44,'Uncorrected Area Counts'!$A$4:$AU$99,23,FALSE)/VLOOKUP(A44,'Uncorrected Area Counts'!$A$4:$AU$99,3,FALSE)/VLOOKUP(5,'Plate Planning'!$L$20:$S$35,4,FALSE)*VLOOKUP("standard",'Plate Planning'!$L$20:$S$35,4,FALSE)/VLOOKUP(A44,'Uncorrected Area Counts'!$A$4:$AU$99,22,FALSE)*100</f>
        <v>#DIV/0!</v>
      </c>
      <c r="M44" s="581" t="e">
        <f>(VLOOKUP(A44,'Uncorrected Area Counts'!$A$4:$AU$99,27,FALSE)/VLOOKUP(A44,'Uncorrected Area Counts'!$A$4:$AU$99,47,FALSE))*100</f>
        <v>#DIV/0!</v>
      </c>
      <c r="N44" s="567" t="e">
        <f>VLOOKUP(A44,'Uncorrected Area Counts'!$A$4:$AU$99,27,FALSE)/VLOOKUP(A44,'Uncorrected Area Counts'!$A$4:$AU$99,3,FALSE)/VLOOKUP(6,'Plate Planning'!$L$20:$S$35,4,FALSE)*VLOOKUP("standard",'Plate Planning'!$L$20:$S$35,4,FALSE)/VLOOKUP(A44,'Uncorrected Area Counts'!$A$4:$AU$99,26,FALSE)*100</f>
        <v>#DIV/0!</v>
      </c>
      <c r="O44" s="581" t="e">
        <f>(VLOOKUP(A44,'Uncorrected Area Counts'!$A$4:$AU$99,31,FALSE)/VLOOKUP(A44,'Uncorrected Area Counts'!$A$4:$AU$99,47,FALSE))*100</f>
        <v>#DIV/0!</v>
      </c>
      <c r="P44" s="568" t="e">
        <f>VLOOKUP(A44,'Uncorrected Area Counts'!$A$4:$AU$99,31,FALSE)/VLOOKUP(A44,'Uncorrected Area Counts'!$A$4:$AU$99,3,FALSE)/VLOOKUP(7,'Plate Planning'!$L$20:$S$35,4,FALSE)*VLOOKUP("standard",'Plate Planning'!$L$20:$S$35,4,FALSE)/VLOOKUP(A44,'Uncorrected Area Counts'!$A$4:$AU$99,30,FALSE)*100</f>
        <v>#DIV/0!</v>
      </c>
      <c r="Q44" s="581" t="e">
        <f>(VLOOKUP(A44,'Uncorrected Area Counts'!$A$4:$AU$99,35,FALSE)/VLOOKUP(A44,'Uncorrected Area Counts'!$A$4:$AU$99,47,FALSE))*100</f>
        <v>#DIV/0!</v>
      </c>
      <c r="R44" s="477" t="e">
        <f>VLOOKUP(A44,'Uncorrected Area Counts'!$A$4:$AU$99,35,FALSE)/VLOOKUP(A44,'Uncorrected Area Counts'!$A$4:$AU$99,3,FALSE)/VLOOKUP(8,'Plate Planning'!$L$20:$S$35,4,FALSE)*VLOOKUP("standard",'Plate Planning'!$L$20:$S$35,4,FALSE)/VLOOKUP(A44,'Uncorrected Area Counts'!$A$4:$AU$99,34,FALSE)*100</f>
        <v>#DIV/0!</v>
      </c>
      <c r="S44" s="589" t="e">
        <f>(VLOOKUP(A44,'Uncorrected Area Counts'!$A$4:$AU$99,39,FALSE)/VLOOKUP(A44,'Uncorrected Area Counts'!$A$4:$AU$99,47,FALSE))*100</f>
        <v>#DIV/0!</v>
      </c>
      <c r="T44" s="569" t="e">
        <f>VLOOKUP(A44,'Uncorrected Area Counts'!$A$4:$AU$99,39,FALSE)/VLOOKUP(A44,'Uncorrected Area Counts'!$A$4:$AU$99,3,FALSE)/VLOOKUP(8,'Plate Planning'!$L$20:$S$35,4,FALSE)*VLOOKUP("standard",'Plate Planning'!$L$20:$S$35,4,FALSE)/VLOOKUP(A44,'Uncorrected Area Counts'!$A$4:$AU$99,38,FALSE)*100</f>
        <v>#DIV/0!</v>
      </c>
      <c r="U44" s="589" t="e">
        <f>(VLOOKUP(A44,'Uncorrected Area Counts'!$A$4:$AU$99,43,FALSE)/VLOOKUP(A44,'Uncorrected Area Counts'!$A$4:$AU$99,47,FALSE))*100</f>
        <v>#DIV/0!</v>
      </c>
      <c r="V44" s="604" t="e">
        <f>VLOOKUP(A44,'Uncorrected Area Counts'!$A$4:$AU$99,43,FALSE)/VLOOKUP(A44,'Uncorrected Area Counts'!$A$4:$AU$99,3,FALSE)/VLOOKUP(8,'Plate Planning'!$L$20:$S$35,4,FALSE)*VLOOKUP("standard",'Plate Planning'!$L$20:$S$35,4,FALSE)/VLOOKUP(A44,'Uncorrected Area Counts'!$A$4:$AU$99,42,FALSE)*100</f>
        <v>#DIV/0!</v>
      </c>
    </row>
    <row r="45" spans="1:22">
      <c r="A45" s="478" t="s">
        <v>1203</v>
      </c>
      <c r="B45" s="565" t="s">
        <v>22</v>
      </c>
      <c r="C45" s="573" t="e">
        <f>(VLOOKUP(A45,'Uncorrected Area Counts'!$A$4:$AU$99,7,FALSE)/VLOOKUP(A45,'Uncorrected Area Counts'!$A$4:$AU$99,47,FALSE))*100</f>
        <v>#DIV/0!</v>
      </c>
      <c r="D45" s="566" t="e">
        <f>VLOOKUP(A45,'Uncorrected Area Counts'!$A$4:$AU$99,7,FALSE)/VLOOKUP(A45,'Uncorrected Area Counts'!$A$4:$AU$99,3,FALSE)/VLOOKUP(1,'Plate Planning'!$L$20:$S$35,4,FALSE)*VLOOKUP("standard",'Plate Planning'!$L$20:$S$35,4,FALSE)/VLOOKUP(A45,'Uncorrected Area Counts'!$A$4:$AU$99,6,FALSE)*100</f>
        <v>#DIV/0!</v>
      </c>
      <c r="E45" s="576" t="e">
        <f>(VLOOKUP(A45,'Uncorrected Area Counts'!$A$4:$AU$99,11,FALSE)/VLOOKUP(A45,'Uncorrected Area Counts'!$A$4:$AU$99,47,FALSE))*100</f>
        <v>#DIV/0!</v>
      </c>
      <c r="F45" s="566" t="e">
        <f>VLOOKUP(A45,'Uncorrected Area Counts'!$A$4:$AU$99,11,FALSE)/VLOOKUP(A45,'Uncorrected Area Counts'!$A$4:$AU$99,3,FALSE)/VLOOKUP(2,'Plate Planning'!$L$20:$S$35,4,FALSE)*VLOOKUP("standard",'Plate Planning'!$L$20:$S$35,4,FALSE)/VLOOKUP(A45,'Uncorrected Area Counts'!$A$4:$AU$99,10,FALSE)*100</f>
        <v>#DIV/0!</v>
      </c>
      <c r="G45" s="576" t="e">
        <f>(VLOOKUP(A45,'Uncorrected Area Counts'!$A$4:$AU$99,15,FALSE)/VLOOKUP(A45,'Uncorrected Area Counts'!$A$4:$AU$99,47,FALSE))*100</f>
        <v>#DIV/0!</v>
      </c>
      <c r="H45" s="566" t="e">
        <f>VLOOKUP(A45,'Uncorrected Area Counts'!$A$4:$AU$99,15,FALSE)/VLOOKUP(A45,'Uncorrected Area Counts'!$A$4:$AU$99,3,FALSE)/VLOOKUP(3,'Plate Planning'!$L$20:$S$35,4,FALSE)*VLOOKUP("standard",'Plate Planning'!$L$20:$S$35,4,FALSE)/VLOOKUP(A45,'Uncorrected Area Counts'!$A$4:$AU$99,14,FALSE)*100</f>
        <v>#DIV/0!</v>
      </c>
      <c r="I45" s="576" t="e">
        <f>(VLOOKUP(A45,'Uncorrected Area Counts'!$A$4:$AU$99,19,FALSE)/VLOOKUP(A45,'Uncorrected Area Counts'!$A$4:$AU$99,47,FALSE))*100</f>
        <v>#DIV/0!</v>
      </c>
      <c r="J45" s="567" t="e">
        <f>VLOOKUP(A45,'Uncorrected Area Counts'!$A$4:$AU$99,19,FALSE)/VLOOKUP(A45,'Uncorrected Area Counts'!$A$4:$AU$99,3,FALSE)/VLOOKUP(4,'Plate Planning'!$L$20:$S$35,4,FALSE)*VLOOKUP("standard",'Plate Planning'!$L$20:$S$35,4,FALSE)/VLOOKUP(A45,'Uncorrected Area Counts'!$A$4:$AU$99,18,FALSE)*100</f>
        <v>#DIV/0!</v>
      </c>
      <c r="K45" s="581" t="e">
        <f>(VLOOKUP(A45,'Uncorrected Area Counts'!$A$4:$AU$99,23,FALSE)/VLOOKUP(A45,'Uncorrected Area Counts'!$A$4:$AU$99,47,FALSE))*100</f>
        <v>#DIV/0!</v>
      </c>
      <c r="L45" s="568" t="e">
        <f>VLOOKUP(A45,'Uncorrected Area Counts'!$A$4:$AU$99,23,FALSE)/VLOOKUP(A45,'Uncorrected Area Counts'!$A$4:$AU$99,3,FALSE)/VLOOKUP(5,'Plate Planning'!$L$20:$S$35,4,FALSE)*VLOOKUP("standard",'Plate Planning'!$L$20:$S$35,4,FALSE)/VLOOKUP(A45,'Uncorrected Area Counts'!$A$4:$AU$99,22,FALSE)*100</f>
        <v>#DIV/0!</v>
      </c>
      <c r="M45" s="581" t="e">
        <f>(VLOOKUP(A45,'Uncorrected Area Counts'!$A$4:$AU$99,27,FALSE)/VLOOKUP(A45,'Uncorrected Area Counts'!$A$4:$AU$99,47,FALSE))*100</f>
        <v>#DIV/0!</v>
      </c>
      <c r="N45" s="567" t="e">
        <f>VLOOKUP(A45,'Uncorrected Area Counts'!$A$4:$AU$99,27,FALSE)/VLOOKUP(A45,'Uncorrected Area Counts'!$A$4:$AU$99,3,FALSE)/VLOOKUP(6,'Plate Planning'!$L$20:$S$35,4,FALSE)*VLOOKUP("standard",'Plate Planning'!$L$20:$S$35,4,FALSE)/VLOOKUP(A45,'Uncorrected Area Counts'!$A$4:$AU$99,26,FALSE)*100</f>
        <v>#DIV/0!</v>
      </c>
      <c r="O45" s="581" t="e">
        <f>(VLOOKUP(A45,'Uncorrected Area Counts'!$A$4:$AU$99,31,FALSE)/VLOOKUP(A45,'Uncorrected Area Counts'!$A$4:$AU$99,47,FALSE))*100</f>
        <v>#DIV/0!</v>
      </c>
      <c r="P45" s="568" t="e">
        <f>VLOOKUP(A45,'Uncorrected Area Counts'!$A$4:$AU$99,31,FALSE)/VLOOKUP(A45,'Uncorrected Area Counts'!$A$4:$AU$99,3,FALSE)/VLOOKUP(7,'Plate Planning'!$L$20:$S$35,4,FALSE)*VLOOKUP("standard",'Plate Planning'!$L$20:$S$35,4,FALSE)/VLOOKUP(A45,'Uncorrected Area Counts'!$A$4:$AU$99,30,FALSE)*100</f>
        <v>#DIV/0!</v>
      </c>
      <c r="Q45" s="581" t="e">
        <f>(VLOOKUP(A45,'Uncorrected Area Counts'!$A$4:$AU$99,35,FALSE)/VLOOKUP(A45,'Uncorrected Area Counts'!$A$4:$AU$99,47,FALSE))*100</f>
        <v>#DIV/0!</v>
      </c>
      <c r="R45" s="477" t="e">
        <f>VLOOKUP(A45,'Uncorrected Area Counts'!$A$4:$AU$99,35,FALSE)/VLOOKUP(A45,'Uncorrected Area Counts'!$A$4:$AU$99,3,FALSE)/VLOOKUP(8,'Plate Planning'!$L$20:$S$35,4,FALSE)*VLOOKUP("standard",'Plate Planning'!$L$20:$S$35,4,FALSE)/VLOOKUP(A45,'Uncorrected Area Counts'!$A$4:$AU$99,34,FALSE)*100</f>
        <v>#DIV/0!</v>
      </c>
      <c r="S45" s="589" t="e">
        <f>(VLOOKUP(A45,'Uncorrected Area Counts'!$A$4:$AU$99,39,FALSE)/VLOOKUP(A45,'Uncorrected Area Counts'!$A$4:$AU$99,47,FALSE))*100</f>
        <v>#DIV/0!</v>
      </c>
      <c r="T45" s="569" t="e">
        <f>VLOOKUP(A45,'Uncorrected Area Counts'!$A$4:$AU$99,39,FALSE)/VLOOKUP(A45,'Uncorrected Area Counts'!$A$4:$AU$99,3,FALSE)/VLOOKUP(8,'Plate Planning'!$L$20:$S$35,4,FALSE)*VLOOKUP("standard",'Plate Planning'!$L$20:$S$35,4,FALSE)/VLOOKUP(A45,'Uncorrected Area Counts'!$A$4:$AU$99,38,FALSE)*100</f>
        <v>#DIV/0!</v>
      </c>
      <c r="U45" s="589" t="e">
        <f>(VLOOKUP(A45,'Uncorrected Area Counts'!$A$4:$AU$99,43,FALSE)/VLOOKUP(A45,'Uncorrected Area Counts'!$A$4:$AU$99,47,FALSE))*100</f>
        <v>#DIV/0!</v>
      </c>
      <c r="V45" s="604" t="e">
        <f>VLOOKUP(A45,'Uncorrected Area Counts'!$A$4:$AU$99,43,FALSE)/VLOOKUP(A45,'Uncorrected Area Counts'!$A$4:$AU$99,3,FALSE)/VLOOKUP(8,'Plate Planning'!$L$20:$S$35,4,FALSE)*VLOOKUP("standard",'Plate Planning'!$L$20:$S$35,4,FALSE)/VLOOKUP(A45,'Uncorrected Area Counts'!$A$4:$AU$99,42,FALSE)*100</f>
        <v>#DIV/0!</v>
      </c>
    </row>
    <row r="46" spans="1:22">
      <c r="A46" s="478" t="s">
        <v>1204</v>
      </c>
      <c r="B46" s="565" t="s">
        <v>22</v>
      </c>
      <c r="C46" s="573" t="e">
        <f>(VLOOKUP(A46,'Uncorrected Area Counts'!$A$4:$AU$99,7,FALSE)/VLOOKUP(A46,'Uncorrected Area Counts'!$A$4:$AU$99,47,FALSE))*100</f>
        <v>#DIV/0!</v>
      </c>
      <c r="D46" s="566" t="e">
        <f>VLOOKUP(A46,'Uncorrected Area Counts'!$A$4:$AU$99,7,FALSE)/VLOOKUP(A46,'Uncorrected Area Counts'!$A$4:$AU$99,3,FALSE)/VLOOKUP(1,'Plate Planning'!$L$20:$S$35,4,FALSE)*VLOOKUP("standard",'Plate Planning'!$L$20:$S$35,4,FALSE)/VLOOKUP(A46,'Uncorrected Area Counts'!$A$4:$AU$99,6,FALSE)*100</f>
        <v>#DIV/0!</v>
      </c>
      <c r="E46" s="576" t="e">
        <f>(VLOOKUP(A46,'Uncorrected Area Counts'!$A$4:$AU$99,11,FALSE)/VLOOKUP(A46,'Uncorrected Area Counts'!$A$4:$AU$99,47,FALSE))*100</f>
        <v>#DIV/0!</v>
      </c>
      <c r="F46" s="566" t="e">
        <f>VLOOKUP(A46,'Uncorrected Area Counts'!$A$4:$AU$99,11,FALSE)/VLOOKUP(A46,'Uncorrected Area Counts'!$A$4:$AU$99,3,FALSE)/VLOOKUP(2,'Plate Planning'!$L$20:$S$35,4,FALSE)*VLOOKUP("standard",'Plate Planning'!$L$20:$S$35,4,FALSE)/VLOOKUP(A46,'Uncorrected Area Counts'!$A$4:$AU$99,10,FALSE)*100</f>
        <v>#DIV/0!</v>
      </c>
      <c r="G46" s="576" t="e">
        <f>(VLOOKUP(A46,'Uncorrected Area Counts'!$A$4:$AU$99,15,FALSE)/VLOOKUP(A46,'Uncorrected Area Counts'!$A$4:$AU$99,47,FALSE))*100</f>
        <v>#DIV/0!</v>
      </c>
      <c r="H46" s="566" t="e">
        <f>VLOOKUP(A46,'Uncorrected Area Counts'!$A$4:$AU$99,15,FALSE)/VLOOKUP(A46,'Uncorrected Area Counts'!$A$4:$AU$99,3,FALSE)/VLOOKUP(3,'Plate Planning'!$L$20:$S$35,4,FALSE)*VLOOKUP("standard",'Plate Planning'!$L$20:$S$35,4,FALSE)/VLOOKUP(A46,'Uncorrected Area Counts'!$A$4:$AU$99,14,FALSE)*100</f>
        <v>#DIV/0!</v>
      </c>
      <c r="I46" s="576" t="e">
        <f>(VLOOKUP(A46,'Uncorrected Area Counts'!$A$4:$AU$99,19,FALSE)/VLOOKUP(A46,'Uncorrected Area Counts'!$A$4:$AU$99,47,FALSE))*100</f>
        <v>#DIV/0!</v>
      </c>
      <c r="J46" s="567" t="e">
        <f>VLOOKUP(A46,'Uncorrected Area Counts'!$A$4:$AU$99,19,FALSE)/VLOOKUP(A46,'Uncorrected Area Counts'!$A$4:$AU$99,3,FALSE)/VLOOKUP(4,'Plate Planning'!$L$20:$S$35,4,FALSE)*VLOOKUP("standard",'Plate Planning'!$L$20:$S$35,4,FALSE)/VLOOKUP(A46,'Uncorrected Area Counts'!$A$4:$AU$99,18,FALSE)*100</f>
        <v>#DIV/0!</v>
      </c>
      <c r="K46" s="581" t="e">
        <f>(VLOOKUP(A46,'Uncorrected Area Counts'!$A$4:$AU$99,23,FALSE)/VLOOKUP(A46,'Uncorrected Area Counts'!$A$4:$AU$99,47,FALSE))*100</f>
        <v>#DIV/0!</v>
      </c>
      <c r="L46" s="568" t="e">
        <f>VLOOKUP(A46,'Uncorrected Area Counts'!$A$4:$AU$99,23,FALSE)/VLOOKUP(A46,'Uncorrected Area Counts'!$A$4:$AU$99,3,FALSE)/VLOOKUP(5,'Plate Planning'!$L$20:$S$35,4,FALSE)*VLOOKUP("standard",'Plate Planning'!$L$20:$S$35,4,FALSE)/VLOOKUP(A46,'Uncorrected Area Counts'!$A$4:$AU$99,22,FALSE)*100</f>
        <v>#DIV/0!</v>
      </c>
      <c r="M46" s="581" t="e">
        <f>(VLOOKUP(A46,'Uncorrected Area Counts'!$A$4:$AU$99,27,FALSE)/VLOOKUP(A46,'Uncorrected Area Counts'!$A$4:$AU$99,47,FALSE))*100</f>
        <v>#DIV/0!</v>
      </c>
      <c r="N46" s="567" t="e">
        <f>VLOOKUP(A46,'Uncorrected Area Counts'!$A$4:$AU$99,27,FALSE)/VLOOKUP(A46,'Uncorrected Area Counts'!$A$4:$AU$99,3,FALSE)/VLOOKUP(6,'Plate Planning'!$L$20:$S$35,4,FALSE)*VLOOKUP("standard",'Plate Planning'!$L$20:$S$35,4,FALSE)/VLOOKUP(A46,'Uncorrected Area Counts'!$A$4:$AU$99,26,FALSE)*100</f>
        <v>#DIV/0!</v>
      </c>
      <c r="O46" s="581" t="e">
        <f>(VLOOKUP(A46,'Uncorrected Area Counts'!$A$4:$AU$99,31,FALSE)/VLOOKUP(A46,'Uncorrected Area Counts'!$A$4:$AU$99,47,FALSE))*100</f>
        <v>#DIV/0!</v>
      </c>
      <c r="P46" s="568" t="e">
        <f>VLOOKUP(A46,'Uncorrected Area Counts'!$A$4:$AU$99,31,FALSE)/VLOOKUP(A46,'Uncorrected Area Counts'!$A$4:$AU$99,3,FALSE)/VLOOKUP(7,'Plate Planning'!$L$20:$S$35,4,FALSE)*VLOOKUP("standard",'Plate Planning'!$L$20:$S$35,4,FALSE)/VLOOKUP(A46,'Uncorrected Area Counts'!$A$4:$AU$99,30,FALSE)*100</f>
        <v>#DIV/0!</v>
      </c>
      <c r="Q46" s="581" t="e">
        <f>(VLOOKUP(A46,'Uncorrected Area Counts'!$A$4:$AU$99,35,FALSE)/VLOOKUP(A46,'Uncorrected Area Counts'!$A$4:$AU$99,47,FALSE))*100</f>
        <v>#DIV/0!</v>
      </c>
      <c r="R46" s="477" t="e">
        <f>VLOOKUP(A46,'Uncorrected Area Counts'!$A$4:$AU$99,35,FALSE)/VLOOKUP(A46,'Uncorrected Area Counts'!$A$4:$AU$99,3,FALSE)/VLOOKUP(8,'Plate Planning'!$L$20:$S$35,4,FALSE)*VLOOKUP("standard",'Plate Planning'!$L$20:$S$35,4,FALSE)/VLOOKUP(A46,'Uncorrected Area Counts'!$A$4:$AU$99,34,FALSE)*100</f>
        <v>#DIV/0!</v>
      </c>
      <c r="S46" s="589" t="e">
        <f>(VLOOKUP(A46,'Uncorrected Area Counts'!$A$4:$AU$99,39,FALSE)/VLOOKUP(A46,'Uncorrected Area Counts'!$A$4:$AU$99,47,FALSE))*100</f>
        <v>#DIV/0!</v>
      </c>
      <c r="T46" s="569" t="e">
        <f>VLOOKUP(A46,'Uncorrected Area Counts'!$A$4:$AU$99,39,FALSE)/VLOOKUP(A46,'Uncorrected Area Counts'!$A$4:$AU$99,3,FALSE)/VLOOKUP(8,'Plate Planning'!$L$20:$S$35,4,FALSE)*VLOOKUP("standard",'Plate Planning'!$L$20:$S$35,4,FALSE)/VLOOKUP(A46,'Uncorrected Area Counts'!$A$4:$AU$99,38,FALSE)*100</f>
        <v>#DIV/0!</v>
      </c>
      <c r="U46" s="589" t="e">
        <f>(VLOOKUP(A46,'Uncorrected Area Counts'!$A$4:$AU$99,43,FALSE)/VLOOKUP(A46,'Uncorrected Area Counts'!$A$4:$AU$99,47,FALSE))*100</f>
        <v>#DIV/0!</v>
      </c>
      <c r="V46" s="604" t="e">
        <f>VLOOKUP(A46,'Uncorrected Area Counts'!$A$4:$AU$99,43,FALSE)/VLOOKUP(A46,'Uncorrected Area Counts'!$A$4:$AU$99,3,FALSE)/VLOOKUP(8,'Plate Planning'!$L$20:$S$35,4,FALSE)*VLOOKUP("standard",'Plate Planning'!$L$20:$S$35,4,FALSE)/VLOOKUP(A46,'Uncorrected Area Counts'!$A$4:$AU$99,42,FALSE)*100</f>
        <v>#DIV/0!</v>
      </c>
    </row>
    <row r="47" spans="1:22">
      <c r="A47" s="478" t="s">
        <v>1205</v>
      </c>
      <c r="B47" s="565" t="s">
        <v>22</v>
      </c>
      <c r="C47" s="573" t="e">
        <f>(VLOOKUP(A47,'Uncorrected Area Counts'!$A$4:$AU$99,7,FALSE)/VLOOKUP(A47,'Uncorrected Area Counts'!$A$4:$AU$99,47,FALSE))*100</f>
        <v>#DIV/0!</v>
      </c>
      <c r="D47" s="566" t="e">
        <f>VLOOKUP(A47,'Uncorrected Area Counts'!$A$4:$AU$99,7,FALSE)/VLOOKUP(A47,'Uncorrected Area Counts'!$A$4:$AU$99,3,FALSE)/VLOOKUP(1,'Plate Planning'!$L$20:$S$35,4,FALSE)*VLOOKUP("standard",'Plate Planning'!$L$20:$S$35,4,FALSE)/VLOOKUP(A47,'Uncorrected Area Counts'!$A$4:$AU$99,6,FALSE)*100</f>
        <v>#DIV/0!</v>
      </c>
      <c r="E47" s="576" t="e">
        <f>(VLOOKUP(A47,'Uncorrected Area Counts'!$A$4:$AU$99,11,FALSE)/VLOOKUP(A47,'Uncorrected Area Counts'!$A$4:$AU$99,47,FALSE))*100</f>
        <v>#DIV/0!</v>
      </c>
      <c r="F47" s="566" t="e">
        <f>VLOOKUP(A47,'Uncorrected Area Counts'!$A$4:$AU$99,11,FALSE)/VLOOKUP(A47,'Uncorrected Area Counts'!$A$4:$AU$99,3,FALSE)/VLOOKUP(2,'Plate Planning'!$L$20:$S$35,4,FALSE)*VLOOKUP("standard",'Plate Planning'!$L$20:$S$35,4,FALSE)/VLOOKUP(A47,'Uncorrected Area Counts'!$A$4:$AU$99,10,FALSE)*100</f>
        <v>#DIV/0!</v>
      </c>
      <c r="G47" s="576" t="e">
        <f>(VLOOKUP(A47,'Uncorrected Area Counts'!$A$4:$AU$99,15,FALSE)/VLOOKUP(A47,'Uncorrected Area Counts'!$A$4:$AU$99,47,FALSE))*100</f>
        <v>#DIV/0!</v>
      </c>
      <c r="H47" s="566" t="e">
        <f>VLOOKUP(A47,'Uncorrected Area Counts'!$A$4:$AU$99,15,FALSE)/VLOOKUP(A47,'Uncorrected Area Counts'!$A$4:$AU$99,3,FALSE)/VLOOKUP(3,'Plate Planning'!$L$20:$S$35,4,FALSE)*VLOOKUP("standard",'Plate Planning'!$L$20:$S$35,4,FALSE)/VLOOKUP(A47,'Uncorrected Area Counts'!$A$4:$AU$99,14,FALSE)*100</f>
        <v>#DIV/0!</v>
      </c>
      <c r="I47" s="576" t="e">
        <f>(VLOOKUP(A47,'Uncorrected Area Counts'!$A$4:$AU$99,19,FALSE)/VLOOKUP(A47,'Uncorrected Area Counts'!$A$4:$AU$99,47,FALSE))*100</f>
        <v>#DIV/0!</v>
      </c>
      <c r="J47" s="567" t="e">
        <f>VLOOKUP(A47,'Uncorrected Area Counts'!$A$4:$AU$99,19,FALSE)/VLOOKUP(A47,'Uncorrected Area Counts'!$A$4:$AU$99,3,FALSE)/VLOOKUP(4,'Plate Planning'!$L$20:$S$35,4,FALSE)*VLOOKUP("standard",'Plate Planning'!$L$20:$S$35,4,FALSE)/VLOOKUP(A47,'Uncorrected Area Counts'!$A$4:$AU$99,18,FALSE)*100</f>
        <v>#DIV/0!</v>
      </c>
      <c r="K47" s="581" t="e">
        <f>(VLOOKUP(A47,'Uncorrected Area Counts'!$A$4:$AU$99,23,FALSE)/VLOOKUP(A47,'Uncorrected Area Counts'!$A$4:$AU$99,47,FALSE))*100</f>
        <v>#DIV/0!</v>
      </c>
      <c r="L47" s="568" t="e">
        <f>VLOOKUP(A47,'Uncorrected Area Counts'!$A$4:$AU$99,23,FALSE)/VLOOKUP(A47,'Uncorrected Area Counts'!$A$4:$AU$99,3,FALSE)/VLOOKUP(5,'Plate Planning'!$L$20:$S$35,4,FALSE)*VLOOKUP("standard",'Plate Planning'!$L$20:$S$35,4,FALSE)/VLOOKUP(A47,'Uncorrected Area Counts'!$A$4:$AU$99,22,FALSE)*100</f>
        <v>#DIV/0!</v>
      </c>
      <c r="M47" s="581" t="e">
        <f>(VLOOKUP(A47,'Uncorrected Area Counts'!$A$4:$AU$99,27,FALSE)/VLOOKUP(A47,'Uncorrected Area Counts'!$A$4:$AU$99,47,FALSE))*100</f>
        <v>#DIV/0!</v>
      </c>
      <c r="N47" s="567" t="e">
        <f>VLOOKUP(A47,'Uncorrected Area Counts'!$A$4:$AU$99,27,FALSE)/VLOOKUP(A47,'Uncorrected Area Counts'!$A$4:$AU$99,3,FALSE)/VLOOKUP(6,'Plate Planning'!$L$20:$S$35,4,FALSE)*VLOOKUP("standard",'Plate Planning'!$L$20:$S$35,4,FALSE)/VLOOKUP(A47,'Uncorrected Area Counts'!$A$4:$AU$99,26,FALSE)*100</f>
        <v>#DIV/0!</v>
      </c>
      <c r="O47" s="581" t="e">
        <f>(VLOOKUP(A47,'Uncorrected Area Counts'!$A$4:$AU$99,31,FALSE)/VLOOKUP(A47,'Uncorrected Area Counts'!$A$4:$AU$99,47,FALSE))*100</f>
        <v>#DIV/0!</v>
      </c>
      <c r="P47" s="568" t="e">
        <f>VLOOKUP(A47,'Uncorrected Area Counts'!$A$4:$AU$99,31,FALSE)/VLOOKUP(A47,'Uncorrected Area Counts'!$A$4:$AU$99,3,FALSE)/VLOOKUP(7,'Plate Planning'!$L$20:$S$35,4,FALSE)*VLOOKUP("standard",'Plate Planning'!$L$20:$S$35,4,FALSE)/VLOOKUP(A47,'Uncorrected Area Counts'!$A$4:$AU$99,30,FALSE)*100</f>
        <v>#DIV/0!</v>
      </c>
      <c r="Q47" s="581" t="e">
        <f>(VLOOKUP(A47,'Uncorrected Area Counts'!$A$4:$AU$99,35,FALSE)/VLOOKUP(A47,'Uncorrected Area Counts'!$A$4:$AU$99,47,FALSE))*100</f>
        <v>#DIV/0!</v>
      </c>
      <c r="R47" s="477" t="e">
        <f>VLOOKUP(A47,'Uncorrected Area Counts'!$A$4:$AU$99,35,FALSE)/VLOOKUP(A47,'Uncorrected Area Counts'!$A$4:$AU$99,3,FALSE)/VLOOKUP(8,'Plate Planning'!$L$20:$S$35,4,FALSE)*VLOOKUP("standard",'Plate Planning'!$L$20:$S$35,4,FALSE)/VLOOKUP(A47,'Uncorrected Area Counts'!$A$4:$AU$99,34,FALSE)*100</f>
        <v>#DIV/0!</v>
      </c>
      <c r="S47" s="589" t="e">
        <f>(VLOOKUP(A47,'Uncorrected Area Counts'!$A$4:$AU$99,39,FALSE)/VLOOKUP(A47,'Uncorrected Area Counts'!$A$4:$AU$99,47,FALSE))*100</f>
        <v>#DIV/0!</v>
      </c>
      <c r="T47" s="569" t="e">
        <f>VLOOKUP(A47,'Uncorrected Area Counts'!$A$4:$AU$99,39,FALSE)/VLOOKUP(A47,'Uncorrected Area Counts'!$A$4:$AU$99,3,FALSE)/VLOOKUP(8,'Plate Planning'!$L$20:$S$35,4,FALSE)*VLOOKUP("standard",'Plate Planning'!$L$20:$S$35,4,FALSE)/VLOOKUP(A47,'Uncorrected Area Counts'!$A$4:$AU$99,38,FALSE)*100</f>
        <v>#DIV/0!</v>
      </c>
      <c r="U47" s="589" t="e">
        <f>(VLOOKUP(A47,'Uncorrected Area Counts'!$A$4:$AU$99,43,FALSE)/VLOOKUP(A47,'Uncorrected Area Counts'!$A$4:$AU$99,47,FALSE))*100</f>
        <v>#DIV/0!</v>
      </c>
      <c r="V47" s="604" t="e">
        <f>VLOOKUP(A47,'Uncorrected Area Counts'!$A$4:$AU$99,43,FALSE)/VLOOKUP(A47,'Uncorrected Area Counts'!$A$4:$AU$99,3,FALSE)/VLOOKUP(8,'Plate Planning'!$L$20:$S$35,4,FALSE)*VLOOKUP("standard",'Plate Planning'!$L$20:$S$35,4,FALSE)/VLOOKUP(A47,'Uncorrected Area Counts'!$A$4:$AU$99,42,FALSE)*100</f>
        <v>#DIV/0!</v>
      </c>
    </row>
    <row r="48" spans="1:22">
      <c r="A48" s="478" t="s">
        <v>1206</v>
      </c>
      <c r="B48" s="565" t="s">
        <v>22</v>
      </c>
      <c r="C48" s="573" t="e">
        <f>(VLOOKUP(A48,'Uncorrected Area Counts'!$A$4:$AU$99,7,FALSE)/VLOOKUP(A48,'Uncorrected Area Counts'!$A$4:$AU$99,47,FALSE))*100</f>
        <v>#DIV/0!</v>
      </c>
      <c r="D48" s="566" t="e">
        <f>VLOOKUP(A48,'Uncorrected Area Counts'!$A$4:$AU$99,7,FALSE)/VLOOKUP(A48,'Uncorrected Area Counts'!$A$4:$AU$99,3,FALSE)/VLOOKUP(1,'Plate Planning'!$L$20:$S$35,4,FALSE)*VLOOKUP("standard",'Plate Planning'!$L$20:$S$35,4,FALSE)/VLOOKUP(A48,'Uncorrected Area Counts'!$A$4:$AU$99,6,FALSE)*100</f>
        <v>#DIV/0!</v>
      </c>
      <c r="E48" s="576" t="e">
        <f>(VLOOKUP(A48,'Uncorrected Area Counts'!$A$4:$AU$99,11,FALSE)/VLOOKUP(A48,'Uncorrected Area Counts'!$A$4:$AU$99,47,FALSE))*100</f>
        <v>#DIV/0!</v>
      </c>
      <c r="F48" s="566" t="e">
        <f>VLOOKUP(A48,'Uncorrected Area Counts'!$A$4:$AU$99,11,FALSE)/VLOOKUP(A48,'Uncorrected Area Counts'!$A$4:$AU$99,3,FALSE)/VLOOKUP(2,'Plate Planning'!$L$20:$S$35,4,FALSE)*VLOOKUP("standard",'Plate Planning'!$L$20:$S$35,4,FALSE)/VLOOKUP(A48,'Uncorrected Area Counts'!$A$4:$AU$99,10,FALSE)*100</f>
        <v>#DIV/0!</v>
      </c>
      <c r="G48" s="576" t="e">
        <f>(VLOOKUP(A48,'Uncorrected Area Counts'!$A$4:$AU$99,15,FALSE)/VLOOKUP(A48,'Uncorrected Area Counts'!$A$4:$AU$99,47,FALSE))*100</f>
        <v>#DIV/0!</v>
      </c>
      <c r="H48" s="566" t="e">
        <f>VLOOKUP(A48,'Uncorrected Area Counts'!$A$4:$AU$99,15,FALSE)/VLOOKUP(A48,'Uncorrected Area Counts'!$A$4:$AU$99,3,FALSE)/VLOOKUP(3,'Plate Planning'!$L$20:$S$35,4,FALSE)*VLOOKUP("standard",'Plate Planning'!$L$20:$S$35,4,FALSE)/VLOOKUP(A48,'Uncorrected Area Counts'!$A$4:$AU$99,14,FALSE)*100</f>
        <v>#DIV/0!</v>
      </c>
      <c r="I48" s="576" t="e">
        <f>(VLOOKUP(A48,'Uncorrected Area Counts'!$A$4:$AU$99,19,FALSE)/VLOOKUP(A48,'Uncorrected Area Counts'!$A$4:$AU$99,47,FALSE))*100</f>
        <v>#DIV/0!</v>
      </c>
      <c r="J48" s="567" t="e">
        <f>VLOOKUP(A48,'Uncorrected Area Counts'!$A$4:$AU$99,19,FALSE)/VLOOKUP(A48,'Uncorrected Area Counts'!$A$4:$AU$99,3,FALSE)/VLOOKUP(4,'Plate Planning'!$L$20:$S$35,4,FALSE)*VLOOKUP("standard",'Plate Planning'!$L$20:$S$35,4,FALSE)/VLOOKUP(A48,'Uncorrected Area Counts'!$A$4:$AU$99,18,FALSE)*100</f>
        <v>#DIV/0!</v>
      </c>
      <c r="K48" s="581" t="e">
        <f>(VLOOKUP(A48,'Uncorrected Area Counts'!$A$4:$AU$99,23,FALSE)/VLOOKUP(A48,'Uncorrected Area Counts'!$A$4:$AU$99,47,FALSE))*100</f>
        <v>#DIV/0!</v>
      </c>
      <c r="L48" s="568" t="e">
        <f>VLOOKUP(A48,'Uncorrected Area Counts'!$A$4:$AU$99,23,FALSE)/VLOOKUP(A48,'Uncorrected Area Counts'!$A$4:$AU$99,3,FALSE)/VLOOKUP(5,'Plate Planning'!$L$20:$S$35,4,FALSE)*VLOOKUP("standard",'Plate Planning'!$L$20:$S$35,4,FALSE)/VLOOKUP(A48,'Uncorrected Area Counts'!$A$4:$AU$99,22,FALSE)*100</f>
        <v>#DIV/0!</v>
      </c>
      <c r="M48" s="581" t="e">
        <f>(VLOOKUP(A48,'Uncorrected Area Counts'!$A$4:$AU$99,27,FALSE)/VLOOKUP(A48,'Uncorrected Area Counts'!$A$4:$AU$99,47,FALSE))*100</f>
        <v>#DIV/0!</v>
      </c>
      <c r="N48" s="567" t="e">
        <f>VLOOKUP(A48,'Uncorrected Area Counts'!$A$4:$AU$99,27,FALSE)/VLOOKUP(A48,'Uncorrected Area Counts'!$A$4:$AU$99,3,FALSE)/VLOOKUP(6,'Plate Planning'!$L$20:$S$35,4,FALSE)*VLOOKUP("standard",'Plate Planning'!$L$20:$S$35,4,FALSE)/VLOOKUP(A48,'Uncorrected Area Counts'!$A$4:$AU$99,26,FALSE)*100</f>
        <v>#DIV/0!</v>
      </c>
      <c r="O48" s="581" t="e">
        <f>(VLOOKUP(A48,'Uncorrected Area Counts'!$A$4:$AU$99,31,FALSE)/VLOOKUP(A48,'Uncorrected Area Counts'!$A$4:$AU$99,47,FALSE))*100</f>
        <v>#DIV/0!</v>
      </c>
      <c r="P48" s="568" t="e">
        <f>VLOOKUP(A48,'Uncorrected Area Counts'!$A$4:$AU$99,31,FALSE)/VLOOKUP(A48,'Uncorrected Area Counts'!$A$4:$AU$99,3,FALSE)/VLOOKUP(7,'Plate Planning'!$L$20:$S$35,4,FALSE)*VLOOKUP("standard",'Plate Planning'!$L$20:$S$35,4,FALSE)/VLOOKUP(A48,'Uncorrected Area Counts'!$A$4:$AU$99,30,FALSE)*100</f>
        <v>#DIV/0!</v>
      </c>
      <c r="Q48" s="581" t="e">
        <f>(VLOOKUP(A48,'Uncorrected Area Counts'!$A$4:$AU$99,35,FALSE)/VLOOKUP(A48,'Uncorrected Area Counts'!$A$4:$AU$99,47,FALSE))*100</f>
        <v>#DIV/0!</v>
      </c>
      <c r="R48" s="477" t="e">
        <f>VLOOKUP(A48,'Uncorrected Area Counts'!$A$4:$AU$99,35,FALSE)/VLOOKUP(A48,'Uncorrected Area Counts'!$A$4:$AU$99,3,FALSE)/VLOOKUP(8,'Plate Planning'!$L$20:$S$35,4,FALSE)*VLOOKUP("standard",'Plate Planning'!$L$20:$S$35,4,FALSE)/VLOOKUP(A48,'Uncorrected Area Counts'!$A$4:$AU$99,34,FALSE)*100</f>
        <v>#DIV/0!</v>
      </c>
      <c r="S48" s="589" t="e">
        <f>(VLOOKUP(A48,'Uncorrected Area Counts'!$A$4:$AU$99,39,FALSE)/VLOOKUP(A48,'Uncorrected Area Counts'!$A$4:$AU$99,47,FALSE))*100</f>
        <v>#DIV/0!</v>
      </c>
      <c r="T48" s="569" t="e">
        <f>VLOOKUP(A48,'Uncorrected Area Counts'!$A$4:$AU$99,39,FALSE)/VLOOKUP(A48,'Uncorrected Area Counts'!$A$4:$AU$99,3,FALSE)/VLOOKUP(8,'Plate Planning'!$L$20:$S$35,4,FALSE)*VLOOKUP("standard",'Plate Planning'!$L$20:$S$35,4,FALSE)/VLOOKUP(A48,'Uncorrected Area Counts'!$A$4:$AU$99,38,FALSE)*100</f>
        <v>#DIV/0!</v>
      </c>
      <c r="U48" s="589" t="e">
        <f>(VLOOKUP(A48,'Uncorrected Area Counts'!$A$4:$AU$99,43,FALSE)/VLOOKUP(A48,'Uncorrected Area Counts'!$A$4:$AU$99,47,FALSE))*100</f>
        <v>#DIV/0!</v>
      </c>
      <c r="V48" s="604" t="e">
        <f>VLOOKUP(A48,'Uncorrected Area Counts'!$A$4:$AU$99,43,FALSE)/VLOOKUP(A48,'Uncorrected Area Counts'!$A$4:$AU$99,3,FALSE)/VLOOKUP(8,'Plate Planning'!$L$20:$S$35,4,FALSE)*VLOOKUP("standard",'Plate Planning'!$L$20:$S$35,4,FALSE)/VLOOKUP(A48,'Uncorrected Area Counts'!$A$4:$AU$99,42,FALSE)*100</f>
        <v>#DIV/0!</v>
      </c>
    </row>
    <row r="49" spans="1:22">
      <c r="A49" s="478" t="s">
        <v>1207</v>
      </c>
      <c r="B49" s="565" t="s">
        <v>22</v>
      </c>
      <c r="C49" s="573" t="e">
        <f>(VLOOKUP(A49,'Uncorrected Area Counts'!$A$4:$AU$99,7,FALSE)/VLOOKUP(A49,'Uncorrected Area Counts'!$A$4:$AU$99,47,FALSE))*100</f>
        <v>#DIV/0!</v>
      </c>
      <c r="D49" s="566" t="e">
        <f>VLOOKUP(A49,'Uncorrected Area Counts'!$A$4:$AU$99,7,FALSE)/VLOOKUP(A49,'Uncorrected Area Counts'!$A$4:$AU$99,3,FALSE)/VLOOKUP(1,'Plate Planning'!$L$20:$S$35,4,FALSE)*VLOOKUP("standard",'Plate Planning'!$L$20:$S$35,4,FALSE)/VLOOKUP(A49,'Uncorrected Area Counts'!$A$4:$AU$99,6,FALSE)*100</f>
        <v>#DIV/0!</v>
      </c>
      <c r="E49" s="576" t="e">
        <f>(VLOOKUP(A49,'Uncorrected Area Counts'!$A$4:$AU$99,11,FALSE)/VLOOKUP(A49,'Uncorrected Area Counts'!$A$4:$AU$99,47,FALSE))*100</f>
        <v>#DIV/0!</v>
      </c>
      <c r="F49" s="566" t="e">
        <f>VLOOKUP(A49,'Uncorrected Area Counts'!$A$4:$AU$99,11,FALSE)/VLOOKUP(A49,'Uncorrected Area Counts'!$A$4:$AU$99,3,FALSE)/VLOOKUP(2,'Plate Planning'!$L$20:$S$35,4,FALSE)*VLOOKUP("standard",'Plate Planning'!$L$20:$S$35,4,FALSE)/VLOOKUP(A49,'Uncorrected Area Counts'!$A$4:$AU$99,10,FALSE)*100</f>
        <v>#DIV/0!</v>
      </c>
      <c r="G49" s="576" t="e">
        <f>(VLOOKUP(A49,'Uncorrected Area Counts'!$A$4:$AU$99,15,FALSE)/VLOOKUP(A49,'Uncorrected Area Counts'!$A$4:$AU$99,47,FALSE))*100</f>
        <v>#DIV/0!</v>
      </c>
      <c r="H49" s="566" t="e">
        <f>VLOOKUP(A49,'Uncorrected Area Counts'!$A$4:$AU$99,15,FALSE)/VLOOKUP(A49,'Uncorrected Area Counts'!$A$4:$AU$99,3,FALSE)/VLOOKUP(3,'Plate Planning'!$L$20:$S$35,4,FALSE)*VLOOKUP("standard",'Plate Planning'!$L$20:$S$35,4,FALSE)/VLOOKUP(A49,'Uncorrected Area Counts'!$A$4:$AU$99,14,FALSE)*100</f>
        <v>#DIV/0!</v>
      </c>
      <c r="I49" s="576" t="e">
        <f>(VLOOKUP(A49,'Uncorrected Area Counts'!$A$4:$AU$99,19,FALSE)/VLOOKUP(A49,'Uncorrected Area Counts'!$A$4:$AU$99,47,FALSE))*100</f>
        <v>#DIV/0!</v>
      </c>
      <c r="J49" s="567" t="e">
        <f>VLOOKUP(A49,'Uncorrected Area Counts'!$A$4:$AU$99,19,FALSE)/VLOOKUP(A49,'Uncorrected Area Counts'!$A$4:$AU$99,3,FALSE)/VLOOKUP(4,'Plate Planning'!$L$20:$S$35,4,FALSE)*VLOOKUP("standard",'Plate Planning'!$L$20:$S$35,4,FALSE)/VLOOKUP(A49,'Uncorrected Area Counts'!$A$4:$AU$99,18,FALSE)*100</f>
        <v>#DIV/0!</v>
      </c>
      <c r="K49" s="581" t="e">
        <f>(VLOOKUP(A49,'Uncorrected Area Counts'!$A$4:$AU$99,23,FALSE)/VLOOKUP(A49,'Uncorrected Area Counts'!$A$4:$AU$99,47,FALSE))*100</f>
        <v>#DIV/0!</v>
      </c>
      <c r="L49" s="568" t="e">
        <f>VLOOKUP(A49,'Uncorrected Area Counts'!$A$4:$AU$99,23,FALSE)/VLOOKUP(A49,'Uncorrected Area Counts'!$A$4:$AU$99,3,FALSE)/VLOOKUP(5,'Plate Planning'!$L$20:$S$35,4,FALSE)*VLOOKUP("standard",'Plate Planning'!$L$20:$S$35,4,FALSE)/VLOOKUP(A49,'Uncorrected Area Counts'!$A$4:$AU$99,22,FALSE)*100</f>
        <v>#DIV/0!</v>
      </c>
      <c r="M49" s="581" t="e">
        <f>(VLOOKUP(A49,'Uncorrected Area Counts'!$A$4:$AU$99,27,FALSE)/VLOOKUP(A49,'Uncorrected Area Counts'!$A$4:$AU$99,47,FALSE))*100</f>
        <v>#DIV/0!</v>
      </c>
      <c r="N49" s="567" t="e">
        <f>VLOOKUP(A49,'Uncorrected Area Counts'!$A$4:$AU$99,27,FALSE)/VLOOKUP(A49,'Uncorrected Area Counts'!$A$4:$AU$99,3,FALSE)/VLOOKUP(6,'Plate Planning'!$L$20:$S$35,4,FALSE)*VLOOKUP("standard",'Plate Planning'!$L$20:$S$35,4,FALSE)/VLOOKUP(A49,'Uncorrected Area Counts'!$A$4:$AU$99,26,FALSE)*100</f>
        <v>#DIV/0!</v>
      </c>
      <c r="O49" s="581" t="e">
        <f>(VLOOKUP(A49,'Uncorrected Area Counts'!$A$4:$AU$99,31,FALSE)/VLOOKUP(A49,'Uncorrected Area Counts'!$A$4:$AU$99,47,FALSE))*100</f>
        <v>#DIV/0!</v>
      </c>
      <c r="P49" s="568" t="e">
        <f>VLOOKUP(A49,'Uncorrected Area Counts'!$A$4:$AU$99,31,FALSE)/VLOOKUP(A49,'Uncorrected Area Counts'!$A$4:$AU$99,3,FALSE)/VLOOKUP(7,'Plate Planning'!$L$20:$S$35,4,FALSE)*VLOOKUP("standard",'Plate Planning'!$L$20:$S$35,4,FALSE)/VLOOKUP(A49,'Uncorrected Area Counts'!$A$4:$AU$99,30,FALSE)*100</f>
        <v>#DIV/0!</v>
      </c>
      <c r="Q49" s="581" t="e">
        <f>(VLOOKUP(A49,'Uncorrected Area Counts'!$A$4:$AU$99,35,FALSE)/VLOOKUP(A49,'Uncorrected Area Counts'!$A$4:$AU$99,47,FALSE))*100</f>
        <v>#DIV/0!</v>
      </c>
      <c r="R49" s="477" t="e">
        <f>VLOOKUP(A49,'Uncorrected Area Counts'!$A$4:$AU$99,35,FALSE)/VLOOKUP(A49,'Uncorrected Area Counts'!$A$4:$AU$99,3,FALSE)/VLOOKUP(8,'Plate Planning'!$L$20:$S$35,4,FALSE)*VLOOKUP("standard",'Plate Planning'!$L$20:$S$35,4,FALSE)/VLOOKUP(A49,'Uncorrected Area Counts'!$A$4:$AU$99,34,FALSE)*100</f>
        <v>#DIV/0!</v>
      </c>
      <c r="S49" s="589" t="e">
        <f>(VLOOKUP(A49,'Uncorrected Area Counts'!$A$4:$AU$99,39,FALSE)/VLOOKUP(A49,'Uncorrected Area Counts'!$A$4:$AU$99,47,FALSE))*100</f>
        <v>#DIV/0!</v>
      </c>
      <c r="T49" s="569" t="e">
        <f>VLOOKUP(A49,'Uncorrected Area Counts'!$A$4:$AU$99,39,FALSE)/VLOOKUP(A49,'Uncorrected Area Counts'!$A$4:$AU$99,3,FALSE)/VLOOKUP(8,'Plate Planning'!$L$20:$S$35,4,FALSE)*VLOOKUP("standard",'Plate Planning'!$L$20:$S$35,4,FALSE)/VLOOKUP(A49,'Uncorrected Area Counts'!$A$4:$AU$99,38,FALSE)*100</f>
        <v>#DIV/0!</v>
      </c>
      <c r="U49" s="589" t="e">
        <f>(VLOOKUP(A49,'Uncorrected Area Counts'!$A$4:$AU$99,43,FALSE)/VLOOKUP(A49,'Uncorrected Area Counts'!$A$4:$AU$99,47,FALSE))*100</f>
        <v>#DIV/0!</v>
      </c>
      <c r="V49" s="604" t="e">
        <f>VLOOKUP(A49,'Uncorrected Area Counts'!$A$4:$AU$99,43,FALSE)/VLOOKUP(A49,'Uncorrected Area Counts'!$A$4:$AU$99,3,FALSE)/VLOOKUP(8,'Plate Planning'!$L$20:$S$35,4,FALSE)*VLOOKUP("standard",'Plate Planning'!$L$20:$S$35,4,FALSE)/VLOOKUP(A49,'Uncorrected Area Counts'!$A$4:$AU$99,42,FALSE)*100</f>
        <v>#DIV/0!</v>
      </c>
    </row>
    <row r="50" spans="1:22">
      <c r="A50" s="478" t="s">
        <v>1208</v>
      </c>
      <c r="B50" s="565" t="s">
        <v>22</v>
      </c>
      <c r="C50" s="573" t="e">
        <f>(VLOOKUP(A50,'Uncorrected Area Counts'!$A$4:$AU$99,7,FALSE)/VLOOKUP(A50,'Uncorrected Area Counts'!$A$4:$AU$99,47,FALSE))*100</f>
        <v>#DIV/0!</v>
      </c>
      <c r="D50" s="566" t="e">
        <f>VLOOKUP(A50,'Uncorrected Area Counts'!$A$4:$AU$99,7,FALSE)/VLOOKUP(A50,'Uncorrected Area Counts'!$A$4:$AU$99,3,FALSE)/VLOOKUP(1,'Plate Planning'!$L$20:$S$35,4,FALSE)*VLOOKUP("standard",'Plate Planning'!$L$20:$S$35,4,FALSE)/VLOOKUP(A50,'Uncorrected Area Counts'!$A$4:$AU$99,6,FALSE)*100</f>
        <v>#DIV/0!</v>
      </c>
      <c r="E50" s="576" t="e">
        <f>(VLOOKUP(A50,'Uncorrected Area Counts'!$A$4:$AU$99,11,FALSE)/VLOOKUP(A50,'Uncorrected Area Counts'!$A$4:$AU$99,47,FALSE))*100</f>
        <v>#DIV/0!</v>
      </c>
      <c r="F50" s="566" t="e">
        <f>VLOOKUP(A50,'Uncorrected Area Counts'!$A$4:$AU$99,11,FALSE)/VLOOKUP(A50,'Uncorrected Area Counts'!$A$4:$AU$99,3,FALSE)/VLOOKUP(2,'Plate Planning'!$L$20:$S$35,4,FALSE)*VLOOKUP("standard",'Plate Planning'!$L$20:$S$35,4,FALSE)/VLOOKUP(A50,'Uncorrected Area Counts'!$A$4:$AU$99,10,FALSE)*100</f>
        <v>#DIV/0!</v>
      </c>
      <c r="G50" s="576" t="e">
        <f>(VLOOKUP(A50,'Uncorrected Area Counts'!$A$4:$AU$99,15,FALSE)/VLOOKUP(A50,'Uncorrected Area Counts'!$A$4:$AU$99,47,FALSE))*100</f>
        <v>#DIV/0!</v>
      </c>
      <c r="H50" s="566" t="e">
        <f>VLOOKUP(A50,'Uncorrected Area Counts'!$A$4:$AU$99,15,FALSE)/VLOOKUP(A50,'Uncorrected Area Counts'!$A$4:$AU$99,3,FALSE)/VLOOKUP(3,'Plate Planning'!$L$20:$S$35,4,FALSE)*VLOOKUP("standard",'Plate Planning'!$L$20:$S$35,4,FALSE)/VLOOKUP(A50,'Uncorrected Area Counts'!$A$4:$AU$99,14,FALSE)*100</f>
        <v>#DIV/0!</v>
      </c>
      <c r="I50" s="576" t="e">
        <f>(VLOOKUP(A50,'Uncorrected Area Counts'!$A$4:$AU$99,19,FALSE)/VLOOKUP(A50,'Uncorrected Area Counts'!$A$4:$AU$99,47,FALSE))*100</f>
        <v>#DIV/0!</v>
      </c>
      <c r="J50" s="567" t="e">
        <f>VLOOKUP(A50,'Uncorrected Area Counts'!$A$4:$AU$99,19,FALSE)/VLOOKUP(A50,'Uncorrected Area Counts'!$A$4:$AU$99,3,FALSE)/VLOOKUP(4,'Plate Planning'!$L$20:$S$35,4,FALSE)*VLOOKUP("standard",'Plate Planning'!$L$20:$S$35,4,FALSE)/VLOOKUP(A50,'Uncorrected Area Counts'!$A$4:$AU$99,18,FALSE)*100</f>
        <v>#DIV/0!</v>
      </c>
      <c r="K50" s="581" t="e">
        <f>(VLOOKUP(A50,'Uncorrected Area Counts'!$A$4:$AU$99,23,FALSE)/VLOOKUP(A50,'Uncorrected Area Counts'!$A$4:$AU$99,47,FALSE))*100</f>
        <v>#DIV/0!</v>
      </c>
      <c r="L50" s="568" t="e">
        <f>VLOOKUP(A50,'Uncorrected Area Counts'!$A$4:$AU$99,23,FALSE)/VLOOKUP(A50,'Uncorrected Area Counts'!$A$4:$AU$99,3,FALSE)/VLOOKUP(5,'Plate Planning'!$L$20:$S$35,4,FALSE)*VLOOKUP("standard",'Plate Planning'!$L$20:$S$35,4,FALSE)/VLOOKUP(A50,'Uncorrected Area Counts'!$A$4:$AU$99,22,FALSE)*100</f>
        <v>#DIV/0!</v>
      </c>
      <c r="M50" s="581" t="e">
        <f>(VLOOKUP(A50,'Uncorrected Area Counts'!$A$4:$AU$99,27,FALSE)/VLOOKUP(A50,'Uncorrected Area Counts'!$A$4:$AU$99,47,FALSE))*100</f>
        <v>#DIV/0!</v>
      </c>
      <c r="N50" s="567" t="e">
        <f>VLOOKUP(A50,'Uncorrected Area Counts'!$A$4:$AU$99,27,FALSE)/VLOOKUP(A50,'Uncorrected Area Counts'!$A$4:$AU$99,3,FALSE)/VLOOKUP(6,'Plate Planning'!$L$20:$S$35,4,FALSE)*VLOOKUP("standard",'Plate Planning'!$L$20:$S$35,4,FALSE)/VLOOKUP(A50,'Uncorrected Area Counts'!$A$4:$AU$99,26,FALSE)*100</f>
        <v>#DIV/0!</v>
      </c>
      <c r="O50" s="581" t="e">
        <f>(VLOOKUP(A50,'Uncorrected Area Counts'!$A$4:$AU$99,31,FALSE)/VLOOKUP(A50,'Uncorrected Area Counts'!$A$4:$AU$99,47,FALSE))*100</f>
        <v>#DIV/0!</v>
      </c>
      <c r="P50" s="568" t="e">
        <f>VLOOKUP(A50,'Uncorrected Area Counts'!$A$4:$AU$99,31,FALSE)/VLOOKUP(A50,'Uncorrected Area Counts'!$A$4:$AU$99,3,FALSE)/VLOOKUP(7,'Plate Planning'!$L$20:$S$35,4,FALSE)*VLOOKUP("standard",'Plate Planning'!$L$20:$S$35,4,FALSE)/VLOOKUP(A50,'Uncorrected Area Counts'!$A$4:$AU$99,30,FALSE)*100</f>
        <v>#DIV/0!</v>
      </c>
      <c r="Q50" s="581" t="e">
        <f>(VLOOKUP(A50,'Uncorrected Area Counts'!$A$4:$AU$99,35,FALSE)/VLOOKUP(A50,'Uncorrected Area Counts'!$A$4:$AU$99,47,FALSE))*100</f>
        <v>#DIV/0!</v>
      </c>
      <c r="R50" s="477" t="e">
        <f>VLOOKUP(A50,'Uncorrected Area Counts'!$A$4:$AU$99,35,FALSE)/VLOOKUP(A50,'Uncorrected Area Counts'!$A$4:$AU$99,3,FALSE)/VLOOKUP(8,'Plate Planning'!$L$20:$S$35,4,FALSE)*VLOOKUP("standard",'Plate Planning'!$L$20:$S$35,4,FALSE)/VLOOKUP(A50,'Uncorrected Area Counts'!$A$4:$AU$99,34,FALSE)*100</f>
        <v>#DIV/0!</v>
      </c>
      <c r="S50" s="589" t="e">
        <f>(VLOOKUP(A50,'Uncorrected Area Counts'!$A$4:$AU$99,39,FALSE)/VLOOKUP(A50,'Uncorrected Area Counts'!$A$4:$AU$99,47,FALSE))*100</f>
        <v>#DIV/0!</v>
      </c>
      <c r="T50" s="569" t="e">
        <f>VLOOKUP(A50,'Uncorrected Area Counts'!$A$4:$AU$99,39,FALSE)/VLOOKUP(A50,'Uncorrected Area Counts'!$A$4:$AU$99,3,FALSE)/VLOOKUP(8,'Plate Planning'!$L$20:$S$35,4,FALSE)*VLOOKUP("standard",'Plate Planning'!$L$20:$S$35,4,FALSE)/VLOOKUP(A50,'Uncorrected Area Counts'!$A$4:$AU$99,38,FALSE)*100</f>
        <v>#DIV/0!</v>
      </c>
      <c r="U50" s="589" t="e">
        <f>(VLOOKUP(A50,'Uncorrected Area Counts'!$A$4:$AU$99,43,FALSE)/VLOOKUP(A50,'Uncorrected Area Counts'!$A$4:$AU$99,47,FALSE))*100</f>
        <v>#DIV/0!</v>
      </c>
      <c r="V50" s="604" t="e">
        <f>VLOOKUP(A50,'Uncorrected Area Counts'!$A$4:$AU$99,43,FALSE)/VLOOKUP(A50,'Uncorrected Area Counts'!$A$4:$AU$99,3,FALSE)/VLOOKUP(8,'Plate Planning'!$L$20:$S$35,4,FALSE)*VLOOKUP("standard",'Plate Planning'!$L$20:$S$35,4,FALSE)/VLOOKUP(A50,'Uncorrected Area Counts'!$A$4:$AU$99,42,FALSE)*100</f>
        <v>#DIV/0!</v>
      </c>
    </row>
    <row r="51" spans="1:22">
      <c r="A51" s="478" t="s">
        <v>1209</v>
      </c>
      <c r="B51" s="565" t="s">
        <v>22</v>
      </c>
      <c r="C51" s="573" t="e">
        <f>(VLOOKUP(A51,'Uncorrected Area Counts'!$A$4:$AU$99,7,FALSE)/VLOOKUP(A51,'Uncorrected Area Counts'!$A$4:$AU$99,47,FALSE))*100</f>
        <v>#DIV/0!</v>
      </c>
      <c r="D51" s="566" t="e">
        <f>VLOOKUP(A51,'Uncorrected Area Counts'!$A$4:$AU$99,7,FALSE)/VLOOKUP(A51,'Uncorrected Area Counts'!$A$4:$AU$99,3,FALSE)/VLOOKUP(1,'Plate Planning'!$L$20:$S$35,4,FALSE)*VLOOKUP("standard",'Plate Planning'!$L$20:$S$35,4,FALSE)/VLOOKUP(A51,'Uncorrected Area Counts'!$A$4:$AU$99,6,FALSE)*100</f>
        <v>#DIV/0!</v>
      </c>
      <c r="E51" s="576" t="e">
        <f>(VLOOKUP(A51,'Uncorrected Area Counts'!$A$4:$AU$99,11,FALSE)/VLOOKUP(A51,'Uncorrected Area Counts'!$A$4:$AU$99,47,FALSE))*100</f>
        <v>#DIV/0!</v>
      </c>
      <c r="F51" s="566" t="e">
        <f>VLOOKUP(A51,'Uncorrected Area Counts'!$A$4:$AU$99,11,FALSE)/VLOOKUP(A51,'Uncorrected Area Counts'!$A$4:$AU$99,3,FALSE)/VLOOKUP(2,'Plate Planning'!$L$20:$S$35,4,FALSE)*VLOOKUP("standard",'Plate Planning'!$L$20:$S$35,4,FALSE)/VLOOKUP(A51,'Uncorrected Area Counts'!$A$4:$AU$99,10,FALSE)*100</f>
        <v>#DIV/0!</v>
      </c>
      <c r="G51" s="576" t="e">
        <f>(VLOOKUP(A51,'Uncorrected Area Counts'!$A$4:$AU$99,15,FALSE)/VLOOKUP(A51,'Uncorrected Area Counts'!$A$4:$AU$99,47,FALSE))*100</f>
        <v>#DIV/0!</v>
      </c>
      <c r="H51" s="566" t="e">
        <f>VLOOKUP(A51,'Uncorrected Area Counts'!$A$4:$AU$99,15,FALSE)/VLOOKUP(A51,'Uncorrected Area Counts'!$A$4:$AU$99,3,FALSE)/VLOOKUP(3,'Plate Planning'!$L$20:$S$35,4,FALSE)*VLOOKUP("standard",'Plate Planning'!$L$20:$S$35,4,FALSE)/VLOOKUP(A51,'Uncorrected Area Counts'!$A$4:$AU$99,14,FALSE)*100</f>
        <v>#DIV/0!</v>
      </c>
      <c r="I51" s="576" t="e">
        <f>(VLOOKUP(A51,'Uncorrected Area Counts'!$A$4:$AU$99,19,FALSE)/VLOOKUP(A51,'Uncorrected Area Counts'!$A$4:$AU$99,47,FALSE))*100</f>
        <v>#DIV/0!</v>
      </c>
      <c r="J51" s="567" t="e">
        <f>VLOOKUP(A51,'Uncorrected Area Counts'!$A$4:$AU$99,19,FALSE)/VLOOKUP(A51,'Uncorrected Area Counts'!$A$4:$AU$99,3,FALSE)/VLOOKUP(4,'Plate Planning'!$L$20:$S$35,4,FALSE)*VLOOKUP("standard",'Plate Planning'!$L$20:$S$35,4,FALSE)/VLOOKUP(A51,'Uncorrected Area Counts'!$A$4:$AU$99,18,FALSE)*100</f>
        <v>#DIV/0!</v>
      </c>
      <c r="K51" s="581" t="e">
        <f>(VLOOKUP(A51,'Uncorrected Area Counts'!$A$4:$AU$99,23,FALSE)/VLOOKUP(A51,'Uncorrected Area Counts'!$A$4:$AU$99,47,FALSE))*100</f>
        <v>#DIV/0!</v>
      </c>
      <c r="L51" s="568" t="e">
        <f>VLOOKUP(A51,'Uncorrected Area Counts'!$A$4:$AU$99,23,FALSE)/VLOOKUP(A51,'Uncorrected Area Counts'!$A$4:$AU$99,3,FALSE)/VLOOKUP(5,'Plate Planning'!$L$20:$S$35,4,FALSE)*VLOOKUP("standard",'Plate Planning'!$L$20:$S$35,4,FALSE)/VLOOKUP(A51,'Uncorrected Area Counts'!$A$4:$AU$99,22,FALSE)*100</f>
        <v>#DIV/0!</v>
      </c>
      <c r="M51" s="581" t="e">
        <f>(VLOOKUP(A51,'Uncorrected Area Counts'!$A$4:$AU$99,27,FALSE)/VLOOKUP(A51,'Uncorrected Area Counts'!$A$4:$AU$99,47,FALSE))*100</f>
        <v>#DIV/0!</v>
      </c>
      <c r="N51" s="567" t="e">
        <f>VLOOKUP(A51,'Uncorrected Area Counts'!$A$4:$AU$99,27,FALSE)/VLOOKUP(A51,'Uncorrected Area Counts'!$A$4:$AU$99,3,FALSE)/VLOOKUP(6,'Plate Planning'!$L$20:$S$35,4,FALSE)*VLOOKUP("standard",'Plate Planning'!$L$20:$S$35,4,FALSE)/VLOOKUP(A51,'Uncorrected Area Counts'!$A$4:$AU$99,26,FALSE)*100</f>
        <v>#DIV/0!</v>
      </c>
      <c r="O51" s="581" t="e">
        <f>(VLOOKUP(A51,'Uncorrected Area Counts'!$A$4:$AU$99,31,FALSE)/VLOOKUP(A51,'Uncorrected Area Counts'!$A$4:$AU$99,47,FALSE))*100</f>
        <v>#DIV/0!</v>
      </c>
      <c r="P51" s="568" t="e">
        <f>VLOOKUP(A51,'Uncorrected Area Counts'!$A$4:$AU$99,31,FALSE)/VLOOKUP(A51,'Uncorrected Area Counts'!$A$4:$AU$99,3,FALSE)/VLOOKUP(7,'Plate Planning'!$L$20:$S$35,4,FALSE)*VLOOKUP("standard",'Plate Planning'!$L$20:$S$35,4,FALSE)/VLOOKUP(A51,'Uncorrected Area Counts'!$A$4:$AU$99,30,FALSE)*100</f>
        <v>#DIV/0!</v>
      </c>
      <c r="Q51" s="581" t="e">
        <f>(VLOOKUP(A51,'Uncorrected Area Counts'!$A$4:$AU$99,35,FALSE)/VLOOKUP(A51,'Uncorrected Area Counts'!$A$4:$AU$99,47,FALSE))*100</f>
        <v>#DIV/0!</v>
      </c>
      <c r="R51" s="477" t="e">
        <f>VLOOKUP(A51,'Uncorrected Area Counts'!$A$4:$AU$99,35,FALSE)/VLOOKUP(A51,'Uncorrected Area Counts'!$A$4:$AU$99,3,FALSE)/VLOOKUP(8,'Plate Planning'!$L$20:$S$35,4,FALSE)*VLOOKUP("standard",'Plate Planning'!$L$20:$S$35,4,FALSE)/VLOOKUP(A51,'Uncorrected Area Counts'!$A$4:$AU$99,34,FALSE)*100</f>
        <v>#DIV/0!</v>
      </c>
      <c r="S51" s="589" t="e">
        <f>(VLOOKUP(A51,'Uncorrected Area Counts'!$A$4:$AU$99,39,FALSE)/VLOOKUP(A51,'Uncorrected Area Counts'!$A$4:$AU$99,47,FALSE))*100</f>
        <v>#DIV/0!</v>
      </c>
      <c r="T51" s="569" t="e">
        <f>VLOOKUP(A51,'Uncorrected Area Counts'!$A$4:$AU$99,39,FALSE)/VLOOKUP(A51,'Uncorrected Area Counts'!$A$4:$AU$99,3,FALSE)/VLOOKUP(8,'Plate Planning'!$L$20:$S$35,4,FALSE)*VLOOKUP("standard",'Plate Planning'!$L$20:$S$35,4,FALSE)/VLOOKUP(A51,'Uncorrected Area Counts'!$A$4:$AU$99,38,FALSE)*100</f>
        <v>#DIV/0!</v>
      </c>
      <c r="U51" s="589" t="e">
        <f>(VLOOKUP(A51,'Uncorrected Area Counts'!$A$4:$AU$99,43,FALSE)/VLOOKUP(A51,'Uncorrected Area Counts'!$A$4:$AU$99,47,FALSE))*100</f>
        <v>#DIV/0!</v>
      </c>
      <c r="V51" s="604" t="e">
        <f>VLOOKUP(A51,'Uncorrected Area Counts'!$A$4:$AU$99,43,FALSE)/VLOOKUP(A51,'Uncorrected Area Counts'!$A$4:$AU$99,3,FALSE)/VLOOKUP(8,'Plate Planning'!$L$20:$S$35,4,FALSE)*VLOOKUP("standard",'Plate Planning'!$L$20:$S$35,4,FALSE)/VLOOKUP(A51,'Uncorrected Area Counts'!$A$4:$AU$99,42,FALSE)*100</f>
        <v>#DIV/0!</v>
      </c>
    </row>
    <row r="52" spans="1:22">
      <c r="A52" s="478" t="s">
        <v>1210</v>
      </c>
      <c r="B52" s="565" t="s">
        <v>22</v>
      </c>
      <c r="C52" s="573" t="e">
        <f>(VLOOKUP(A52,'Uncorrected Area Counts'!$A$4:$AU$99,7,FALSE)/VLOOKUP(A52,'Uncorrected Area Counts'!$A$4:$AU$99,47,FALSE))*100</f>
        <v>#DIV/0!</v>
      </c>
      <c r="D52" s="566" t="e">
        <f>VLOOKUP(A52,'Uncorrected Area Counts'!$A$4:$AU$99,7,FALSE)/VLOOKUP(A52,'Uncorrected Area Counts'!$A$4:$AU$99,3,FALSE)/VLOOKUP(1,'Plate Planning'!$L$20:$S$35,4,FALSE)*VLOOKUP("standard",'Plate Planning'!$L$20:$S$35,4,FALSE)/VLOOKUP(A52,'Uncorrected Area Counts'!$A$4:$AU$99,6,FALSE)*100</f>
        <v>#DIV/0!</v>
      </c>
      <c r="E52" s="576" t="e">
        <f>(VLOOKUP(A52,'Uncorrected Area Counts'!$A$4:$AU$99,11,FALSE)/VLOOKUP(A52,'Uncorrected Area Counts'!$A$4:$AU$99,47,FALSE))*100</f>
        <v>#DIV/0!</v>
      </c>
      <c r="F52" s="566" t="e">
        <f>VLOOKUP(A52,'Uncorrected Area Counts'!$A$4:$AU$99,11,FALSE)/VLOOKUP(A52,'Uncorrected Area Counts'!$A$4:$AU$99,3,FALSE)/VLOOKUP(2,'Plate Planning'!$L$20:$S$35,4,FALSE)*VLOOKUP("standard",'Plate Planning'!$L$20:$S$35,4,FALSE)/VLOOKUP(A52,'Uncorrected Area Counts'!$A$4:$AU$99,10,FALSE)*100</f>
        <v>#DIV/0!</v>
      </c>
      <c r="G52" s="576" t="e">
        <f>(VLOOKUP(A52,'Uncorrected Area Counts'!$A$4:$AU$99,15,FALSE)/VLOOKUP(A52,'Uncorrected Area Counts'!$A$4:$AU$99,47,FALSE))*100</f>
        <v>#DIV/0!</v>
      </c>
      <c r="H52" s="566" t="e">
        <f>VLOOKUP(A52,'Uncorrected Area Counts'!$A$4:$AU$99,15,FALSE)/VLOOKUP(A52,'Uncorrected Area Counts'!$A$4:$AU$99,3,FALSE)/VLOOKUP(3,'Plate Planning'!$L$20:$S$35,4,FALSE)*VLOOKUP("standard",'Plate Planning'!$L$20:$S$35,4,FALSE)/VLOOKUP(A52,'Uncorrected Area Counts'!$A$4:$AU$99,14,FALSE)*100</f>
        <v>#DIV/0!</v>
      </c>
      <c r="I52" s="576" t="e">
        <f>(VLOOKUP(A52,'Uncorrected Area Counts'!$A$4:$AU$99,19,FALSE)/VLOOKUP(A52,'Uncorrected Area Counts'!$A$4:$AU$99,47,FALSE))*100</f>
        <v>#DIV/0!</v>
      </c>
      <c r="J52" s="567" t="e">
        <f>VLOOKUP(A52,'Uncorrected Area Counts'!$A$4:$AU$99,19,FALSE)/VLOOKUP(A52,'Uncorrected Area Counts'!$A$4:$AU$99,3,FALSE)/VLOOKUP(4,'Plate Planning'!$L$20:$S$35,4,FALSE)*VLOOKUP("standard",'Plate Planning'!$L$20:$S$35,4,FALSE)/VLOOKUP(A52,'Uncorrected Area Counts'!$A$4:$AU$99,18,FALSE)*100</f>
        <v>#DIV/0!</v>
      </c>
      <c r="K52" s="581" t="e">
        <f>(VLOOKUP(A52,'Uncorrected Area Counts'!$A$4:$AU$99,23,FALSE)/VLOOKUP(A52,'Uncorrected Area Counts'!$A$4:$AU$99,47,FALSE))*100</f>
        <v>#DIV/0!</v>
      </c>
      <c r="L52" s="568" t="e">
        <f>VLOOKUP(A52,'Uncorrected Area Counts'!$A$4:$AU$99,23,FALSE)/VLOOKUP(A52,'Uncorrected Area Counts'!$A$4:$AU$99,3,FALSE)/VLOOKUP(5,'Plate Planning'!$L$20:$S$35,4,FALSE)*VLOOKUP("standard",'Plate Planning'!$L$20:$S$35,4,FALSE)/VLOOKUP(A52,'Uncorrected Area Counts'!$A$4:$AU$99,22,FALSE)*100</f>
        <v>#DIV/0!</v>
      </c>
      <c r="M52" s="581" t="e">
        <f>(VLOOKUP(A52,'Uncorrected Area Counts'!$A$4:$AU$99,27,FALSE)/VLOOKUP(A52,'Uncorrected Area Counts'!$A$4:$AU$99,47,FALSE))*100</f>
        <v>#DIV/0!</v>
      </c>
      <c r="N52" s="567" t="e">
        <f>VLOOKUP(A52,'Uncorrected Area Counts'!$A$4:$AU$99,27,FALSE)/VLOOKUP(A52,'Uncorrected Area Counts'!$A$4:$AU$99,3,FALSE)/VLOOKUP(6,'Plate Planning'!$L$20:$S$35,4,FALSE)*VLOOKUP("standard",'Plate Planning'!$L$20:$S$35,4,FALSE)/VLOOKUP(A52,'Uncorrected Area Counts'!$A$4:$AU$99,26,FALSE)*100</f>
        <v>#DIV/0!</v>
      </c>
      <c r="O52" s="581" t="e">
        <f>(VLOOKUP(A52,'Uncorrected Area Counts'!$A$4:$AU$99,31,FALSE)/VLOOKUP(A52,'Uncorrected Area Counts'!$A$4:$AU$99,47,FALSE))*100</f>
        <v>#DIV/0!</v>
      </c>
      <c r="P52" s="568" t="e">
        <f>VLOOKUP(A52,'Uncorrected Area Counts'!$A$4:$AU$99,31,FALSE)/VLOOKUP(A52,'Uncorrected Area Counts'!$A$4:$AU$99,3,FALSE)/VLOOKUP(7,'Plate Planning'!$L$20:$S$35,4,FALSE)*VLOOKUP("standard",'Plate Planning'!$L$20:$S$35,4,FALSE)/VLOOKUP(A52,'Uncorrected Area Counts'!$A$4:$AU$99,30,FALSE)*100</f>
        <v>#DIV/0!</v>
      </c>
      <c r="Q52" s="581" t="e">
        <f>(VLOOKUP(A52,'Uncorrected Area Counts'!$A$4:$AU$99,35,FALSE)/VLOOKUP(A52,'Uncorrected Area Counts'!$A$4:$AU$99,47,FALSE))*100</f>
        <v>#DIV/0!</v>
      </c>
      <c r="R52" s="477" t="e">
        <f>VLOOKUP(A52,'Uncorrected Area Counts'!$A$4:$AU$99,35,FALSE)/VLOOKUP(A52,'Uncorrected Area Counts'!$A$4:$AU$99,3,FALSE)/VLOOKUP(8,'Plate Planning'!$L$20:$S$35,4,FALSE)*VLOOKUP("standard",'Plate Planning'!$L$20:$S$35,4,FALSE)/VLOOKUP(A52,'Uncorrected Area Counts'!$A$4:$AU$99,34,FALSE)*100</f>
        <v>#DIV/0!</v>
      </c>
      <c r="S52" s="589" t="e">
        <f>(VLOOKUP(A52,'Uncorrected Area Counts'!$A$4:$AU$99,39,FALSE)/VLOOKUP(A52,'Uncorrected Area Counts'!$A$4:$AU$99,47,FALSE))*100</f>
        <v>#DIV/0!</v>
      </c>
      <c r="T52" s="569" t="e">
        <f>VLOOKUP(A52,'Uncorrected Area Counts'!$A$4:$AU$99,39,FALSE)/VLOOKUP(A52,'Uncorrected Area Counts'!$A$4:$AU$99,3,FALSE)/VLOOKUP(8,'Plate Planning'!$L$20:$S$35,4,FALSE)*VLOOKUP("standard",'Plate Planning'!$L$20:$S$35,4,FALSE)/VLOOKUP(A52,'Uncorrected Area Counts'!$A$4:$AU$99,38,FALSE)*100</f>
        <v>#DIV/0!</v>
      </c>
      <c r="U52" s="589" t="e">
        <f>(VLOOKUP(A52,'Uncorrected Area Counts'!$A$4:$AU$99,43,FALSE)/VLOOKUP(A52,'Uncorrected Area Counts'!$A$4:$AU$99,47,FALSE))*100</f>
        <v>#DIV/0!</v>
      </c>
      <c r="V52" s="604" t="e">
        <f>VLOOKUP(A52,'Uncorrected Area Counts'!$A$4:$AU$99,43,FALSE)/VLOOKUP(A52,'Uncorrected Area Counts'!$A$4:$AU$99,3,FALSE)/VLOOKUP(8,'Plate Planning'!$L$20:$S$35,4,FALSE)*VLOOKUP("standard",'Plate Planning'!$L$20:$S$35,4,FALSE)/VLOOKUP(A52,'Uncorrected Area Counts'!$A$4:$AU$99,42,FALSE)*100</f>
        <v>#DIV/0!</v>
      </c>
    </row>
    <row r="53" spans="1:22">
      <c r="A53" s="478" t="s">
        <v>1211</v>
      </c>
      <c r="B53" s="565" t="s">
        <v>22</v>
      </c>
      <c r="C53" s="573" t="e">
        <f>(VLOOKUP(A53,'Uncorrected Area Counts'!$A$4:$AU$99,7,FALSE)/VLOOKUP(A53,'Uncorrected Area Counts'!$A$4:$AU$99,47,FALSE))*100</f>
        <v>#DIV/0!</v>
      </c>
      <c r="D53" s="566" t="e">
        <f>VLOOKUP(A53,'Uncorrected Area Counts'!$A$4:$AU$99,7,FALSE)/VLOOKUP(A53,'Uncorrected Area Counts'!$A$4:$AU$99,3,FALSE)/VLOOKUP(1,'Plate Planning'!$L$20:$S$35,4,FALSE)*VLOOKUP("standard",'Plate Planning'!$L$20:$S$35,4,FALSE)/VLOOKUP(A53,'Uncorrected Area Counts'!$A$4:$AU$99,6,FALSE)*100</f>
        <v>#DIV/0!</v>
      </c>
      <c r="E53" s="576" t="e">
        <f>(VLOOKUP(A53,'Uncorrected Area Counts'!$A$4:$AU$99,11,FALSE)/VLOOKUP(A53,'Uncorrected Area Counts'!$A$4:$AU$99,47,FALSE))*100</f>
        <v>#DIV/0!</v>
      </c>
      <c r="F53" s="566" t="e">
        <f>VLOOKUP(A53,'Uncorrected Area Counts'!$A$4:$AU$99,11,FALSE)/VLOOKUP(A53,'Uncorrected Area Counts'!$A$4:$AU$99,3,FALSE)/VLOOKUP(2,'Plate Planning'!$L$20:$S$35,4,FALSE)*VLOOKUP("standard",'Plate Planning'!$L$20:$S$35,4,FALSE)/VLOOKUP(A53,'Uncorrected Area Counts'!$A$4:$AU$99,10,FALSE)*100</f>
        <v>#DIV/0!</v>
      </c>
      <c r="G53" s="576" t="e">
        <f>(VLOOKUP(A53,'Uncorrected Area Counts'!$A$4:$AU$99,15,FALSE)/VLOOKUP(A53,'Uncorrected Area Counts'!$A$4:$AU$99,47,FALSE))*100</f>
        <v>#DIV/0!</v>
      </c>
      <c r="H53" s="566" t="e">
        <f>VLOOKUP(A53,'Uncorrected Area Counts'!$A$4:$AU$99,15,FALSE)/VLOOKUP(A53,'Uncorrected Area Counts'!$A$4:$AU$99,3,FALSE)/VLOOKUP(3,'Plate Planning'!$L$20:$S$35,4,FALSE)*VLOOKUP("standard",'Plate Planning'!$L$20:$S$35,4,FALSE)/VLOOKUP(A53,'Uncorrected Area Counts'!$A$4:$AU$99,14,FALSE)*100</f>
        <v>#DIV/0!</v>
      </c>
      <c r="I53" s="576" t="e">
        <f>(VLOOKUP(A53,'Uncorrected Area Counts'!$A$4:$AU$99,19,FALSE)/VLOOKUP(A53,'Uncorrected Area Counts'!$A$4:$AU$99,47,FALSE))*100</f>
        <v>#DIV/0!</v>
      </c>
      <c r="J53" s="567" t="e">
        <f>VLOOKUP(A53,'Uncorrected Area Counts'!$A$4:$AU$99,19,FALSE)/VLOOKUP(A53,'Uncorrected Area Counts'!$A$4:$AU$99,3,FALSE)/VLOOKUP(4,'Plate Planning'!$L$20:$S$35,4,FALSE)*VLOOKUP("standard",'Plate Planning'!$L$20:$S$35,4,FALSE)/VLOOKUP(A53,'Uncorrected Area Counts'!$A$4:$AU$99,18,FALSE)*100</f>
        <v>#DIV/0!</v>
      </c>
      <c r="K53" s="581" t="e">
        <f>(VLOOKUP(A53,'Uncorrected Area Counts'!$A$4:$AU$99,23,FALSE)/VLOOKUP(A53,'Uncorrected Area Counts'!$A$4:$AU$99,47,FALSE))*100</f>
        <v>#DIV/0!</v>
      </c>
      <c r="L53" s="568" t="e">
        <f>VLOOKUP(A53,'Uncorrected Area Counts'!$A$4:$AU$99,23,FALSE)/VLOOKUP(A53,'Uncorrected Area Counts'!$A$4:$AU$99,3,FALSE)/VLOOKUP(5,'Plate Planning'!$L$20:$S$35,4,FALSE)*VLOOKUP("standard",'Plate Planning'!$L$20:$S$35,4,FALSE)/VLOOKUP(A53,'Uncorrected Area Counts'!$A$4:$AU$99,22,FALSE)*100</f>
        <v>#DIV/0!</v>
      </c>
      <c r="M53" s="581" t="e">
        <f>(VLOOKUP(A53,'Uncorrected Area Counts'!$A$4:$AU$99,27,FALSE)/VLOOKUP(A53,'Uncorrected Area Counts'!$A$4:$AU$99,47,FALSE))*100</f>
        <v>#DIV/0!</v>
      </c>
      <c r="N53" s="567" t="e">
        <f>VLOOKUP(A53,'Uncorrected Area Counts'!$A$4:$AU$99,27,FALSE)/VLOOKUP(A53,'Uncorrected Area Counts'!$A$4:$AU$99,3,FALSE)/VLOOKUP(6,'Plate Planning'!$L$20:$S$35,4,FALSE)*VLOOKUP("standard",'Plate Planning'!$L$20:$S$35,4,FALSE)/VLOOKUP(A53,'Uncorrected Area Counts'!$A$4:$AU$99,26,FALSE)*100</f>
        <v>#DIV/0!</v>
      </c>
      <c r="O53" s="581" t="e">
        <f>(VLOOKUP(A53,'Uncorrected Area Counts'!$A$4:$AU$99,31,FALSE)/VLOOKUP(A53,'Uncorrected Area Counts'!$A$4:$AU$99,47,FALSE))*100</f>
        <v>#DIV/0!</v>
      </c>
      <c r="P53" s="568" t="e">
        <f>VLOOKUP(A53,'Uncorrected Area Counts'!$A$4:$AU$99,31,FALSE)/VLOOKUP(A53,'Uncorrected Area Counts'!$A$4:$AU$99,3,FALSE)/VLOOKUP(7,'Plate Planning'!$L$20:$S$35,4,FALSE)*VLOOKUP("standard",'Plate Planning'!$L$20:$S$35,4,FALSE)/VLOOKUP(A53,'Uncorrected Area Counts'!$A$4:$AU$99,30,FALSE)*100</f>
        <v>#DIV/0!</v>
      </c>
      <c r="Q53" s="581" t="e">
        <f>(VLOOKUP(A53,'Uncorrected Area Counts'!$A$4:$AU$99,35,FALSE)/VLOOKUP(A53,'Uncorrected Area Counts'!$A$4:$AU$99,47,FALSE))*100</f>
        <v>#DIV/0!</v>
      </c>
      <c r="R53" s="477" t="e">
        <f>VLOOKUP(A53,'Uncorrected Area Counts'!$A$4:$AU$99,35,FALSE)/VLOOKUP(A53,'Uncorrected Area Counts'!$A$4:$AU$99,3,FALSE)/VLOOKUP(8,'Plate Planning'!$L$20:$S$35,4,FALSE)*VLOOKUP("standard",'Plate Planning'!$L$20:$S$35,4,FALSE)/VLOOKUP(A53,'Uncorrected Area Counts'!$A$4:$AU$99,34,FALSE)*100</f>
        <v>#DIV/0!</v>
      </c>
      <c r="S53" s="589" t="e">
        <f>(VLOOKUP(A53,'Uncorrected Area Counts'!$A$4:$AU$99,39,FALSE)/VLOOKUP(A53,'Uncorrected Area Counts'!$A$4:$AU$99,47,FALSE))*100</f>
        <v>#DIV/0!</v>
      </c>
      <c r="T53" s="569" t="e">
        <f>VLOOKUP(A53,'Uncorrected Area Counts'!$A$4:$AU$99,39,FALSE)/VLOOKUP(A53,'Uncorrected Area Counts'!$A$4:$AU$99,3,FALSE)/VLOOKUP(8,'Plate Planning'!$L$20:$S$35,4,FALSE)*VLOOKUP("standard",'Plate Planning'!$L$20:$S$35,4,FALSE)/VLOOKUP(A53,'Uncorrected Area Counts'!$A$4:$AU$99,38,FALSE)*100</f>
        <v>#DIV/0!</v>
      </c>
      <c r="U53" s="589" t="e">
        <f>(VLOOKUP(A53,'Uncorrected Area Counts'!$A$4:$AU$99,43,FALSE)/VLOOKUP(A53,'Uncorrected Area Counts'!$A$4:$AU$99,47,FALSE))*100</f>
        <v>#DIV/0!</v>
      </c>
      <c r="V53" s="604" t="e">
        <f>VLOOKUP(A53,'Uncorrected Area Counts'!$A$4:$AU$99,43,FALSE)/VLOOKUP(A53,'Uncorrected Area Counts'!$A$4:$AU$99,3,FALSE)/VLOOKUP(8,'Plate Planning'!$L$20:$S$35,4,FALSE)*VLOOKUP("standard",'Plate Planning'!$L$20:$S$35,4,FALSE)/VLOOKUP(A53,'Uncorrected Area Counts'!$A$4:$AU$99,42,FALSE)*100</f>
        <v>#DIV/0!</v>
      </c>
    </row>
    <row r="54" spans="1:22">
      <c r="A54" s="478" t="s">
        <v>1212</v>
      </c>
      <c r="B54" s="565" t="s">
        <v>22</v>
      </c>
      <c r="C54" s="573" t="e">
        <f>(VLOOKUP(A54,'Uncorrected Area Counts'!$A$4:$AU$99,7,FALSE)/VLOOKUP(A54,'Uncorrected Area Counts'!$A$4:$AU$99,47,FALSE))*100</f>
        <v>#DIV/0!</v>
      </c>
      <c r="D54" s="566" t="e">
        <f>VLOOKUP(A54,'Uncorrected Area Counts'!$A$4:$AU$99,7,FALSE)/VLOOKUP(A54,'Uncorrected Area Counts'!$A$4:$AU$99,3,FALSE)/VLOOKUP(1,'Plate Planning'!$L$20:$S$35,4,FALSE)*VLOOKUP("standard",'Plate Planning'!$L$20:$S$35,4,FALSE)/VLOOKUP(A54,'Uncorrected Area Counts'!$A$4:$AU$99,6,FALSE)*100</f>
        <v>#DIV/0!</v>
      </c>
      <c r="E54" s="576" t="e">
        <f>(VLOOKUP(A54,'Uncorrected Area Counts'!$A$4:$AU$99,11,FALSE)/VLOOKUP(A54,'Uncorrected Area Counts'!$A$4:$AU$99,47,FALSE))*100</f>
        <v>#DIV/0!</v>
      </c>
      <c r="F54" s="566" t="e">
        <f>VLOOKUP(A54,'Uncorrected Area Counts'!$A$4:$AU$99,11,FALSE)/VLOOKUP(A54,'Uncorrected Area Counts'!$A$4:$AU$99,3,FALSE)/VLOOKUP(2,'Plate Planning'!$L$20:$S$35,4,FALSE)*VLOOKUP("standard",'Plate Planning'!$L$20:$S$35,4,FALSE)/VLOOKUP(A54,'Uncorrected Area Counts'!$A$4:$AU$99,10,FALSE)*100</f>
        <v>#DIV/0!</v>
      </c>
      <c r="G54" s="576" t="e">
        <f>(VLOOKUP(A54,'Uncorrected Area Counts'!$A$4:$AU$99,15,FALSE)/VLOOKUP(A54,'Uncorrected Area Counts'!$A$4:$AU$99,47,FALSE))*100</f>
        <v>#DIV/0!</v>
      </c>
      <c r="H54" s="566" t="e">
        <f>VLOOKUP(A54,'Uncorrected Area Counts'!$A$4:$AU$99,15,FALSE)/VLOOKUP(A54,'Uncorrected Area Counts'!$A$4:$AU$99,3,FALSE)/VLOOKUP(3,'Plate Planning'!$L$20:$S$35,4,FALSE)*VLOOKUP("standard",'Plate Planning'!$L$20:$S$35,4,FALSE)/VLOOKUP(A54,'Uncorrected Area Counts'!$A$4:$AU$99,14,FALSE)*100</f>
        <v>#DIV/0!</v>
      </c>
      <c r="I54" s="576" t="e">
        <f>(VLOOKUP(A54,'Uncorrected Area Counts'!$A$4:$AU$99,19,FALSE)/VLOOKUP(A54,'Uncorrected Area Counts'!$A$4:$AU$99,47,FALSE))*100</f>
        <v>#DIV/0!</v>
      </c>
      <c r="J54" s="567" t="e">
        <f>VLOOKUP(A54,'Uncorrected Area Counts'!$A$4:$AU$99,19,FALSE)/VLOOKUP(A54,'Uncorrected Area Counts'!$A$4:$AU$99,3,FALSE)/VLOOKUP(4,'Plate Planning'!$L$20:$S$35,4,FALSE)*VLOOKUP("standard",'Plate Planning'!$L$20:$S$35,4,FALSE)/VLOOKUP(A54,'Uncorrected Area Counts'!$A$4:$AU$99,18,FALSE)*100</f>
        <v>#DIV/0!</v>
      </c>
      <c r="K54" s="581" t="e">
        <f>(VLOOKUP(A54,'Uncorrected Area Counts'!$A$4:$AU$99,23,FALSE)/VLOOKUP(A54,'Uncorrected Area Counts'!$A$4:$AU$99,47,FALSE))*100</f>
        <v>#DIV/0!</v>
      </c>
      <c r="L54" s="568" t="e">
        <f>VLOOKUP(A54,'Uncorrected Area Counts'!$A$4:$AU$99,23,FALSE)/VLOOKUP(A54,'Uncorrected Area Counts'!$A$4:$AU$99,3,FALSE)/VLOOKUP(5,'Plate Planning'!$L$20:$S$35,4,FALSE)*VLOOKUP("standard",'Plate Planning'!$L$20:$S$35,4,FALSE)/VLOOKUP(A54,'Uncorrected Area Counts'!$A$4:$AU$99,22,FALSE)*100</f>
        <v>#DIV/0!</v>
      </c>
      <c r="M54" s="581" t="e">
        <f>(VLOOKUP(A54,'Uncorrected Area Counts'!$A$4:$AU$99,27,FALSE)/VLOOKUP(A54,'Uncorrected Area Counts'!$A$4:$AU$99,47,FALSE))*100</f>
        <v>#DIV/0!</v>
      </c>
      <c r="N54" s="567" t="e">
        <f>VLOOKUP(A54,'Uncorrected Area Counts'!$A$4:$AU$99,27,FALSE)/VLOOKUP(A54,'Uncorrected Area Counts'!$A$4:$AU$99,3,FALSE)/VLOOKUP(6,'Plate Planning'!$L$20:$S$35,4,FALSE)*VLOOKUP("standard",'Plate Planning'!$L$20:$S$35,4,FALSE)/VLOOKUP(A54,'Uncorrected Area Counts'!$A$4:$AU$99,26,FALSE)*100</f>
        <v>#DIV/0!</v>
      </c>
      <c r="O54" s="581" t="e">
        <f>(VLOOKUP(A54,'Uncorrected Area Counts'!$A$4:$AU$99,31,FALSE)/VLOOKUP(A54,'Uncorrected Area Counts'!$A$4:$AU$99,47,FALSE))*100</f>
        <v>#DIV/0!</v>
      </c>
      <c r="P54" s="568" t="e">
        <f>VLOOKUP(A54,'Uncorrected Area Counts'!$A$4:$AU$99,31,FALSE)/VLOOKUP(A54,'Uncorrected Area Counts'!$A$4:$AU$99,3,FALSE)/VLOOKUP(7,'Plate Planning'!$L$20:$S$35,4,FALSE)*VLOOKUP("standard",'Plate Planning'!$L$20:$S$35,4,FALSE)/VLOOKUP(A54,'Uncorrected Area Counts'!$A$4:$AU$99,30,FALSE)*100</f>
        <v>#DIV/0!</v>
      </c>
      <c r="Q54" s="581" t="e">
        <f>(VLOOKUP(A54,'Uncorrected Area Counts'!$A$4:$AU$99,35,FALSE)/VLOOKUP(A54,'Uncorrected Area Counts'!$A$4:$AU$99,47,FALSE))*100</f>
        <v>#DIV/0!</v>
      </c>
      <c r="R54" s="477" t="e">
        <f>VLOOKUP(A54,'Uncorrected Area Counts'!$A$4:$AU$99,35,FALSE)/VLOOKUP(A54,'Uncorrected Area Counts'!$A$4:$AU$99,3,FALSE)/VLOOKUP(8,'Plate Planning'!$L$20:$S$35,4,FALSE)*VLOOKUP("standard",'Plate Planning'!$L$20:$S$35,4,FALSE)/VLOOKUP(A54,'Uncorrected Area Counts'!$A$4:$AU$99,34,FALSE)*100</f>
        <v>#DIV/0!</v>
      </c>
      <c r="S54" s="589" t="e">
        <f>(VLOOKUP(A54,'Uncorrected Area Counts'!$A$4:$AU$99,39,FALSE)/VLOOKUP(A54,'Uncorrected Area Counts'!$A$4:$AU$99,47,FALSE))*100</f>
        <v>#DIV/0!</v>
      </c>
      <c r="T54" s="569" t="e">
        <f>VLOOKUP(A54,'Uncorrected Area Counts'!$A$4:$AU$99,39,FALSE)/VLOOKUP(A54,'Uncorrected Area Counts'!$A$4:$AU$99,3,FALSE)/VLOOKUP(8,'Plate Planning'!$L$20:$S$35,4,FALSE)*VLOOKUP("standard",'Plate Planning'!$L$20:$S$35,4,FALSE)/VLOOKUP(A54,'Uncorrected Area Counts'!$A$4:$AU$99,38,FALSE)*100</f>
        <v>#DIV/0!</v>
      </c>
      <c r="U54" s="589" t="e">
        <f>(VLOOKUP(A54,'Uncorrected Area Counts'!$A$4:$AU$99,43,FALSE)/VLOOKUP(A54,'Uncorrected Area Counts'!$A$4:$AU$99,47,FALSE))*100</f>
        <v>#DIV/0!</v>
      </c>
      <c r="V54" s="604" t="e">
        <f>VLOOKUP(A54,'Uncorrected Area Counts'!$A$4:$AU$99,43,FALSE)/VLOOKUP(A54,'Uncorrected Area Counts'!$A$4:$AU$99,3,FALSE)/VLOOKUP(8,'Plate Planning'!$L$20:$S$35,4,FALSE)*VLOOKUP("standard",'Plate Planning'!$L$20:$S$35,4,FALSE)/VLOOKUP(A54,'Uncorrected Area Counts'!$A$4:$AU$99,42,FALSE)*100</f>
        <v>#DIV/0!</v>
      </c>
    </row>
    <row r="55" spans="1:22">
      <c r="A55" s="478" t="s">
        <v>1213</v>
      </c>
      <c r="B55" s="565" t="s">
        <v>22</v>
      </c>
      <c r="C55" s="573" t="e">
        <f>(VLOOKUP(A55,'Uncorrected Area Counts'!$A$4:$AU$99,7,FALSE)/VLOOKUP(A55,'Uncorrected Area Counts'!$A$4:$AU$99,47,FALSE))*100</f>
        <v>#DIV/0!</v>
      </c>
      <c r="D55" s="566" t="e">
        <f>VLOOKUP(A55,'Uncorrected Area Counts'!$A$4:$AU$99,7,FALSE)/VLOOKUP(A55,'Uncorrected Area Counts'!$A$4:$AU$99,3,FALSE)/VLOOKUP(1,'Plate Planning'!$L$20:$S$35,4,FALSE)*VLOOKUP("standard",'Plate Planning'!$L$20:$S$35,4,FALSE)/VLOOKUP(A55,'Uncorrected Area Counts'!$A$4:$AU$99,6,FALSE)*100</f>
        <v>#DIV/0!</v>
      </c>
      <c r="E55" s="576" t="e">
        <f>(VLOOKUP(A55,'Uncorrected Area Counts'!$A$4:$AU$99,11,FALSE)/VLOOKUP(A55,'Uncorrected Area Counts'!$A$4:$AU$99,47,FALSE))*100</f>
        <v>#DIV/0!</v>
      </c>
      <c r="F55" s="566" t="e">
        <f>VLOOKUP(A55,'Uncorrected Area Counts'!$A$4:$AU$99,11,FALSE)/VLOOKUP(A55,'Uncorrected Area Counts'!$A$4:$AU$99,3,FALSE)/VLOOKUP(2,'Plate Planning'!$L$20:$S$35,4,FALSE)*VLOOKUP("standard",'Plate Planning'!$L$20:$S$35,4,FALSE)/VLOOKUP(A55,'Uncorrected Area Counts'!$A$4:$AU$99,10,FALSE)*100</f>
        <v>#DIV/0!</v>
      </c>
      <c r="G55" s="576" t="e">
        <f>(VLOOKUP(A55,'Uncorrected Area Counts'!$A$4:$AU$99,15,FALSE)/VLOOKUP(A55,'Uncorrected Area Counts'!$A$4:$AU$99,47,FALSE))*100</f>
        <v>#DIV/0!</v>
      </c>
      <c r="H55" s="566" t="e">
        <f>VLOOKUP(A55,'Uncorrected Area Counts'!$A$4:$AU$99,15,FALSE)/VLOOKUP(A55,'Uncorrected Area Counts'!$A$4:$AU$99,3,FALSE)/VLOOKUP(3,'Plate Planning'!$L$20:$S$35,4,FALSE)*VLOOKUP("standard",'Plate Planning'!$L$20:$S$35,4,FALSE)/VLOOKUP(A55,'Uncorrected Area Counts'!$A$4:$AU$99,14,FALSE)*100</f>
        <v>#DIV/0!</v>
      </c>
      <c r="I55" s="576" t="e">
        <f>(VLOOKUP(A55,'Uncorrected Area Counts'!$A$4:$AU$99,19,FALSE)/VLOOKUP(A55,'Uncorrected Area Counts'!$A$4:$AU$99,47,FALSE))*100</f>
        <v>#DIV/0!</v>
      </c>
      <c r="J55" s="567" t="e">
        <f>VLOOKUP(A55,'Uncorrected Area Counts'!$A$4:$AU$99,19,FALSE)/VLOOKUP(A55,'Uncorrected Area Counts'!$A$4:$AU$99,3,FALSE)/VLOOKUP(4,'Plate Planning'!$L$20:$S$35,4,FALSE)*VLOOKUP("standard",'Plate Planning'!$L$20:$S$35,4,FALSE)/VLOOKUP(A55,'Uncorrected Area Counts'!$A$4:$AU$99,18,FALSE)*100</f>
        <v>#DIV/0!</v>
      </c>
      <c r="K55" s="581" t="e">
        <f>(VLOOKUP(A55,'Uncorrected Area Counts'!$A$4:$AU$99,23,FALSE)/VLOOKUP(A55,'Uncorrected Area Counts'!$A$4:$AU$99,47,FALSE))*100</f>
        <v>#DIV/0!</v>
      </c>
      <c r="L55" s="568" t="e">
        <f>VLOOKUP(A55,'Uncorrected Area Counts'!$A$4:$AU$99,23,FALSE)/VLOOKUP(A55,'Uncorrected Area Counts'!$A$4:$AU$99,3,FALSE)/VLOOKUP(5,'Plate Planning'!$L$20:$S$35,4,FALSE)*VLOOKUP("standard",'Plate Planning'!$L$20:$S$35,4,FALSE)/VLOOKUP(A55,'Uncorrected Area Counts'!$A$4:$AU$99,22,FALSE)*100</f>
        <v>#DIV/0!</v>
      </c>
      <c r="M55" s="581" t="e">
        <f>(VLOOKUP(A55,'Uncorrected Area Counts'!$A$4:$AU$99,27,FALSE)/VLOOKUP(A55,'Uncorrected Area Counts'!$A$4:$AU$99,47,FALSE))*100</f>
        <v>#DIV/0!</v>
      </c>
      <c r="N55" s="567" t="e">
        <f>VLOOKUP(A55,'Uncorrected Area Counts'!$A$4:$AU$99,27,FALSE)/VLOOKUP(A55,'Uncorrected Area Counts'!$A$4:$AU$99,3,FALSE)/VLOOKUP(6,'Plate Planning'!$L$20:$S$35,4,FALSE)*VLOOKUP("standard",'Plate Planning'!$L$20:$S$35,4,FALSE)/VLOOKUP(A55,'Uncorrected Area Counts'!$A$4:$AU$99,26,FALSE)*100</f>
        <v>#DIV/0!</v>
      </c>
      <c r="O55" s="581" t="e">
        <f>(VLOOKUP(A55,'Uncorrected Area Counts'!$A$4:$AU$99,31,FALSE)/VLOOKUP(A55,'Uncorrected Area Counts'!$A$4:$AU$99,47,FALSE))*100</f>
        <v>#DIV/0!</v>
      </c>
      <c r="P55" s="568" t="e">
        <f>VLOOKUP(A55,'Uncorrected Area Counts'!$A$4:$AU$99,31,FALSE)/VLOOKUP(A55,'Uncorrected Area Counts'!$A$4:$AU$99,3,FALSE)/VLOOKUP(7,'Plate Planning'!$L$20:$S$35,4,FALSE)*VLOOKUP("standard",'Plate Planning'!$L$20:$S$35,4,FALSE)/VLOOKUP(A55,'Uncorrected Area Counts'!$A$4:$AU$99,30,FALSE)*100</f>
        <v>#DIV/0!</v>
      </c>
      <c r="Q55" s="581" t="e">
        <f>(VLOOKUP(A55,'Uncorrected Area Counts'!$A$4:$AU$99,35,FALSE)/VLOOKUP(A55,'Uncorrected Area Counts'!$A$4:$AU$99,47,FALSE))*100</f>
        <v>#DIV/0!</v>
      </c>
      <c r="R55" s="477" t="e">
        <f>VLOOKUP(A55,'Uncorrected Area Counts'!$A$4:$AU$99,35,FALSE)/VLOOKUP(A55,'Uncorrected Area Counts'!$A$4:$AU$99,3,FALSE)/VLOOKUP(8,'Plate Planning'!$L$20:$S$35,4,FALSE)*VLOOKUP("standard",'Plate Planning'!$L$20:$S$35,4,FALSE)/VLOOKUP(A55,'Uncorrected Area Counts'!$A$4:$AU$99,34,FALSE)*100</f>
        <v>#DIV/0!</v>
      </c>
      <c r="S55" s="589" t="e">
        <f>(VLOOKUP(A55,'Uncorrected Area Counts'!$A$4:$AU$99,39,FALSE)/VLOOKUP(A55,'Uncorrected Area Counts'!$A$4:$AU$99,47,FALSE))*100</f>
        <v>#DIV/0!</v>
      </c>
      <c r="T55" s="569" t="e">
        <f>VLOOKUP(A55,'Uncorrected Area Counts'!$A$4:$AU$99,39,FALSE)/VLOOKUP(A55,'Uncorrected Area Counts'!$A$4:$AU$99,3,FALSE)/VLOOKUP(8,'Plate Planning'!$L$20:$S$35,4,FALSE)*VLOOKUP("standard",'Plate Planning'!$L$20:$S$35,4,FALSE)/VLOOKUP(A55,'Uncorrected Area Counts'!$A$4:$AU$99,38,FALSE)*100</f>
        <v>#DIV/0!</v>
      </c>
      <c r="U55" s="589" t="e">
        <f>(VLOOKUP(A55,'Uncorrected Area Counts'!$A$4:$AU$99,43,FALSE)/VLOOKUP(A55,'Uncorrected Area Counts'!$A$4:$AU$99,47,FALSE))*100</f>
        <v>#DIV/0!</v>
      </c>
      <c r="V55" s="604" t="e">
        <f>VLOOKUP(A55,'Uncorrected Area Counts'!$A$4:$AU$99,43,FALSE)/VLOOKUP(A55,'Uncorrected Area Counts'!$A$4:$AU$99,3,FALSE)/VLOOKUP(8,'Plate Planning'!$L$20:$S$35,4,FALSE)*VLOOKUP("standard",'Plate Planning'!$L$20:$S$35,4,FALSE)/VLOOKUP(A55,'Uncorrected Area Counts'!$A$4:$AU$99,42,FALSE)*100</f>
        <v>#DIV/0!</v>
      </c>
    </row>
    <row r="56" spans="1:22">
      <c r="A56" s="478" t="s">
        <v>1214</v>
      </c>
      <c r="B56" s="565" t="s">
        <v>22</v>
      </c>
      <c r="C56" s="573" t="e">
        <f>(VLOOKUP(A56,'Uncorrected Area Counts'!$A$4:$AU$99,7,FALSE)/VLOOKUP(A56,'Uncorrected Area Counts'!$A$4:$AU$99,47,FALSE))*100</f>
        <v>#DIV/0!</v>
      </c>
      <c r="D56" s="566" t="e">
        <f>VLOOKUP(A56,'Uncorrected Area Counts'!$A$4:$AU$99,7,FALSE)/VLOOKUP(A56,'Uncorrected Area Counts'!$A$4:$AU$99,3,FALSE)/VLOOKUP(1,'Plate Planning'!$L$20:$S$35,4,FALSE)*VLOOKUP("standard",'Plate Planning'!$L$20:$S$35,4,FALSE)/VLOOKUP(A56,'Uncorrected Area Counts'!$A$4:$AU$99,6,FALSE)*100</f>
        <v>#DIV/0!</v>
      </c>
      <c r="E56" s="576" t="e">
        <f>(VLOOKUP(A56,'Uncorrected Area Counts'!$A$4:$AU$99,11,FALSE)/VLOOKUP(A56,'Uncorrected Area Counts'!$A$4:$AU$99,47,FALSE))*100</f>
        <v>#DIV/0!</v>
      </c>
      <c r="F56" s="566" t="e">
        <f>VLOOKUP(A56,'Uncorrected Area Counts'!$A$4:$AU$99,11,FALSE)/VLOOKUP(A56,'Uncorrected Area Counts'!$A$4:$AU$99,3,FALSE)/VLOOKUP(2,'Plate Planning'!$L$20:$S$35,4,FALSE)*VLOOKUP("standard",'Plate Planning'!$L$20:$S$35,4,FALSE)/VLOOKUP(A56,'Uncorrected Area Counts'!$A$4:$AU$99,10,FALSE)*100</f>
        <v>#DIV/0!</v>
      </c>
      <c r="G56" s="576" t="e">
        <f>(VLOOKUP(A56,'Uncorrected Area Counts'!$A$4:$AU$99,15,FALSE)/VLOOKUP(A56,'Uncorrected Area Counts'!$A$4:$AU$99,47,FALSE))*100</f>
        <v>#DIV/0!</v>
      </c>
      <c r="H56" s="566" t="e">
        <f>VLOOKUP(A56,'Uncorrected Area Counts'!$A$4:$AU$99,15,FALSE)/VLOOKUP(A56,'Uncorrected Area Counts'!$A$4:$AU$99,3,FALSE)/VLOOKUP(3,'Plate Planning'!$L$20:$S$35,4,FALSE)*VLOOKUP("standard",'Plate Planning'!$L$20:$S$35,4,FALSE)/VLOOKUP(A56,'Uncorrected Area Counts'!$A$4:$AU$99,14,FALSE)*100</f>
        <v>#DIV/0!</v>
      </c>
      <c r="I56" s="576" t="e">
        <f>(VLOOKUP(A56,'Uncorrected Area Counts'!$A$4:$AU$99,19,FALSE)/VLOOKUP(A56,'Uncorrected Area Counts'!$A$4:$AU$99,47,FALSE))*100</f>
        <v>#DIV/0!</v>
      </c>
      <c r="J56" s="567" t="e">
        <f>VLOOKUP(A56,'Uncorrected Area Counts'!$A$4:$AU$99,19,FALSE)/VLOOKUP(A56,'Uncorrected Area Counts'!$A$4:$AU$99,3,FALSE)/VLOOKUP(4,'Plate Planning'!$L$20:$S$35,4,FALSE)*VLOOKUP("standard",'Plate Planning'!$L$20:$S$35,4,FALSE)/VLOOKUP(A56,'Uncorrected Area Counts'!$A$4:$AU$99,18,FALSE)*100</f>
        <v>#DIV/0!</v>
      </c>
      <c r="K56" s="581" t="e">
        <f>(VLOOKUP(A56,'Uncorrected Area Counts'!$A$4:$AU$99,23,FALSE)/VLOOKUP(A56,'Uncorrected Area Counts'!$A$4:$AU$99,47,FALSE))*100</f>
        <v>#DIV/0!</v>
      </c>
      <c r="L56" s="568" t="e">
        <f>VLOOKUP(A56,'Uncorrected Area Counts'!$A$4:$AU$99,23,FALSE)/VLOOKUP(A56,'Uncorrected Area Counts'!$A$4:$AU$99,3,FALSE)/VLOOKUP(5,'Plate Planning'!$L$20:$S$35,4,FALSE)*VLOOKUP("standard",'Plate Planning'!$L$20:$S$35,4,FALSE)/VLOOKUP(A56,'Uncorrected Area Counts'!$A$4:$AU$99,22,FALSE)*100</f>
        <v>#DIV/0!</v>
      </c>
      <c r="M56" s="581" t="e">
        <f>(VLOOKUP(A56,'Uncorrected Area Counts'!$A$4:$AU$99,27,FALSE)/VLOOKUP(A56,'Uncorrected Area Counts'!$A$4:$AU$99,47,FALSE))*100</f>
        <v>#DIV/0!</v>
      </c>
      <c r="N56" s="567" t="e">
        <f>VLOOKUP(A56,'Uncorrected Area Counts'!$A$4:$AU$99,27,FALSE)/VLOOKUP(A56,'Uncorrected Area Counts'!$A$4:$AU$99,3,FALSE)/VLOOKUP(6,'Plate Planning'!$L$20:$S$35,4,FALSE)*VLOOKUP("standard",'Plate Planning'!$L$20:$S$35,4,FALSE)/VLOOKUP(A56,'Uncorrected Area Counts'!$A$4:$AU$99,26,FALSE)*100</f>
        <v>#DIV/0!</v>
      </c>
      <c r="O56" s="581" t="e">
        <f>(VLOOKUP(A56,'Uncorrected Area Counts'!$A$4:$AU$99,31,FALSE)/VLOOKUP(A56,'Uncorrected Area Counts'!$A$4:$AU$99,47,FALSE))*100</f>
        <v>#DIV/0!</v>
      </c>
      <c r="P56" s="568" t="e">
        <f>VLOOKUP(A56,'Uncorrected Area Counts'!$A$4:$AU$99,31,FALSE)/VLOOKUP(A56,'Uncorrected Area Counts'!$A$4:$AU$99,3,FALSE)/VLOOKUP(7,'Plate Planning'!$L$20:$S$35,4,FALSE)*VLOOKUP("standard",'Plate Planning'!$L$20:$S$35,4,FALSE)/VLOOKUP(A56,'Uncorrected Area Counts'!$A$4:$AU$99,30,FALSE)*100</f>
        <v>#DIV/0!</v>
      </c>
      <c r="Q56" s="581" t="e">
        <f>(VLOOKUP(A56,'Uncorrected Area Counts'!$A$4:$AU$99,35,FALSE)/VLOOKUP(A56,'Uncorrected Area Counts'!$A$4:$AU$99,47,FALSE))*100</f>
        <v>#DIV/0!</v>
      </c>
      <c r="R56" s="477" t="e">
        <f>VLOOKUP(A56,'Uncorrected Area Counts'!$A$4:$AU$99,35,FALSE)/VLOOKUP(A56,'Uncorrected Area Counts'!$A$4:$AU$99,3,FALSE)/VLOOKUP(8,'Plate Planning'!$L$20:$S$35,4,FALSE)*VLOOKUP("standard",'Plate Planning'!$L$20:$S$35,4,FALSE)/VLOOKUP(A56,'Uncorrected Area Counts'!$A$4:$AU$99,34,FALSE)*100</f>
        <v>#DIV/0!</v>
      </c>
      <c r="S56" s="589" t="e">
        <f>(VLOOKUP(A56,'Uncorrected Area Counts'!$A$4:$AU$99,39,FALSE)/VLOOKUP(A56,'Uncorrected Area Counts'!$A$4:$AU$99,47,FALSE))*100</f>
        <v>#DIV/0!</v>
      </c>
      <c r="T56" s="569" t="e">
        <f>VLOOKUP(A56,'Uncorrected Area Counts'!$A$4:$AU$99,39,FALSE)/VLOOKUP(A56,'Uncorrected Area Counts'!$A$4:$AU$99,3,FALSE)/VLOOKUP(8,'Plate Planning'!$L$20:$S$35,4,FALSE)*VLOOKUP("standard",'Plate Planning'!$L$20:$S$35,4,FALSE)/VLOOKUP(A56,'Uncorrected Area Counts'!$A$4:$AU$99,38,FALSE)*100</f>
        <v>#DIV/0!</v>
      </c>
      <c r="U56" s="589" t="e">
        <f>(VLOOKUP(A56,'Uncorrected Area Counts'!$A$4:$AU$99,43,FALSE)/VLOOKUP(A56,'Uncorrected Area Counts'!$A$4:$AU$99,47,FALSE))*100</f>
        <v>#DIV/0!</v>
      </c>
      <c r="V56" s="604" t="e">
        <f>VLOOKUP(A56,'Uncorrected Area Counts'!$A$4:$AU$99,43,FALSE)/VLOOKUP(A56,'Uncorrected Area Counts'!$A$4:$AU$99,3,FALSE)/VLOOKUP(8,'Plate Planning'!$L$20:$S$35,4,FALSE)*VLOOKUP("standard",'Plate Planning'!$L$20:$S$35,4,FALSE)/VLOOKUP(A56,'Uncorrected Area Counts'!$A$4:$AU$99,42,FALSE)*100</f>
        <v>#DIV/0!</v>
      </c>
    </row>
    <row r="57" spans="1:22">
      <c r="A57" s="478" t="s">
        <v>1215</v>
      </c>
      <c r="B57" s="565" t="s">
        <v>22</v>
      </c>
      <c r="C57" s="573" t="e">
        <f>(VLOOKUP(A57,'Uncorrected Area Counts'!$A$4:$AU$99,7,FALSE)/VLOOKUP(A57,'Uncorrected Area Counts'!$A$4:$AU$99,47,FALSE))*100</f>
        <v>#DIV/0!</v>
      </c>
      <c r="D57" s="566" t="e">
        <f>VLOOKUP(A57,'Uncorrected Area Counts'!$A$4:$AU$99,7,FALSE)/VLOOKUP(A57,'Uncorrected Area Counts'!$A$4:$AU$99,3,FALSE)/VLOOKUP(1,'Plate Planning'!$L$20:$S$35,4,FALSE)*VLOOKUP("standard",'Plate Planning'!$L$20:$S$35,4,FALSE)/VLOOKUP(A57,'Uncorrected Area Counts'!$A$4:$AU$99,6,FALSE)*100</f>
        <v>#DIV/0!</v>
      </c>
      <c r="E57" s="576" t="e">
        <f>(VLOOKUP(A57,'Uncorrected Area Counts'!$A$4:$AU$99,11,FALSE)/VLOOKUP(A57,'Uncorrected Area Counts'!$A$4:$AU$99,47,FALSE))*100</f>
        <v>#DIV/0!</v>
      </c>
      <c r="F57" s="566" t="e">
        <f>VLOOKUP(A57,'Uncorrected Area Counts'!$A$4:$AU$99,11,FALSE)/VLOOKUP(A57,'Uncorrected Area Counts'!$A$4:$AU$99,3,FALSE)/VLOOKUP(2,'Plate Planning'!$L$20:$S$35,4,FALSE)*VLOOKUP("standard",'Plate Planning'!$L$20:$S$35,4,FALSE)/VLOOKUP(A57,'Uncorrected Area Counts'!$A$4:$AU$99,10,FALSE)*100</f>
        <v>#DIV/0!</v>
      </c>
      <c r="G57" s="576" t="e">
        <f>(VLOOKUP(A57,'Uncorrected Area Counts'!$A$4:$AU$99,15,FALSE)/VLOOKUP(A57,'Uncorrected Area Counts'!$A$4:$AU$99,47,FALSE))*100</f>
        <v>#DIV/0!</v>
      </c>
      <c r="H57" s="566" t="e">
        <f>VLOOKUP(A57,'Uncorrected Area Counts'!$A$4:$AU$99,15,FALSE)/VLOOKUP(A57,'Uncorrected Area Counts'!$A$4:$AU$99,3,FALSE)/VLOOKUP(3,'Plate Planning'!$L$20:$S$35,4,FALSE)*VLOOKUP("standard",'Plate Planning'!$L$20:$S$35,4,FALSE)/VLOOKUP(A57,'Uncorrected Area Counts'!$A$4:$AU$99,14,FALSE)*100</f>
        <v>#DIV/0!</v>
      </c>
      <c r="I57" s="576" t="e">
        <f>(VLOOKUP(A57,'Uncorrected Area Counts'!$A$4:$AU$99,19,FALSE)/VLOOKUP(A57,'Uncorrected Area Counts'!$A$4:$AU$99,47,FALSE))*100</f>
        <v>#DIV/0!</v>
      </c>
      <c r="J57" s="567" t="e">
        <f>VLOOKUP(A57,'Uncorrected Area Counts'!$A$4:$AU$99,19,FALSE)/VLOOKUP(A57,'Uncorrected Area Counts'!$A$4:$AU$99,3,FALSE)/VLOOKUP(4,'Plate Planning'!$L$20:$S$35,4,FALSE)*VLOOKUP("standard",'Plate Planning'!$L$20:$S$35,4,FALSE)/VLOOKUP(A57,'Uncorrected Area Counts'!$A$4:$AU$99,18,FALSE)*100</f>
        <v>#DIV/0!</v>
      </c>
      <c r="K57" s="581" t="e">
        <f>(VLOOKUP(A57,'Uncorrected Area Counts'!$A$4:$AU$99,23,FALSE)/VLOOKUP(A57,'Uncorrected Area Counts'!$A$4:$AU$99,47,FALSE))*100</f>
        <v>#DIV/0!</v>
      </c>
      <c r="L57" s="568" t="e">
        <f>VLOOKUP(A57,'Uncorrected Area Counts'!$A$4:$AU$99,23,FALSE)/VLOOKUP(A57,'Uncorrected Area Counts'!$A$4:$AU$99,3,FALSE)/VLOOKUP(5,'Plate Planning'!$L$20:$S$35,4,FALSE)*VLOOKUP("standard",'Plate Planning'!$L$20:$S$35,4,FALSE)/VLOOKUP(A57,'Uncorrected Area Counts'!$A$4:$AU$99,22,FALSE)*100</f>
        <v>#DIV/0!</v>
      </c>
      <c r="M57" s="581" t="e">
        <f>(VLOOKUP(A57,'Uncorrected Area Counts'!$A$4:$AU$99,27,FALSE)/VLOOKUP(A57,'Uncorrected Area Counts'!$A$4:$AU$99,47,FALSE))*100</f>
        <v>#DIV/0!</v>
      </c>
      <c r="N57" s="567" t="e">
        <f>VLOOKUP(A57,'Uncorrected Area Counts'!$A$4:$AU$99,27,FALSE)/VLOOKUP(A57,'Uncorrected Area Counts'!$A$4:$AU$99,3,FALSE)/VLOOKUP(6,'Plate Planning'!$L$20:$S$35,4,FALSE)*VLOOKUP("standard",'Plate Planning'!$L$20:$S$35,4,FALSE)/VLOOKUP(A57,'Uncorrected Area Counts'!$A$4:$AU$99,26,FALSE)*100</f>
        <v>#DIV/0!</v>
      </c>
      <c r="O57" s="581" t="e">
        <f>(VLOOKUP(A57,'Uncorrected Area Counts'!$A$4:$AU$99,31,FALSE)/VLOOKUP(A57,'Uncorrected Area Counts'!$A$4:$AU$99,47,FALSE))*100</f>
        <v>#DIV/0!</v>
      </c>
      <c r="P57" s="568" t="e">
        <f>VLOOKUP(A57,'Uncorrected Area Counts'!$A$4:$AU$99,31,FALSE)/VLOOKUP(A57,'Uncorrected Area Counts'!$A$4:$AU$99,3,FALSE)/VLOOKUP(7,'Plate Planning'!$L$20:$S$35,4,FALSE)*VLOOKUP("standard",'Plate Planning'!$L$20:$S$35,4,FALSE)/VLOOKUP(A57,'Uncorrected Area Counts'!$A$4:$AU$99,30,FALSE)*100</f>
        <v>#DIV/0!</v>
      </c>
      <c r="Q57" s="581" t="e">
        <f>(VLOOKUP(A57,'Uncorrected Area Counts'!$A$4:$AU$99,35,FALSE)/VLOOKUP(A57,'Uncorrected Area Counts'!$A$4:$AU$99,47,FALSE))*100</f>
        <v>#DIV/0!</v>
      </c>
      <c r="R57" s="477" t="e">
        <f>VLOOKUP(A57,'Uncorrected Area Counts'!$A$4:$AU$99,35,FALSE)/VLOOKUP(A57,'Uncorrected Area Counts'!$A$4:$AU$99,3,FALSE)/VLOOKUP(8,'Plate Planning'!$L$20:$S$35,4,FALSE)*VLOOKUP("standard",'Plate Planning'!$L$20:$S$35,4,FALSE)/VLOOKUP(A57,'Uncorrected Area Counts'!$A$4:$AU$99,34,FALSE)*100</f>
        <v>#DIV/0!</v>
      </c>
      <c r="S57" s="589" t="e">
        <f>(VLOOKUP(A57,'Uncorrected Area Counts'!$A$4:$AU$99,39,FALSE)/VLOOKUP(A57,'Uncorrected Area Counts'!$A$4:$AU$99,47,FALSE))*100</f>
        <v>#DIV/0!</v>
      </c>
      <c r="T57" s="569" t="e">
        <f>VLOOKUP(A57,'Uncorrected Area Counts'!$A$4:$AU$99,39,FALSE)/VLOOKUP(A57,'Uncorrected Area Counts'!$A$4:$AU$99,3,FALSE)/VLOOKUP(8,'Plate Planning'!$L$20:$S$35,4,FALSE)*VLOOKUP("standard",'Plate Planning'!$L$20:$S$35,4,FALSE)/VLOOKUP(A57,'Uncorrected Area Counts'!$A$4:$AU$99,38,FALSE)*100</f>
        <v>#DIV/0!</v>
      </c>
      <c r="U57" s="589" t="e">
        <f>(VLOOKUP(A57,'Uncorrected Area Counts'!$A$4:$AU$99,43,FALSE)/VLOOKUP(A57,'Uncorrected Area Counts'!$A$4:$AU$99,47,FALSE))*100</f>
        <v>#DIV/0!</v>
      </c>
      <c r="V57" s="604" t="e">
        <f>VLOOKUP(A57,'Uncorrected Area Counts'!$A$4:$AU$99,43,FALSE)/VLOOKUP(A57,'Uncorrected Area Counts'!$A$4:$AU$99,3,FALSE)/VLOOKUP(8,'Plate Planning'!$L$20:$S$35,4,FALSE)*VLOOKUP("standard",'Plate Planning'!$L$20:$S$35,4,FALSE)/VLOOKUP(A57,'Uncorrected Area Counts'!$A$4:$AU$99,42,FALSE)*100</f>
        <v>#DIV/0!</v>
      </c>
    </row>
    <row r="58" spans="1:22">
      <c r="A58" s="478" t="s">
        <v>1216</v>
      </c>
      <c r="B58" s="565" t="s">
        <v>22</v>
      </c>
      <c r="C58" s="573" t="e">
        <f>(VLOOKUP(A58,'Uncorrected Area Counts'!$A$4:$AU$99,7,FALSE)/VLOOKUP(A58,'Uncorrected Area Counts'!$A$4:$AU$99,47,FALSE))*100</f>
        <v>#DIV/0!</v>
      </c>
      <c r="D58" s="566" t="e">
        <f>VLOOKUP(A58,'Uncorrected Area Counts'!$A$4:$AU$99,7,FALSE)/VLOOKUP(A58,'Uncorrected Area Counts'!$A$4:$AU$99,3,FALSE)/VLOOKUP(1,'Plate Planning'!$L$20:$S$35,4,FALSE)*VLOOKUP("standard",'Plate Planning'!$L$20:$S$35,4,FALSE)/VLOOKUP(A58,'Uncorrected Area Counts'!$A$4:$AU$99,6,FALSE)*100</f>
        <v>#DIV/0!</v>
      </c>
      <c r="E58" s="576" t="e">
        <f>(VLOOKUP(A58,'Uncorrected Area Counts'!$A$4:$AU$99,11,FALSE)/VLOOKUP(A58,'Uncorrected Area Counts'!$A$4:$AU$99,47,FALSE))*100</f>
        <v>#DIV/0!</v>
      </c>
      <c r="F58" s="566" t="e">
        <f>VLOOKUP(A58,'Uncorrected Area Counts'!$A$4:$AU$99,11,FALSE)/VLOOKUP(A58,'Uncorrected Area Counts'!$A$4:$AU$99,3,FALSE)/VLOOKUP(2,'Plate Planning'!$L$20:$S$35,4,FALSE)*VLOOKUP("standard",'Plate Planning'!$L$20:$S$35,4,FALSE)/VLOOKUP(A58,'Uncorrected Area Counts'!$A$4:$AU$99,10,FALSE)*100</f>
        <v>#DIV/0!</v>
      </c>
      <c r="G58" s="576" t="e">
        <f>(VLOOKUP(A58,'Uncorrected Area Counts'!$A$4:$AU$99,15,FALSE)/VLOOKUP(A58,'Uncorrected Area Counts'!$A$4:$AU$99,47,FALSE))*100</f>
        <v>#DIV/0!</v>
      </c>
      <c r="H58" s="566" t="e">
        <f>VLOOKUP(A58,'Uncorrected Area Counts'!$A$4:$AU$99,15,FALSE)/VLOOKUP(A58,'Uncorrected Area Counts'!$A$4:$AU$99,3,FALSE)/VLOOKUP(3,'Plate Planning'!$L$20:$S$35,4,FALSE)*VLOOKUP("standard",'Plate Planning'!$L$20:$S$35,4,FALSE)/VLOOKUP(A58,'Uncorrected Area Counts'!$A$4:$AU$99,14,FALSE)*100</f>
        <v>#DIV/0!</v>
      </c>
      <c r="I58" s="576" t="e">
        <f>(VLOOKUP(A58,'Uncorrected Area Counts'!$A$4:$AU$99,19,FALSE)/VLOOKUP(A58,'Uncorrected Area Counts'!$A$4:$AU$99,47,FALSE))*100</f>
        <v>#DIV/0!</v>
      </c>
      <c r="J58" s="567" t="e">
        <f>VLOOKUP(A58,'Uncorrected Area Counts'!$A$4:$AU$99,19,FALSE)/VLOOKUP(A58,'Uncorrected Area Counts'!$A$4:$AU$99,3,FALSE)/VLOOKUP(4,'Plate Planning'!$L$20:$S$35,4,FALSE)*VLOOKUP("standard",'Plate Planning'!$L$20:$S$35,4,FALSE)/VLOOKUP(A58,'Uncorrected Area Counts'!$A$4:$AU$99,18,FALSE)*100</f>
        <v>#DIV/0!</v>
      </c>
      <c r="K58" s="581" t="e">
        <f>(VLOOKUP(A58,'Uncorrected Area Counts'!$A$4:$AU$99,23,FALSE)/VLOOKUP(A58,'Uncorrected Area Counts'!$A$4:$AU$99,47,FALSE))*100</f>
        <v>#DIV/0!</v>
      </c>
      <c r="L58" s="568" t="e">
        <f>VLOOKUP(A58,'Uncorrected Area Counts'!$A$4:$AU$99,23,FALSE)/VLOOKUP(A58,'Uncorrected Area Counts'!$A$4:$AU$99,3,FALSE)/VLOOKUP(5,'Plate Planning'!$L$20:$S$35,4,FALSE)*VLOOKUP("standard",'Plate Planning'!$L$20:$S$35,4,FALSE)/VLOOKUP(A58,'Uncorrected Area Counts'!$A$4:$AU$99,22,FALSE)*100</f>
        <v>#DIV/0!</v>
      </c>
      <c r="M58" s="581" t="e">
        <f>(VLOOKUP(A58,'Uncorrected Area Counts'!$A$4:$AU$99,27,FALSE)/VLOOKUP(A58,'Uncorrected Area Counts'!$A$4:$AU$99,47,FALSE))*100</f>
        <v>#DIV/0!</v>
      </c>
      <c r="N58" s="567" t="e">
        <f>VLOOKUP(A58,'Uncorrected Area Counts'!$A$4:$AU$99,27,FALSE)/VLOOKUP(A58,'Uncorrected Area Counts'!$A$4:$AU$99,3,FALSE)/VLOOKUP(6,'Plate Planning'!$L$20:$S$35,4,FALSE)*VLOOKUP("standard",'Plate Planning'!$L$20:$S$35,4,FALSE)/VLOOKUP(A58,'Uncorrected Area Counts'!$A$4:$AU$99,26,FALSE)*100</f>
        <v>#DIV/0!</v>
      </c>
      <c r="O58" s="581" t="e">
        <f>(VLOOKUP(A58,'Uncorrected Area Counts'!$A$4:$AU$99,31,FALSE)/VLOOKUP(A58,'Uncorrected Area Counts'!$A$4:$AU$99,47,FALSE))*100</f>
        <v>#DIV/0!</v>
      </c>
      <c r="P58" s="568" t="e">
        <f>VLOOKUP(A58,'Uncorrected Area Counts'!$A$4:$AU$99,31,FALSE)/VLOOKUP(A58,'Uncorrected Area Counts'!$A$4:$AU$99,3,FALSE)/VLOOKUP(7,'Plate Planning'!$L$20:$S$35,4,FALSE)*VLOOKUP("standard",'Plate Planning'!$L$20:$S$35,4,FALSE)/VLOOKUP(A58,'Uncorrected Area Counts'!$A$4:$AU$99,30,FALSE)*100</f>
        <v>#DIV/0!</v>
      </c>
      <c r="Q58" s="581" t="e">
        <f>(VLOOKUP(A58,'Uncorrected Area Counts'!$A$4:$AU$99,35,FALSE)/VLOOKUP(A58,'Uncorrected Area Counts'!$A$4:$AU$99,47,FALSE))*100</f>
        <v>#DIV/0!</v>
      </c>
      <c r="R58" s="477" t="e">
        <f>VLOOKUP(A58,'Uncorrected Area Counts'!$A$4:$AU$99,35,FALSE)/VLOOKUP(A58,'Uncorrected Area Counts'!$A$4:$AU$99,3,FALSE)/VLOOKUP(8,'Plate Planning'!$L$20:$S$35,4,FALSE)*VLOOKUP("standard",'Plate Planning'!$L$20:$S$35,4,FALSE)/VLOOKUP(A58,'Uncorrected Area Counts'!$A$4:$AU$99,34,FALSE)*100</f>
        <v>#DIV/0!</v>
      </c>
      <c r="S58" s="589" t="e">
        <f>(VLOOKUP(A58,'Uncorrected Area Counts'!$A$4:$AU$99,39,FALSE)/VLOOKUP(A58,'Uncorrected Area Counts'!$A$4:$AU$99,47,FALSE))*100</f>
        <v>#DIV/0!</v>
      </c>
      <c r="T58" s="569" t="e">
        <f>VLOOKUP(A58,'Uncorrected Area Counts'!$A$4:$AU$99,39,FALSE)/VLOOKUP(A58,'Uncorrected Area Counts'!$A$4:$AU$99,3,FALSE)/VLOOKUP(8,'Plate Planning'!$L$20:$S$35,4,FALSE)*VLOOKUP("standard",'Plate Planning'!$L$20:$S$35,4,FALSE)/VLOOKUP(A58,'Uncorrected Area Counts'!$A$4:$AU$99,38,FALSE)*100</f>
        <v>#DIV/0!</v>
      </c>
      <c r="U58" s="589" t="e">
        <f>(VLOOKUP(A58,'Uncorrected Area Counts'!$A$4:$AU$99,43,FALSE)/VLOOKUP(A58,'Uncorrected Area Counts'!$A$4:$AU$99,47,FALSE))*100</f>
        <v>#DIV/0!</v>
      </c>
      <c r="V58" s="604" t="e">
        <f>VLOOKUP(A58,'Uncorrected Area Counts'!$A$4:$AU$99,43,FALSE)/VLOOKUP(A58,'Uncorrected Area Counts'!$A$4:$AU$99,3,FALSE)/VLOOKUP(8,'Plate Planning'!$L$20:$S$35,4,FALSE)*VLOOKUP("standard",'Plate Planning'!$L$20:$S$35,4,FALSE)/VLOOKUP(A58,'Uncorrected Area Counts'!$A$4:$AU$99,42,FALSE)*100</f>
        <v>#DIV/0!</v>
      </c>
    </row>
    <row r="59" spans="1:22">
      <c r="A59" s="478" t="s">
        <v>1217</v>
      </c>
      <c r="B59" s="565" t="s">
        <v>22</v>
      </c>
      <c r="C59" s="573" t="e">
        <f>(VLOOKUP(A59,'Uncorrected Area Counts'!$A$4:$AU$99,7,FALSE)/VLOOKUP(A59,'Uncorrected Area Counts'!$A$4:$AU$99,47,FALSE))*100</f>
        <v>#DIV/0!</v>
      </c>
      <c r="D59" s="566" t="e">
        <f>VLOOKUP(A59,'Uncorrected Area Counts'!$A$4:$AU$99,7,FALSE)/VLOOKUP(A59,'Uncorrected Area Counts'!$A$4:$AU$99,3,FALSE)/VLOOKUP(1,'Plate Planning'!$L$20:$S$35,4,FALSE)*VLOOKUP("standard",'Plate Planning'!$L$20:$S$35,4,FALSE)/VLOOKUP(A59,'Uncorrected Area Counts'!$A$4:$AU$99,6,FALSE)*100</f>
        <v>#DIV/0!</v>
      </c>
      <c r="E59" s="576" t="e">
        <f>(VLOOKUP(A59,'Uncorrected Area Counts'!$A$4:$AU$99,11,FALSE)/VLOOKUP(A59,'Uncorrected Area Counts'!$A$4:$AU$99,47,FALSE))*100</f>
        <v>#DIV/0!</v>
      </c>
      <c r="F59" s="566" t="e">
        <f>VLOOKUP(A59,'Uncorrected Area Counts'!$A$4:$AU$99,11,FALSE)/VLOOKUP(A59,'Uncorrected Area Counts'!$A$4:$AU$99,3,FALSE)/VLOOKUP(2,'Plate Planning'!$L$20:$S$35,4,FALSE)*VLOOKUP("standard",'Plate Planning'!$L$20:$S$35,4,FALSE)/VLOOKUP(A59,'Uncorrected Area Counts'!$A$4:$AU$99,10,FALSE)*100</f>
        <v>#DIV/0!</v>
      </c>
      <c r="G59" s="576" t="e">
        <f>(VLOOKUP(A59,'Uncorrected Area Counts'!$A$4:$AU$99,15,FALSE)/VLOOKUP(A59,'Uncorrected Area Counts'!$A$4:$AU$99,47,FALSE))*100</f>
        <v>#DIV/0!</v>
      </c>
      <c r="H59" s="566" t="e">
        <f>VLOOKUP(A59,'Uncorrected Area Counts'!$A$4:$AU$99,15,FALSE)/VLOOKUP(A59,'Uncorrected Area Counts'!$A$4:$AU$99,3,FALSE)/VLOOKUP(3,'Plate Planning'!$L$20:$S$35,4,FALSE)*VLOOKUP("standard",'Plate Planning'!$L$20:$S$35,4,FALSE)/VLOOKUP(A59,'Uncorrected Area Counts'!$A$4:$AU$99,14,FALSE)*100</f>
        <v>#DIV/0!</v>
      </c>
      <c r="I59" s="576" t="e">
        <f>(VLOOKUP(A59,'Uncorrected Area Counts'!$A$4:$AU$99,19,FALSE)/VLOOKUP(A59,'Uncorrected Area Counts'!$A$4:$AU$99,47,FALSE))*100</f>
        <v>#DIV/0!</v>
      </c>
      <c r="J59" s="567" t="e">
        <f>VLOOKUP(A59,'Uncorrected Area Counts'!$A$4:$AU$99,19,FALSE)/VLOOKUP(A59,'Uncorrected Area Counts'!$A$4:$AU$99,3,FALSE)/VLOOKUP(4,'Plate Planning'!$L$20:$S$35,4,FALSE)*VLOOKUP("standard",'Plate Planning'!$L$20:$S$35,4,FALSE)/VLOOKUP(A59,'Uncorrected Area Counts'!$A$4:$AU$99,18,FALSE)*100</f>
        <v>#DIV/0!</v>
      </c>
      <c r="K59" s="581" t="e">
        <f>(VLOOKUP(A59,'Uncorrected Area Counts'!$A$4:$AU$99,23,FALSE)/VLOOKUP(A59,'Uncorrected Area Counts'!$A$4:$AU$99,47,FALSE))*100</f>
        <v>#DIV/0!</v>
      </c>
      <c r="L59" s="568" t="e">
        <f>VLOOKUP(A59,'Uncorrected Area Counts'!$A$4:$AU$99,23,FALSE)/VLOOKUP(A59,'Uncorrected Area Counts'!$A$4:$AU$99,3,FALSE)/VLOOKUP(5,'Plate Planning'!$L$20:$S$35,4,FALSE)*VLOOKUP("standard",'Plate Planning'!$L$20:$S$35,4,FALSE)/VLOOKUP(A59,'Uncorrected Area Counts'!$A$4:$AU$99,22,FALSE)*100</f>
        <v>#DIV/0!</v>
      </c>
      <c r="M59" s="581" t="e">
        <f>(VLOOKUP(A59,'Uncorrected Area Counts'!$A$4:$AU$99,27,FALSE)/VLOOKUP(A59,'Uncorrected Area Counts'!$A$4:$AU$99,47,FALSE))*100</f>
        <v>#DIV/0!</v>
      </c>
      <c r="N59" s="567" t="e">
        <f>VLOOKUP(A59,'Uncorrected Area Counts'!$A$4:$AU$99,27,FALSE)/VLOOKUP(A59,'Uncorrected Area Counts'!$A$4:$AU$99,3,FALSE)/VLOOKUP(6,'Plate Planning'!$L$20:$S$35,4,FALSE)*VLOOKUP("standard",'Plate Planning'!$L$20:$S$35,4,FALSE)/VLOOKUP(A59,'Uncorrected Area Counts'!$A$4:$AU$99,26,FALSE)*100</f>
        <v>#DIV/0!</v>
      </c>
      <c r="O59" s="581" t="e">
        <f>(VLOOKUP(A59,'Uncorrected Area Counts'!$A$4:$AU$99,31,FALSE)/VLOOKUP(A59,'Uncorrected Area Counts'!$A$4:$AU$99,47,FALSE))*100</f>
        <v>#DIV/0!</v>
      </c>
      <c r="P59" s="568" t="e">
        <f>VLOOKUP(A59,'Uncorrected Area Counts'!$A$4:$AU$99,31,FALSE)/VLOOKUP(A59,'Uncorrected Area Counts'!$A$4:$AU$99,3,FALSE)/VLOOKUP(7,'Plate Planning'!$L$20:$S$35,4,FALSE)*VLOOKUP("standard",'Plate Planning'!$L$20:$S$35,4,FALSE)/VLOOKUP(A59,'Uncorrected Area Counts'!$A$4:$AU$99,30,FALSE)*100</f>
        <v>#DIV/0!</v>
      </c>
      <c r="Q59" s="581" t="e">
        <f>(VLOOKUP(A59,'Uncorrected Area Counts'!$A$4:$AU$99,35,FALSE)/VLOOKUP(A59,'Uncorrected Area Counts'!$A$4:$AU$99,47,FALSE))*100</f>
        <v>#DIV/0!</v>
      </c>
      <c r="R59" s="477" t="e">
        <f>VLOOKUP(A59,'Uncorrected Area Counts'!$A$4:$AU$99,35,FALSE)/VLOOKUP(A59,'Uncorrected Area Counts'!$A$4:$AU$99,3,FALSE)/VLOOKUP(8,'Plate Planning'!$L$20:$S$35,4,FALSE)*VLOOKUP("standard",'Plate Planning'!$L$20:$S$35,4,FALSE)/VLOOKUP(A59,'Uncorrected Area Counts'!$A$4:$AU$99,34,FALSE)*100</f>
        <v>#DIV/0!</v>
      </c>
      <c r="S59" s="589" t="e">
        <f>(VLOOKUP(A59,'Uncorrected Area Counts'!$A$4:$AU$99,39,FALSE)/VLOOKUP(A59,'Uncorrected Area Counts'!$A$4:$AU$99,47,FALSE))*100</f>
        <v>#DIV/0!</v>
      </c>
      <c r="T59" s="569" t="e">
        <f>VLOOKUP(A59,'Uncorrected Area Counts'!$A$4:$AU$99,39,FALSE)/VLOOKUP(A59,'Uncorrected Area Counts'!$A$4:$AU$99,3,FALSE)/VLOOKUP(8,'Plate Planning'!$L$20:$S$35,4,FALSE)*VLOOKUP("standard",'Plate Planning'!$L$20:$S$35,4,FALSE)/VLOOKUP(A59,'Uncorrected Area Counts'!$A$4:$AU$99,38,FALSE)*100</f>
        <v>#DIV/0!</v>
      </c>
      <c r="U59" s="589" t="e">
        <f>(VLOOKUP(A59,'Uncorrected Area Counts'!$A$4:$AU$99,43,FALSE)/VLOOKUP(A59,'Uncorrected Area Counts'!$A$4:$AU$99,47,FALSE))*100</f>
        <v>#DIV/0!</v>
      </c>
      <c r="V59" s="604" t="e">
        <f>VLOOKUP(A59,'Uncorrected Area Counts'!$A$4:$AU$99,43,FALSE)/VLOOKUP(A59,'Uncorrected Area Counts'!$A$4:$AU$99,3,FALSE)/VLOOKUP(8,'Plate Planning'!$L$20:$S$35,4,FALSE)*VLOOKUP("standard",'Plate Planning'!$L$20:$S$35,4,FALSE)/VLOOKUP(A59,'Uncorrected Area Counts'!$A$4:$AU$99,42,FALSE)*100</f>
        <v>#DIV/0!</v>
      </c>
    </row>
    <row r="60" spans="1:22">
      <c r="A60" s="478" t="s">
        <v>1218</v>
      </c>
      <c r="B60" s="565" t="s">
        <v>22</v>
      </c>
      <c r="C60" s="573" t="e">
        <f>(VLOOKUP(A60,'Uncorrected Area Counts'!$A$4:$AU$99,7,FALSE)/VLOOKUP(A60,'Uncorrected Area Counts'!$A$4:$AU$99,47,FALSE))*100</f>
        <v>#DIV/0!</v>
      </c>
      <c r="D60" s="566" t="e">
        <f>VLOOKUP(A60,'Uncorrected Area Counts'!$A$4:$AU$99,7,FALSE)/VLOOKUP(A60,'Uncorrected Area Counts'!$A$4:$AU$99,3,FALSE)/VLOOKUP(1,'Plate Planning'!$L$20:$S$35,4,FALSE)*VLOOKUP("standard",'Plate Planning'!$L$20:$S$35,4,FALSE)/VLOOKUP(A60,'Uncorrected Area Counts'!$A$4:$AU$99,6,FALSE)*100</f>
        <v>#DIV/0!</v>
      </c>
      <c r="E60" s="576" t="e">
        <f>(VLOOKUP(A60,'Uncorrected Area Counts'!$A$4:$AU$99,11,FALSE)/VLOOKUP(A60,'Uncorrected Area Counts'!$A$4:$AU$99,47,FALSE))*100</f>
        <v>#DIV/0!</v>
      </c>
      <c r="F60" s="566" t="e">
        <f>VLOOKUP(A60,'Uncorrected Area Counts'!$A$4:$AU$99,11,FALSE)/VLOOKUP(A60,'Uncorrected Area Counts'!$A$4:$AU$99,3,FALSE)/VLOOKUP(2,'Plate Planning'!$L$20:$S$35,4,FALSE)*VLOOKUP("standard",'Plate Planning'!$L$20:$S$35,4,FALSE)/VLOOKUP(A60,'Uncorrected Area Counts'!$A$4:$AU$99,10,FALSE)*100</f>
        <v>#DIV/0!</v>
      </c>
      <c r="G60" s="576" t="e">
        <f>(VLOOKUP(A60,'Uncorrected Area Counts'!$A$4:$AU$99,15,FALSE)/VLOOKUP(A60,'Uncorrected Area Counts'!$A$4:$AU$99,47,FALSE))*100</f>
        <v>#DIV/0!</v>
      </c>
      <c r="H60" s="566" t="e">
        <f>VLOOKUP(A60,'Uncorrected Area Counts'!$A$4:$AU$99,15,FALSE)/VLOOKUP(A60,'Uncorrected Area Counts'!$A$4:$AU$99,3,FALSE)/VLOOKUP(3,'Plate Planning'!$L$20:$S$35,4,FALSE)*VLOOKUP("standard",'Plate Planning'!$L$20:$S$35,4,FALSE)/VLOOKUP(A60,'Uncorrected Area Counts'!$A$4:$AU$99,14,FALSE)*100</f>
        <v>#DIV/0!</v>
      </c>
      <c r="I60" s="576" t="e">
        <f>(VLOOKUP(A60,'Uncorrected Area Counts'!$A$4:$AU$99,19,FALSE)/VLOOKUP(A60,'Uncorrected Area Counts'!$A$4:$AU$99,47,FALSE))*100</f>
        <v>#DIV/0!</v>
      </c>
      <c r="J60" s="567" t="e">
        <f>VLOOKUP(A60,'Uncorrected Area Counts'!$A$4:$AU$99,19,FALSE)/VLOOKUP(A60,'Uncorrected Area Counts'!$A$4:$AU$99,3,FALSE)/VLOOKUP(4,'Plate Planning'!$L$20:$S$35,4,FALSE)*VLOOKUP("standard",'Plate Planning'!$L$20:$S$35,4,FALSE)/VLOOKUP(A60,'Uncorrected Area Counts'!$A$4:$AU$99,18,FALSE)*100</f>
        <v>#DIV/0!</v>
      </c>
      <c r="K60" s="581" t="e">
        <f>(VLOOKUP(A60,'Uncorrected Area Counts'!$A$4:$AU$99,23,FALSE)/VLOOKUP(A60,'Uncorrected Area Counts'!$A$4:$AU$99,47,FALSE))*100</f>
        <v>#DIV/0!</v>
      </c>
      <c r="L60" s="568" t="e">
        <f>VLOOKUP(A60,'Uncorrected Area Counts'!$A$4:$AU$99,23,FALSE)/VLOOKUP(A60,'Uncorrected Area Counts'!$A$4:$AU$99,3,FALSE)/VLOOKUP(5,'Plate Planning'!$L$20:$S$35,4,FALSE)*VLOOKUP("standard",'Plate Planning'!$L$20:$S$35,4,FALSE)/VLOOKUP(A60,'Uncorrected Area Counts'!$A$4:$AU$99,22,FALSE)*100</f>
        <v>#DIV/0!</v>
      </c>
      <c r="M60" s="581" t="e">
        <f>(VLOOKUP(A60,'Uncorrected Area Counts'!$A$4:$AU$99,27,FALSE)/VLOOKUP(A60,'Uncorrected Area Counts'!$A$4:$AU$99,47,FALSE))*100</f>
        <v>#DIV/0!</v>
      </c>
      <c r="N60" s="567" t="e">
        <f>VLOOKUP(A60,'Uncorrected Area Counts'!$A$4:$AU$99,27,FALSE)/VLOOKUP(A60,'Uncorrected Area Counts'!$A$4:$AU$99,3,FALSE)/VLOOKUP(6,'Plate Planning'!$L$20:$S$35,4,FALSE)*VLOOKUP("standard",'Plate Planning'!$L$20:$S$35,4,FALSE)/VLOOKUP(A60,'Uncorrected Area Counts'!$A$4:$AU$99,26,FALSE)*100</f>
        <v>#DIV/0!</v>
      </c>
      <c r="O60" s="581" t="e">
        <f>(VLOOKUP(A60,'Uncorrected Area Counts'!$A$4:$AU$99,31,FALSE)/VLOOKUP(A60,'Uncorrected Area Counts'!$A$4:$AU$99,47,FALSE))*100</f>
        <v>#DIV/0!</v>
      </c>
      <c r="P60" s="568" t="e">
        <f>VLOOKUP(A60,'Uncorrected Area Counts'!$A$4:$AU$99,31,FALSE)/VLOOKUP(A60,'Uncorrected Area Counts'!$A$4:$AU$99,3,FALSE)/VLOOKUP(7,'Plate Planning'!$L$20:$S$35,4,FALSE)*VLOOKUP("standard",'Plate Planning'!$L$20:$S$35,4,FALSE)/VLOOKUP(A60,'Uncorrected Area Counts'!$A$4:$AU$99,30,FALSE)*100</f>
        <v>#DIV/0!</v>
      </c>
      <c r="Q60" s="581" t="e">
        <f>(VLOOKUP(A60,'Uncorrected Area Counts'!$A$4:$AU$99,35,FALSE)/VLOOKUP(A60,'Uncorrected Area Counts'!$A$4:$AU$99,47,FALSE))*100</f>
        <v>#DIV/0!</v>
      </c>
      <c r="R60" s="477" t="e">
        <f>VLOOKUP(A60,'Uncorrected Area Counts'!$A$4:$AU$99,35,FALSE)/VLOOKUP(A60,'Uncorrected Area Counts'!$A$4:$AU$99,3,FALSE)/VLOOKUP(8,'Plate Planning'!$L$20:$S$35,4,FALSE)*VLOOKUP("standard",'Plate Planning'!$L$20:$S$35,4,FALSE)/VLOOKUP(A60,'Uncorrected Area Counts'!$A$4:$AU$99,34,FALSE)*100</f>
        <v>#DIV/0!</v>
      </c>
      <c r="S60" s="589" t="e">
        <f>(VLOOKUP(A60,'Uncorrected Area Counts'!$A$4:$AU$99,39,FALSE)/VLOOKUP(A60,'Uncorrected Area Counts'!$A$4:$AU$99,47,FALSE))*100</f>
        <v>#DIV/0!</v>
      </c>
      <c r="T60" s="569" t="e">
        <f>VLOOKUP(A60,'Uncorrected Area Counts'!$A$4:$AU$99,39,FALSE)/VLOOKUP(A60,'Uncorrected Area Counts'!$A$4:$AU$99,3,FALSE)/VLOOKUP(8,'Plate Planning'!$L$20:$S$35,4,FALSE)*VLOOKUP("standard",'Plate Planning'!$L$20:$S$35,4,FALSE)/VLOOKUP(A60,'Uncorrected Area Counts'!$A$4:$AU$99,38,FALSE)*100</f>
        <v>#DIV/0!</v>
      </c>
      <c r="U60" s="589" t="e">
        <f>(VLOOKUP(A60,'Uncorrected Area Counts'!$A$4:$AU$99,43,FALSE)/VLOOKUP(A60,'Uncorrected Area Counts'!$A$4:$AU$99,47,FALSE))*100</f>
        <v>#DIV/0!</v>
      </c>
      <c r="V60" s="604" t="e">
        <f>VLOOKUP(A60,'Uncorrected Area Counts'!$A$4:$AU$99,43,FALSE)/VLOOKUP(A60,'Uncorrected Area Counts'!$A$4:$AU$99,3,FALSE)/VLOOKUP(8,'Plate Planning'!$L$20:$S$35,4,FALSE)*VLOOKUP("standard",'Plate Planning'!$L$20:$S$35,4,FALSE)/VLOOKUP(A60,'Uncorrected Area Counts'!$A$4:$AU$99,42,FALSE)*100</f>
        <v>#DIV/0!</v>
      </c>
    </row>
    <row r="61" spans="1:22">
      <c r="A61" s="478" t="s">
        <v>1219</v>
      </c>
      <c r="B61" s="565" t="s">
        <v>22</v>
      </c>
      <c r="C61" s="573" t="e">
        <f>(VLOOKUP(A61,'Uncorrected Area Counts'!$A$4:$AU$99,7,FALSE)/VLOOKUP(A61,'Uncorrected Area Counts'!$A$4:$AU$99,47,FALSE))*100</f>
        <v>#DIV/0!</v>
      </c>
      <c r="D61" s="566" t="e">
        <f>VLOOKUP(A61,'Uncorrected Area Counts'!$A$4:$AU$99,7,FALSE)/VLOOKUP(A61,'Uncorrected Area Counts'!$A$4:$AU$99,3,FALSE)/VLOOKUP(1,'Plate Planning'!$L$20:$S$35,4,FALSE)*VLOOKUP("standard",'Plate Planning'!$L$20:$S$35,4,FALSE)/VLOOKUP(A61,'Uncorrected Area Counts'!$A$4:$AU$99,6,FALSE)*100</f>
        <v>#DIV/0!</v>
      </c>
      <c r="E61" s="576" t="e">
        <f>(VLOOKUP(A61,'Uncorrected Area Counts'!$A$4:$AU$99,11,FALSE)/VLOOKUP(A61,'Uncorrected Area Counts'!$A$4:$AU$99,47,FALSE))*100</f>
        <v>#DIV/0!</v>
      </c>
      <c r="F61" s="566" t="e">
        <f>VLOOKUP(A61,'Uncorrected Area Counts'!$A$4:$AU$99,11,FALSE)/VLOOKUP(A61,'Uncorrected Area Counts'!$A$4:$AU$99,3,FALSE)/VLOOKUP(2,'Plate Planning'!$L$20:$S$35,4,FALSE)*VLOOKUP("standard",'Plate Planning'!$L$20:$S$35,4,FALSE)/VLOOKUP(A61,'Uncorrected Area Counts'!$A$4:$AU$99,10,FALSE)*100</f>
        <v>#DIV/0!</v>
      </c>
      <c r="G61" s="576" t="e">
        <f>(VLOOKUP(A61,'Uncorrected Area Counts'!$A$4:$AU$99,15,FALSE)/VLOOKUP(A61,'Uncorrected Area Counts'!$A$4:$AU$99,47,FALSE))*100</f>
        <v>#DIV/0!</v>
      </c>
      <c r="H61" s="566" t="e">
        <f>VLOOKUP(A61,'Uncorrected Area Counts'!$A$4:$AU$99,15,FALSE)/VLOOKUP(A61,'Uncorrected Area Counts'!$A$4:$AU$99,3,FALSE)/VLOOKUP(3,'Plate Planning'!$L$20:$S$35,4,FALSE)*VLOOKUP("standard",'Plate Planning'!$L$20:$S$35,4,FALSE)/VLOOKUP(A61,'Uncorrected Area Counts'!$A$4:$AU$99,14,FALSE)*100</f>
        <v>#DIV/0!</v>
      </c>
      <c r="I61" s="576" t="e">
        <f>(VLOOKUP(A61,'Uncorrected Area Counts'!$A$4:$AU$99,19,FALSE)/VLOOKUP(A61,'Uncorrected Area Counts'!$A$4:$AU$99,47,FALSE))*100</f>
        <v>#DIV/0!</v>
      </c>
      <c r="J61" s="567" t="e">
        <f>VLOOKUP(A61,'Uncorrected Area Counts'!$A$4:$AU$99,19,FALSE)/VLOOKUP(A61,'Uncorrected Area Counts'!$A$4:$AU$99,3,FALSE)/VLOOKUP(4,'Plate Planning'!$L$20:$S$35,4,FALSE)*VLOOKUP("standard",'Plate Planning'!$L$20:$S$35,4,FALSE)/VLOOKUP(A61,'Uncorrected Area Counts'!$A$4:$AU$99,18,FALSE)*100</f>
        <v>#DIV/0!</v>
      </c>
      <c r="K61" s="581" t="e">
        <f>(VLOOKUP(A61,'Uncorrected Area Counts'!$A$4:$AU$99,23,FALSE)/VLOOKUP(A61,'Uncorrected Area Counts'!$A$4:$AU$99,47,FALSE))*100</f>
        <v>#DIV/0!</v>
      </c>
      <c r="L61" s="568" t="e">
        <f>VLOOKUP(A61,'Uncorrected Area Counts'!$A$4:$AU$99,23,FALSE)/VLOOKUP(A61,'Uncorrected Area Counts'!$A$4:$AU$99,3,FALSE)/VLOOKUP(5,'Plate Planning'!$L$20:$S$35,4,FALSE)*VLOOKUP("standard",'Plate Planning'!$L$20:$S$35,4,FALSE)/VLOOKUP(A61,'Uncorrected Area Counts'!$A$4:$AU$99,22,FALSE)*100</f>
        <v>#DIV/0!</v>
      </c>
      <c r="M61" s="581" t="e">
        <f>(VLOOKUP(A61,'Uncorrected Area Counts'!$A$4:$AU$99,27,FALSE)/VLOOKUP(A61,'Uncorrected Area Counts'!$A$4:$AU$99,47,FALSE))*100</f>
        <v>#DIV/0!</v>
      </c>
      <c r="N61" s="567" t="e">
        <f>VLOOKUP(A61,'Uncorrected Area Counts'!$A$4:$AU$99,27,FALSE)/VLOOKUP(A61,'Uncorrected Area Counts'!$A$4:$AU$99,3,FALSE)/VLOOKUP(6,'Plate Planning'!$L$20:$S$35,4,FALSE)*VLOOKUP("standard",'Plate Planning'!$L$20:$S$35,4,FALSE)/VLOOKUP(A61,'Uncorrected Area Counts'!$A$4:$AU$99,26,FALSE)*100</f>
        <v>#DIV/0!</v>
      </c>
      <c r="O61" s="581" t="e">
        <f>(VLOOKUP(A61,'Uncorrected Area Counts'!$A$4:$AU$99,31,FALSE)/VLOOKUP(A61,'Uncorrected Area Counts'!$A$4:$AU$99,47,FALSE))*100</f>
        <v>#DIV/0!</v>
      </c>
      <c r="P61" s="568" t="e">
        <f>VLOOKUP(A61,'Uncorrected Area Counts'!$A$4:$AU$99,31,FALSE)/VLOOKUP(A61,'Uncorrected Area Counts'!$A$4:$AU$99,3,FALSE)/VLOOKUP(7,'Plate Planning'!$L$20:$S$35,4,FALSE)*VLOOKUP("standard",'Plate Planning'!$L$20:$S$35,4,FALSE)/VLOOKUP(A61,'Uncorrected Area Counts'!$A$4:$AU$99,30,FALSE)*100</f>
        <v>#DIV/0!</v>
      </c>
      <c r="Q61" s="581" t="e">
        <f>(VLOOKUP(A61,'Uncorrected Area Counts'!$A$4:$AU$99,35,FALSE)/VLOOKUP(A61,'Uncorrected Area Counts'!$A$4:$AU$99,47,FALSE))*100</f>
        <v>#DIV/0!</v>
      </c>
      <c r="R61" s="477" t="e">
        <f>VLOOKUP(A61,'Uncorrected Area Counts'!$A$4:$AU$99,35,FALSE)/VLOOKUP(A61,'Uncorrected Area Counts'!$A$4:$AU$99,3,FALSE)/VLOOKUP(8,'Plate Planning'!$L$20:$S$35,4,FALSE)*VLOOKUP("standard",'Plate Planning'!$L$20:$S$35,4,FALSE)/VLOOKUP(A61,'Uncorrected Area Counts'!$A$4:$AU$99,34,FALSE)*100</f>
        <v>#DIV/0!</v>
      </c>
      <c r="S61" s="589" t="e">
        <f>(VLOOKUP(A61,'Uncorrected Area Counts'!$A$4:$AU$99,39,FALSE)/VLOOKUP(A61,'Uncorrected Area Counts'!$A$4:$AU$99,47,FALSE))*100</f>
        <v>#DIV/0!</v>
      </c>
      <c r="T61" s="569" t="e">
        <f>VLOOKUP(A61,'Uncorrected Area Counts'!$A$4:$AU$99,39,FALSE)/VLOOKUP(A61,'Uncorrected Area Counts'!$A$4:$AU$99,3,FALSE)/VLOOKUP(8,'Plate Planning'!$L$20:$S$35,4,FALSE)*VLOOKUP("standard",'Plate Planning'!$L$20:$S$35,4,FALSE)/VLOOKUP(A61,'Uncorrected Area Counts'!$A$4:$AU$99,38,FALSE)*100</f>
        <v>#DIV/0!</v>
      </c>
      <c r="U61" s="589" t="e">
        <f>(VLOOKUP(A61,'Uncorrected Area Counts'!$A$4:$AU$99,43,FALSE)/VLOOKUP(A61,'Uncorrected Area Counts'!$A$4:$AU$99,47,FALSE))*100</f>
        <v>#DIV/0!</v>
      </c>
      <c r="V61" s="604" t="e">
        <f>VLOOKUP(A61,'Uncorrected Area Counts'!$A$4:$AU$99,43,FALSE)/VLOOKUP(A61,'Uncorrected Area Counts'!$A$4:$AU$99,3,FALSE)/VLOOKUP(8,'Plate Planning'!$L$20:$S$35,4,FALSE)*VLOOKUP("standard",'Plate Planning'!$L$20:$S$35,4,FALSE)/VLOOKUP(A61,'Uncorrected Area Counts'!$A$4:$AU$99,42,FALSE)*100</f>
        <v>#DIV/0!</v>
      </c>
    </row>
    <row r="62" spans="1:22">
      <c r="A62" s="478" t="s">
        <v>1220</v>
      </c>
      <c r="B62" s="565" t="s">
        <v>22</v>
      </c>
      <c r="C62" s="573" t="e">
        <f>(VLOOKUP(A62,'Uncorrected Area Counts'!$A$4:$AU$99,7,FALSE)/VLOOKUP(A62,'Uncorrected Area Counts'!$A$4:$AU$99,47,FALSE))*100</f>
        <v>#DIV/0!</v>
      </c>
      <c r="D62" s="566" t="e">
        <f>VLOOKUP(A62,'Uncorrected Area Counts'!$A$4:$AU$99,7,FALSE)/VLOOKUP(A62,'Uncorrected Area Counts'!$A$4:$AU$99,3,FALSE)/VLOOKUP(1,'Plate Planning'!$L$20:$S$35,4,FALSE)*VLOOKUP("standard",'Plate Planning'!$L$20:$S$35,4,FALSE)/VLOOKUP(A62,'Uncorrected Area Counts'!$A$4:$AU$99,6,FALSE)*100</f>
        <v>#DIV/0!</v>
      </c>
      <c r="E62" s="576" t="e">
        <f>(VLOOKUP(A62,'Uncorrected Area Counts'!$A$4:$AU$99,11,FALSE)/VLOOKUP(A62,'Uncorrected Area Counts'!$A$4:$AU$99,47,FALSE))*100</f>
        <v>#DIV/0!</v>
      </c>
      <c r="F62" s="566" t="e">
        <f>VLOOKUP(A62,'Uncorrected Area Counts'!$A$4:$AU$99,11,FALSE)/VLOOKUP(A62,'Uncorrected Area Counts'!$A$4:$AU$99,3,FALSE)/VLOOKUP(2,'Plate Planning'!$L$20:$S$35,4,FALSE)*VLOOKUP("standard",'Plate Planning'!$L$20:$S$35,4,FALSE)/VLOOKUP(A62,'Uncorrected Area Counts'!$A$4:$AU$99,10,FALSE)*100</f>
        <v>#DIV/0!</v>
      </c>
      <c r="G62" s="576" t="e">
        <f>(VLOOKUP(A62,'Uncorrected Area Counts'!$A$4:$AU$99,15,FALSE)/VLOOKUP(A62,'Uncorrected Area Counts'!$A$4:$AU$99,47,FALSE))*100</f>
        <v>#DIV/0!</v>
      </c>
      <c r="H62" s="566" t="e">
        <f>VLOOKUP(A62,'Uncorrected Area Counts'!$A$4:$AU$99,15,FALSE)/VLOOKUP(A62,'Uncorrected Area Counts'!$A$4:$AU$99,3,FALSE)/VLOOKUP(3,'Plate Planning'!$L$20:$S$35,4,FALSE)*VLOOKUP("standard",'Plate Planning'!$L$20:$S$35,4,FALSE)/VLOOKUP(A62,'Uncorrected Area Counts'!$A$4:$AU$99,14,FALSE)*100</f>
        <v>#DIV/0!</v>
      </c>
      <c r="I62" s="576" t="e">
        <f>(VLOOKUP(A62,'Uncorrected Area Counts'!$A$4:$AU$99,19,FALSE)/VLOOKUP(A62,'Uncorrected Area Counts'!$A$4:$AU$99,47,FALSE))*100</f>
        <v>#DIV/0!</v>
      </c>
      <c r="J62" s="567" t="e">
        <f>VLOOKUP(A62,'Uncorrected Area Counts'!$A$4:$AU$99,19,FALSE)/VLOOKUP(A62,'Uncorrected Area Counts'!$A$4:$AU$99,3,FALSE)/VLOOKUP(4,'Plate Planning'!$L$20:$S$35,4,FALSE)*VLOOKUP("standard",'Plate Planning'!$L$20:$S$35,4,FALSE)/VLOOKUP(A62,'Uncorrected Area Counts'!$A$4:$AU$99,18,FALSE)*100</f>
        <v>#DIV/0!</v>
      </c>
      <c r="K62" s="581" t="e">
        <f>(VLOOKUP(A62,'Uncorrected Area Counts'!$A$4:$AU$99,23,FALSE)/VLOOKUP(A62,'Uncorrected Area Counts'!$A$4:$AU$99,47,FALSE))*100</f>
        <v>#DIV/0!</v>
      </c>
      <c r="L62" s="568" t="e">
        <f>VLOOKUP(A62,'Uncorrected Area Counts'!$A$4:$AU$99,23,FALSE)/VLOOKUP(A62,'Uncorrected Area Counts'!$A$4:$AU$99,3,FALSE)/VLOOKUP(5,'Plate Planning'!$L$20:$S$35,4,FALSE)*VLOOKUP("standard",'Plate Planning'!$L$20:$S$35,4,FALSE)/VLOOKUP(A62,'Uncorrected Area Counts'!$A$4:$AU$99,22,FALSE)*100</f>
        <v>#DIV/0!</v>
      </c>
      <c r="M62" s="581" t="e">
        <f>(VLOOKUP(A62,'Uncorrected Area Counts'!$A$4:$AU$99,27,FALSE)/VLOOKUP(A62,'Uncorrected Area Counts'!$A$4:$AU$99,47,FALSE))*100</f>
        <v>#DIV/0!</v>
      </c>
      <c r="N62" s="567" t="e">
        <f>VLOOKUP(A62,'Uncorrected Area Counts'!$A$4:$AU$99,27,FALSE)/VLOOKUP(A62,'Uncorrected Area Counts'!$A$4:$AU$99,3,FALSE)/VLOOKUP(6,'Plate Planning'!$L$20:$S$35,4,FALSE)*VLOOKUP("standard",'Plate Planning'!$L$20:$S$35,4,FALSE)/VLOOKUP(A62,'Uncorrected Area Counts'!$A$4:$AU$99,26,FALSE)*100</f>
        <v>#DIV/0!</v>
      </c>
      <c r="O62" s="581" t="e">
        <f>(VLOOKUP(A62,'Uncorrected Area Counts'!$A$4:$AU$99,31,FALSE)/VLOOKUP(A62,'Uncorrected Area Counts'!$A$4:$AU$99,47,FALSE))*100</f>
        <v>#DIV/0!</v>
      </c>
      <c r="P62" s="568" t="e">
        <f>VLOOKUP(A62,'Uncorrected Area Counts'!$A$4:$AU$99,31,FALSE)/VLOOKUP(A62,'Uncorrected Area Counts'!$A$4:$AU$99,3,FALSE)/VLOOKUP(7,'Plate Planning'!$L$20:$S$35,4,FALSE)*VLOOKUP("standard",'Plate Planning'!$L$20:$S$35,4,FALSE)/VLOOKUP(A62,'Uncorrected Area Counts'!$A$4:$AU$99,30,FALSE)*100</f>
        <v>#DIV/0!</v>
      </c>
      <c r="Q62" s="581" t="e">
        <f>(VLOOKUP(A62,'Uncorrected Area Counts'!$A$4:$AU$99,35,FALSE)/VLOOKUP(A62,'Uncorrected Area Counts'!$A$4:$AU$99,47,FALSE))*100</f>
        <v>#DIV/0!</v>
      </c>
      <c r="R62" s="477" t="e">
        <f>VLOOKUP(A62,'Uncorrected Area Counts'!$A$4:$AU$99,35,FALSE)/VLOOKUP(A62,'Uncorrected Area Counts'!$A$4:$AU$99,3,FALSE)/VLOOKUP(8,'Plate Planning'!$L$20:$S$35,4,FALSE)*VLOOKUP("standard",'Plate Planning'!$L$20:$S$35,4,FALSE)/VLOOKUP(A62,'Uncorrected Area Counts'!$A$4:$AU$99,34,FALSE)*100</f>
        <v>#DIV/0!</v>
      </c>
      <c r="S62" s="589" t="e">
        <f>(VLOOKUP(A62,'Uncorrected Area Counts'!$A$4:$AU$99,39,FALSE)/VLOOKUP(A62,'Uncorrected Area Counts'!$A$4:$AU$99,47,FALSE))*100</f>
        <v>#DIV/0!</v>
      </c>
      <c r="T62" s="569" t="e">
        <f>VLOOKUP(A62,'Uncorrected Area Counts'!$A$4:$AU$99,39,FALSE)/VLOOKUP(A62,'Uncorrected Area Counts'!$A$4:$AU$99,3,FALSE)/VLOOKUP(8,'Plate Planning'!$L$20:$S$35,4,FALSE)*VLOOKUP("standard",'Plate Planning'!$L$20:$S$35,4,FALSE)/VLOOKUP(A62,'Uncorrected Area Counts'!$A$4:$AU$99,38,FALSE)*100</f>
        <v>#DIV/0!</v>
      </c>
      <c r="U62" s="589" t="e">
        <f>(VLOOKUP(A62,'Uncorrected Area Counts'!$A$4:$AU$99,43,FALSE)/VLOOKUP(A62,'Uncorrected Area Counts'!$A$4:$AU$99,47,FALSE))*100</f>
        <v>#DIV/0!</v>
      </c>
      <c r="V62" s="604" t="e">
        <f>VLOOKUP(A62,'Uncorrected Area Counts'!$A$4:$AU$99,43,FALSE)/VLOOKUP(A62,'Uncorrected Area Counts'!$A$4:$AU$99,3,FALSE)/VLOOKUP(8,'Plate Planning'!$L$20:$S$35,4,FALSE)*VLOOKUP("standard",'Plate Planning'!$L$20:$S$35,4,FALSE)/VLOOKUP(A62,'Uncorrected Area Counts'!$A$4:$AU$99,42,FALSE)*100</f>
        <v>#DIV/0!</v>
      </c>
    </row>
    <row r="63" spans="1:22">
      <c r="A63" s="478" t="s">
        <v>1221</v>
      </c>
      <c r="B63" s="565" t="s">
        <v>22</v>
      </c>
      <c r="C63" s="573" t="e">
        <f>(VLOOKUP(A63,'Uncorrected Area Counts'!$A$4:$AU$99,7,FALSE)/VLOOKUP(A63,'Uncorrected Area Counts'!$A$4:$AU$99,47,FALSE))*100</f>
        <v>#DIV/0!</v>
      </c>
      <c r="D63" s="566" t="e">
        <f>VLOOKUP(A63,'Uncorrected Area Counts'!$A$4:$AU$99,7,FALSE)/VLOOKUP(A63,'Uncorrected Area Counts'!$A$4:$AU$99,3,FALSE)/VLOOKUP(1,'Plate Planning'!$L$20:$S$35,4,FALSE)*VLOOKUP("standard",'Plate Planning'!$L$20:$S$35,4,FALSE)/VLOOKUP(A63,'Uncorrected Area Counts'!$A$4:$AU$99,6,FALSE)*100</f>
        <v>#DIV/0!</v>
      </c>
      <c r="E63" s="576" t="e">
        <f>(VLOOKUP(A63,'Uncorrected Area Counts'!$A$4:$AU$99,11,FALSE)/VLOOKUP(A63,'Uncorrected Area Counts'!$A$4:$AU$99,47,FALSE))*100</f>
        <v>#DIV/0!</v>
      </c>
      <c r="F63" s="566" t="e">
        <f>VLOOKUP(A63,'Uncorrected Area Counts'!$A$4:$AU$99,11,FALSE)/VLOOKUP(A63,'Uncorrected Area Counts'!$A$4:$AU$99,3,FALSE)/VLOOKUP(2,'Plate Planning'!$L$20:$S$35,4,FALSE)*VLOOKUP("standard",'Plate Planning'!$L$20:$S$35,4,FALSE)/VLOOKUP(A63,'Uncorrected Area Counts'!$A$4:$AU$99,10,FALSE)*100</f>
        <v>#DIV/0!</v>
      </c>
      <c r="G63" s="576" t="e">
        <f>(VLOOKUP(A63,'Uncorrected Area Counts'!$A$4:$AU$99,15,FALSE)/VLOOKUP(A63,'Uncorrected Area Counts'!$A$4:$AU$99,47,FALSE))*100</f>
        <v>#DIV/0!</v>
      </c>
      <c r="H63" s="566" t="e">
        <f>VLOOKUP(A63,'Uncorrected Area Counts'!$A$4:$AU$99,15,FALSE)/VLOOKUP(A63,'Uncorrected Area Counts'!$A$4:$AU$99,3,FALSE)/VLOOKUP(3,'Plate Planning'!$L$20:$S$35,4,FALSE)*VLOOKUP("standard",'Plate Planning'!$L$20:$S$35,4,FALSE)/VLOOKUP(A63,'Uncorrected Area Counts'!$A$4:$AU$99,14,FALSE)*100</f>
        <v>#DIV/0!</v>
      </c>
      <c r="I63" s="576" t="e">
        <f>(VLOOKUP(A63,'Uncorrected Area Counts'!$A$4:$AU$99,19,FALSE)/VLOOKUP(A63,'Uncorrected Area Counts'!$A$4:$AU$99,47,FALSE))*100</f>
        <v>#DIV/0!</v>
      </c>
      <c r="J63" s="567" t="e">
        <f>VLOOKUP(A63,'Uncorrected Area Counts'!$A$4:$AU$99,19,FALSE)/VLOOKUP(A63,'Uncorrected Area Counts'!$A$4:$AU$99,3,FALSE)/VLOOKUP(4,'Plate Planning'!$L$20:$S$35,4,FALSE)*VLOOKUP("standard",'Plate Planning'!$L$20:$S$35,4,FALSE)/VLOOKUP(A63,'Uncorrected Area Counts'!$A$4:$AU$99,18,FALSE)*100</f>
        <v>#DIV/0!</v>
      </c>
      <c r="K63" s="581" t="e">
        <f>(VLOOKUP(A63,'Uncorrected Area Counts'!$A$4:$AU$99,23,FALSE)/VLOOKUP(A63,'Uncorrected Area Counts'!$A$4:$AU$99,47,FALSE))*100</f>
        <v>#DIV/0!</v>
      </c>
      <c r="L63" s="568" t="e">
        <f>VLOOKUP(A63,'Uncorrected Area Counts'!$A$4:$AU$99,23,FALSE)/VLOOKUP(A63,'Uncorrected Area Counts'!$A$4:$AU$99,3,FALSE)/VLOOKUP(5,'Plate Planning'!$L$20:$S$35,4,FALSE)*VLOOKUP("standard",'Plate Planning'!$L$20:$S$35,4,FALSE)/VLOOKUP(A63,'Uncorrected Area Counts'!$A$4:$AU$99,22,FALSE)*100</f>
        <v>#DIV/0!</v>
      </c>
      <c r="M63" s="581" t="e">
        <f>(VLOOKUP(A63,'Uncorrected Area Counts'!$A$4:$AU$99,27,FALSE)/VLOOKUP(A63,'Uncorrected Area Counts'!$A$4:$AU$99,47,FALSE))*100</f>
        <v>#DIV/0!</v>
      </c>
      <c r="N63" s="567" t="e">
        <f>VLOOKUP(A63,'Uncorrected Area Counts'!$A$4:$AU$99,27,FALSE)/VLOOKUP(A63,'Uncorrected Area Counts'!$A$4:$AU$99,3,FALSE)/VLOOKUP(6,'Plate Planning'!$L$20:$S$35,4,FALSE)*VLOOKUP("standard",'Plate Planning'!$L$20:$S$35,4,FALSE)/VLOOKUP(A63,'Uncorrected Area Counts'!$A$4:$AU$99,26,FALSE)*100</f>
        <v>#DIV/0!</v>
      </c>
      <c r="O63" s="581" t="e">
        <f>(VLOOKUP(A63,'Uncorrected Area Counts'!$A$4:$AU$99,31,FALSE)/VLOOKUP(A63,'Uncorrected Area Counts'!$A$4:$AU$99,47,FALSE))*100</f>
        <v>#DIV/0!</v>
      </c>
      <c r="P63" s="568" t="e">
        <f>VLOOKUP(A63,'Uncorrected Area Counts'!$A$4:$AU$99,31,FALSE)/VLOOKUP(A63,'Uncorrected Area Counts'!$A$4:$AU$99,3,FALSE)/VLOOKUP(7,'Plate Planning'!$L$20:$S$35,4,FALSE)*VLOOKUP("standard",'Plate Planning'!$L$20:$S$35,4,FALSE)/VLOOKUP(A63,'Uncorrected Area Counts'!$A$4:$AU$99,30,FALSE)*100</f>
        <v>#DIV/0!</v>
      </c>
      <c r="Q63" s="581" t="e">
        <f>(VLOOKUP(A63,'Uncorrected Area Counts'!$A$4:$AU$99,35,FALSE)/VLOOKUP(A63,'Uncorrected Area Counts'!$A$4:$AU$99,47,FALSE))*100</f>
        <v>#DIV/0!</v>
      </c>
      <c r="R63" s="477" t="e">
        <f>VLOOKUP(A63,'Uncorrected Area Counts'!$A$4:$AU$99,35,FALSE)/VLOOKUP(A63,'Uncorrected Area Counts'!$A$4:$AU$99,3,FALSE)/VLOOKUP(8,'Plate Planning'!$L$20:$S$35,4,FALSE)*VLOOKUP("standard",'Plate Planning'!$L$20:$S$35,4,FALSE)/VLOOKUP(A63,'Uncorrected Area Counts'!$A$4:$AU$99,34,FALSE)*100</f>
        <v>#DIV/0!</v>
      </c>
      <c r="S63" s="589" t="e">
        <f>(VLOOKUP(A63,'Uncorrected Area Counts'!$A$4:$AU$99,39,FALSE)/VLOOKUP(A63,'Uncorrected Area Counts'!$A$4:$AU$99,47,FALSE))*100</f>
        <v>#DIV/0!</v>
      </c>
      <c r="T63" s="569" t="e">
        <f>VLOOKUP(A63,'Uncorrected Area Counts'!$A$4:$AU$99,39,FALSE)/VLOOKUP(A63,'Uncorrected Area Counts'!$A$4:$AU$99,3,FALSE)/VLOOKUP(8,'Plate Planning'!$L$20:$S$35,4,FALSE)*VLOOKUP("standard",'Plate Planning'!$L$20:$S$35,4,FALSE)/VLOOKUP(A63,'Uncorrected Area Counts'!$A$4:$AU$99,38,FALSE)*100</f>
        <v>#DIV/0!</v>
      </c>
      <c r="U63" s="589" t="e">
        <f>(VLOOKUP(A63,'Uncorrected Area Counts'!$A$4:$AU$99,43,FALSE)/VLOOKUP(A63,'Uncorrected Area Counts'!$A$4:$AU$99,47,FALSE))*100</f>
        <v>#DIV/0!</v>
      </c>
      <c r="V63" s="604" t="e">
        <f>VLOOKUP(A63,'Uncorrected Area Counts'!$A$4:$AU$99,43,FALSE)/VLOOKUP(A63,'Uncorrected Area Counts'!$A$4:$AU$99,3,FALSE)/VLOOKUP(8,'Plate Planning'!$L$20:$S$35,4,FALSE)*VLOOKUP("standard",'Plate Planning'!$L$20:$S$35,4,FALSE)/VLOOKUP(A63,'Uncorrected Area Counts'!$A$4:$AU$99,42,FALSE)*100</f>
        <v>#DIV/0!</v>
      </c>
    </row>
    <row r="64" spans="1:22">
      <c r="A64" s="478" t="s">
        <v>1222</v>
      </c>
      <c r="B64" s="565" t="s">
        <v>22</v>
      </c>
      <c r="C64" s="573" t="e">
        <f>(VLOOKUP(A64,'Uncorrected Area Counts'!$A$4:$AU$99,7,FALSE)/VLOOKUP(A64,'Uncorrected Area Counts'!$A$4:$AU$99,47,FALSE))*100</f>
        <v>#DIV/0!</v>
      </c>
      <c r="D64" s="566" t="e">
        <f>VLOOKUP(A64,'Uncorrected Area Counts'!$A$4:$AU$99,7,FALSE)/VLOOKUP(A64,'Uncorrected Area Counts'!$A$4:$AU$99,3,FALSE)/VLOOKUP(1,'Plate Planning'!$L$20:$S$35,4,FALSE)*VLOOKUP("standard",'Plate Planning'!$L$20:$S$35,4,FALSE)/VLOOKUP(A64,'Uncorrected Area Counts'!$A$4:$AU$99,6,FALSE)*100</f>
        <v>#DIV/0!</v>
      </c>
      <c r="E64" s="576" t="e">
        <f>(VLOOKUP(A64,'Uncorrected Area Counts'!$A$4:$AU$99,11,FALSE)/VLOOKUP(A64,'Uncorrected Area Counts'!$A$4:$AU$99,47,FALSE))*100</f>
        <v>#DIV/0!</v>
      </c>
      <c r="F64" s="566" t="e">
        <f>VLOOKUP(A64,'Uncorrected Area Counts'!$A$4:$AU$99,11,FALSE)/VLOOKUP(A64,'Uncorrected Area Counts'!$A$4:$AU$99,3,FALSE)/VLOOKUP(2,'Plate Planning'!$L$20:$S$35,4,FALSE)*VLOOKUP("standard",'Plate Planning'!$L$20:$S$35,4,FALSE)/VLOOKUP(A64,'Uncorrected Area Counts'!$A$4:$AU$99,10,FALSE)*100</f>
        <v>#DIV/0!</v>
      </c>
      <c r="G64" s="576" t="e">
        <f>(VLOOKUP(A64,'Uncorrected Area Counts'!$A$4:$AU$99,15,FALSE)/VLOOKUP(A64,'Uncorrected Area Counts'!$A$4:$AU$99,47,FALSE))*100</f>
        <v>#DIV/0!</v>
      </c>
      <c r="H64" s="566" t="e">
        <f>VLOOKUP(A64,'Uncorrected Area Counts'!$A$4:$AU$99,15,FALSE)/VLOOKUP(A64,'Uncorrected Area Counts'!$A$4:$AU$99,3,FALSE)/VLOOKUP(3,'Plate Planning'!$L$20:$S$35,4,FALSE)*VLOOKUP("standard",'Plate Planning'!$L$20:$S$35,4,FALSE)/VLOOKUP(A64,'Uncorrected Area Counts'!$A$4:$AU$99,14,FALSE)*100</f>
        <v>#DIV/0!</v>
      </c>
      <c r="I64" s="576" t="e">
        <f>(VLOOKUP(A64,'Uncorrected Area Counts'!$A$4:$AU$99,19,FALSE)/VLOOKUP(A64,'Uncorrected Area Counts'!$A$4:$AU$99,47,FALSE))*100</f>
        <v>#DIV/0!</v>
      </c>
      <c r="J64" s="567" t="e">
        <f>VLOOKUP(A64,'Uncorrected Area Counts'!$A$4:$AU$99,19,FALSE)/VLOOKUP(A64,'Uncorrected Area Counts'!$A$4:$AU$99,3,FALSE)/VLOOKUP(4,'Plate Planning'!$L$20:$S$35,4,FALSE)*VLOOKUP("standard",'Plate Planning'!$L$20:$S$35,4,FALSE)/VLOOKUP(A64,'Uncorrected Area Counts'!$A$4:$AU$99,18,FALSE)*100</f>
        <v>#DIV/0!</v>
      </c>
      <c r="K64" s="581" t="e">
        <f>(VLOOKUP(A64,'Uncorrected Area Counts'!$A$4:$AU$99,23,FALSE)/VLOOKUP(A64,'Uncorrected Area Counts'!$A$4:$AU$99,47,FALSE))*100</f>
        <v>#DIV/0!</v>
      </c>
      <c r="L64" s="568" t="e">
        <f>VLOOKUP(A64,'Uncorrected Area Counts'!$A$4:$AU$99,23,FALSE)/VLOOKUP(A64,'Uncorrected Area Counts'!$A$4:$AU$99,3,FALSE)/VLOOKUP(5,'Plate Planning'!$L$20:$S$35,4,FALSE)*VLOOKUP("standard",'Plate Planning'!$L$20:$S$35,4,FALSE)/VLOOKUP(A64,'Uncorrected Area Counts'!$A$4:$AU$99,22,FALSE)*100</f>
        <v>#DIV/0!</v>
      </c>
      <c r="M64" s="581" t="e">
        <f>(VLOOKUP(A64,'Uncorrected Area Counts'!$A$4:$AU$99,27,FALSE)/VLOOKUP(A64,'Uncorrected Area Counts'!$A$4:$AU$99,47,FALSE))*100</f>
        <v>#DIV/0!</v>
      </c>
      <c r="N64" s="567" t="e">
        <f>VLOOKUP(A64,'Uncorrected Area Counts'!$A$4:$AU$99,27,FALSE)/VLOOKUP(A64,'Uncorrected Area Counts'!$A$4:$AU$99,3,FALSE)/VLOOKUP(6,'Plate Planning'!$L$20:$S$35,4,FALSE)*VLOOKUP("standard",'Plate Planning'!$L$20:$S$35,4,FALSE)/VLOOKUP(A64,'Uncorrected Area Counts'!$A$4:$AU$99,26,FALSE)*100</f>
        <v>#DIV/0!</v>
      </c>
      <c r="O64" s="581" t="e">
        <f>(VLOOKUP(A64,'Uncorrected Area Counts'!$A$4:$AU$99,31,FALSE)/VLOOKUP(A64,'Uncorrected Area Counts'!$A$4:$AU$99,47,FALSE))*100</f>
        <v>#DIV/0!</v>
      </c>
      <c r="P64" s="568" t="e">
        <f>VLOOKUP(A64,'Uncorrected Area Counts'!$A$4:$AU$99,31,FALSE)/VLOOKUP(A64,'Uncorrected Area Counts'!$A$4:$AU$99,3,FALSE)/VLOOKUP(7,'Plate Planning'!$L$20:$S$35,4,FALSE)*VLOOKUP("standard",'Plate Planning'!$L$20:$S$35,4,FALSE)/VLOOKUP(A64,'Uncorrected Area Counts'!$A$4:$AU$99,30,FALSE)*100</f>
        <v>#DIV/0!</v>
      </c>
      <c r="Q64" s="581" t="e">
        <f>(VLOOKUP(A64,'Uncorrected Area Counts'!$A$4:$AU$99,35,FALSE)/VLOOKUP(A64,'Uncorrected Area Counts'!$A$4:$AU$99,47,FALSE))*100</f>
        <v>#DIV/0!</v>
      </c>
      <c r="R64" s="477" t="e">
        <f>VLOOKUP(A64,'Uncorrected Area Counts'!$A$4:$AU$99,35,FALSE)/VLOOKUP(A64,'Uncorrected Area Counts'!$A$4:$AU$99,3,FALSE)/VLOOKUP(8,'Plate Planning'!$L$20:$S$35,4,FALSE)*VLOOKUP("standard",'Plate Planning'!$L$20:$S$35,4,FALSE)/VLOOKUP(A64,'Uncorrected Area Counts'!$A$4:$AU$99,34,FALSE)*100</f>
        <v>#DIV/0!</v>
      </c>
      <c r="S64" s="589" t="e">
        <f>(VLOOKUP(A64,'Uncorrected Area Counts'!$A$4:$AU$99,39,FALSE)/VLOOKUP(A64,'Uncorrected Area Counts'!$A$4:$AU$99,47,FALSE))*100</f>
        <v>#DIV/0!</v>
      </c>
      <c r="T64" s="569" t="e">
        <f>VLOOKUP(A64,'Uncorrected Area Counts'!$A$4:$AU$99,39,FALSE)/VLOOKUP(A64,'Uncorrected Area Counts'!$A$4:$AU$99,3,FALSE)/VLOOKUP(8,'Plate Planning'!$L$20:$S$35,4,FALSE)*VLOOKUP("standard",'Plate Planning'!$L$20:$S$35,4,FALSE)/VLOOKUP(A64,'Uncorrected Area Counts'!$A$4:$AU$99,38,FALSE)*100</f>
        <v>#DIV/0!</v>
      </c>
      <c r="U64" s="589" t="e">
        <f>(VLOOKUP(A64,'Uncorrected Area Counts'!$A$4:$AU$99,43,FALSE)/VLOOKUP(A64,'Uncorrected Area Counts'!$A$4:$AU$99,47,FALSE))*100</f>
        <v>#DIV/0!</v>
      </c>
      <c r="V64" s="604" t="e">
        <f>VLOOKUP(A64,'Uncorrected Area Counts'!$A$4:$AU$99,43,FALSE)/VLOOKUP(A64,'Uncorrected Area Counts'!$A$4:$AU$99,3,FALSE)/VLOOKUP(8,'Plate Planning'!$L$20:$S$35,4,FALSE)*VLOOKUP("standard",'Plate Planning'!$L$20:$S$35,4,FALSE)/VLOOKUP(A64,'Uncorrected Area Counts'!$A$4:$AU$99,42,FALSE)*100</f>
        <v>#DIV/0!</v>
      </c>
    </row>
    <row r="65" spans="1:22">
      <c r="A65" s="478" t="s">
        <v>1223</v>
      </c>
      <c r="B65" s="565" t="s">
        <v>22</v>
      </c>
      <c r="C65" s="573" t="e">
        <f>(VLOOKUP(A65,'Uncorrected Area Counts'!$A$4:$AU$99,7,FALSE)/VLOOKUP(A65,'Uncorrected Area Counts'!$A$4:$AU$99,47,FALSE))*100</f>
        <v>#DIV/0!</v>
      </c>
      <c r="D65" s="566" t="e">
        <f>VLOOKUP(A65,'Uncorrected Area Counts'!$A$4:$AU$99,7,FALSE)/VLOOKUP(A65,'Uncorrected Area Counts'!$A$4:$AU$99,3,FALSE)/VLOOKUP(1,'Plate Planning'!$L$20:$S$35,4,FALSE)*VLOOKUP("standard",'Plate Planning'!$L$20:$S$35,4,FALSE)/VLOOKUP(A65,'Uncorrected Area Counts'!$A$4:$AU$99,6,FALSE)*100</f>
        <v>#DIV/0!</v>
      </c>
      <c r="E65" s="576" t="e">
        <f>(VLOOKUP(A65,'Uncorrected Area Counts'!$A$4:$AU$99,11,FALSE)/VLOOKUP(A65,'Uncorrected Area Counts'!$A$4:$AU$99,47,FALSE))*100</f>
        <v>#DIV/0!</v>
      </c>
      <c r="F65" s="566" t="e">
        <f>VLOOKUP(A65,'Uncorrected Area Counts'!$A$4:$AU$99,11,FALSE)/VLOOKUP(A65,'Uncorrected Area Counts'!$A$4:$AU$99,3,FALSE)/VLOOKUP(2,'Plate Planning'!$L$20:$S$35,4,FALSE)*VLOOKUP("standard",'Plate Planning'!$L$20:$S$35,4,FALSE)/VLOOKUP(A65,'Uncorrected Area Counts'!$A$4:$AU$99,10,FALSE)*100</f>
        <v>#DIV/0!</v>
      </c>
      <c r="G65" s="576" t="e">
        <f>(VLOOKUP(A65,'Uncorrected Area Counts'!$A$4:$AU$99,15,FALSE)/VLOOKUP(A65,'Uncorrected Area Counts'!$A$4:$AU$99,47,FALSE))*100</f>
        <v>#DIV/0!</v>
      </c>
      <c r="H65" s="566" t="e">
        <f>VLOOKUP(A65,'Uncorrected Area Counts'!$A$4:$AU$99,15,FALSE)/VLOOKUP(A65,'Uncorrected Area Counts'!$A$4:$AU$99,3,FALSE)/VLOOKUP(3,'Plate Planning'!$L$20:$S$35,4,FALSE)*VLOOKUP("standard",'Plate Planning'!$L$20:$S$35,4,FALSE)/VLOOKUP(A65,'Uncorrected Area Counts'!$A$4:$AU$99,14,FALSE)*100</f>
        <v>#DIV/0!</v>
      </c>
      <c r="I65" s="576" t="e">
        <f>(VLOOKUP(A65,'Uncorrected Area Counts'!$A$4:$AU$99,19,FALSE)/VLOOKUP(A65,'Uncorrected Area Counts'!$A$4:$AU$99,47,FALSE))*100</f>
        <v>#DIV/0!</v>
      </c>
      <c r="J65" s="567" t="e">
        <f>VLOOKUP(A65,'Uncorrected Area Counts'!$A$4:$AU$99,19,FALSE)/VLOOKUP(A65,'Uncorrected Area Counts'!$A$4:$AU$99,3,FALSE)/VLOOKUP(4,'Plate Planning'!$L$20:$S$35,4,FALSE)*VLOOKUP("standard",'Plate Planning'!$L$20:$S$35,4,FALSE)/VLOOKUP(A65,'Uncorrected Area Counts'!$A$4:$AU$99,18,FALSE)*100</f>
        <v>#DIV/0!</v>
      </c>
      <c r="K65" s="581" t="e">
        <f>(VLOOKUP(A65,'Uncorrected Area Counts'!$A$4:$AU$99,23,FALSE)/VLOOKUP(A65,'Uncorrected Area Counts'!$A$4:$AU$99,47,FALSE))*100</f>
        <v>#DIV/0!</v>
      </c>
      <c r="L65" s="568" t="e">
        <f>VLOOKUP(A65,'Uncorrected Area Counts'!$A$4:$AU$99,23,FALSE)/VLOOKUP(A65,'Uncorrected Area Counts'!$A$4:$AU$99,3,FALSE)/VLOOKUP(5,'Plate Planning'!$L$20:$S$35,4,FALSE)*VLOOKUP("standard",'Plate Planning'!$L$20:$S$35,4,FALSE)/VLOOKUP(A65,'Uncorrected Area Counts'!$A$4:$AU$99,22,FALSE)*100</f>
        <v>#DIV/0!</v>
      </c>
      <c r="M65" s="581" t="e">
        <f>(VLOOKUP(A65,'Uncorrected Area Counts'!$A$4:$AU$99,27,FALSE)/VLOOKUP(A65,'Uncorrected Area Counts'!$A$4:$AU$99,47,FALSE))*100</f>
        <v>#DIV/0!</v>
      </c>
      <c r="N65" s="567" t="e">
        <f>VLOOKUP(A65,'Uncorrected Area Counts'!$A$4:$AU$99,27,FALSE)/VLOOKUP(A65,'Uncorrected Area Counts'!$A$4:$AU$99,3,FALSE)/VLOOKUP(6,'Plate Planning'!$L$20:$S$35,4,FALSE)*VLOOKUP("standard",'Plate Planning'!$L$20:$S$35,4,FALSE)/VLOOKUP(A65,'Uncorrected Area Counts'!$A$4:$AU$99,26,FALSE)*100</f>
        <v>#DIV/0!</v>
      </c>
      <c r="O65" s="581" t="e">
        <f>(VLOOKUP(A65,'Uncorrected Area Counts'!$A$4:$AU$99,31,FALSE)/VLOOKUP(A65,'Uncorrected Area Counts'!$A$4:$AU$99,47,FALSE))*100</f>
        <v>#DIV/0!</v>
      </c>
      <c r="P65" s="568" t="e">
        <f>VLOOKUP(A65,'Uncorrected Area Counts'!$A$4:$AU$99,31,FALSE)/VLOOKUP(A65,'Uncorrected Area Counts'!$A$4:$AU$99,3,FALSE)/VLOOKUP(7,'Plate Planning'!$L$20:$S$35,4,FALSE)*VLOOKUP("standard",'Plate Planning'!$L$20:$S$35,4,FALSE)/VLOOKUP(A65,'Uncorrected Area Counts'!$A$4:$AU$99,30,FALSE)*100</f>
        <v>#DIV/0!</v>
      </c>
      <c r="Q65" s="581" t="e">
        <f>(VLOOKUP(A65,'Uncorrected Area Counts'!$A$4:$AU$99,35,FALSE)/VLOOKUP(A65,'Uncorrected Area Counts'!$A$4:$AU$99,47,FALSE))*100</f>
        <v>#DIV/0!</v>
      </c>
      <c r="R65" s="477" t="e">
        <f>VLOOKUP(A65,'Uncorrected Area Counts'!$A$4:$AU$99,35,FALSE)/VLOOKUP(A65,'Uncorrected Area Counts'!$A$4:$AU$99,3,FALSE)/VLOOKUP(8,'Plate Planning'!$L$20:$S$35,4,FALSE)*VLOOKUP("standard",'Plate Planning'!$L$20:$S$35,4,FALSE)/VLOOKUP(A65,'Uncorrected Area Counts'!$A$4:$AU$99,34,FALSE)*100</f>
        <v>#DIV/0!</v>
      </c>
      <c r="S65" s="589" t="e">
        <f>(VLOOKUP(A65,'Uncorrected Area Counts'!$A$4:$AU$99,39,FALSE)/VLOOKUP(A65,'Uncorrected Area Counts'!$A$4:$AU$99,47,FALSE))*100</f>
        <v>#DIV/0!</v>
      </c>
      <c r="T65" s="569" t="e">
        <f>VLOOKUP(A65,'Uncorrected Area Counts'!$A$4:$AU$99,39,FALSE)/VLOOKUP(A65,'Uncorrected Area Counts'!$A$4:$AU$99,3,FALSE)/VLOOKUP(8,'Plate Planning'!$L$20:$S$35,4,FALSE)*VLOOKUP("standard",'Plate Planning'!$L$20:$S$35,4,FALSE)/VLOOKUP(A65,'Uncorrected Area Counts'!$A$4:$AU$99,38,FALSE)*100</f>
        <v>#DIV/0!</v>
      </c>
      <c r="U65" s="589" t="e">
        <f>(VLOOKUP(A65,'Uncorrected Area Counts'!$A$4:$AU$99,43,FALSE)/VLOOKUP(A65,'Uncorrected Area Counts'!$A$4:$AU$99,47,FALSE))*100</f>
        <v>#DIV/0!</v>
      </c>
      <c r="V65" s="604" t="e">
        <f>VLOOKUP(A65,'Uncorrected Area Counts'!$A$4:$AU$99,43,FALSE)/VLOOKUP(A65,'Uncorrected Area Counts'!$A$4:$AU$99,3,FALSE)/VLOOKUP(8,'Plate Planning'!$L$20:$S$35,4,FALSE)*VLOOKUP("standard",'Plate Planning'!$L$20:$S$35,4,FALSE)/VLOOKUP(A65,'Uncorrected Area Counts'!$A$4:$AU$99,42,FALSE)*100</f>
        <v>#DIV/0!</v>
      </c>
    </row>
    <row r="66" spans="1:22">
      <c r="A66" s="478" t="s">
        <v>1224</v>
      </c>
      <c r="B66" s="565" t="s">
        <v>22</v>
      </c>
      <c r="C66" s="573" t="e">
        <f>(VLOOKUP(A66,'Uncorrected Area Counts'!$A$4:$AU$99,7,FALSE)/VLOOKUP(A66,'Uncorrected Area Counts'!$A$4:$AU$99,47,FALSE))*100</f>
        <v>#DIV/0!</v>
      </c>
      <c r="D66" s="566" t="e">
        <f>VLOOKUP(A66,'Uncorrected Area Counts'!$A$4:$AU$99,7,FALSE)/VLOOKUP(A66,'Uncorrected Area Counts'!$A$4:$AU$99,3,FALSE)/VLOOKUP(1,'Plate Planning'!$L$20:$S$35,4,FALSE)*VLOOKUP("standard",'Plate Planning'!$L$20:$S$35,4,FALSE)/VLOOKUP(A66,'Uncorrected Area Counts'!$A$4:$AU$99,6,FALSE)*100</f>
        <v>#DIV/0!</v>
      </c>
      <c r="E66" s="576" t="e">
        <f>(VLOOKUP(A66,'Uncorrected Area Counts'!$A$4:$AU$99,11,FALSE)/VLOOKUP(A66,'Uncorrected Area Counts'!$A$4:$AU$99,47,FALSE))*100</f>
        <v>#DIV/0!</v>
      </c>
      <c r="F66" s="566" t="e">
        <f>VLOOKUP(A66,'Uncorrected Area Counts'!$A$4:$AU$99,11,FALSE)/VLOOKUP(A66,'Uncorrected Area Counts'!$A$4:$AU$99,3,FALSE)/VLOOKUP(2,'Plate Planning'!$L$20:$S$35,4,FALSE)*VLOOKUP("standard",'Plate Planning'!$L$20:$S$35,4,FALSE)/VLOOKUP(A66,'Uncorrected Area Counts'!$A$4:$AU$99,10,FALSE)*100</f>
        <v>#DIV/0!</v>
      </c>
      <c r="G66" s="576" t="e">
        <f>(VLOOKUP(A66,'Uncorrected Area Counts'!$A$4:$AU$99,15,FALSE)/VLOOKUP(A66,'Uncorrected Area Counts'!$A$4:$AU$99,47,FALSE))*100</f>
        <v>#DIV/0!</v>
      </c>
      <c r="H66" s="566" t="e">
        <f>VLOOKUP(A66,'Uncorrected Area Counts'!$A$4:$AU$99,15,FALSE)/VLOOKUP(A66,'Uncorrected Area Counts'!$A$4:$AU$99,3,FALSE)/VLOOKUP(3,'Plate Planning'!$L$20:$S$35,4,FALSE)*VLOOKUP("standard",'Plate Planning'!$L$20:$S$35,4,FALSE)/VLOOKUP(A66,'Uncorrected Area Counts'!$A$4:$AU$99,14,FALSE)*100</f>
        <v>#DIV/0!</v>
      </c>
      <c r="I66" s="576" t="e">
        <f>(VLOOKUP(A66,'Uncorrected Area Counts'!$A$4:$AU$99,19,FALSE)/VLOOKUP(A66,'Uncorrected Area Counts'!$A$4:$AU$99,47,FALSE))*100</f>
        <v>#DIV/0!</v>
      </c>
      <c r="J66" s="567" t="e">
        <f>VLOOKUP(A66,'Uncorrected Area Counts'!$A$4:$AU$99,19,FALSE)/VLOOKUP(A66,'Uncorrected Area Counts'!$A$4:$AU$99,3,FALSE)/VLOOKUP(4,'Plate Planning'!$L$20:$S$35,4,FALSE)*VLOOKUP("standard",'Plate Planning'!$L$20:$S$35,4,FALSE)/VLOOKUP(A66,'Uncorrected Area Counts'!$A$4:$AU$99,18,FALSE)*100</f>
        <v>#DIV/0!</v>
      </c>
      <c r="K66" s="581" t="e">
        <f>(VLOOKUP(A66,'Uncorrected Area Counts'!$A$4:$AU$99,23,FALSE)/VLOOKUP(A66,'Uncorrected Area Counts'!$A$4:$AU$99,47,FALSE))*100</f>
        <v>#DIV/0!</v>
      </c>
      <c r="L66" s="568" t="e">
        <f>VLOOKUP(A66,'Uncorrected Area Counts'!$A$4:$AU$99,23,FALSE)/VLOOKUP(A66,'Uncorrected Area Counts'!$A$4:$AU$99,3,FALSE)/VLOOKUP(5,'Plate Planning'!$L$20:$S$35,4,FALSE)*VLOOKUP("standard",'Plate Planning'!$L$20:$S$35,4,FALSE)/VLOOKUP(A66,'Uncorrected Area Counts'!$A$4:$AU$99,22,FALSE)*100</f>
        <v>#DIV/0!</v>
      </c>
      <c r="M66" s="581" t="e">
        <f>(VLOOKUP(A66,'Uncorrected Area Counts'!$A$4:$AU$99,27,FALSE)/VLOOKUP(A66,'Uncorrected Area Counts'!$A$4:$AU$99,47,FALSE))*100</f>
        <v>#DIV/0!</v>
      </c>
      <c r="N66" s="567" t="e">
        <f>VLOOKUP(A66,'Uncorrected Area Counts'!$A$4:$AU$99,27,FALSE)/VLOOKUP(A66,'Uncorrected Area Counts'!$A$4:$AU$99,3,FALSE)/VLOOKUP(6,'Plate Planning'!$L$20:$S$35,4,FALSE)*VLOOKUP("standard",'Plate Planning'!$L$20:$S$35,4,FALSE)/VLOOKUP(A66,'Uncorrected Area Counts'!$A$4:$AU$99,26,FALSE)*100</f>
        <v>#DIV/0!</v>
      </c>
      <c r="O66" s="581" t="e">
        <f>(VLOOKUP(A66,'Uncorrected Area Counts'!$A$4:$AU$99,31,FALSE)/VLOOKUP(A66,'Uncorrected Area Counts'!$A$4:$AU$99,47,FALSE))*100</f>
        <v>#DIV/0!</v>
      </c>
      <c r="P66" s="568" t="e">
        <f>VLOOKUP(A66,'Uncorrected Area Counts'!$A$4:$AU$99,31,FALSE)/VLOOKUP(A66,'Uncorrected Area Counts'!$A$4:$AU$99,3,FALSE)/VLOOKUP(7,'Plate Planning'!$L$20:$S$35,4,FALSE)*VLOOKUP("standard",'Plate Planning'!$L$20:$S$35,4,FALSE)/VLOOKUP(A66,'Uncorrected Area Counts'!$A$4:$AU$99,30,FALSE)*100</f>
        <v>#DIV/0!</v>
      </c>
      <c r="Q66" s="581" t="e">
        <f>(VLOOKUP(A66,'Uncorrected Area Counts'!$A$4:$AU$99,35,FALSE)/VLOOKUP(A66,'Uncorrected Area Counts'!$A$4:$AU$99,47,FALSE))*100</f>
        <v>#DIV/0!</v>
      </c>
      <c r="R66" s="477" t="e">
        <f>VLOOKUP(A66,'Uncorrected Area Counts'!$A$4:$AU$99,35,FALSE)/VLOOKUP(A66,'Uncorrected Area Counts'!$A$4:$AU$99,3,FALSE)/VLOOKUP(8,'Plate Planning'!$L$20:$S$35,4,FALSE)*VLOOKUP("standard",'Plate Planning'!$L$20:$S$35,4,FALSE)/VLOOKUP(A66,'Uncorrected Area Counts'!$A$4:$AU$99,34,FALSE)*100</f>
        <v>#DIV/0!</v>
      </c>
      <c r="S66" s="589" t="e">
        <f>(VLOOKUP(A66,'Uncorrected Area Counts'!$A$4:$AU$99,39,FALSE)/VLOOKUP(A66,'Uncorrected Area Counts'!$A$4:$AU$99,47,FALSE))*100</f>
        <v>#DIV/0!</v>
      </c>
      <c r="T66" s="569" t="e">
        <f>VLOOKUP(A66,'Uncorrected Area Counts'!$A$4:$AU$99,39,FALSE)/VLOOKUP(A66,'Uncorrected Area Counts'!$A$4:$AU$99,3,FALSE)/VLOOKUP(8,'Plate Planning'!$L$20:$S$35,4,FALSE)*VLOOKUP("standard",'Plate Planning'!$L$20:$S$35,4,FALSE)/VLOOKUP(A66,'Uncorrected Area Counts'!$A$4:$AU$99,38,FALSE)*100</f>
        <v>#DIV/0!</v>
      </c>
      <c r="U66" s="589" t="e">
        <f>(VLOOKUP(A66,'Uncorrected Area Counts'!$A$4:$AU$99,43,FALSE)/VLOOKUP(A66,'Uncorrected Area Counts'!$A$4:$AU$99,47,FALSE))*100</f>
        <v>#DIV/0!</v>
      </c>
      <c r="V66" s="604" t="e">
        <f>VLOOKUP(A66,'Uncorrected Area Counts'!$A$4:$AU$99,43,FALSE)/VLOOKUP(A66,'Uncorrected Area Counts'!$A$4:$AU$99,3,FALSE)/VLOOKUP(8,'Plate Planning'!$L$20:$S$35,4,FALSE)*VLOOKUP("standard",'Plate Planning'!$L$20:$S$35,4,FALSE)/VLOOKUP(A66,'Uncorrected Area Counts'!$A$4:$AU$99,42,FALSE)*100</f>
        <v>#DIV/0!</v>
      </c>
    </row>
    <row r="67" spans="1:22">
      <c r="A67" s="478" t="s">
        <v>1225</v>
      </c>
      <c r="B67" s="565" t="s">
        <v>22</v>
      </c>
      <c r="C67" s="573" t="e">
        <f>(VLOOKUP(A67,'Uncorrected Area Counts'!$A$4:$AU$99,7,FALSE)/VLOOKUP(A67,'Uncorrected Area Counts'!$A$4:$AU$99,47,FALSE))*100</f>
        <v>#DIV/0!</v>
      </c>
      <c r="D67" s="566" t="e">
        <f>VLOOKUP(A67,'Uncorrected Area Counts'!$A$4:$AU$99,7,FALSE)/VLOOKUP(A67,'Uncorrected Area Counts'!$A$4:$AU$99,3,FALSE)/VLOOKUP(1,'Plate Planning'!$L$20:$S$35,4,FALSE)*VLOOKUP("standard",'Plate Planning'!$L$20:$S$35,4,FALSE)/VLOOKUP(A67,'Uncorrected Area Counts'!$A$4:$AU$99,6,FALSE)*100</f>
        <v>#DIV/0!</v>
      </c>
      <c r="E67" s="576" t="e">
        <f>(VLOOKUP(A67,'Uncorrected Area Counts'!$A$4:$AU$99,11,FALSE)/VLOOKUP(A67,'Uncorrected Area Counts'!$A$4:$AU$99,47,FALSE))*100</f>
        <v>#DIV/0!</v>
      </c>
      <c r="F67" s="566" t="e">
        <f>VLOOKUP(A67,'Uncorrected Area Counts'!$A$4:$AU$99,11,FALSE)/VLOOKUP(A67,'Uncorrected Area Counts'!$A$4:$AU$99,3,FALSE)/VLOOKUP(2,'Plate Planning'!$L$20:$S$35,4,FALSE)*VLOOKUP("standard",'Plate Planning'!$L$20:$S$35,4,FALSE)/VLOOKUP(A67,'Uncorrected Area Counts'!$A$4:$AU$99,10,FALSE)*100</f>
        <v>#DIV/0!</v>
      </c>
      <c r="G67" s="576" t="e">
        <f>(VLOOKUP(A67,'Uncorrected Area Counts'!$A$4:$AU$99,15,FALSE)/VLOOKUP(A67,'Uncorrected Area Counts'!$A$4:$AU$99,47,FALSE))*100</f>
        <v>#DIV/0!</v>
      </c>
      <c r="H67" s="566" t="e">
        <f>VLOOKUP(A67,'Uncorrected Area Counts'!$A$4:$AU$99,15,FALSE)/VLOOKUP(A67,'Uncorrected Area Counts'!$A$4:$AU$99,3,FALSE)/VLOOKUP(3,'Plate Planning'!$L$20:$S$35,4,FALSE)*VLOOKUP("standard",'Plate Planning'!$L$20:$S$35,4,FALSE)/VLOOKUP(A67,'Uncorrected Area Counts'!$A$4:$AU$99,14,FALSE)*100</f>
        <v>#DIV/0!</v>
      </c>
      <c r="I67" s="576" t="e">
        <f>(VLOOKUP(A67,'Uncorrected Area Counts'!$A$4:$AU$99,19,FALSE)/VLOOKUP(A67,'Uncorrected Area Counts'!$A$4:$AU$99,47,FALSE))*100</f>
        <v>#DIV/0!</v>
      </c>
      <c r="J67" s="567" t="e">
        <f>VLOOKUP(A67,'Uncorrected Area Counts'!$A$4:$AU$99,19,FALSE)/VLOOKUP(A67,'Uncorrected Area Counts'!$A$4:$AU$99,3,FALSE)/VLOOKUP(4,'Plate Planning'!$L$20:$S$35,4,FALSE)*VLOOKUP("standard",'Plate Planning'!$L$20:$S$35,4,FALSE)/VLOOKUP(A67,'Uncorrected Area Counts'!$A$4:$AU$99,18,FALSE)*100</f>
        <v>#DIV/0!</v>
      </c>
      <c r="K67" s="581" t="e">
        <f>(VLOOKUP(A67,'Uncorrected Area Counts'!$A$4:$AU$99,23,FALSE)/VLOOKUP(A67,'Uncorrected Area Counts'!$A$4:$AU$99,47,FALSE))*100</f>
        <v>#DIV/0!</v>
      </c>
      <c r="L67" s="568" t="e">
        <f>VLOOKUP(A67,'Uncorrected Area Counts'!$A$4:$AU$99,23,FALSE)/VLOOKUP(A67,'Uncorrected Area Counts'!$A$4:$AU$99,3,FALSE)/VLOOKUP(5,'Plate Planning'!$L$20:$S$35,4,FALSE)*VLOOKUP("standard",'Plate Planning'!$L$20:$S$35,4,FALSE)/VLOOKUP(A67,'Uncorrected Area Counts'!$A$4:$AU$99,22,FALSE)*100</f>
        <v>#DIV/0!</v>
      </c>
      <c r="M67" s="581" t="e">
        <f>(VLOOKUP(A67,'Uncorrected Area Counts'!$A$4:$AU$99,27,FALSE)/VLOOKUP(A67,'Uncorrected Area Counts'!$A$4:$AU$99,47,FALSE))*100</f>
        <v>#DIV/0!</v>
      </c>
      <c r="N67" s="567" t="e">
        <f>VLOOKUP(A67,'Uncorrected Area Counts'!$A$4:$AU$99,27,FALSE)/VLOOKUP(A67,'Uncorrected Area Counts'!$A$4:$AU$99,3,FALSE)/VLOOKUP(6,'Plate Planning'!$L$20:$S$35,4,FALSE)*VLOOKUP("standard",'Plate Planning'!$L$20:$S$35,4,FALSE)/VLOOKUP(A67,'Uncorrected Area Counts'!$A$4:$AU$99,26,FALSE)*100</f>
        <v>#DIV/0!</v>
      </c>
      <c r="O67" s="581" t="e">
        <f>(VLOOKUP(A67,'Uncorrected Area Counts'!$A$4:$AU$99,31,FALSE)/VLOOKUP(A67,'Uncorrected Area Counts'!$A$4:$AU$99,47,FALSE))*100</f>
        <v>#DIV/0!</v>
      </c>
      <c r="P67" s="568" t="e">
        <f>VLOOKUP(A67,'Uncorrected Area Counts'!$A$4:$AU$99,31,FALSE)/VLOOKUP(A67,'Uncorrected Area Counts'!$A$4:$AU$99,3,FALSE)/VLOOKUP(7,'Plate Planning'!$L$20:$S$35,4,FALSE)*VLOOKUP("standard",'Plate Planning'!$L$20:$S$35,4,FALSE)/VLOOKUP(A67,'Uncorrected Area Counts'!$A$4:$AU$99,30,FALSE)*100</f>
        <v>#DIV/0!</v>
      </c>
      <c r="Q67" s="581" t="e">
        <f>(VLOOKUP(A67,'Uncorrected Area Counts'!$A$4:$AU$99,35,FALSE)/VLOOKUP(A67,'Uncorrected Area Counts'!$A$4:$AU$99,47,FALSE))*100</f>
        <v>#DIV/0!</v>
      </c>
      <c r="R67" s="477" t="e">
        <f>VLOOKUP(A67,'Uncorrected Area Counts'!$A$4:$AU$99,35,FALSE)/VLOOKUP(A67,'Uncorrected Area Counts'!$A$4:$AU$99,3,FALSE)/VLOOKUP(8,'Plate Planning'!$L$20:$S$35,4,FALSE)*VLOOKUP("standard",'Plate Planning'!$L$20:$S$35,4,FALSE)/VLOOKUP(A67,'Uncorrected Area Counts'!$A$4:$AU$99,34,FALSE)*100</f>
        <v>#DIV/0!</v>
      </c>
      <c r="S67" s="589" t="e">
        <f>(VLOOKUP(A67,'Uncorrected Area Counts'!$A$4:$AU$99,39,FALSE)/VLOOKUP(A67,'Uncorrected Area Counts'!$A$4:$AU$99,47,FALSE))*100</f>
        <v>#DIV/0!</v>
      </c>
      <c r="T67" s="569" t="e">
        <f>VLOOKUP(A67,'Uncorrected Area Counts'!$A$4:$AU$99,39,FALSE)/VLOOKUP(A67,'Uncorrected Area Counts'!$A$4:$AU$99,3,FALSE)/VLOOKUP(8,'Plate Planning'!$L$20:$S$35,4,FALSE)*VLOOKUP("standard",'Plate Planning'!$L$20:$S$35,4,FALSE)/VLOOKUP(A67,'Uncorrected Area Counts'!$A$4:$AU$99,38,FALSE)*100</f>
        <v>#DIV/0!</v>
      </c>
      <c r="U67" s="589" t="e">
        <f>(VLOOKUP(A67,'Uncorrected Area Counts'!$A$4:$AU$99,43,FALSE)/VLOOKUP(A67,'Uncorrected Area Counts'!$A$4:$AU$99,47,FALSE))*100</f>
        <v>#DIV/0!</v>
      </c>
      <c r="V67" s="604" t="e">
        <f>VLOOKUP(A67,'Uncorrected Area Counts'!$A$4:$AU$99,43,FALSE)/VLOOKUP(A67,'Uncorrected Area Counts'!$A$4:$AU$99,3,FALSE)/VLOOKUP(8,'Plate Planning'!$L$20:$S$35,4,FALSE)*VLOOKUP("standard",'Plate Planning'!$L$20:$S$35,4,FALSE)/VLOOKUP(A67,'Uncorrected Area Counts'!$A$4:$AU$99,42,FALSE)*100</f>
        <v>#DIV/0!</v>
      </c>
    </row>
    <row r="68" spans="1:22">
      <c r="A68" s="478" t="s">
        <v>1226</v>
      </c>
      <c r="B68" s="565" t="s">
        <v>22</v>
      </c>
      <c r="C68" s="573" t="e">
        <f>(VLOOKUP(A68,'Uncorrected Area Counts'!$A$4:$AU$99,7,FALSE)/VLOOKUP(A68,'Uncorrected Area Counts'!$A$4:$AU$99,47,FALSE))*100</f>
        <v>#DIV/0!</v>
      </c>
      <c r="D68" s="566" t="e">
        <f>VLOOKUP(A68,'Uncorrected Area Counts'!$A$4:$AU$99,7,FALSE)/VLOOKUP(A68,'Uncorrected Area Counts'!$A$4:$AU$99,3,FALSE)/VLOOKUP(1,'Plate Planning'!$L$20:$S$35,4,FALSE)*VLOOKUP("standard",'Plate Planning'!$L$20:$S$35,4,FALSE)/VLOOKUP(A68,'Uncorrected Area Counts'!$A$4:$AU$99,6,FALSE)*100</f>
        <v>#DIV/0!</v>
      </c>
      <c r="E68" s="576" t="e">
        <f>(VLOOKUP(A68,'Uncorrected Area Counts'!$A$4:$AU$99,11,FALSE)/VLOOKUP(A68,'Uncorrected Area Counts'!$A$4:$AU$99,47,FALSE))*100</f>
        <v>#DIV/0!</v>
      </c>
      <c r="F68" s="566" t="e">
        <f>VLOOKUP(A68,'Uncorrected Area Counts'!$A$4:$AU$99,11,FALSE)/VLOOKUP(A68,'Uncorrected Area Counts'!$A$4:$AU$99,3,FALSE)/VLOOKUP(2,'Plate Planning'!$L$20:$S$35,4,FALSE)*VLOOKUP("standard",'Plate Planning'!$L$20:$S$35,4,FALSE)/VLOOKUP(A68,'Uncorrected Area Counts'!$A$4:$AU$99,10,FALSE)*100</f>
        <v>#DIV/0!</v>
      </c>
      <c r="G68" s="576" t="e">
        <f>(VLOOKUP(A68,'Uncorrected Area Counts'!$A$4:$AU$99,15,FALSE)/VLOOKUP(A68,'Uncorrected Area Counts'!$A$4:$AU$99,47,FALSE))*100</f>
        <v>#DIV/0!</v>
      </c>
      <c r="H68" s="566" t="e">
        <f>VLOOKUP(A68,'Uncorrected Area Counts'!$A$4:$AU$99,15,FALSE)/VLOOKUP(A68,'Uncorrected Area Counts'!$A$4:$AU$99,3,FALSE)/VLOOKUP(3,'Plate Planning'!$L$20:$S$35,4,FALSE)*VLOOKUP("standard",'Plate Planning'!$L$20:$S$35,4,FALSE)/VLOOKUP(A68,'Uncorrected Area Counts'!$A$4:$AU$99,14,FALSE)*100</f>
        <v>#DIV/0!</v>
      </c>
      <c r="I68" s="576" t="e">
        <f>(VLOOKUP(A68,'Uncorrected Area Counts'!$A$4:$AU$99,19,FALSE)/VLOOKUP(A68,'Uncorrected Area Counts'!$A$4:$AU$99,47,FALSE))*100</f>
        <v>#DIV/0!</v>
      </c>
      <c r="J68" s="567" t="e">
        <f>VLOOKUP(A68,'Uncorrected Area Counts'!$A$4:$AU$99,19,FALSE)/VLOOKUP(A68,'Uncorrected Area Counts'!$A$4:$AU$99,3,FALSE)/VLOOKUP(4,'Plate Planning'!$L$20:$S$35,4,FALSE)*VLOOKUP("standard",'Plate Planning'!$L$20:$S$35,4,FALSE)/VLOOKUP(A68,'Uncorrected Area Counts'!$A$4:$AU$99,18,FALSE)*100</f>
        <v>#DIV/0!</v>
      </c>
      <c r="K68" s="581" t="e">
        <f>(VLOOKUP(A68,'Uncorrected Area Counts'!$A$4:$AU$99,23,FALSE)/VLOOKUP(A68,'Uncorrected Area Counts'!$A$4:$AU$99,47,FALSE))*100</f>
        <v>#DIV/0!</v>
      </c>
      <c r="L68" s="568" t="e">
        <f>VLOOKUP(A68,'Uncorrected Area Counts'!$A$4:$AU$99,23,FALSE)/VLOOKUP(A68,'Uncorrected Area Counts'!$A$4:$AU$99,3,FALSE)/VLOOKUP(5,'Plate Planning'!$L$20:$S$35,4,FALSE)*VLOOKUP("standard",'Plate Planning'!$L$20:$S$35,4,FALSE)/VLOOKUP(A68,'Uncorrected Area Counts'!$A$4:$AU$99,22,FALSE)*100</f>
        <v>#DIV/0!</v>
      </c>
      <c r="M68" s="581" t="e">
        <f>(VLOOKUP(A68,'Uncorrected Area Counts'!$A$4:$AU$99,27,FALSE)/VLOOKUP(A68,'Uncorrected Area Counts'!$A$4:$AU$99,47,FALSE))*100</f>
        <v>#DIV/0!</v>
      </c>
      <c r="N68" s="567" t="e">
        <f>VLOOKUP(A68,'Uncorrected Area Counts'!$A$4:$AU$99,27,FALSE)/VLOOKUP(A68,'Uncorrected Area Counts'!$A$4:$AU$99,3,FALSE)/VLOOKUP(6,'Plate Planning'!$L$20:$S$35,4,FALSE)*VLOOKUP("standard",'Plate Planning'!$L$20:$S$35,4,FALSE)/VLOOKUP(A68,'Uncorrected Area Counts'!$A$4:$AU$99,26,FALSE)*100</f>
        <v>#DIV/0!</v>
      </c>
      <c r="O68" s="581" t="e">
        <f>(VLOOKUP(A68,'Uncorrected Area Counts'!$A$4:$AU$99,31,FALSE)/VLOOKUP(A68,'Uncorrected Area Counts'!$A$4:$AU$99,47,FALSE))*100</f>
        <v>#DIV/0!</v>
      </c>
      <c r="P68" s="568" t="e">
        <f>VLOOKUP(A68,'Uncorrected Area Counts'!$A$4:$AU$99,31,FALSE)/VLOOKUP(A68,'Uncorrected Area Counts'!$A$4:$AU$99,3,FALSE)/VLOOKUP(7,'Plate Planning'!$L$20:$S$35,4,FALSE)*VLOOKUP("standard",'Plate Planning'!$L$20:$S$35,4,FALSE)/VLOOKUP(A68,'Uncorrected Area Counts'!$A$4:$AU$99,30,FALSE)*100</f>
        <v>#DIV/0!</v>
      </c>
      <c r="Q68" s="581" t="e">
        <f>(VLOOKUP(A68,'Uncorrected Area Counts'!$A$4:$AU$99,35,FALSE)/VLOOKUP(A68,'Uncorrected Area Counts'!$A$4:$AU$99,47,FALSE))*100</f>
        <v>#DIV/0!</v>
      </c>
      <c r="R68" s="477" t="e">
        <f>VLOOKUP(A68,'Uncorrected Area Counts'!$A$4:$AU$99,35,FALSE)/VLOOKUP(A68,'Uncorrected Area Counts'!$A$4:$AU$99,3,FALSE)/VLOOKUP(8,'Plate Planning'!$L$20:$S$35,4,FALSE)*VLOOKUP("standard",'Plate Planning'!$L$20:$S$35,4,FALSE)/VLOOKUP(A68,'Uncorrected Area Counts'!$A$4:$AU$99,34,FALSE)*100</f>
        <v>#DIV/0!</v>
      </c>
      <c r="S68" s="589" t="e">
        <f>(VLOOKUP(A68,'Uncorrected Area Counts'!$A$4:$AU$99,39,FALSE)/VLOOKUP(A68,'Uncorrected Area Counts'!$A$4:$AU$99,47,FALSE))*100</f>
        <v>#DIV/0!</v>
      </c>
      <c r="T68" s="569" t="e">
        <f>VLOOKUP(A68,'Uncorrected Area Counts'!$A$4:$AU$99,39,FALSE)/VLOOKUP(A68,'Uncorrected Area Counts'!$A$4:$AU$99,3,FALSE)/VLOOKUP(8,'Plate Planning'!$L$20:$S$35,4,FALSE)*VLOOKUP("standard",'Plate Planning'!$L$20:$S$35,4,FALSE)/VLOOKUP(A68,'Uncorrected Area Counts'!$A$4:$AU$99,38,FALSE)*100</f>
        <v>#DIV/0!</v>
      </c>
      <c r="U68" s="589" t="e">
        <f>(VLOOKUP(A68,'Uncorrected Area Counts'!$A$4:$AU$99,43,FALSE)/VLOOKUP(A68,'Uncorrected Area Counts'!$A$4:$AU$99,47,FALSE))*100</f>
        <v>#DIV/0!</v>
      </c>
      <c r="V68" s="604" t="e">
        <f>VLOOKUP(A68,'Uncorrected Area Counts'!$A$4:$AU$99,43,FALSE)/VLOOKUP(A68,'Uncorrected Area Counts'!$A$4:$AU$99,3,FALSE)/VLOOKUP(8,'Plate Planning'!$L$20:$S$35,4,FALSE)*VLOOKUP("standard",'Plate Planning'!$L$20:$S$35,4,FALSE)/VLOOKUP(A68,'Uncorrected Area Counts'!$A$4:$AU$99,42,FALSE)*100</f>
        <v>#DIV/0!</v>
      </c>
    </row>
    <row r="69" spans="1:22">
      <c r="A69" s="478" t="s">
        <v>1227</v>
      </c>
      <c r="B69" s="565" t="s">
        <v>22</v>
      </c>
      <c r="C69" s="573" t="e">
        <f>(VLOOKUP(A69,'Uncorrected Area Counts'!$A$4:$AU$99,7,FALSE)/VLOOKUP(A69,'Uncorrected Area Counts'!$A$4:$AU$99,47,FALSE))*100</f>
        <v>#DIV/0!</v>
      </c>
      <c r="D69" s="566" t="e">
        <f>VLOOKUP(A69,'Uncorrected Area Counts'!$A$4:$AU$99,7,FALSE)/VLOOKUP(A69,'Uncorrected Area Counts'!$A$4:$AU$99,3,FALSE)/VLOOKUP(1,'Plate Planning'!$L$20:$S$35,4,FALSE)*VLOOKUP("standard",'Plate Planning'!$L$20:$S$35,4,FALSE)/VLOOKUP(A69,'Uncorrected Area Counts'!$A$4:$AU$99,6,FALSE)*100</f>
        <v>#DIV/0!</v>
      </c>
      <c r="E69" s="576" t="e">
        <f>(VLOOKUP(A69,'Uncorrected Area Counts'!$A$4:$AU$99,11,FALSE)/VLOOKUP(A69,'Uncorrected Area Counts'!$A$4:$AU$99,47,FALSE))*100</f>
        <v>#DIV/0!</v>
      </c>
      <c r="F69" s="566" t="e">
        <f>VLOOKUP(A69,'Uncorrected Area Counts'!$A$4:$AU$99,11,FALSE)/VLOOKUP(A69,'Uncorrected Area Counts'!$A$4:$AU$99,3,FALSE)/VLOOKUP(2,'Plate Planning'!$L$20:$S$35,4,FALSE)*VLOOKUP("standard",'Plate Planning'!$L$20:$S$35,4,FALSE)/VLOOKUP(A69,'Uncorrected Area Counts'!$A$4:$AU$99,10,FALSE)*100</f>
        <v>#DIV/0!</v>
      </c>
      <c r="G69" s="576" t="e">
        <f>(VLOOKUP(A69,'Uncorrected Area Counts'!$A$4:$AU$99,15,FALSE)/VLOOKUP(A69,'Uncorrected Area Counts'!$A$4:$AU$99,47,FALSE))*100</f>
        <v>#DIV/0!</v>
      </c>
      <c r="H69" s="566" t="e">
        <f>VLOOKUP(A69,'Uncorrected Area Counts'!$A$4:$AU$99,15,FALSE)/VLOOKUP(A69,'Uncorrected Area Counts'!$A$4:$AU$99,3,FALSE)/VLOOKUP(3,'Plate Planning'!$L$20:$S$35,4,FALSE)*VLOOKUP("standard",'Plate Planning'!$L$20:$S$35,4,FALSE)/VLOOKUP(A69,'Uncorrected Area Counts'!$A$4:$AU$99,14,FALSE)*100</f>
        <v>#DIV/0!</v>
      </c>
      <c r="I69" s="576" t="e">
        <f>(VLOOKUP(A69,'Uncorrected Area Counts'!$A$4:$AU$99,19,FALSE)/VLOOKUP(A69,'Uncorrected Area Counts'!$A$4:$AU$99,47,FALSE))*100</f>
        <v>#DIV/0!</v>
      </c>
      <c r="J69" s="567" t="e">
        <f>VLOOKUP(A69,'Uncorrected Area Counts'!$A$4:$AU$99,19,FALSE)/VLOOKUP(A69,'Uncorrected Area Counts'!$A$4:$AU$99,3,FALSE)/VLOOKUP(4,'Plate Planning'!$L$20:$S$35,4,FALSE)*VLOOKUP("standard",'Plate Planning'!$L$20:$S$35,4,FALSE)/VLOOKUP(A69,'Uncorrected Area Counts'!$A$4:$AU$99,18,FALSE)*100</f>
        <v>#DIV/0!</v>
      </c>
      <c r="K69" s="581" t="e">
        <f>(VLOOKUP(A69,'Uncorrected Area Counts'!$A$4:$AU$99,23,FALSE)/VLOOKUP(A69,'Uncorrected Area Counts'!$A$4:$AU$99,47,FALSE))*100</f>
        <v>#DIV/0!</v>
      </c>
      <c r="L69" s="568" t="e">
        <f>VLOOKUP(A69,'Uncorrected Area Counts'!$A$4:$AU$99,23,FALSE)/VLOOKUP(A69,'Uncorrected Area Counts'!$A$4:$AU$99,3,FALSE)/VLOOKUP(5,'Plate Planning'!$L$20:$S$35,4,FALSE)*VLOOKUP("standard",'Plate Planning'!$L$20:$S$35,4,FALSE)/VLOOKUP(A69,'Uncorrected Area Counts'!$A$4:$AU$99,22,FALSE)*100</f>
        <v>#DIV/0!</v>
      </c>
      <c r="M69" s="581" t="e">
        <f>(VLOOKUP(A69,'Uncorrected Area Counts'!$A$4:$AU$99,27,FALSE)/VLOOKUP(A69,'Uncorrected Area Counts'!$A$4:$AU$99,47,FALSE))*100</f>
        <v>#DIV/0!</v>
      </c>
      <c r="N69" s="567" t="e">
        <f>VLOOKUP(A69,'Uncorrected Area Counts'!$A$4:$AU$99,27,FALSE)/VLOOKUP(A69,'Uncorrected Area Counts'!$A$4:$AU$99,3,FALSE)/VLOOKUP(6,'Plate Planning'!$L$20:$S$35,4,FALSE)*VLOOKUP("standard",'Plate Planning'!$L$20:$S$35,4,FALSE)/VLOOKUP(A69,'Uncorrected Area Counts'!$A$4:$AU$99,26,FALSE)*100</f>
        <v>#DIV/0!</v>
      </c>
      <c r="O69" s="581" t="e">
        <f>(VLOOKUP(A69,'Uncorrected Area Counts'!$A$4:$AU$99,31,FALSE)/VLOOKUP(A69,'Uncorrected Area Counts'!$A$4:$AU$99,47,FALSE))*100</f>
        <v>#DIV/0!</v>
      </c>
      <c r="P69" s="568" t="e">
        <f>VLOOKUP(A69,'Uncorrected Area Counts'!$A$4:$AU$99,31,FALSE)/VLOOKUP(A69,'Uncorrected Area Counts'!$A$4:$AU$99,3,FALSE)/VLOOKUP(7,'Plate Planning'!$L$20:$S$35,4,FALSE)*VLOOKUP("standard",'Plate Planning'!$L$20:$S$35,4,FALSE)/VLOOKUP(A69,'Uncorrected Area Counts'!$A$4:$AU$99,30,FALSE)*100</f>
        <v>#DIV/0!</v>
      </c>
      <c r="Q69" s="581" t="e">
        <f>(VLOOKUP(A69,'Uncorrected Area Counts'!$A$4:$AU$99,35,FALSE)/VLOOKUP(A69,'Uncorrected Area Counts'!$A$4:$AU$99,47,FALSE))*100</f>
        <v>#DIV/0!</v>
      </c>
      <c r="R69" s="477" t="e">
        <f>VLOOKUP(A69,'Uncorrected Area Counts'!$A$4:$AU$99,35,FALSE)/VLOOKUP(A69,'Uncorrected Area Counts'!$A$4:$AU$99,3,FALSE)/VLOOKUP(8,'Plate Planning'!$L$20:$S$35,4,FALSE)*VLOOKUP("standard",'Plate Planning'!$L$20:$S$35,4,FALSE)/VLOOKUP(A69,'Uncorrected Area Counts'!$A$4:$AU$99,34,FALSE)*100</f>
        <v>#DIV/0!</v>
      </c>
      <c r="S69" s="589" t="e">
        <f>(VLOOKUP(A69,'Uncorrected Area Counts'!$A$4:$AU$99,39,FALSE)/VLOOKUP(A69,'Uncorrected Area Counts'!$A$4:$AU$99,47,FALSE))*100</f>
        <v>#DIV/0!</v>
      </c>
      <c r="T69" s="569" t="e">
        <f>VLOOKUP(A69,'Uncorrected Area Counts'!$A$4:$AU$99,39,FALSE)/VLOOKUP(A69,'Uncorrected Area Counts'!$A$4:$AU$99,3,FALSE)/VLOOKUP(8,'Plate Planning'!$L$20:$S$35,4,FALSE)*VLOOKUP("standard",'Plate Planning'!$L$20:$S$35,4,FALSE)/VLOOKUP(A69,'Uncorrected Area Counts'!$A$4:$AU$99,38,FALSE)*100</f>
        <v>#DIV/0!</v>
      </c>
      <c r="U69" s="589" t="e">
        <f>(VLOOKUP(A69,'Uncorrected Area Counts'!$A$4:$AU$99,43,FALSE)/VLOOKUP(A69,'Uncorrected Area Counts'!$A$4:$AU$99,47,FALSE))*100</f>
        <v>#DIV/0!</v>
      </c>
      <c r="V69" s="604" t="e">
        <f>VLOOKUP(A69,'Uncorrected Area Counts'!$A$4:$AU$99,43,FALSE)/VLOOKUP(A69,'Uncorrected Area Counts'!$A$4:$AU$99,3,FALSE)/VLOOKUP(8,'Plate Planning'!$L$20:$S$35,4,FALSE)*VLOOKUP("standard",'Plate Planning'!$L$20:$S$35,4,FALSE)/VLOOKUP(A69,'Uncorrected Area Counts'!$A$4:$AU$99,42,FALSE)*100</f>
        <v>#DIV/0!</v>
      </c>
    </row>
    <row r="70" spans="1:22">
      <c r="A70" s="478" t="s">
        <v>1228</v>
      </c>
      <c r="B70" s="565" t="s">
        <v>22</v>
      </c>
      <c r="C70" s="573" t="e">
        <f>(VLOOKUP(A70,'Uncorrected Area Counts'!$A$4:$AU$99,7,FALSE)/VLOOKUP(A70,'Uncorrected Area Counts'!$A$4:$AU$99,47,FALSE))*100</f>
        <v>#DIV/0!</v>
      </c>
      <c r="D70" s="566" t="e">
        <f>VLOOKUP(A70,'Uncorrected Area Counts'!$A$4:$AU$99,7,FALSE)/VLOOKUP(A70,'Uncorrected Area Counts'!$A$4:$AU$99,3,FALSE)/VLOOKUP(1,'Plate Planning'!$L$20:$S$35,4,FALSE)*VLOOKUP("standard",'Plate Planning'!$L$20:$S$35,4,FALSE)/VLOOKUP(A70,'Uncorrected Area Counts'!$A$4:$AU$99,6,FALSE)*100</f>
        <v>#DIV/0!</v>
      </c>
      <c r="E70" s="576" t="e">
        <f>(VLOOKUP(A70,'Uncorrected Area Counts'!$A$4:$AU$99,11,FALSE)/VLOOKUP(A70,'Uncorrected Area Counts'!$A$4:$AU$99,47,FALSE))*100</f>
        <v>#DIV/0!</v>
      </c>
      <c r="F70" s="566" t="e">
        <f>VLOOKUP(A70,'Uncorrected Area Counts'!$A$4:$AU$99,11,FALSE)/VLOOKUP(A70,'Uncorrected Area Counts'!$A$4:$AU$99,3,FALSE)/VLOOKUP(2,'Plate Planning'!$L$20:$S$35,4,FALSE)*VLOOKUP("standard",'Plate Planning'!$L$20:$S$35,4,FALSE)/VLOOKUP(A70,'Uncorrected Area Counts'!$A$4:$AU$99,10,FALSE)*100</f>
        <v>#DIV/0!</v>
      </c>
      <c r="G70" s="576" t="e">
        <f>(VLOOKUP(A70,'Uncorrected Area Counts'!$A$4:$AU$99,15,FALSE)/VLOOKUP(A70,'Uncorrected Area Counts'!$A$4:$AU$99,47,FALSE))*100</f>
        <v>#DIV/0!</v>
      </c>
      <c r="H70" s="566" t="e">
        <f>VLOOKUP(A70,'Uncorrected Area Counts'!$A$4:$AU$99,15,FALSE)/VLOOKUP(A70,'Uncorrected Area Counts'!$A$4:$AU$99,3,FALSE)/VLOOKUP(3,'Plate Planning'!$L$20:$S$35,4,FALSE)*VLOOKUP("standard",'Plate Planning'!$L$20:$S$35,4,FALSE)/VLOOKUP(A70,'Uncorrected Area Counts'!$A$4:$AU$99,14,FALSE)*100</f>
        <v>#DIV/0!</v>
      </c>
      <c r="I70" s="576" t="e">
        <f>(VLOOKUP(A70,'Uncorrected Area Counts'!$A$4:$AU$99,19,FALSE)/VLOOKUP(A70,'Uncorrected Area Counts'!$A$4:$AU$99,47,FALSE))*100</f>
        <v>#DIV/0!</v>
      </c>
      <c r="J70" s="567" t="e">
        <f>VLOOKUP(A70,'Uncorrected Area Counts'!$A$4:$AU$99,19,FALSE)/VLOOKUP(A70,'Uncorrected Area Counts'!$A$4:$AU$99,3,FALSE)/VLOOKUP(4,'Plate Planning'!$L$20:$S$35,4,FALSE)*VLOOKUP("standard",'Plate Planning'!$L$20:$S$35,4,FALSE)/VLOOKUP(A70,'Uncorrected Area Counts'!$A$4:$AU$99,18,FALSE)*100</f>
        <v>#DIV/0!</v>
      </c>
      <c r="K70" s="581" t="e">
        <f>(VLOOKUP(A70,'Uncorrected Area Counts'!$A$4:$AU$99,23,FALSE)/VLOOKUP(A70,'Uncorrected Area Counts'!$A$4:$AU$99,47,FALSE))*100</f>
        <v>#DIV/0!</v>
      </c>
      <c r="L70" s="568" t="e">
        <f>VLOOKUP(A70,'Uncorrected Area Counts'!$A$4:$AU$99,23,FALSE)/VLOOKUP(A70,'Uncorrected Area Counts'!$A$4:$AU$99,3,FALSE)/VLOOKUP(5,'Plate Planning'!$L$20:$S$35,4,FALSE)*VLOOKUP("standard",'Plate Planning'!$L$20:$S$35,4,FALSE)/VLOOKUP(A70,'Uncorrected Area Counts'!$A$4:$AU$99,22,FALSE)*100</f>
        <v>#DIV/0!</v>
      </c>
      <c r="M70" s="581" t="e">
        <f>(VLOOKUP(A70,'Uncorrected Area Counts'!$A$4:$AU$99,27,FALSE)/VLOOKUP(A70,'Uncorrected Area Counts'!$A$4:$AU$99,47,FALSE))*100</f>
        <v>#DIV/0!</v>
      </c>
      <c r="N70" s="567" t="e">
        <f>VLOOKUP(A70,'Uncorrected Area Counts'!$A$4:$AU$99,27,FALSE)/VLOOKUP(A70,'Uncorrected Area Counts'!$A$4:$AU$99,3,FALSE)/VLOOKUP(6,'Plate Planning'!$L$20:$S$35,4,FALSE)*VLOOKUP("standard",'Plate Planning'!$L$20:$S$35,4,FALSE)/VLOOKUP(A70,'Uncorrected Area Counts'!$A$4:$AU$99,26,FALSE)*100</f>
        <v>#DIV/0!</v>
      </c>
      <c r="O70" s="581" t="e">
        <f>(VLOOKUP(A70,'Uncorrected Area Counts'!$A$4:$AU$99,31,FALSE)/VLOOKUP(A70,'Uncorrected Area Counts'!$A$4:$AU$99,47,FALSE))*100</f>
        <v>#DIV/0!</v>
      </c>
      <c r="P70" s="568" t="e">
        <f>VLOOKUP(A70,'Uncorrected Area Counts'!$A$4:$AU$99,31,FALSE)/VLOOKUP(A70,'Uncorrected Area Counts'!$A$4:$AU$99,3,FALSE)/VLOOKUP(7,'Plate Planning'!$L$20:$S$35,4,FALSE)*VLOOKUP("standard",'Plate Planning'!$L$20:$S$35,4,FALSE)/VLOOKUP(A70,'Uncorrected Area Counts'!$A$4:$AU$99,30,FALSE)*100</f>
        <v>#DIV/0!</v>
      </c>
      <c r="Q70" s="581" t="e">
        <f>(VLOOKUP(A70,'Uncorrected Area Counts'!$A$4:$AU$99,35,FALSE)/VLOOKUP(A70,'Uncorrected Area Counts'!$A$4:$AU$99,47,FALSE))*100</f>
        <v>#DIV/0!</v>
      </c>
      <c r="R70" s="477" t="e">
        <f>VLOOKUP(A70,'Uncorrected Area Counts'!$A$4:$AU$99,35,FALSE)/VLOOKUP(A70,'Uncorrected Area Counts'!$A$4:$AU$99,3,FALSE)/VLOOKUP(8,'Plate Planning'!$L$20:$S$35,4,FALSE)*VLOOKUP("standard",'Plate Planning'!$L$20:$S$35,4,FALSE)/VLOOKUP(A70,'Uncorrected Area Counts'!$A$4:$AU$99,34,FALSE)*100</f>
        <v>#DIV/0!</v>
      </c>
      <c r="S70" s="589" t="e">
        <f>(VLOOKUP(A70,'Uncorrected Area Counts'!$A$4:$AU$99,39,FALSE)/VLOOKUP(A70,'Uncorrected Area Counts'!$A$4:$AU$99,47,FALSE))*100</f>
        <v>#DIV/0!</v>
      </c>
      <c r="T70" s="569" t="e">
        <f>VLOOKUP(A70,'Uncorrected Area Counts'!$A$4:$AU$99,39,FALSE)/VLOOKUP(A70,'Uncorrected Area Counts'!$A$4:$AU$99,3,FALSE)/VLOOKUP(8,'Plate Planning'!$L$20:$S$35,4,FALSE)*VLOOKUP("standard",'Plate Planning'!$L$20:$S$35,4,FALSE)/VLOOKUP(A70,'Uncorrected Area Counts'!$A$4:$AU$99,38,FALSE)*100</f>
        <v>#DIV/0!</v>
      </c>
      <c r="U70" s="589" t="e">
        <f>(VLOOKUP(A70,'Uncorrected Area Counts'!$A$4:$AU$99,43,FALSE)/VLOOKUP(A70,'Uncorrected Area Counts'!$A$4:$AU$99,47,FALSE))*100</f>
        <v>#DIV/0!</v>
      </c>
      <c r="V70" s="604" t="e">
        <f>VLOOKUP(A70,'Uncorrected Area Counts'!$A$4:$AU$99,43,FALSE)/VLOOKUP(A70,'Uncorrected Area Counts'!$A$4:$AU$99,3,FALSE)/VLOOKUP(8,'Plate Planning'!$L$20:$S$35,4,FALSE)*VLOOKUP("standard",'Plate Planning'!$L$20:$S$35,4,FALSE)/VLOOKUP(A70,'Uncorrected Area Counts'!$A$4:$AU$99,42,FALSE)*100</f>
        <v>#DIV/0!</v>
      </c>
    </row>
    <row r="71" spans="1:22">
      <c r="A71" s="478" t="s">
        <v>1229</v>
      </c>
      <c r="B71" s="565" t="s">
        <v>22</v>
      </c>
      <c r="C71" s="573" t="e">
        <f>(VLOOKUP(A71,'Uncorrected Area Counts'!$A$4:$AU$99,7,FALSE)/VLOOKUP(A71,'Uncorrected Area Counts'!$A$4:$AU$99,47,FALSE))*100</f>
        <v>#DIV/0!</v>
      </c>
      <c r="D71" s="566" t="e">
        <f>VLOOKUP(A71,'Uncorrected Area Counts'!$A$4:$AU$99,7,FALSE)/VLOOKUP(A71,'Uncorrected Area Counts'!$A$4:$AU$99,3,FALSE)/VLOOKUP(1,'Plate Planning'!$L$20:$S$35,4,FALSE)*VLOOKUP("standard",'Plate Planning'!$L$20:$S$35,4,FALSE)/VLOOKUP(A71,'Uncorrected Area Counts'!$A$4:$AU$99,6,FALSE)*100</f>
        <v>#DIV/0!</v>
      </c>
      <c r="E71" s="576" t="e">
        <f>(VLOOKUP(A71,'Uncorrected Area Counts'!$A$4:$AU$99,11,FALSE)/VLOOKUP(A71,'Uncorrected Area Counts'!$A$4:$AU$99,47,FALSE))*100</f>
        <v>#DIV/0!</v>
      </c>
      <c r="F71" s="566" t="e">
        <f>VLOOKUP(A71,'Uncorrected Area Counts'!$A$4:$AU$99,11,FALSE)/VLOOKUP(A71,'Uncorrected Area Counts'!$A$4:$AU$99,3,FALSE)/VLOOKUP(2,'Plate Planning'!$L$20:$S$35,4,FALSE)*VLOOKUP("standard",'Plate Planning'!$L$20:$S$35,4,FALSE)/VLOOKUP(A71,'Uncorrected Area Counts'!$A$4:$AU$99,10,FALSE)*100</f>
        <v>#DIV/0!</v>
      </c>
      <c r="G71" s="576" t="e">
        <f>(VLOOKUP(A71,'Uncorrected Area Counts'!$A$4:$AU$99,15,FALSE)/VLOOKUP(A71,'Uncorrected Area Counts'!$A$4:$AU$99,47,FALSE))*100</f>
        <v>#DIV/0!</v>
      </c>
      <c r="H71" s="566" t="e">
        <f>VLOOKUP(A71,'Uncorrected Area Counts'!$A$4:$AU$99,15,FALSE)/VLOOKUP(A71,'Uncorrected Area Counts'!$A$4:$AU$99,3,FALSE)/VLOOKUP(3,'Plate Planning'!$L$20:$S$35,4,FALSE)*VLOOKUP("standard",'Plate Planning'!$L$20:$S$35,4,FALSE)/VLOOKUP(A71,'Uncorrected Area Counts'!$A$4:$AU$99,14,FALSE)*100</f>
        <v>#DIV/0!</v>
      </c>
      <c r="I71" s="576" t="e">
        <f>(VLOOKUP(A71,'Uncorrected Area Counts'!$A$4:$AU$99,19,FALSE)/VLOOKUP(A71,'Uncorrected Area Counts'!$A$4:$AU$99,47,FALSE))*100</f>
        <v>#DIV/0!</v>
      </c>
      <c r="J71" s="567" t="e">
        <f>VLOOKUP(A71,'Uncorrected Area Counts'!$A$4:$AU$99,19,FALSE)/VLOOKUP(A71,'Uncorrected Area Counts'!$A$4:$AU$99,3,FALSE)/VLOOKUP(4,'Plate Planning'!$L$20:$S$35,4,FALSE)*VLOOKUP("standard",'Plate Planning'!$L$20:$S$35,4,FALSE)/VLOOKUP(A71,'Uncorrected Area Counts'!$A$4:$AU$99,18,FALSE)*100</f>
        <v>#DIV/0!</v>
      </c>
      <c r="K71" s="581" t="e">
        <f>(VLOOKUP(A71,'Uncorrected Area Counts'!$A$4:$AU$99,23,FALSE)/VLOOKUP(A71,'Uncorrected Area Counts'!$A$4:$AU$99,47,FALSE))*100</f>
        <v>#DIV/0!</v>
      </c>
      <c r="L71" s="568" t="e">
        <f>VLOOKUP(A71,'Uncorrected Area Counts'!$A$4:$AU$99,23,FALSE)/VLOOKUP(A71,'Uncorrected Area Counts'!$A$4:$AU$99,3,FALSE)/VLOOKUP(5,'Plate Planning'!$L$20:$S$35,4,FALSE)*VLOOKUP("standard",'Plate Planning'!$L$20:$S$35,4,FALSE)/VLOOKUP(A71,'Uncorrected Area Counts'!$A$4:$AU$99,22,FALSE)*100</f>
        <v>#DIV/0!</v>
      </c>
      <c r="M71" s="581" t="e">
        <f>(VLOOKUP(A71,'Uncorrected Area Counts'!$A$4:$AU$99,27,FALSE)/VLOOKUP(A71,'Uncorrected Area Counts'!$A$4:$AU$99,47,FALSE))*100</f>
        <v>#DIV/0!</v>
      </c>
      <c r="N71" s="567" t="e">
        <f>VLOOKUP(A71,'Uncorrected Area Counts'!$A$4:$AU$99,27,FALSE)/VLOOKUP(A71,'Uncorrected Area Counts'!$A$4:$AU$99,3,FALSE)/VLOOKUP(6,'Plate Planning'!$L$20:$S$35,4,FALSE)*VLOOKUP("standard",'Plate Planning'!$L$20:$S$35,4,FALSE)/VLOOKUP(A71,'Uncorrected Area Counts'!$A$4:$AU$99,26,FALSE)*100</f>
        <v>#DIV/0!</v>
      </c>
      <c r="O71" s="581" t="e">
        <f>(VLOOKUP(A71,'Uncorrected Area Counts'!$A$4:$AU$99,31,FALSE)/VLOOKUP(A71,'Uncorrected Area Counts'!$A$4:$AU$99,47,FALSE))*100</f>
        <v>#DIV/0!</v>
      </c>
      <c r="P71" s="568" t="e">
        <f>VLOOKUP(A71,'Uncorrected Area Counts'!$A$4:$AU$99,31,FALSE)/VLOOKUP(A71,'Uncorrected Area Counts'!$A$4:$AU$99,3,FALSE)/VLOOKUP(7,'Plate Planning'!$L$20:$S$35,4,FALSE)*VLOOKUP("standard",'Plate Planning'!$L$20:$S$35,4,FALSE)/VLOOKUP(A71,'Uncorrected Area Counts'!$A$4:$AU$99,30,FALSE)*100</f>
        <v>#DIV/0!</v>
      </c>
      <c r="Q71" s="581" t="e">
        <f>(VLOOKUP(A71,'Uncorrected Area Counts'!$A$4:$AU$99,35,FALSE)/VLOOKUP(A71,'Uncorrected Area Counts'!$A$4:$AU$99,47,FALSE))*100</f>
        <v>#DIV/0!</v>
      </c>
      <c r="R71" s="477" t="e">
        <f>VLOOKUP(A71,'Uncorrected Area Counts'!$A$4:$AU$99,35,FALSE)/VLOOKUP(A71,'Uncorrected Area Counts'!$A$4:$AU$99,3,FALSE)/VLOOKUP(8,'Plate Planning'!$L$20:$S$35,4,FALSE)*VLOOKUP("standard",'Plate Planning'!$L$20:$S$35,4,FALSE)/VLOOKUP(A71,'Uncorrected Area Counts'!$A$4:$AU$99,34,FALSE)*100</f>
        <v>#DIV/0!</v>
      </c>
      <c r="S71" s="589" t="e">
        <f>(VLOOKUP(A71,'Uncorrected Area Counts'!$A$4:$AU$99,39,FALSE)/VLOOKUP(A71,'Uncorrected Area Counts'!$A$4:$AU$99,47,FALSE))*100</f>
        <v>#DIV/0!</v>
      </c>
      <c r="T71" s="569" t="e">
        <f>VLOOKUP(A71,'Uncorrected Area Counts'!$A$4:$AU$99,39,FALSE)/VLOOKUP(A71,'Uncorrected Area Counts'!$A$4:$AU$99,3,FALSE)/VLOOKUP(8,'Plate Planning'!$L$20:$S$35,4,FALSE)*VLOOKUP("standard",'Plate Planning'!$L$20:$S$35,4,FALSE)/VLOOKUP(A71,'Uncorrected Area Counts'!$A$4:$AU$99,38,FALSE)*100</f>
        <v>#DIV/0!</v>
      </c>
      <c r="U71" s="589" t="e">
        <f>(VLOOKUP(A71,'Uncorrected Area Counts'!$A$4:$AU$99,43,FALSE)/VLOOKUP(A71,'Uncorrected Area Counts'!$A$4:$AU$99,47,FALSE))*100</f>
        <v>#DIV/0!</v>
      </c>
      <c r="V71" s="604" t="e">
        <f>VLOOKUP(A71,'Uncorrected Area Counts'!$A$4:$AU$99,43,FALSE)/VLOOKUP(A71,'Uncorrected Area Counts'!$A$4:$AU$99,3,FALSE)/VLOOKUP(8,'Plate Planning'!$L$20:$S$35,4,FALSE)*VLOOKUP("standard",'Plate Planning'!$L$20:$S$35,4,FALSE)/VLOOKUP(A71,'Uncorrected Area Counts'!$A$4:$AU$99,42,FALSE)*100</f>
        <v>#DIV/0!</v>
      </c>
    </row>
    <row r="72" spans="1:22">
      <c r="A72" s="478" t="s">
        <v>1230</v>
      </c>
      <c r="B72" s="565" t="s">
        <v>22</v>
      </c>
      <c r="C72" s="573" t="e">
        <f>(VLOOKUP(A72,'Uncorrected Area Counts'!$A$4:$AU$99,7,FALSE)/VLOOKUP(A72,'Uncorrected Area Counts'!$A$4:$AU$99,47,FALSE))*100</f>
        <v>#DIV/0!</v>
      </c>
      <c r="D72" s="566" t="e">
        <f>VLOOKUP(A72,'Uncorrected Area Counts'!$A$4:$AU$99,7,FALSE)/VLOOKUP(A72,'Uncorrected Area Counts'!$A$4:$AU$99,3,FALSE)/VLOOKUP(1,'Plate Planning'!$L$20:$S$35,4,FALSE)*VLOOKUP("standard",'Plate Planning'!$L$20:$S$35,4,FALSE)/VLOOKUP(A72,'Uncorrected Area Counts'!$A$4:$AU$99,6,FALSE)*100</f>
        <v>#DIV/0!</v>
      </c>
      <c r="E72" s="576" t="e">
        <f>(VLOOKUP(A72,'Uncorrected Area Counts'!$A$4:$AU$99,11,FALSE)/VLOOKUP(A72,'Uncorrected Area Counts'!$A$4:$AU$99,47,FALSE))*100</f>
        <v>#DIV/0!</v>
      </c>
      <c r="F72" s="566" t="e">
        <f>VLOOKUP(A72,'Uncorrected Area Counts'!$A$4:$AU$99,11,FALSE)/VLOOKUP(A72,'Uncorrected Area Counts'!$A$4:$AU$99,3,FALSE)/VLOOKUP(2,'Plate Planning'!$L$20:$S$35,4,FALSE)*VLOOKUP("standard",'Plate Planning'!$L$20:$S$35,4,FALSE)/VLOOKUP(A72,'Uncorrected Area Counts'!$A$4:$AU$99,10,FALSE)*100</f>
        <v>#DIV/0!</v>
      </c>
      <c r="G72" s="576" t="e">
        <f>(VLOOKUP(A72,'Uncorrected Area Counts'!$A$4:$AU$99,15,FALSE)/VLOOKUP(A72,'Uncorrected Area Counts'!$A$4:$AU$99,47,FALSE))*100</f>
        <v>#DIV/0!</v>
      </c>
      <c r="H72" s="566" t="e">
        <f>VLOOKUP(A72,'Uncorrected Area Counts'!$A$4:$AU$99,15,FALSE)/VLOOKUP(A72,'Uncorrected Area Counts'!$A$4:$AU$99,3,FALSE)/VLOOKUP(3,'Plate Planning'!$L$20:$S$35,4,FALSE)*VLOOKUP("standard",'Plate Planning'!$L$20:$S$35,4,FALSE)/VLOOKUP(A72,'Uncorrected Area Counts'!$A$4:$AU$99,14,FALSE)*100</f>
        <v>#DIV/0!</v>
      </c>
      <c r="I72" s="576" t="e">
        <f>(VLOOKUP(A72,'Uncorrected Area Counts'!$A$4:$AU$99,19,FALSE)/VLOOKUP(A72,'Uncorrected Area Counts'!$A$4:$AU$99,47,FALSE))*100</f>
        <v>#DIV/0!</v>
      </c>
      <c r="J72" s="567" t="e">
        <f>VLOOKUP(A72,'Uncorrected Area Counts'!$A$4:$AU$99,19,FALSE)/VLOOKUP(A72,'Uncorrected Area Counts'!$A$4:$AU$99,3,FALSE)/VLOOKUP(4,'Plate Planning'!$L$20:$S$35,4,FALSE)*VLOOKUP("standard",'Plate Planning'!$L$20:$S$35,4,FALSE)/VLOOKUP(A72,'Uncorrected Area Counts'!$A$4:$AU$99,18,FALSE)*100</f>
        <v>#DIV/0!</v>
      </c>
      <c r="K72" s="581" t="e">
        <f>(VLOOKUP(A72,'Uncorrected Area Counts'!$A$4:$AU$99,23,FALSE)/VLOOKUP(A72,'Uncorrected Area Counts'!$A$4:$AU$99,47,FALSE))*100</f>
        <v>#DIV/0!</v>
      </c>
      <c r="L72" s="568" t="e">
        <f>VLOOKUP(A72,'Uncorrected Area Counts'!$A$4:$AU$99,23,FALSE)/VLOOKUP(A72,'Uncorrected Area Counts'!$A$4:$AU$99,3,FALSE)/VLOOKUP(5,'Plate Planning'!$L$20:$S$35,4,FALSE)*VLOOKUP("standard",'Plate Planning'!$L$20:$S$35,4,FALSE)/VLOOKUP(A72,'Uncorrected Area Counts'!$A$4:$AU$99,22,FALSE)*100</f>
        <v>#DIV/0!</v>
      </c>
      <c r="M72" s="581" t="e">
        <f>(VLOOKUP(A72,'Uncorrected Area Counts'!$A$4:$AU$99,27,FALSE)/VLOOKUP(A72,'Uncorrected Area Counts'!$A$4:$AU$99,47,FALSE))*100</f>
        <v>#DIV/0!</v>
      </c>
      <c r="N72" s="567" t="e">
        <f>VLOOKUP(A72,'Uncorrected Area Counts'!$A$4:$AU$99,27,FALSE)/VLOOKUP(A72,'Uncorrected Area Counts'!$A$4:$AU$99,3,FALSE)/VLOOKUP(6,'Plate Planning'!$L$20:$S$35,4,FALSE)*VLOOKUP("standard",'Plate Planning'!$L$20:$S$35,4,FALSE)/VLOOKUP(A72,'Uncorrected Area Counts'!$A$4:$AU$99,26,FALSE)*100</f>
        <v>#DIV/0!</v>
      </c>
      <c r="O72" s="581" t="e">
        <f>(VLOOKUP(A72,'Uncorrected Area Counts'!$A$4:$AU$99,31,FALSE)/VLOOKUP(A72,'Uncorrected Area Counts'!$A$4:$AU$99,47,FALSE))*100</f>
        <v>#DIV/0!</v>
      </c>
      <c r="P72" s="568" t="e">
        <f>VLOOKUP(A72,'Uncorrected Area Counts'!$A$4:$AU$99,31,FALSE)/VLOOKUP(A72,'Uncorrected Area Counts'!$A$4:$AU$99,3,FALSE)/VLOOKUP(7,'Plate Planning'!$L$20:$S$35,4,FALSE)*VLOOKUP("standard",'Plate Planning'!$L$20:$S$35,4,FALSE)/VLOOKUP(A72,'Uncorrected Area Counts'!$A$4:$AU$99,30,FALSE)*100</f>
        <v>#DIV/0!</v>
      </c>
      <c r="Q72" s="581" t="e">
        <f>(VLOOKUP(A72,'Uncorrected Area Counts'!$A$4:$AU$99,35,FALSE)/VLOOKUP(A72,'Uncorrected Area Counts'!$A$4:$AU$99,47,FALSE))*100</f>
        <v>#DIV/0!</v>
      </c>
      <c r="R72" s="477" t="e">
        <f>VLOOKUP(A72,'Uncorrected Area Counts'!$A$4:$AU$99,35,FALSE)/VLOOKUP(A72,'Uncorrected Area Counts'!$A$4:$AU$99,3,FALSE)/VLOOKUP(8,'Plate Planning'!$L$20:$S$35,4,FALSE)*VLOOKUP("standard",'Plate Planning'!$L$20:$S$35,4,FALSE)/VLOOKUP(A72,'Uncorrected Area Counts'!$A$4:$AU$99,34,FALSE)*100</f>
        <v>#DIV/0!</v>
      </c>
      <c r="S72" s="589" t="e">
        <f>(VLOOKUP(A72,'Uncorrected Area Counts'!$A$4:$AU$99,39,FALSE)/VLOOKUP(A72,'Uncorrected Area Counts'!$A$4:$AU$99,47,FALSE))*100</f>
        <v>#DIV/0!</v>
      </c>
      <c r="T72" s="569" t="e">
        <f>VLOOKUP(A72,'Uncorrected Area Counts'!$A$4:$AU$99,39,FALSE)/VLOOKUP(A72,'Uncorrected Area Counts'!$A$4:$AU$99,3,FALSE)/VLOOKUP(8,'Plate Planning'!$L$20:$S$35,4,FALSE)*VLOOKUP("standard",'Plate Planning'!$L$20:$S$35,4,FALSE)/VLOOKUP(A72,'Uncorrected Area Counts'!$A$4:$AU$99,38,FALSE)*100</f>
        <v>#DIV/0!</v>
      </c>
      <c r="U72" s="589" t="e">
        <f>(VLOOKUP(A72,'Uncorrected Area Counts'!$A$4:$AU$99,43,FALSE)/VLOOKUP(A72,'Uncorrected Area Counts'!$A$4:$AU$99,47,FALSE))*100</f>
        <v>#DIV/0!</v>
      </c>
      <c r="V72" s="604" t="e">
        <f>VLOOKUP(A72,'Uncorrected Area Counts'!$A$4:$AU$99,43,FALSE)/VLOOKUP(A72,'Uncorrected Area Counts'!$A$4:$AU$99,3,FALSE)/VLOOKUP(8,'Plate Planning'!$L$20:$S$35,4,FALSE)*VLOOKUP("standard",'Plate Planning'!$L$20:$S$35,4,FALSE)/VLOOKUP(A72,'Uncorrected Area Counts'!$A$4:$AU$99,42,FALSE)*100</f>
        <v>#DIV/0!</v>
      </c>
    </row>
    <row r="73" spans="1:22">
      <c r="A73" s="478" t="s">
        <v>1231</v>
      </c>
      <c r="B73" s="565" t="s">
        <v>22</v>
      </c>
      <c r="C73" s="573" t="e">
        <f>(VLOOKUP(A73,'Uncorrected Area Counts'!$A$4:$AU$99,7,FALSE)/VLOOKUP(A73,'Uncorrected Area Counts'!$A$4:$AU$99,47,FALSE))*100</f>
        <v>#DIV/0!</v>
      </c>
      <c r="D73" s="566" t="e">
        <f>VLOOKUP(A73,'Uncorrected Area Counts'!$A$4:$AU$99,7,FALSE)/VLOOKUP(A73,'Uncorrected Area Counts'!$A$4:$AU$99,3,FALSE)/VLOOKUP(1,'Plate Planning'!$L$20:$S$35,4,FALSE)*VLOOKUP("standard",'Plate Planning'!$L$20:$S$35,4,FALSE)/VLOOKUP(A73,'Uncorrected Area Counts'!$A$4:$AU$99,6,FALSE)*100</f>
        <v>#DIV/0!</v>
      </c>
      <c r="E73" s="576" t="e">
        <f>(VLOOKUP(A73,'Uncorrected Area Counts'!$A$4:$AU$99,11,FALSE)/VLOOKUP(A73,'Uncorrected Area Counts'!$A$4:$AU$99,47,FALSE))*100</f>
        <v>#DIV/0!</v>
      </c>
      <c r="F73" s="566" t="e">
        <f>VLOOKUP(A73,'Uncorrected Area Counts'!$A$4:$AU$99,11,FALSE)/VLOOKUP(A73,'Uncorrected Area Counts'!$A$4:$AU$99,3,FALSE)/VLOOKUP(2,'Plate Planning'!$L$20:$S$35,4,FALSE)*VLOOKUP("standard",'Plate Planning'!$L$20:$S$35,4,FALSE)/VLOOKUP(A73,'Uncorrected Area Counts'!$A$4:$AU$99,10,FALSE)*100</f>
        <v>#DIV/0!</v>
      </c>
      <c r="G73" s="576" t="e">
        <f>(VLOOKUP(A73,'Uncorrected Area Counts'!$A$4:$AU$99,15,FALSE)/VLOOKUP(A73,'Uncorrected Area Counts'!$A$4:$AU$99,47,FALSE))*100</f>
        <v>#DIV/0!</v>
      </c>
      <c r="H73" s="566" t="e">
        <f>VLOOKUP(A73,'Uncorrected Area Counts'!$A$4:$AU$99,15,FALSE)/VLOOKUP(A73,'Uncorrected Area Counts'!$A$4:$AU$99,3,FALSE)/VLOOKUP(3,'Plate Planning'!$L$20:$S$35,4,FALSE)*VLOOKUP("standard",'Plate Planning'!$L$20:$S$35,4,FALSE)/VLOOKUP(A73,'Uncorrected Area Counts'!$A$4:$AU$99,14,FALSE)*100</f>
        <v>#DIV/0!</v>
      </c>
      <c r="I73" s="576" t="e">
        <f>(VLOOKUP(A73,'Uncorrected Area Counts'!$A$4:$AU$99,19,FALSE)/VLOOKUP(A73,'Uncorrected Area Counts'!$A$4:$AU$99,47,FALSE))*100</f>
        <v>#DIV/0!</v>
      </c>
      <c r="J73" s="567" t="e">
        <f>VLOOKUP(A73,'Uncorrected Area Counts'!$A$4:$AU$99,19,FALSE)/VLOOKUP(A73,'Uncorrected Area Counts'!$A$4:$AU$99,3,FALSE)/VLOOKUP(4,'Plate Planning'!$L$20:$S$35,4,FALSE)*VLOOKUP("standard",'Plate Planning'!$L$20:$S$35,4,FALSE)/VLOOKUP(A73,'Uncorrected Area Counts'!$A$4:$AU$99,18,FALSE)*100</f>
        <v>#DIV/0!</v>
      </c>
      <c r="K73" s="581" t="e">
        <f>(VLOOKUP(A73,'Uncorrected Area Counts'!$A$4:$AU$99,23,FALSE)/VLOOKUP(A73,'Uncorrected Area Counts'!$A$4:$AU$99,47,FALSE))*100</f>
        <v>#DIV/0!</v>
      </c>
      <c r="L73" s="568" t="e">
        <f>VLOOKUP(A73,'Uncorrected Area Counts'!$A$4:$AU$99,23,FALSE)/VLOOKUP(A73,'Uncorrected Area Counts'!$A$4:$AU$99,3,FALSE)/VLOOKUP(5,'Plate Planning'!$L$20:$S$35,4,FALSE)*VLOOKUP("standard",'Plate Planning'!$L$20:$S$35,4,FALSE)/VLOOKUP(A73,'Uncorrected Area Counts'!$A$4:$AU$99,22,FALSE)*100</f>
        <v>#DIV/0!</v>
      </c>
      <c r="M73" s="581" t="e">
        <f>(VLOOKUP(A73,'Uncorrected Area Counts'!$A$4:$AU$99,27,FALSE)/VLOOKUP(A73,'Uncorrected Area Counts'!$A$4:$AU$99,47,FALSE))*100</f>
        <v>#DIV/0!</v>
      </c>
      <c r="N73" s="567" t="e">
        <f>VLOOKUP(A73,'Uncorrected Area Counts'!$A$4:$AU$99,27,FALSE)/VLOOKUP(A73,'Uncorrected Area Counts'!$A$4:$AU$99,3,FALSE)/VLOOKUP(6,'Plate Planning'!$L$20:$S$35,4,FALSE)*VLOOKUP("standard",'Plate Planning'!$L$20:$S$35,4,FALSE)/VLOOKUP(A73,'Uncorrected Area Counts'!$A$4:$AU$99,26,FALSE)*100</f>
        <v>#DIV/0!</v>
      </c>
      <c r="O73" s="581" t="e">
        <f>(VLOOKUP(A73,'Uncorrected Area Counts'!$A$4:$AU$99,31,FALSE)/VLOOKUP(A73,'Uncorrected Area Counts'!$A$4:$AU$99,47,FALSE))*100</f>
        <v>#DIV/0!</v>
      </c>
      <c r="P73" s="568" t="e">
        <f>VLOOKUP(A73,'Uncorrected Area Counts'!$A$4:$AU$99,31,FALSE)/VLOOKUP(A73,'Uncorrected Area Counts'!$A$4:$AU$99,3,FALSE)/VLOOKUP(7,'Plate Planning'!$L$20:$S$35,4,FALSE)*VLOOKUP("standard",'Plate Planning'!$L$20:$S$35,4,FALSE)/VLOOKUP(A73,'Uncorrected Area Counts'!$A$4:$AU$99,30,FALSE)*100</f>
        <v>#DIV/0!</v>
      </c>
      <c r="Q73" s="581" t="e">
        <f>(VLOOKUP(A73,'Uncorrected Area Counts'!$A$4:$AU$99,35,FALSE)/VLOOKUP(A73,'Uncorrected Area Counts'!$A$4:$AU$99,47,FALSE))*100</f>
        <v>#DIV/0!</v>
      </c>
      <c r="R73" s="477" t="e">
        <f>VLOOKUP(A73,'Uncorrected Area Counts'!$A$4:$AU$99,35,FALSE)/VLOOKUP(A73,'Uncorrected Area Counts'!$A$4:$AU$99,3,FALSE)/VLOOKUP(8,'Plate Planning'!$L$20:$S$35,4,FALSE)*VLOOKUP("standard",'Plate Planning'!$L$20:$S$35,4,FALSE)/VLOOKUP(A73,'Uncorrected Area Counts'!$A$4:$AU$99,34,FALSE)*100</f>
        <v>#DIV/0!</v>
      </c>
      <c r="S73" s="589" t="e">
        <f>(VLOOKUP(A73,'Uncorrected Area Counts'!$A$4:$AU$99,39,FALSE)/VLOOKUP(A73,'Uncorrected Area Counts'!$A$4:$AU$99,47,FALSE))*100</f>
        <v>#DIV/0!</v>
      </c>
      <c r="T73" s="569" t="e">
        <f>VLOOKUP(A73,'Uncorrected Area Counts'!$A$4:$AU$99,39,FALSE)/VLOOKUP(A73,'Uncorrected Area Counts'!$A$4:$AU$99,3,FALSE)/VLOOKUP(8,'Plate Planning'!$L$20:$S$35,4,FALSE)*VLOOKUP("standard",'Plate Planning'!$L$20:$S$35,4,FALSE)/VLOOKUP(A73,'Uncorrected Area Counts'!$A$4:$AU$99,38,FALSE)*100</f>
        <v>#DIV/0!</v>
      </c>
      <c r="U73" s="589" t="e">
        <f>(VLOOKUP(A73,'Uncorrected Area Counts'!$A$4:$AU$99,43,FALSE)/VLOOKUP(A73,'Uncorrected Area Counts'!$A$4:$AU$99,47,FALSE))*100</f>
        <v>#DIV/0!</v>
      </c>
      <c r="V73" s="604" t="e">
        <f>VLOOKUP(A73,'Uncorrected Area Counts'!$A$4:$AU$99,43,FALSE)/VLOOKUP(A73,'Uncorrected Area Counts'!$A$4:$AU$99,3,FALSE)/VLOOKUP(8,'Plate Planning'!$L$20:$S$35,4,FALSE)*VLOOKUP("standard",'Plate Planning'!$L$20:$S$35,4,FALSE)/VLOOKUP(A73,'Uncorrected Area Counts'!$A$4:$AU$99,42,FALSE)*100</f>
        <v>#DIV/0!</v>
      </c>
    </row>
    <row r="74" spans="1:22">
      <c r="A74" s="478" t="s">
        <v>1232</v>
      </c>
      <c r="B74" s="565" t="s">
        <v>22</v>
      </c>
      <c r="C74" s="573" t="e">
        <f>(VLOOKUP(A74,'Uncorrected Area Counts'!$A$4:$AU$99,7,FALSE)/VLOOKUP(A74,'Uncorrected Area Counts'!$A$4:$AU$99,47,FALSE))*100</f>
        <v>#DIV/0!</v>
      </c>
      <c r="D74" s="566" t="e">
        <f>VLOOKUP(A74,'Uncorrected Area Counts'!$A$4:$AU$99,7,FALSE)/VLOOKUP(A74,'Uncorrected Area Counts'!$A$4:$AU$99,3,FALSE)/VLOOKUP(1,'Plate Planning'!$L$20:$S$35,4,FALSE)*VLOOKUP("standard",'Plate Planning'!$L$20:$S$35,4,FALSE)/VLOOKUP(A74,'Uncorrected Area Counts'!$A$4:$AU$99,6,FALSE)*100</f>
        <v>#DIV/0!</v>
      </c>
      <c r="E74" s="576" t="e">
        <f>(VLOOKUP(A74,'Uncorrected Area Counts'!$A$4:$AU$99,11,FALSE)/VLOOKUP(A74,'Uncorrected Area Counts'!$A$4:$AU$99,47,FALSE))*100</f>
        <v>#DIV/0!</v>
      </c>
      <c r="F74" s="566" t="e">
        <f>VLOOKUP(A74,'Uncorrected Area Counts'!$A$4:$AU$99,11,FALSE)/VLOOKUP(A74,'Uncorrected Area Counts'!$A$4:$AU$99,3,FALSE)/VLOOKUP(2,'Plate Planning'!$L$20:$S$35,4,FALSE)*VLOOKUP("standard",'Plate Planning'!$L$20:$S$35,4,FALSE)/VLOOKUP(A74,'Uncorrected Area Counts'!$A$4:$AU$99,10,FALSE)*100</f>
        <v>#DIV/0!</v>
      </c>
      <c r="G74" s="576" t="e">
        <f>(VLOOKUP(A74,'Uncorrected Area Counts'!$A$4:$AU$99,15,FALSE)/VLOOKUP(A74,'Uncorrected Area Counts'!$A$4:$AU$99,47,FALSE))*100</f>
        <v>#DIV/0!</v>
      </c>
      <c r="H74" s="566" t="e">
        <f>VLOOKUP(A74,'Uncorrected Area Counts'!$A$4:$AU$99,15,FALSE)/VLOOKUP(A74,'Uncorrected Area Counts'!$A$4:$AU$99,3,FALSE)/VLOOKUP(3,'Plate Planning'!$L$20:$S$35,4,FALSE)*VLOOKUP("standard",'Plate Planning'!$L$20:$S$35,4,FALSE)/VLOOKUP(A74,'Uncorrected Area Counts'!$A$4:$AU$99,14,FALSE)*100</f>
        <v>#DIV/0!</v>
      </c>
      <c r="I74" s="576" t="e">
        <f>(VLOOKUP(A74,'Uncorrected Area Counts'!$A$4:$AU$99,19,FALSE)/VLOOKUP(A74,'Uncorrected Area Counts'!$A$4:$AU$99,47,FALSE))*100</f>
        <v>#DIV/0!</v>
      </c>
      <c r="J74" s="567" t="e">
        <f>VLOOKUP(A74,'Uncorrected Area Counts'!$A$4:$AU$99,19,FALSE)/VLOOKUP(A74,'Uncorrected Area Counts'!$A$4:$AU$99,3,FALSE)/VLOOKUP(4,'Plate Planning'!$L$20:$S$35,4,FALSE)*VLOOKUP("standard",'Plate Planning'!$L$20:$S$35,4,FALSE)/VLOOKUP(A74,'Uncorrected Area Counts'!$A$4:$AU$99,18,FALSE)*100</f>
        <v>#DIV/0!</v>
      </c>
      <c r="K74" s="581" t="e">
        <f>(VLOOKUP(A74,'Uncorrected Area Counts'!$A$4:$AU$99,23,FALSE)/VLOOKUP(A74,'Uncorrected Area Counts'!$A$4:$AU$99,47,FALSE))*100</f>
        <v>#DIV/0!</v>
      </c>
      <c r="L74" s="568" t="e">
        <f>VLOOKUP(A74,'Uncorrected Area Counts'!$A$4:$AU$99,23,FALSE)/VLOOKUP(A74,'Uncorrected Area Counts'!$A$4:$AU$99,3,FALSE)/VLOOKUP(5,'Plate Planning'!$L$20:$S$35,4,FALSE)*VLOOKUP("standard",'Plate Planning'!$L$20:$S$35,4,FALSE)/VLOOKUP(A74,'Uncorrected Area Counts'!$A$4:$AU$99,22,FALSE)*100</f>
        <v>#DIV/0!</v>
      </c>
      <c r="M74" s="581" t="e">
        <f>(VLOOKUP(A74,'Uncorrected Area Counts'!$A$4:$AU$99,27,FALSE)/VLOOKUP(A74,'Uncorrected Area Counts'!$A$4:$AU$99,47,FALSE))*100</f>
        <v>#DIV/0!</v>
      </c>
      <c r="N74" s="567" t="e">
        <f>VLOOKUP(A74,'Uncorrected Area Counts'!$A$4:$AU$99,27,FALSE)/VLOOKUP(A74,'Uncorrected Area Counts'!$A$4:$AU$99,3,FALSE)/VLOOKUP(6,'Plate Planning'!$L$20:$S$35,4,FALSE)*VLOOKUP("standard",'Plate Planning'!$L$20:$S$35,4,FALSE)/VLOOKUP(A74,'Uncorrected Area Counts'!$A$4:$AU$99,26,FALSE)*100</f>
        <v>#DIV/0!</v>
      </c>
      <c r="O74" s="581" t="e">
        <f>(VLOOKUP(A74,'Uncorrected Area Counts'!$A$4:$AU$99,31,FALSE)/VLOOKUP(A74,'Uncorrected Area Counts'!$A$4:$AU$99,47,FALSE))*100</f>
        <v>#DIV/0!</v>
      </c>
      <c r="P74" s="568" t="e">
        <f>VLOOKUP(A74,'Uncorrected Area Counts'!$A$4:$AU$99,31,FALSE)/VLOOKUP(A74,'Uncorrected Area Counts'!$A$4:$AU$99,3,FALSE)/VLOOKUP(7,'Plate Planning'!$L$20:$S$35,4,FALSE)*VLOOKUP("standard",'Plate Planning'!$L$20:$S$35,4,FALSE)/VLOOKUP(A74,'Uncorrected Area Counts'!$A$4:$AU$99,30,FALSE)*100</f>
        <v>#DIV/0!</v>
      </c>
      <c r="Q74" s="581" t="e">
        <f>(VLOOKUP(A74,'Uncorrected Area Counts'!$A$4:$AU$99,35,FALSE)/VLOOKUP(A74,'Uncorrected Area Counts'!$A$4:$AU$99,47,FALSE))*100</f>
        <v>#DIV/0!</v>
      </c>
      <c r="R74" s="477" t="e">
        <f>VLOOKUP(A74,'Uncorrected Area Counts'!$A$4:$AU$99,35,FALSE)/VLOOKUP(A74,'Uncorrected Area Counts'!$A$4:$AU$99,3,FALSE)/VLOOKUP(8,'Plate Planning'!$L$20:$S$35,4,FALSE)*VLOOKUP("standard",'Plate Planning'!$L$20:$S$35,4,FALSE)/VLOOKUP(A74,'Uncorrected Area Counts'!$A$4:$AU$99,34,FALSE)*100</f>
        <v>#DIV/0!</v>
      </c>
      <c r="S74" s="589" t="e">
        <f>(VLOOKUP(A74,'Uncorrected Area Counts'!$A$4:$AU$99,39,FALSE)/VLOOKUP(A74,'Uncorrected Area Counts'!$A$4:$AU$99,47,FALSE))*100</f>
        <v>#DIV/0!</v>
      </c>
      <c r="T74" s="569" t="e">
        <f>VLOOKUP(A74,'Uncorrected Area Counts'!$A$4:$AU$99,39,FALSE)/VLOOKUP(A74,'Uncorrected Area Counts'!$A$4:$AU$99,3,FALSE)/VLOOKUP(8,'Plate Planning'!$L$20:$S$35,4,FALSE)*VLOOKUP("standard",'Plate Planning'!$L$20:$S$35,4,FALSE)/VLOOKUP(A74,'Uncorrected Area Counts'!$A$4:$AU$99,38,FALSE)*100</f>
        <v>#DIV/0!</v>
      </c>
      <c r="U74" s="589" t="e">
        <f>(VLOOKUP(A74,'Uncorrected Area Counts'!$A$4:$AU$99,43,FALSE)/VLOOKUP(A74,'Uncorrected Area Counts'!$A$4:$AU$99,47,FALSE))*100</f>
        <v>#DIV/0!</v>
      </c>
      <c r="V74" s="604" t="e">
        <f>VLOOKUP(A74,'Uncorrected Area Counts'!$A$4:$AU$99,43,FALSE)/VLOOKUP(A74,'Uncorrected Area Counts'!$A$4:$AU$99,3,FALSE)/VLOOKUP(8,'Plate Planning'!$L$20:$S$35,4,FALSE)*VLOOKUP("standard",'Plate Planning'!$L$20:$S$35,4,FALSE)/VLOOKUP(A74,'Uncorrected Area Counts'!$A$4:$AU$99,42,FALSE)*100</f>
        <v>#DIV/0!</v>
      </c>
    </row>
    <row r="75" spans="1:22">
      <c r="A75" s="478" t="s">
        <v>1233</v>
      </c>
      <c r="B75" s="565" t="s">
        <v>22</v>
      </c>
      <c r="C75" s="573" t="e">
        <f>(VLOOKUP(A75,'Uncorrected Area Counts'!$A$4:$AU$99,7,FALSE)/VLOOKUP(A75,'Uncorrected Area Counts'!$A$4:$AU$99,47,FALSE))*100</f>
        <v>#DIV/0!</v>
      </c>
      <c r="D75" s="566" t="e">
        <f>VLOOKUP(A75,'Uncorrected Area Counts'!$A$4:$AU$99,7,FALSE)/VLOOKUP(A75,'Uncorrected Area Counts'!$A$4:$AU$99,3,FALSE)/VLOOKUP(1,'Plate Planning'!$L$20:$S$35,4,FALSE)*VLOOKUP("standard",'Plate Planning'!$L$20:$S$35,4,FALSE)/VLOOKUP(A75,'Uncorrected Area Counts'!$A$4:$AU$99,6,FALSE)*100</f>
        <v>#DIV/0!</v>
      </c>
      <c r="E75" s="576" t="e">
        <f>(VLOOKUP(A75,'Uncorrected Area Counts'!$A$4:$AU$99,11,FALSE)/VLOOKUP(A75,'Uncorrected Area Counts'!$A$4:$AU$99,47,FALSE))*100</f>
        <v>#DIV/0!</v>
      </c>
      <c r="F75" s="566" t="e">
        <f>VLOOKUP(A75,'Uncorrected Area Counts'!$A$4:$AU$99,11,FALSE)/VLOOKUP(A75,'Uncorrected Area Counts'!$A$4:$AU$99,3,FALSE)/VLOOKUP(2,'Plate Planning'!$L$20:$S$35,4,FALSE)*VLOOKUP("standard",'Plate Planning'!$L$20:$S$35,4,FALSE)/VLOOKUP(A75,'Uncorrected Area Counts'!$A$4:$AU$99,10,FALSE)*100</f>
        <v>#DIV/0!</v>
      </c>
      <c r="G75" s="576" t="e">
        <f>(VLOOKUP(A75,'Uncorrected Area Counts'!$A$4:$AU$99,15,FALSE)/VLOOKUP(A75,'Uncorrected Area Counts'!$A$4:$AU$99,47,FALSE))*100</f>
        <v>#DIV/0!</v>
      </c>
      <c r="H75" s="566" t="e">
        <f>VLOOKUP(A75,'Uncorrected Area Counts'!$A$4:$AU$99,15,FALSE)/VLOOKUP(A75,'Uncorrected Area Counts'!$A$4:$AU$99,3,FALSE)/VLOOKUP(3,'Plate Planning'!$L$20:$S$35,4,FALSE)*VLOOKUP("standard",'Plate Planning'!$L$20:$S$35,4,FALSE)/VLOOKUP(A75,'Uncorrected Area Counts'!$A$4:$AU$99,14,FALSE)*100</f>
        <v>#DIV/0!</v>
      </c>
      <c r="I75" s="576" t="e">
        <f>(VLOOKUP(A75,'Uncorrected Area Counts'!$A$4:$AU$99,19,FALSE)/VLOOKUP(A75,'Uncorrected Area Counts'!$A$4:$AU$99,47,FALSE))*100</f>
        <v>#DIV/0!</v>
      </c>
      <c r="J75" s="567" t="e">
        <f>VLOOKUP(A75,'Uncorrected Area Counts'!$A$4:$AU$99,19,FALSE)/VLOOKUP(A75,'Uncorrected Area Counts'!$A$4:$AU$99,3,FALSE)/VLOOKUP(4,'Plate Planning'!$L$20:$S$35,4,FALSE)*VLOOKUP("standard",'Plate Planning'!$L$20:$S$35,4,FALSE)/VLOOKUP(A75,'Uncorrected Area Counts'!$A$4:$AU$99,18,FALSE)*100</f>
        <v>#DIV/0!</v>
      </c>
      <c r="K75" s="581" t="e">
        <f>(VLOOKUP(A75,'Uncorrected Area Counts'!$A$4:$AU$99,23,FALSE)/VLOOKUP(A75,'Uncorrected Area Counts'!$A$4:$AU$99,47,FALSE))*100</f>
        <v>#DIV/0!</v>
      </c>
      <c r="L75" s="568" t="e">
        <f>VLOOKUP(A75,'Uncorrected Area Counts'!$A$4:$AU$99,23,FALSE)/VLOOKUP(A75,'Uncorrected Area Counts'!$A$4:$AU$99,3,FALSE)/VLOOKUP(5,'Plate Planning'!$L$20:$S$35,4,FALSE)*VLOOKUP("standard",'Plate Planning'!$L$20:$S$35,4,FALSE)/VLOOKUP(A75,'Uncorrected Area Counts'!$A$4:$AU$99,22,FALSE)*100</f>
        <v>#DIV/0!</v>
      </c>
      <c r="M75" s="581" t="e">
        <f>(VLOOKUP(A75,'Uncorrected Area Counts'!$A$4:$AU$99,27,FALSE)/VLOOKUP(A75,'Uncorrected Area Counts'!$A$4:$AU$99,47,FALSE))*100</f>
        <v>#DIV/0!</v>
      </c>
      <c r="N75" s="567" t="e">
        <f>VLOOKUP(A75,'Uncorrected Area Counts'!$A$4:$AU$99,27,FALSE)/VLOOKUP(A75,'Uncorrected Area Counts'!$A$4:$AU$99,3,FALSE)/VLOOKUP(6,'Plate Planning'!$L$20:$S$35,4,FALSE)*VLOOKUP("standard",'Plate Planning'!$L$20:$S$35,4,FALSE)/VLOOKUP(A75,'Uncorrected Area Counts'!$A$4:$AU$99,26,FALSE)*100</f>
        <v>#DIV/0!</v>
      </c>
      <c r="O75" s="581" t="e">
        <f>(VLOOKUP(A75,'Uncorrected Area Counts'!$A$4:$AU$99,31,FALSE)/VLOOKUP(A75,'Uncorrected Area Counts'!$A$4:$AU$99,47,FALSE))*100</f>
        <v>#DIV/0!</v>
      </c>
      <c r="P75" s="568" t="e">
        <f>VLOOKUP(A75,'Uncorrected Area Counts'!$A$4:$AU$99,31,FALSE)/VLOOKUP(A75,'Uncorrected Area Counts'!$A$4:$AU$99,3,FALSE)/VLOOKUP(7,'Plate Planning'!$L$20:$S$35,4,FALSE)*VLOOKUP("standard",'Plate Planning'!$L$20:$S$35,4,FALSE)/VLOOKUP(A75,'Uncorrected Area Counts'!$A$4:$AU$99,30,FALSE)*100</f>
        <v>#DIV/0!</v>
      </c>
      <c r="Q75" s="581" t="e">
        <f>(VLOOKUP(A75,'Uncorrected Area Counts'!$A$4:$AU$99,35,FALSE)/VLOOKUP(A75,'Uncorrected Area Counts'!$A$4:$AU$99,47,FALSE))*100</f>
        <v>#DIV/0!</v>
      </c>
      <c r="R75" s="477" t="e">
        <f>VLOOKUP(A75,'Uncorrected Area Counts'!$A$4:$AU$99,35,FALSE)/VLOOKUP(A75,'Uncorrected Area Counts'!$A$4:$AU$99,3,FALSE)/VLOOKUP(8,'Plate Planning'!$L$20:$S$35,4,FALSE)*VLOOKUP("standard",'Plate Planning'!$L$20:$S$35,4,FALSE)/VLOOKUP(A75,'Uncorrected Area Counts'!$A$4:$AU$99,34,FALSE)*100</f>
        <v>#DIV/0!</v>
      </c>
      <c r="S75" s="589" t="e">
        <f>(VLOOKUP(A75,'Uncorrected Area Counts'!$A$4:$AU$99,39,FALSE)/VLOOKUP(A75,'Uncorrected Area Counts'!$A$4:$AU$99,47,FALSE))*100</f>
        <v>#DIV/0!</v>
      </c>
      <c r="T75" s="569" t="e">
        <f>VLOOKUP(A75,'Uncorrected Area Counts'!$A$4:$AU$99,39,FALSE)/VLOOKUP(A75,'Uncorrected Area Counts'!$A$4:$AU$99,3,FALSE)/VLOOKUP(8,'Plate Planning'!$L$20:$S$35,4,FALSE)*VLOOKUP("standard",'Plate Planning'!$L$20:$S$35,4,FALSE)/VLOOKUP(A75,'Uncorrected Area Counts'!$A$4:$AU$99,38,FALSE)*100</f>
        <v>#DIV/0!</v>
      </c>
      <c r="U75" s="589" t="e">
        <f>(VLOOKUP(A75,'Uncorrected Area Counts'!$A$4:$AU$99,43,FALSE)/VLOOKUP(A75,'Uncorrected Area Counts'!$A$4:$AU$99,47,FALSE))*100</f>
        <v>#DIV/0!</v>
      </c>
      <c r="V75" s="604" t="e">
        <f>VLOOKUP(A75,'Uncorrected Area Counts'!$A$4:$AU$99,43,FALSE)/VLOOKUP(A75,'Uncorrected Area Counts'!$A$4:$AU$99,3,FALSE)/VLOOKUP(8,'Plate Planning'!$L$20:$S$35,4,FALSE)*VLOOKUP("standard",'Plate Planning'!$L$20:$S$35,4,FALSE)/VLOOKUP(A75,'Uncorrected Area Counts'!$A$4:$AU$99,42,FALSE)*100</f>
        <v>#DIV/0!</v>
      </c>
    </row>
    <row r="76" spans="1:22">
      <c r="A76" s="478" t="s">
        <v>1234</v>
      </c>
      <c r="B76" s="565" t="s">
        <v>22</v>
      </c>
      <c r="C76" s="573" t="e">
        <f>(VLOOKUP(A76,'Uncorrected Area Counts'!$A$4:$AU$99,7,FALSE)/VLOOKUP(A76,'Uncorrected Area Counts'!$A$4:$AU$99,47,FALSE))*100</f>
        <v>#DIV/0!</v>
      </c>
      <c r="D76" s="566" t="e">
        <f>VLOOKUP(A76,'Uncorrected Area Counts'!$A$4:$AU$99,7,FALSE)/VLOOKUP(A76,'Uncorrected Area Counts'!$A$4:$AU$99,3,FALSE)/VLOOKUP(1,'Plate Planning'!$L$20:$S$35,4,FALSE)*VLOOKUP("standard",'Plate Planning'!$L$20:$S$35,4,FALSE)/VLOOKUP(A76,'Uncorrected Area Counts'!$A$4:$AU$99,6,FALSE)*100</f>
        <v>#DIV/0!</v>
      </c>
      <c r="E76" s="576" t="e">
        <f>(VLOOKUP(A76,'Uncorrected Area Counts'!$A$4:$AU$99,11,FALSE)/VLOOKUP(A76,'Uncorrected Area Counts'!$A$4:$AU$99,47,FALSE))*100</f>
        <v>#DIV/0!</v>
      </c>
      <c r="F76" s="566" t="e">
        <f>VLOOKUP(A76,'Uncorrected Area Counts'!$A$4:$AU$99,11,FALSE)/VLOOKUP(A76,'Uncorrected Area Counts'!$A$4:$AU$99,3,FALSE)/VLOOKUP(2,'Plate Planning'!$L$20:$S$35,4,FALSE)*VLOOKUP("standard",'Plate Planning'!$L$20:$S$35,4,FALSE)/VLOOKUP(A76,'Uncorrected Area Counts'!$A$4:$AU$99,10,FALSE)*100</f>
        <v>#DIV/0!</v>
      </c>
      <c r="G76" s="576" t="e">
        <f>(VLOOKUP(A76,'Uncorrected Area Counts'!$A$4:$AU$99,15,FALSE)/VLOOKUP(A76,'Uncorrected Area Counts'!$A$4:$AU$99,47,FALSE))*100</f>
        <v>#DIV/0!</v>
      </c>
      <c r="H76" s="566" t="e">
        <f>VLOOKUP(A76,'Uncorrected Area Counts'!$A$4:$AU$99,15,FALSE)/VLOOKUP(A76,'Uncorrected Area Counts'!$A$4:$AU$99,3,FALSE)/VLOOKUP(3,'Plate Planning'!$L$20:$S$35,4,FALSE)*VLOOKUP("standard",'Plate Planning'!$L$20:$S$35,4,FALSE)/VLOOKUP(A76,'Uncorrected Area Counts'!$A$4:$AU$99,14,FALSE)*100</f>
        <v>#DIV/0!</v>
      </c>
      <c r="I76" s="576" t="e">
        <f>(VLOOKUP(A76,'Uncorrected Area Counts'!$A$4:$AU$99,19,FALSE)/VLOOKUP(A76,'Uncorrected Area Counts'!$A$4:$AU$99,47,FALSE))*100</f>
        <v>#DIV/0!</v>
      </c>
      <c r="J76" s="567" t="e">
        <f>VLOOKUP(A76,'Uncorrected Area Counts'!$A$4:$AU$99,19,FALSE)/VLOOKUP(A76,'Uncorrected Area Counts'!$A$4:$AU$99,3,FALSE)/VLOOKUP(4,'Plate Planning'!$L$20:$S$35,4,FALSE)*VLOOKUP("standard",'Plate Planning'!$L$20:$S$35,4,FALSE)/VLOOKUP(A76,'Uncorrected Area Counts'!$A$4:$AU$99,18,FALSE)*100</f>
        <v>#DIV/0!</v>
      </c>
      <c r="K76" s="581" t="e">
        <f>(VLOOKUP(A76,'Uncorrected Area Counts'!$A$4:$AU$99,23,FALSE)/VLOOKUP(A76,'Uncorrected Area Counts'!$A$4:$AU$99,47,FALSE))*100</f>
        <v>#DIV/0!</v>
      </c>
      <c r="L76" s="568" t="e">
        <f>VLOOKUP(A76,'Uncorrected Area Counts'!$A$4:$AU$99,23,FALSE)/VLOOKUP(A76,'Uncorrected Area Counts'!$A$4:$AU$99,3,FALSE)/VLOOKUP(5,'Plate Planning'!$L$20:$S$35,4,FALSE)*VLOOKUP("standard",'Plate Planning'!$L$20:$S$35,4,FALSE)/VLOOKUP(A76,'Uncorrected Area Counts'!$A$4:$AU$99,22,FALSE)*100</f>
        <v>#DIV/0!</v>
      </c>
      <c r="M76" s="581" t="e">
        <f>(VLOOKUP(A76,'Uncorrected Area Counts'!$A$4:$AU$99,27,FALSE)/VLOOKUP(A76,'Uncorrected Area Counts'!$A$4:$AU$99,47,FALSE))*100</f>
        <v>#DIV/0!</v>
      </c>
      <c r="N76" s="567" t="e">
        <f>VLOOKUP(A76,'Uncorrected Area Counts'!$A$4:$AU$99,27,FALSE)/VLOOKUP(A76,'Uncorrected Area Counts'!$A$4:$AU$99,3,FALSE)/VLOOKUP(6,'Plate Planning'!$L$20:$S$35,4,FALSE)*VLOOKUP("standard",'Plate Planning'!$L$20:$S$35,4,FALSE)/VLOOKUP(A76,'Uncorrected Area Counts'!$A$4:$AU$99,26,FALSE)*100</f>
        <v>#DIV/0!</v>
      </c>
      <c r="O76" s="581" t="e">
        <f>(VLOOKUP(A76,'Uncorrected Area Counts'!$A$4:$AU$99,31,FALSE)/VLOOKUP(A76,'Uncorrected Area Counts'!$A$4:$AU$99,47,FALSE))*100</f>
        <v>#DIV/0!</v>
      </c>
      <c r="P76" s="568" t="e">
        <f>VLOOKUP(A76,'Uncorrected Area Counts'!$A$4:$AU$99,31,FALSE)/VLOOKUP(A76,'Uncorrected Area Counts'!$A$4:$AU$99,3,FALSE)/VLOOKUP(7,'Plate Planning'!$L$20:$S$35,4,FALSE)*VLOOKUP("standard",'Plate Planning'!$L$20:$S$35,4,FALSE)/VLOOKUP(A76,'Uncorrected Area Counts'!$A$4:$AU$99,30,FALSE)*100</f>
        <v>#DIV/0!</v>
      </c>
      <c r="Q76" s="581" t="e">
        <f>(VLOOKUP(A76,'Uncorrected Area Counts'!$A$4:$AU$99,35,FALSE)/VLOOKUP(A76,'Uncorrected Area Counts'!$A$4:$AU$99,47,FALSE))*100</f>
        <v>#DIV/0!</v>
      </c>
      <c r="R76" s="477" t="e">
        <f>VLOOKUP(A76,'Uncorrected Area Counts'!$A$4:$AU$99,35,FALSE)/VLOOKUP(A76,'Uncorrected Area Counts'!$A$4:$AU$99,3,FALSE)/VLOOKUP(8,'Plate Planning'!$L$20:$S$35,4,FALSE)*VLOOKUP("standard",'Plate Planning'!$L$20:$S$35,4,FALSE)/VLOOKUP(A76,'Uncorrected Area Counts'!$A$4:$AU$99,34,FALSE)*100</f>
        <v>#DIV/0!</v>
      </c>
      <c r="S76" s="589" t="e">
        <f>(VLOOKUP(A76,'Uncorrected Area Counts'!$A$4:$AU$99,39,FALSE)/VLOOKUP(A76,'Uncorrected Area Counts'!$A$4:$AU$99,47,FALSE))*100</f>
        <v>#DIV/0!</v>
      </c>
      <c r="T76" s="569" t="e">
        <f>VLOOKUP(A76,'Uncorrected Area Counts'!$A$4:$AU$99,39,FALSE)/VLOOKUP(A76,'Uncorrected Area Counts'!$A$4:$AU$99,3,FALSE)/VLOOKUP(8,'Plate Planning'!$L$20:$S$35,4,FALSE)*VLOOKUP("standard",'Plate Planning'!$L$20:$S$35,4,FALSE)/VLOOKUP(A76,'Uncorrected Area Counts'!$A$4:$AU$99,38,FALSE)*100</f>
        <v>#DIV/0!</v>
      </c>
      <c r="U76" s="589" t="e">
        <f>(VLOOKUP(A76,'Uncorrected Area Counts'!$A$4:$AU$99,43,FALSE)/VLOOKUP(A76,'Uncorrected Area Counts'!$A$4:$AU$99,47,FALSE))*100</f>
        <v>#DIV/0!</v>
      </c>
      <c r="V76" s="604" t="e">
        <f>VLOOKUP(A76,'Uncorrected Area Counts'!$A$4:$AU$99,43,FALSE)/VLOOKUP(A76,'Uncorrected Area Counts'!$A$4:$AU$99,3,FALSE)/VLOOKUP(8,'Plate Planning'!$L$20:$S$35,4,FALSE)*VLOOKUP("standard",'Plate Planning'!$L$20:$S$35,4,FALSE)/VLOOKUP(A76,'Uncorrected Area Counts'!$A$4:$AU$99,42,FALSE)*100</f>
        <v>#DIV/0!</v>
      </c>
    </row>
    <row r="77" spans="1:22">
      <c r="A77" s="478" t="s">
        <v>1235</v>
      </c>
      <c r="B77" s="565" t="s">
        <v>22</v>
      </c>
      <c r="C77" s="573" t="e">
        <f>(VLOOKUP(A77,'Uncorrected Area Counts'!$A$4:$AU$99,7,FALSE)/VLOOKUP(A77,'Uncorrected Area Counts'!$A$4:$AU$99,47,FALSE))*100</f>
        <v>#DIV/0!</v>
      </c>
      <c r="D77" s="566" t="e">
        <f>VLOOKUP(A77,'Uncorrected Area Counts'!$A$4:$AU$99,7,FALSE)/VLOOKUP(A77,'Uncorrected Area Counts'!$A$4:$AU$99,3,FALSE)/VLOOKUP(1,'Plate Planning'!$L$20:$S$35,4,FALSE)*VLOOKUP("standard",'Plate Planning'!$L$20:$S$35,4,FALSE)/VLOOKUP(A77,'Uncorrected Area Counts'!$A$4:$AU$99,6,FALSE)*100</f>
        <v>#DIV/0!</v>
      </c>
      <c r="E77" s="576" t="e">
        <f>(VLOOKUP(A77,'Uncorrected Area Counts'!$A$4:$AU$99,11,FALSE)/VLOOKUP(A77,'Uncorrected Area Counts'!$A$4:$AU$99,47,FALSE))*100</f>
        <v>#DIV/0!</v>
      </c>
      <c r="F77" s="566" t="e">
        <f>VLOOKUP(A77,'Uncorrected Area Counts'!$A$4:$AU$99,11,FALSE)/VLOOKUP(A77,'Uncorrected Area Counts'!$A$4:$AU$99,3,FALSE)/VLOOKUP(2,'Plate Planning'!$L$20:$S$35,4,FALSE)*VLOOKUP("standard",'Plate Planning'!$L$20:$S$35,4,FALSE)/VLOOKUP(A77,'Uncorrected Area Counts'!$A$4:$AU$99,10,FALSE)*100</f>
        <v>#DIV/0!</v>
      </c>
      <c r="G77" s="576" t="e">
        <f>(VLOOKUP(A77,'Uncorrected Area Counts'!$A$4:$AU$99,15,FALSE)/VLOOKUP(A77,'Uncorrected Area Counts'!$A$4:$AU$99,47,FALSE))*100</f>
        <v>#DIV/0!</v>
      </c>
      <c r="H77" s="566" t="e">
        <f>VLOOKUP(A77,'Uncorrected Area Counts'!$A$4:$AU$99,15,FALSE)/VLOOKUP(A77,'Uncorrected Area Counts'!$A$4:$AU$99,3,FALSE)/VLOOKUP(3,'Plate Planning'!$L$20:$S$35,4,FALSE)*VLOOKUP("standard",'Plate Planning'!$L$20:$S$35,4,FALSE)/VLOOKUP(A77,'Uncorrected Area Counts'!$A$4:$AU$99,14,FALSE)*100</f>
        <v>#DIV/0!</v>
      </c>
      <c r="I77" s="576" t="e">
        <f>(VLOOKUP(A77,'Uncorrected Area Counts'!$A$4:$AU$99,19,FALSE)/VLOOKUP(A77,'Uncorrected Area Counts'!$A$4:$AU$99,47,FALSE))*100</f>
        <v>#DIV/0!</v>
      </c>
      <c r="J77" s="567" t="e">
        <f>VLOOKUP(A77,'Uncorrected Area Counts'!$A$4:$AU$99,19,FALSE)/VLOOKUP(A77,'Uncorrected Area Counts'!$A$4:$AU$99,3,FALSE)/VLOOKUP(4,'Plate Planning'!$L$20:$S$35,4,FALSE)*VLOOKUP("standard",'Plate Planning'!$L$20:$S$35,4,FALSE)/VLOOKUP(A77,'Uncorrected Area Counts'!$A$4:$AU$99,18,FALSE)*100</f>
        <v>#DIV/0!</v>
      </c>
      <c r="K77" s="581" t="e">
        <f>(VLOOKUP(A77,'Uncorrected Area Counts'!$A$4:$AU$99,23,FALSE)/VLOOKUP(A77,'Uncorrected Area Counts'!$A$4:$AU$99,47,FALSE))*100</f>
        <v>#DIV/0!</v>
      </c>
      <c r="L77" s="568" t="e">
        <f>VLOOKUP(A77,'Uncorrected Area Counts'!$A$4:$AU$99,23,FALSE)/VLOOKUP(A77,'Uncorrected Area Counts'!$A$4:$AU$99,3,FALSE)/VLOOKUP(5,'Plate Planning'!$L$20:$S$35,4,FALSE)*VLOOKUP("standard",'Plate Planning'!$L$20:$S$35,4,FALSE)/VLOOKUP(A77,'Uncorrected Area Counts'!$A$4:$AU$99,22,FALSE)*100</f>
        <v>#DIV/0!</v>
      </c>
      <c r="M77" s="581" t="e">
        <f>(VLOOKUP(A77,'Uncorrected Area Counts'!$A$4:$AU$99,27,FALSE)/VLOOKUP(A77,'Uncorrected Area Counts'!$A$4:$AU$99,47,FALSE))*100</f>
        <v>#DIV/0!</v>
      </c>
      <c r="N77" s="567" t="e">
        <f>VLOOKUP(A77,'Uncorrected Area Counts'!$A$4:$AU$99,27,FALSE)/VLOOKUP(A77,'Uncorrected Area Counts'!$A$4:$AU$99,3,FALSE)/VLOOKUP(6,'Plate Planning'!$L$20:$S$35,4,FALSE)*VLOOKUP("standard",'Plate Planning'!$L$20:$S$35,4,FALSE)/VLOOKUP(A77,'Uncorrected Area Counts'!$A$4:$AU$99,26,FALSE)*100</f>
        <v>#DIV/0!</v>
      </c>
      <c r="O77" s="581" t="e">
        <f>(VLOOKUP(A77,'Uncorrected Area Counts'!$A$4:$AU$99,31,FALSE)/VLOOKUP(A77,'Uncorrected Area Counts'!$A$4:$AU$99,47,FALSE))*100</f>
        <v>#DIV/0!</v>
      </c>
      <c r="P77" s="568" t="e">
        <f>VLOOKUP(A77,'Uncorrected Area Counts'!$A$4:$AU$99,31,FALSE)/VLOOKUP(A77,'Uncorrected Area Counts'!$A$4:$AU$99,3,FALSE)/VLOOKUP(7,'Plate Planning'!$L$20:$S$35,4,FALSE)*VLOOKUP("standard",'Plate Planning'!$L$20:$S$35,4,FALSE)/VLOOKUP(A77,'Uncorrected Area Counts'!$A$4:$AU$99,30,FALSE)*100</f>
        <v>#DIV/0!</v>
      </c>
      <c r="Q77" s="581" t="e">
        <f>(VLOOKUP(A77,'Uncorrected Area Counts'!$A$4:$AU$99,35,FALSE)/VLOOKUP(A77,'Uncorrected Area Counts'!$A$4:$AU$99,47,FALSE))*100</f>
        <v>#DIV/0!</v>
      </c>
      <c r="R77" s="477" t="e">
        <f>VLOOKUP(A77,'Uncorrected Area Counts'!$A$4:$AU$99,35,FALSE)/VLOOKUP(A77,'Uncorrected Area Counts'!$A$4:$AU$99,3,FALSE)/VLOOKUP(8,'Plate Planning'!$L$20:$S$35,4,FALSE)*VLOOKUP("standard",'Plate Planning'!$L$20:$S$35,4,FALSE)/VLOOKUP(A77,'Uncorrected Area Counts'!$A$4:$AU$99,34,FALSE)*100</f>
        <v>#DIV/0!</v>
      </c>
      <c r="S77" s="589" t="e">
        <f>(VLOOKUP(A77,'Uncorrected Area Counts'!$A$4:$AU$99,39,FALSE)/VLOOKUP(A77,'Uncorrected Area Counts'!$A$4:$AU$99,47,FALSE))*100</f>
        <v>#DIV/0!</v>
      </c>
      <c r="T77" s="569" t="e">
        <f>VLOOKUP(A77,'Uncorrected Area Counts'!$A$4:$AU$99,39,FALSE)/VLOOKUP(A77,'Uncorrected Area Counts'!$A$4:$AU$99,3,FALSE)/VLOOKUP(8,'Plate Planning'!$L$20:$S$35,4,FALSE)*VLOOKUP("standard",'Plate Planning'!$L$20:$S$35,4,FALSE)/VLOOKUP(A77,'Uncorrected Area Counts'!$A$4:$AU$99,38,FALSE)*100</f>
        <v>#DIV/0!</v>
      </c>
      <c r="U77" s="589" t="e">
        <f>(VLOOKUP(A77,'Uncorrected Area Counts'!$A$4:$AU$99,43,FALSE)/VLOOKUP(A77,'Uncorrected Area Counts'!$A$4:$AU$99,47,FALSE))*100</f>
        <v>#DIV/0!</v>
      </c>
      <c r="V77" s="604" t="e">
        <f>VLOOKUP(A77,'Uncorrected Area Counts'!$A$4:$AU$99,43,FALSE)/VLOOKUP(A77,'Uncorrected Area Counts'!$A$4:$AU$99,3,FALSE)/VLOOKUP(8,'Plate Planning'!$L$20:$S$35,4,FALSE)*VLOOKUP("standard",'Plate Planning'!$L$20:$S$35,4,FALSE)/VLOOKUP(A77,'Uncorrected Area Counts'!$A$4:$AU$99,42,FALSE)*100</f>
        <v>#DIV/0!</v>
      </c>
    </row>
    <row r="78" spans="1:22">
      <c r="A78" s="478" t="s">
        <v>1236</v>
      </c>
      <c r="B78" s="565" t="s">
        <v>22</v>
      </c>
      <c r="C78" s="573" t="e">
        <f>(VLOOKUP(A78,'Uncorrected Area Counts'!$A$4:$AU$99,7,FALSE)/VLOOKUP(A78,'Uncorrected Area Counts'!$A$4:$AU$99,47,FALSE))*100</f>
        <v>#DIV/0!</v>
      </c>
      <c r="D78" s="566" t="e">
        <f>VLOOKUP(A78,'Uncorrected Area Counts'!$A$4:$AU$99,7,FALSE)/VLOOKUP(A78,'Uncorrected Area Counts'!$A$4:$AU$99,3,FALSE)/VLOOKUP(1,'Plate Planning'!$L$20:$S$35,4,FALSE)*VLOOKUP("standard",'Plate Planning'!$L$20:$S$35,4,FALSE)/VLOOKUP(A78,'Uncorrected Area Counts'!$A$4:$AU$99,6,FALSE)*100</f>
        <v>#DIV/0!</v>
      </c>
      <c r="E78" s="576" t="e">
        <f>(VLOOKUP(A78,'Uncorrected Area Counts'!$A$4:$AU$99,11,FALSE)/VLOOKUP(A78,'Uncorrected Area Counts'!$A$4:$AU$99,47,FALSE))*100</f>
        <v>#DIV/0!</v>
      </c>
      <c r="F78" s="566" t="e">
        <f>VLOOKUP(A78,'Uncorrected Area Counts'!$A$4:$AU$99,11,FALSE)/VLOOKUP(A78,'Uncorrected Area Counts'!$A$4:$AU$99,3,FALSE)/VLOOKUP(2,'Plate Planning'!$L$20:$S$35,4,FALSE)*VLOOKUP("standard",'Plate Planning'!$L$20:$S$35,4,FALSE)/VLOOKUP(A78,'Uncorrected Area Counts'!$A$4:$AU$99,10,FALSE)*100</f>
        <v>#DIV/0!</v>
      </c>
      <c r="G78" s="576" t="e">
        <f>(VLOOKUP(A78,'Uncorrected Area Counts'!$A$4:$AU$99,15,FALSE)/VLOOKUP(A78,'Uncorrected Area Counts'!$A$4:$AU$99,47,FALSE))*100</f>
        <v>#DIV/0!</v>
      </c>
      <c r="H78" s="566" t="e">
        <f>VLOOKUP(A78,'Uncorrected Area Counts'!$A$4:$AU$99,15,FALSE)/VLOOKUP(A78,'Uncorrected Area Counts'!$A$4:$AU$99,3,FALSE)/VLOOKUP(3,'Plate Planning'!$L$20:$S$35,4,FALSE)*VLOOKUP("standard",'Plate Planning'!$L$20:$S$35,4,FALSE)/VLOOKUP(A78,'Uncorrected Area Counts'!$A$4:$AU$99,14,FALSE)*100</f>
        <v>#DIV/0!</v>
      </c>
      <c r="I78" s="576" t="e">
        <f>(VLOOKUP(A78,'Uncorrected Area Counts'!$A$4:$AU$99,19,FALSE)/VLOOKUP(A78,'Uncorrected Area Counts'!$A$4:$AU$99,47,FALSE))*100</f>
        <v>#DIV/0!</v>
      </c>
      <c r="J78" s="567" t="e">
        <f>VLOOKUP(A78,'Uncorrected Area Counts'!$A$4:$AU$99,19,FALSE)/VLOOKUP(A78,'Uncorrected Area Counts'!$A$4:$AU$99,3,FALSE)/VLOOKUP(4,'Plate Planning'!$L$20:$S$35,4,FALSE)*VLOOKUP("standard",'Plate Planning'!$L$20:$S$35,4,FALSE)/VLOOKUP(A78,'Uncorrected Area Counts'!$A$4:$AU$99,18,FALSE)*100</f>
        <v>#DIV/0!</v>
      </c>
      <c r="K78" s="581" t="e">
        <f>(VLOOKUP(A78,'Uncorrected Area Counts'!$A$4:$AU$99,23,FALSE)/VLOOKUP(A78,'Uncorrected Area Counts'!$A$4:$AU$99,47,FALSE))*100</f>
        <v>#DIV/0!</v>
      </c>
      <c r="L78" s="568" t="e">
        <f>VLOOKUP(A78,'Uncorrected Area Counts'!$A$4:$AU$99,23,FALSE)/VLOOKUP(A78,'Uncorrected Area Counts'!$A$4:$AU$99,3,FALSE)/VLOOKUP(5,'Plate Planning'!$L$20:$S$35,4,FALSE)*VLOOKUP("standard",'Plate Planning'!$L$20:$S$35,4,FALSE)/VLOOKUP(A78,'Uncorrected Area Counts'!$A$4:$AU$99,22,FALSE)*100</f>
        <v>#DIV/0!</v>
      </c>
      <c r="M78" s="581" t="e">
        <f>(VLOOKUP(A78,'Uncorrected Area Counts'!$A$4:$AU$99,27,FALSE)/VLOOKUP(A78,'Uncorrected Area Counts'!$A$4:$AU$99,47,FALSE))*100</f>
        <v>#DIV/0!</v>
      </c>
      <c r="N78" s="567" t="e">
        <f>VLOOKUP(A78,'Uncorrected Area Counts'!$A$4:$AU$99,27,FALSE)/VLOOKUP(A78,'Uncorrected Area Counts'!$A$4:$AU$99,3,FALSE)/VLOOKUP(6,'Plate Planning'!$L$20:$S$35,4,FALSE)*VLOOKUP("standard",'Plate Planning'!$L$20:$S$35,4,FALSE)/VLOOKUP(A78,'Uncorrected Area Counts'!$A$4:$AU$99,26,FALSE)*100</f>
        <v>#DIV/0!</v>
      </c>
      <c r="O78" s="581" t="e">
        <f>(VLOOKUP(A78,'Uncorrected Area Counts'!$A$4:$AU$99,31,FALSE)/VLOOKUP(A78,'Uncorrected Area Counts'!$A$4:$AU$99,47,FALSE))*100</f>
        <v>#DIV/0!</v>
      </c>
      <c r="P78" s="568" t="e">
        <f>VLOOKUP(A78,'Uncorrected Area Counts'!$A$4:$AU$99,31,FALSE)/VLOOKUP(A78,'Uncorrected Area Counts'!$A$4:$AU$99,3,FALSE)/VLOOKUP(7,'Plate Planning'!$L$20:$S$35,4,FALSE)*VLOOKUP("standard",'Plate Planning'!$L$20:$S$35,4,FALSE)/VLOOKUP(A78,'Uncorrected Area Counts'!$A$4:$AU$99,30,FALSE)*100</f>
        <v>#DIV/0!</v>
      </c>
      <c r="Q78" s="581" t="e">
        <f>(VLOOKUP(A78,'Uncorrected Area Counts'!$A$4:$AU$99,35,FALSE)/VLOOKUP(A78,'Uncorrected Area Counts'!$A$4:$AU$99,47,FALSE))*100</f>
        <v>#DIV/0!</v>
      </c>
      <c r="R78" s="477" t="e">
        <f>VLOOKUP(A78,'Uncorrected Area Counts'!$A$4:$AU$99,35,FALSE)/VLOOKUP(A78,'Uncorrected Area Counts'!$A$4:$AU$99,3,FALSE)/VLOOKUP(8,'Plate Planning'!$L$20:$S$35,4,FALSE)*VLOOKUP("standard",'Plate Planning'!$L$20:$S$35,4,FALSE)/VLOOKUP(A78,'Uncorrected Area Counts'!$A$4:$AU$99,34,FALSE)*100</f>
        <v>#DIV/0!</v>
      </c>
      <c r="S78" s="589" t="e">
        <f>(VLOOKUP(A78,'Uncorrected Area Counts'!$A$4:$AU$99,39,FALSE)/VLOOKUP(A78,'Uncorrected Area Counts'!$A$4:$AU$99,47,FALSE))*100</f>
        <v>#DIV/0!</v>
      </c>
      <c r="T78" s="569" t="e">
        <f>VLOOKUP(A78,'Uncorrected Area Counts'!$A$4:$AU$99,39,FALSE)/VLOOKUP(A78,'Uncorrected Area Counts'!$A$4:$AU$99,3,FALSE)/VLOOKUP(8,'Plate Planning'!$L$20:$S$35,4,FALSE)*VLOOKUP("standard",'Plate Planning'!$L$20:$S$35,4,FALSE)/VLOOKUP(A78,'Uncorrected Area Counts'!$A$4:$AU$99,38,FALSE)*100</f>
        <v>#DIV/0!</v>
      </c>
      <c r="U78" s="589" t="e">
        <f>(VLOOKUP(A78,'Uncorrected Area Counts'!$A$4:$AU$99,43,FALSE)/VLOOKUP(A78,'Uncorrected Area Counts'!$A$4:$AU$99,47,FALSE))*100</f>
        <v>#DIV/0!</v>
      </c>
      <c r="V78" s="604" t="e">
        <f>VLOOKUP(A78,'Uncorrected Area Counts'!$A$4:$AU$99,43,FALSE)/VLOOKUP(A78,'Uncorrected Area Counts'!$A$4:$AU$99,3,FALSE)/VLOOKUP(8,'Plate Planning'!$L$20:$S$35,4,FALSE)*VLOOKUP("standard",'Plate Planning'!$L$20:$S$35,4,FALSE)/VLOOKUP(A78,'Uncorrected Area Counts'!$A$4:$AU$99,42,FALSE)*100</f>
        <v>#DIV/0!</v>
      </c>
    </row>
    <row r="79" spans="1:22">
      <c r="A79" s="478" t="s">
        <v>1237</v>
      </c>
      <c r="B79" s="565" t="s">
        <v>22</v>
      </c>
      <c r="C79" s="573" t="e">
        <f>(VLOOKUP(A79,'Uncorrected Area Counts'!$A$4:$AU$99,7,FALSE)/VLOOKUP(A79,'Uncorrected Area Counts'!$A$4:$AU$99,47,FALSE))*100</f>
        <v>#DIV/0!</v>
      </c>
      <c r="D79" s="566" t="e">
        <f>VLOOKUP(A79,'Uncorrected Area Counts'!$A$4:$AU$99,7,FALSE)/VLOOKUP(A79,'Uncorrected Area Counts'!$A$4:$AU$99,3,FALSE)/VLOOKUP(1,'Plate Planning'!$L$20:$S$35,4,FALSE)*VLOOKUP("standard",'Plate Planning'!$L$20:$S$35,4,FALSE)/VLOOKUP(A79,'Uncorrected Area Counts'!$A$4:$AU$99,6,FALSE)*100</f>
        <v>#DIV/0!</v>
      </c>
      <c r="E79" s="576" t="e">
        <f>(VLOOKUP(A79,'Uncorrected Area Counts'!$A$4:$AU$99,11,FALSE)/VLOOKUP(A79,'Uncorrected Area Counts'!$A$4:$AU$99,47,FALSE))*100</f>
        <v>#DIV/0!</v>
      </c>
      <c r="F79" s="566" t="e">
        <f>VLOOKUP(A79,'Uncorrected Area Counts'!$A$4:$AU$99,11,FALSE)/VLOOKUP(A79,'Uncorrected Area Counts'!$A$4:$AU$99,3,FALSE)/VLOOKUP(2,'Plate Planning'!$L$20:$S$35,4,FALSE)*VLOOKUP("standard",'Plate Planning'!$L$20:$S$35,4,FALSE)/VLOOKUP(A79,'Uncorrected Area Counts'!$A$4:$AU$99,10,FALSE)*100</f>
        <v>#DIV/0!</v>
      </c>
      <c r="G79" s="576" t="e">
        <f>(VLOOKUP(A79,'Uncorrected Area Counts'!$A$4:$AU$99,15,FALSE)/VLOOKUP(A79,'Uncorrected Area Counts'!$A$4:$AU$99,47,FALSE))*100</f>
        <v>#DIV/0!</v>
      </c>
      <c r="H79" s="566" t="e">
        <f>VLOOKUP(A79,'Uncorrected Area Counts'!$A$4:$AU$99,15,FALSE)/VLOOKUP(A79,'Uncorrected Area Counts'!$A$4:$AU$99,3,FALSE)/VLOOKUP(3,'Plate Planning'!$L$20:$S$35,4,FALSE)*VLOOKUP("standard",'Plate Planning'!$L$20:$S$35,4,FALSE)/VLOOKUP(A79,'Uncorrected Area Counts'!$A$4:$AU$99,14,FALSE)*100</f>
        <v>#DIV/0!</v>
      </c>
      <c r="I79" s="576" t="e">
        <f>(VLOOKUP(A79,'Uncorrected Area Counts'!$A$4:$AU$99,19,FALSE)/VLOOKUP(A79,'Uncorrected Area Counts'!$A$4:$AU$99,47,FALSE))*100</f>
        <v>#DIV/0!</v>
      </c>
      <c r="J79" s="567" t="e">
        <f>VLOOKUP(A79,'Uncorrected Area Counts'!$A$4:$AU$99,19,FALSE)/VLOOKUP(A79,'Uncorrected Area Counts'!$A$4:$AU$99,3,FALSE)/VLOOKUP(4,'Plate Planning'!$L$20:$S$35,4,FALSE)*VLOOKUP("standard",'Plate Planning'!$L$20:$S$35,4,FALSE)/VLOOKUP(A79,'Uncorrected Area Counts'!$A$4:$AU$99,18,FALSE)*100</f>
        <v>#DIV/0!</v>
      </c>
      <c r="K79" s="581" t="e">
        <f>(VLOOKUP(A79,'Uncorrected Area Counts'!$A$4:$AU$99,23,FALSE)/VLOOKUP(A79,'Uncorrected Area Counts'!$A$4:$AU$99,47,FALSE))*100</f>
        <v>#DIV/0!</v>
      </c>
      <c r="L79" s="568" t="e">
        <f>VLOOKUP(A79,'Uncorrected Area Counts'!$A$4:$AU$99,23,FALSE)/VLOOKUP(A79,'Uncorrected Area Counts'!$A$4:$AU$99,3,FALSE)/VLOOKUP(5,'Plate Planning'!$L$20:$S$35,4,FALSE)*VLOOKUP("standard",'Plate Planning'!$L$20:$S$35,4,FALSE)/VLOOKUP(A79,'Uncorrected Area Counts'!$A$4:$AU$99,22,FALSE)*100</f>
        <v>#DIV/0!</v>
      </c>
      <c r="M79" s="581" t="e">
        <f>(VLOOKUP(A79,'Uncorrected Area Counts'!$A$4:$AU$99,27,FALSE)/VLOOKUP(A79,'Uncorrected Area Counts'!$A$4:$AU$99,47,FALSE))*100</f>
        <v>#DIV/0!</v>
      </c>
      <c r="N79" s="567" t="e">
        <f>VLOOKUP(A79,'Uncorrected Area Counts'!$A$4:$AU$99,27,FALSE)/VLOOKUP(A79,'Uncorrected Area Counts'!$A$4:$AU$99,3,FALSE)/VLOOKUP(6,'Plate Planning'!$L$20:$S$35,4,FALSE)*VLOOKUP("standard",'Plate Planning'!$L$20:$S$35,4,FALSE)/VLOOKUP(A79,'Uncorrected Area Counts'!$A$4:$AU$99,26,FALSE)*100</f>
        <v>#DIV/0!</v>
      </c>
      <c r="O79" s="581" t="e">
        <f>(VLOOKUP(A79,'Uncorrected Area Counts'!$A$4:$AU$99,31,FALSE)/VLOOKUP(A79,'Uncorrected Area Counts'!$A$4:$AU$99,47,FALSE))*100</f>
        <v>#DIV/0!</v>
      </c>
      <c r="P79" s="568" t="e">
        <f>VLOOKUP(A79,'Uncorrected Area Counts'!$A$4:$AU$99,31,FALSE)/VLOOKUP(A79,'Uncorrected Area Counts'!$A$4:$AU$99,3,FALSE)/VLOOKUP(7,'Plate Planning'!$L$20:$S$35,4,FALSE)*VLOOKUP("standard",'Plate Planning'!$L$20:$S$35,4,FALSE)/VLOOKUP(A79,'Uncorrected Area Counts'!$A$4:$AU$99,30,FALSE)*100</f>
        <v>#DIV/0!</v>
      </c>
      <c r="Q79" s="581" t="e">
        <f>(VLOOKUP(A79,'Uncorrected Area Counts'!$A$4:$AU$99,35,FALSE)/VLOOKUP(A79,'Uncorrected Area Counts'!$A$4:$AU$99,47,FALSE))*100</f>
        <v>#DIV/0!</v>
      </c>
      <c r="R79" s="477" t="e">
        <f>VLOOKUP(A79,'Uncorrected Area Counts'!$A$4:$AU$99,35,FALSE)/VLOOKUP(A79,'Uncorrected Area Counts'!$A$4:$AU$99,3,FALSE)/VLOOKUP(8,'Plate Planning'!$L$20:$S$35,4,FALSE)*VLOOKUP("standard",'Plate Planning'!$L$20:$S$35,4,FALSE)/VLOOKUP(A79,'Uncorrected Area Counts'!$A$4:$AU$99,34,FALSE)*100</f>
        <v>#DIV/0!</v>
      </c>
      <c r="S79" s="589" t="e">
        <f>(VLOOKUP(A79,'Uncorrected Area Counts'!$A$4:$AU$99,39,FALSE)/VLOOKUP(A79,'Uncorrected Area Counts'!$A$4:$AU$99,47,FALSE))*100</f>
        <v>#DIV/0!</v>
      </c>
      <c r="T79" s="569" t="e">
        <f>VLOOKUP(A79,'Uncorrected Area Counts'!$A$4:$AU$99,39,FALSE)/VLOOKUP(A79,'Uncorrected Area Counts'!$A$4:$AU$99,3,FALSE)/VLOOKUP(8,'Plate Planning'!$L$20:$S$35,4,FALSE)*VLOOKUP("standard",'Plate Planning'!$L$20:$S$35,4,FALSE)/VLOOKUP(A79,'Uncorrected Area Counts'!$A$4:$AU$99,38,FALSE)*100</f>
        <v>#DIV/0!</v>
      </c>
      <c r="U79" s="589" t="e">
        <f>(VLOOKUP(A79,'Uncorrected Area Counts'!$A$4:$AU$99,43,FALSE)/VLOOKUP(A79,'Uncorrected Area Counts'!$A$4:$AU$99,47,FALSE))*100</f>
        <v>#DIV/0!</v>
      </c>
      <c r="V79" s="604" t="e">
        <f>VLOOKUP(A79,'Uncorrected Area Counts'!$A$4:$AU$99,43,FALSE)/VLOOKUP(A79,'Uncorrected Area Counts'!$A$4:$AU$99,3,FALSE)/VLOOKUP(8,'Plate Planning'!$L$20:$S$35,4,FALSE)*VLOOKUP("standard",'Plate Planning'!$L$20:$S$35,4,FALSE)/VLOOKUP(A79,'Uncorrected Area Counts'!$A$4:$AU$99,42,FALSE)*100</f>
        <v>#DIV/0!</v>
      </c>
    </row>
    <row r="80" spans="1:22">
      <c r="A80" s="478" t="s">
        <v>1238</v>
      </c>
      <c r="B80" s="565" t="s">
        <v>22</v>
      </c>
      <c r="C80" s="573" t="e">
        <f>(VLOOKUP(A80,'Uncorrected Area Counts'!$A$4:$AU$99,7,FALSE)/VLOOKUP(A80,'Uncorrected Area Counts'!$A$4:$AU$99,47,FALSE))*100</f>
        <v>#DIV/0!</v>
      </c>
      <c r="D80" s="566" t="e">
        <f>VLOOKUP(A80,'Uncorrected Area Counts'!$A$4:$AU$99,7,FALSE)/VLOOKUP(A80,'Uncorrected Area Counts'!$A$4:$AU$99,3,FALSE)/VLOOKUP(1,'Plate Planning'!$L$20:$S$35,4,FALSE)*VLOOKUP("standard",'Plate Planning'!$L$20:$S$35,4,FALSE)/VLOOKUP(A80,'Uncorrected Area Counts'!$A$4:$AU$99,6,FALSE)*100</f>
        <v>#DIV/0!</v>
      </c>
      <c r="E80" s="576" t="e">
        <f>(VLOOKUP(A80,'Uncorrected Area Counts'!$A$4:$AU$99,11,FALSE)/VLOOKUP(A80,'Uncorrected Area Counts'!$A$4:$AU$99,47,FALSE))*100</f>
        <v>#DIV/0!</v>
      </c>
      <c r="F80" s="566" t="e">
        <f>VLOOKUP(A80,'Uncorrected Area Counts'!$A$4:$AU$99,11,FALSE)/VLOOKUP(A80,'Uncorrected Area Counts'!$A$4:$AU$99,3,FALSE)/VLOOKUP(2,'Plate Planning'!$L$20:$S$35,4,FALSE)*VLOOKUP("standard",'Plate Planning'!$L$20:$S$35,4,FALSE)/VLOOKUP(A80,'Uncorrected Area Counts'!$A$4:$AU$99,10,FALSE)*100</f>
        <v>#DIV/0!</v>
      </c>
      <c r="G80" s="576" t="e">
        <f>(VLOOKUP(A80,'Uncorrected Area Counts'!$A$4:$AU$99,15,FALSE)/VLOOKUP(A80,'Uncorrected Area Counts'!$A$4:$AU$99,47,FALSE))*100</f>
        <v>#DIV/0!</v>
      </c>
      <c r="H80" s="566" t="e">
        <f>VLOOKUP(A80,'Uncorrected Area Counts'!$A$4:$AU$99,15,FALSE)/VLOOKUP(A80,'Uncorrected Area Counts'!$A$4:$AU$99,3,FALSE)/VLOOKUP(3,'Plate Planning'!$L$20:$S$35,4,FALSE)*VLOOKUP("standard",'Plate Planning'!$L$20:$S$35,4,FALSE)/VLOOKUP(A80,'Uncorrected Area Counts'!$A$4:$AU$99,14,FALSE)*100</f>
        <v>#DIV/0!</v>
      </c>
      <c r="I80" s="576" t="e">
        <f>(VLOOKUP(A80,'Uncorrected Area Counts'!$A$4:$AU$99,19,FALSE)/VLOOKUP(A80,'Uncorrected Area Counts'!$A$4:$AU$99,47,FALSE))*100</f>
        <v>#DIV/0!</v>
      </c>
      <c r="J80" s="567" t="e">
        <f>VLOOKUP(A80,'Uncorrected Area Counts'!$A$4:$AU$99,19,FALSE)/VLOOKUP(A80,'Uncorrected Area Counts'!$A$4:$AU$99,3,FALSE)/VLOOKUP(4,'Plate Planning'!$L$20:$S$35,4,FALSE)*VLOOKUP("standard",'Plate Planning'!$L$20:$S$35,4,FALSE)/VLOOKUP(A80,'Uncorrected Area Counts'!$A$4:$AU$99,18,FALSE)*100</f>
        <v>#DIV/0!</v>
      </c>
      <c r="K80" s="581" t="e">
        <f>(VLOOKUP(A80,'Uncorrected Area Counts'!$A$4:$AU$99,23,FALSE)/VLOOKUP(A80,'Uncorrected Area Counts'!$A$4:$AU$99,47,FALSE))*100</f>
        <v>#DIV/0!</v>
      </c>
      <c r="L80" s="568" t="e">
        <f>VLOOKUP(A80,'Uncorrected Area Counts'!$A$4:$AU$99,23,FALSE)/VLOOKUP(A80,'Uncorrected Area Counts'!$A$4:$AU$99,3,FALSE)/VLOOKUP(5,'Plate Planning'!$L$20:$S$35,4,FALSE)*VLOOKUP("standard",'Plate Planning'!$L$20:$S$35,4,FALSE)/VLOOKUP(A80,'Uncorrected Area Counts'!$A$4:$AU$99,22,FALSE)*100</f>
        <v>#DIV/0!</v>
      </c>
      <c r="M80" s="581" t="e">
        <f>(VLOOKUP(A80,'Uncorrected Area Counts'!$A$4:$AU$99,27,FALSE)/VLOOKUP(A80,'Uncorrected Area Counts'!$A$4:$AU$99,47,FALSE))*100</f>
        <v>#DIV/0!</v>
      </c>
      <c r="N80" s="567" t="e">
        <f>VLOOKUP(A80,'Uncorrected Area Counts'!$A$4:$AU$99,27,FALSE)/VLOOKUP(A80,'Uncorrected Area Counts'!$A$4:$AU$99,3,FALSE)/VLOOKUP(6,'Plate Planning'!$L$20:$S$35,4,FALSE)*VLOOKUP("standard",'Plate Planning'!$L$20:$S$35,4,FALSE)/VLOOKUP(A80,'Uncorrected Area Counts'!$A$4:$AU$99,26,FALSE)*100</f>
        <v>#DIV/0!</v>
      </c>
      <c r="O80" s="581" t="e">
        <f>(VLOOKUP(A80,'Uncorrected Area Counts'!$A$4:$AU$99,31,FALSE)/VLOOKUP(A80,'Uncorrected Area Counts'!$A$4:$AU$99,47,FALSE))*100</f>
        <v>#DIV/0!</v>
      </c>
      <c r="P80" s="568" t="e">
        <f>VLOOKUP(A80,'Uncorrected Area Counts'!$A$4:$AU$99,31,FALSE)/VLOOKUP(A80,'Uncorrected Area Counts'!$A$4:$AU$99,3,FALSE)/VLOOKUP(7,'Plate Planning'!$L$20:$S$35,4,FALSE)*VLOOKUP("standard",'Plate Planning'!$L$20:$S$35,4,FALSE)/VLOOKUP(A80,'Uncorrected Area Counts'!$A$4:$AU$99,30,FALSE)*100</f>
        <v>#DIV/0!</v>
      </c>
      <c r="Q80" s="581" t="e">
        <f>(VLOOKUP(A80,'Uncorrected Area Counts'!$A$4:$AU$99,35,FALSE)/VLOOKUP(A80,'Uncorrected Area Counts'!$A$4:$AU$99,47,FALSE))*100</f>
        <v>#DIV/0!</v>
      </c>
      <c r="R80" s="477" t="e">
        <f>VLOOKUP(A80,'Uncorrected Area Counts'!$A$4:$AU$99,35,FALSE)/VLOOKUP(A80,'Uncorrected Area Counts'!$A$4:$AU$99,3,FALSE)/VLOOKUP(8,'Plate Planning'!$L$20:$S$35,4,FALSE)*VLOOKUP("standard",'Plate Planning'!$L$20:$S$35,4,FALSE)/VLOOKUP(A80,'Uncorrected Area Counts'!$A$4:$AU$99,34,FALSE)*100</f>
        <v>#DIV/0!</v>
      </c>
      <c r="S80" s="589" t="e">
        <f>(VLOOKUP(A80,'Uncorrected Area Counts'!$A$4:$AU$99,39,FALSE)/VLOOKUP(A80,'Uncorrected Area Counts'!$A$4:$AU$99,47,FALSE))*100</f>
        <v>#DIV/0!</v>
      </c>
      <c r="T80" s="569" t="e">
        <f>VLOOKUP(A80,'Uncorrected Area Counts'!$A$4:$AU$99,39,FALSE)/VLOOKUP(A80,'Uncorrected Area Counts'!$A$4:$AU$99,3,FALSE)/VLOOKUP(8,'Plate Planning'!$L$20:$S$35,4,FALSE)*VLOOKUP("standard",'Plate Planning'!$L$20:$S$35,4,FALSE)/VLOOKUP(A80,'Uncorrected Area Counts'!$A$4:$AU$99,38,FALSE)*100</f>
        <v>#DIV/0!</v>
      </c>
      <c r="U80" s="589" t="e">
        <f>(VLOOKUP(A80,'Uncorrected Area Counts'!$A$4:$AU$99,43,FALSE)/VLOOKUP(A80,'Uncorrected Area Counts'!$A$4:$AU$99,47,FALSE))*100</f>
        <v>#DIV/0!</v>
      </c>
      <c r="V80" s="604" t="e">
        <f>VLOOKUP(A80,'Uncorrected Area Counts'!$A$4:$AU$99,43,FALSE)/VLOOKUP(A80,'Uncorrected Area Counts'!$A$4:$AU$99,3,FALSE)/VLOOKUP(8,'Plate Planning'!$L$20:$S$35,4,FALSE)*VLOOKUP("standard",'Plate Planning'!$L$20:$S$35,4,FALSE)/VLOOKUP(A80,'Uncorrected Area Counts'!$A$4:$AU$99,42,FALSE)*100</f>
        <v>#DIV/0!</v>
      </c>
    </row>
    <row r="81" spans="1:22">
      <c r="A81" s="478" t="s">
        <v>1239</v>
      </c>
      <c r="B81" s="565" t="s">
        <v>22</v>
      </c>
      <c r="C81" s="573" t="e">
        <f>(VLOOKUP(A81,'Uncorrected Area Counts'!$A$4:$AU$99,7,FALSE)/VLOOKUP(A81,'Uncorrected Area Counts'!$A$4:$AU$99,47,FALSE))*100</f>
        <v>#DIV/0!</v>
      </c>
      <c r="D81" s="566" t="e">
        <f>VLOOKUP(A81,'Uncorrected Area Counts'!$A$4:$AU$99,7,FALSE)/VLOOKUP(A81,'Uncorrected Area Counts'!$A$4:$AU$99,3,FALSE)/VLOOKUP(1,'Plate Planning'!$L$20:$S$35,4,FALSE)*VLOOKUP("standard",'Plate Planning'!$L$20:$S$35,4,FALSE)/VLOOKUP(A81,'Uncorrected Area Counts'!$A$4:$AU$99,6,FALSE)*100</f>
        <v>#DIV/0!</v>
      </c>
      <c r="E81" s="576" t="e">
        <f>(VLOOKUP(A81,'Uncorrected Area Counts'!$A$4:$AU$99,11,FALSE)/VLOOKUP(A81,'Uncorrected Area Counts'!$A$4:$AU$99,47,FALSE))*100</f>
        <v>#DIV/0!</v>
      </c>
      <c r="F81" s="566" t="e">
        <f>VLOOKUP(A81,'Uncorrected Area Counts'!$A$4:$AU$99,11,FALSE)/VLOOKUP(A81,'Uncorrected Area Counts'!$A$4:$AU$99,3,FALSE)/VLOOKUP(2,'Plate Planning'!$L$20:$S$35,4,FALSE)*VLOOKUP("standard",'Plate Planning'!$L$20:$S$35,4,FALSE)/VLOOKUP(A81,'Uncorrected Area Counts'!$A$4:$AU$99,10,FALSE)*100</f>
        <v>#DIV/0!</v>
      </c>
      <c r="G81" s="576" t="e">
        <f>(VLOOKUP(A81,'Uncorrected Area Counts'!$A$4:$AU$99,15,FALSE)/VLOOKUP(A81,'Uncorrected Area Counts'!$A$4:$AU$99,47,FALSE))*100</f>
        <v>#DIV/0!</v>
      </c>
      <c r="H81" s="566" t="e">
        <f>VLOOKUP(A81,'Uncorrected Area Counts'!$A$4:$AU$99,15,FALSE)/VLOOKUP(A81,'Uncorrected Area Counts'!$A$4:$AU$99,3,FALSE)/VLOOKUP(3,'Plate Planning'!$L$20:$S$35,4,FALSE)*VLOOKUP("standard",'Plate Planning'!$L$20:$S$35,4,FALSE)/VLOOKUP(A81,'Uncorrected Area Counts'!$A$4:$AU$99,14,FALSE)*100</f>
        <v>#DIV/0!</v>
      </c>
      <c r="I81" s="576" t="e">
        <f>(VLOOKUP(A81,'Uncorrected Area Counts'!$A$4:$AU$99,19,FALSE)/VLOOKUP(A81,'Uncorrected Area Counts'!$A$4:$AU$99,47,FALSE))*100</f>
        <v>#DIV/0!</v>
      </c>
      <c r="J81" s="567" t="e">
        <f>VLOOKUP(A81,'Uncorrected Area Counts'!$A$4:$AU$99,19,FALSE)/VLOOKUP(A81,'Uncorrected Area Counts'!$A$4:$AU$99,3,FALSE)/VLOOKUP(4,'Plate Planning'!$L$20:$S$35,4,FALSE)*VLOOKUP("standard",'Plate Planning'!$L$20:$S$35,4,FALSE)/VLOOKUP(A81,'Uncorrected Area Counts'!$A$4:$AU$99,18,FALSE)*100</f>
        <v>#DIV/0!</v>
      </c>
      <c r="K81" s="581" t="e">
        <f>(VLOOKUP(A81,'Uncorrected Area Counts'!$A$4:$AU$99,23,FALSE)/VLOOKUP(A81,'Uncorrected Area Counts'!$A$4:$AU$99,47,FALSE))*100</f>
        <v>#DIV/0!</v>
      </c>
      <c r="L81" s="568" t="e">
        <f>VLOOKUP(A81,'Uncorrected Area Counts'!$A$4:$AU$99,23,FALSE)/VLOOKUP(A81,'Uncorrected Area Counts'!$A$4:$AU$99,3,FALSE)/VLOOKUP(5,'Plate Planning'!$L$20:$S$35,4,FALSE)*VLOOKUP("standard",'Plate Planning'!$L$20:$S$35,4,FALSE)/VLOOKUP(A81,'Uncorrected Area Counts'!$A$4:$AU$99,22,FALSE)*100</f>
        <v>#DIV/0!</v>
      </c>
      <c r="M81" s="581" t="e">
        <f>(VLOOKUP(A81,'Uncorrected Area Counts'!$A$4:$AU$99,27,FALSE)/VLOOKUP(A81,'Uncorrected Area Counts'!$A$4:$AU$99,47,FALSE))*100</f>
        <v>#DIV/0!</v>
      </c>
      <c r="N81" s="567" t="e">
        <f>VLOOKUP(A81,'Uncorrected Area Counts'!$A$4:$AU$99,27,FALSE)/VLOOKUP(A81,'Uncorrected Area Counts'!$A$4:$AU$99,3,FALSE)/VLOOKUP(6,'Plate Planning'!$L$20:$S$35,4,FALSE)*VLOOKUP("standard",'Plate Planning'!$L$20:$S$35,4,FALSE)/VLOOKUP(A81,'Uncorrected Area Counts'!$A$4:$AU$99,26,FALSE)*100</f>
        <v>#DIV/0!</v>
      </c>
      <c r="O81" s="581" t="e">
        <f>(VLOOKUP(A81,'Uncorrected Area Counts'!$A$4:$AU$99,31,FALSE)/VLOOKUP(A81,'Uncorrected Area Counts'!$A$4:$AU$99,47,FALSE))*100</f>
        <v>#DIV/0!</v>
      </c>
      <c r="P81" s="568" t="e">
        <f>VLOOKUP(A81,'Uncorrected Area Counts'!$A$4:$AU$99,31,FALSE)/VLOOKUP(A81,'Uncorrected Area Counts'!$A$4:$AU$99,3,FALSE)/VLOOKUP(7,'Plate Planning'!$L$20:$S$35,4,FALSE)*VLOOKUP("standard",'Plate Planning'!$L$20:$S$35,4,FALSE)/VLOOKUP(A81,'Uncorrected Area Counts'!$A$4:$AU$99,30,FALSE)*100</f>
        <v>#DIV/0!</v>
      </c>
      <c r="Q81" s="581" t="e">
        <f>(VLOOKUP(A81,'Uncorrected Area Counts'!$A$4:$AU$99,35,FALSE)/VLOOKUP(A81,'Uncorrected Area Counts'!$A$4:$AU$99,47,FALSE))*100</f>
        <v>#DIV/0!</v>
      </c>
      <c r="R81" s="477" t="e">
        <f>VLOOKUP(A81,'Uncorrected Area Counts'!$A$4:$AU$99,35,FALSE)/VLOOKUP(A81,'Uncorrected Area Counts'!$A$4:$AU$99,3,FALSE)/VLOOKUP(8,'Plate Planning'!$L$20:$S$35,4,FALSE)*VLOOKUP("standard",'Plate Planning'!$L$20:$S$35,4,FALSE)/VLOOKUP(A81,'Uncorrected Area Counts'!$A$4:$AU$99,34,FALSE)*100</f>
        <v>#DIV/0!</v>
      </c>
      <c r="S81" s="589" t="e">
        <f>(VLOOKUP(A81,'Uncorrected Area Counts'!$A$4:$AU$99,39,FALSE)/VLOOKUP(A81,'Uncorrected Area Counts'!$A$4:$AU$99,47,FALSE))*100</f>
        <v>#DIV/0!</v>
      </c>
      <c r="T81" s="569" t="e">
        <f>VLOOKUP(A81,'Uncorrected Area Counts'!$A$4:$AU$99,39,FALSE)/VLOOKUP(A81,'Uncorrected Area Counts'!$A$4:$AU$99,3,FALSE)/VLOOKUP(8,'Plate Planning'!$L$20:$S$35,4,FALSE)*VLOOKUP("standard",'Plate Planning'!$L$20:$S$35,4,FALSE)/VLOOKUP(A81,'Uncorrected Area Counts'!$A$4:$AU$99,38,FALSE)*100</f>
        <v>#DIV/0!</v>
      </c>
      <c r="U81" s="589" t="e">
        <f>(VLOOKUP(A81,'Uncorrected Area Counts'!$A$4:$AU$99,43,FALSE)/VLOOKUP(A81,'Uncorrected Area Counts'!$A$4:$AU$99,47,FALSE))*100</f>
        <v>#DIV/0!</v>
      </c>
      <c r="V81" s="604" t="e">
        <f>VLOOKUP(A81,'Uncorrected Area Counts'!$A$4:$AU$99,43,FALSE)/VLOOKUP(A81,'Uncorrected Area Counts'!$A$4:$AU$99,3,FALSE)/VLOOKUP(8,'Plate Planning'!$L$20:$S$35,4,FALSE)*VLOOKUP("standard",'Plate Planning'!$L$20:$S$35,4,FALSE)/VLOOKUP(A81,'Uncorrected Area Counts'!$A$4:$AU$99,42,FALSE)*100</f>
        <v>#DIV/0!</v>
      </c>
    </row>
    <row r="82" spans="1:22">
      <c r="A82" s="478" t="s">
        <v>1240</v>
      </c>
      <c r="B82" s="565" t="s">
        <v>22</v>
      </c>
      <c r="C82" s="573" t="e">
        <f>(VLOOKUP(A82,'Uncorrected Area Counts'!$A$4:$AU$99,7,FALSE)/VLOOKUP(A82,'Uncorrected Area Counts'!$A$4:$AU$99,47,FALSE))*100</f>
        <v>#DIV/0!</v>
      </c>
      <c r="D82" s="566" t="e">
        <f>VLOOKUP(A82,'Uncorrected Area Counts'!$A$4:$AU$99,7,FALSE)/VLOOKUP(A82,'Uncorrected Area Counts'!$A$4:$AU$99,3,FALSE)/VLOOKUP(1,'Plate Planning'!$L$20:$S$35,4,FALSE)*VLOOKUP("standard",'Plate Planning'!$L$20:$S$35,4,FALSE)/VLOOKUP(A82,'Uncorrected Area Counts'!$A$4:$AU$99,6,FALSE)*100</f>
        <v>#DIV/0!</v>
      </c>
      <c r="E82" s="576" t="e">
        <f>(VLOOKUP(A82,'Uncorrected Area Counts'!$A$4:$AU$99,11,FALSE)/VLOOKUP(A82,'Uncorrected Area Counts'!$A$4:$AU$99,47,FALSE))*100</f>
        <v>#DIV/0!</v>
      </c>
      <c r="F82" s="566" t="e">
        <f>VLOOKUP(A82,'Uncorrected Area Counts'!$A$4:$AU$99,11,FALSE)/VLOOKUP(A82,'Uncorrected Area Counts'!$A$4:$AU$99,3,FALSE)/VLOOKUP(2,'Plate Planning'!$L$20:$S$35,4,FALSE)*VLOOKUP("standard",'Plate Planning'!$L$20:$S$35,4,FALSE)/VLOOKUP(A82,'Uncorrected Area Counts'!$A$4:$AU$99,10,FALSE)*100</f>
        <v>#DIV/0!</v>
      </c>
      <c r="G82" s="576" t="e">
        <f>(VLOOKUP(A82,'Uncorrected Area Counts'!$A$4:$AU$99,15,FALSE)/VLOOKUP(A82,'Uncorrected Area Counts'!$A$4:$AU$99,47,FALSE))*100</f>
        <v>#DIV/0!</v>
      </c>
      <c r="H82" s="566" t="e">
        <f>VLOOKUP(A82,'Uncorrected Area Counts'!$A$4:$AU$99,15,FALSE)/VLOOKUP(A82,'Uncorrected Area Counts'!$A$4:$AU$99,3,FALSE)/VLOOKUP(3,'Plate Planning'!$L$20:$S$35,4,FALSE)*VLOOKUP("standard",'Plate Planning'!$L$20:$S$35,4,FALSE)/VLOOKUP(A82,'Uncorrected Area Counts'!$A$4:$AU$99,14,FALSE)*100</f>
        <v>#DIV/0!</v>
      </c>
      <c r="I82" s="576" t="e">
        <f>(VLOOKUP(A82,'Uncorrected Area Counts'!$A$4:$AU$99,19,FALSE)/VLOOKUP(A82,'Uncorrected Area Counts'!$A$4:$AU$99,47,FALSE))*100</f>
        <v>#DIV/0!</v>
      </c>
      <c r="J82" s="567" t="e">
        <f>VLOOKUP(A82,'Uncorrected Area Counts'!$A$4:$AU$99,19,FALSE)/VLOOKUP(A82,'Uncorrected Area Counts'!$A$4:$AU$99,3,FALSE)/VLOOKUP(4,'Plate Planning'!$L$20:$S$35,4,FALSE)*VLOOKUP("standard",'Plate Planning'!$L$20:$S$35,4,FALSE)/VLOOKUP(A82,'Uncorrected Area Counts'!$A$4:$AU$99,18,FALSE)*100</f>
        <v>#DIV/0!</v>
      </c>
      <c r="K82" s="581" t="e">
        <f>(VLOOKUP(A82,'Uncorrected Area Counts'!$A$4:$AU$99,23,FALSE)/VLOOKUP(A82,'Uncorrected Area Counts'!$A$4:$AU$99,47,FALSE))*100</f>
        <v>#DIV/0!</v>
      </c>
      <c r="L82" s="568" t="e">
        <f>VLOOKUP(A82,'Uncorrected Area Counts'!$A$4:$AU$99,23,FALSE)/VLOOKUP(A82,'Uncorrected Area Counts'!$A$4:$AU$99,3,FALSE)/VLOOKUP(5,'Plate Planning'!$L$20:$S$35,4,FALSE)*VLOOKUP("standard",'Plate Planning'!$L$20:$S$35,4,FALSE)/VLOOKUP(A82,'Uncorrected Area Counts'!$A$4:$AU$99,22,FALSE)*100</f>
        <v>#DIV/0!</v>
      </c>
      <c r="M82" s="581" t="e">
        <f>(VLOOKUP(A82,'Uncorrected Area Counts'!$A$4:$AU$99,27,FALSE)/VLOOKUP(A82,'Uncorrected Area Counts'!$A$4:$AU$99,47,FALSE))*100</f>
        <v>#DIV/0!</v>
      </c>
      <c r="N82" s="567" t="e">
        <f>VLOOKUP(A82,'Uncorrected Area Counts'!$A$4:$AU$99,27,FALSE)/VLOOKUP(A82,'Uncorrected Area Counts'!$A$4:$AU$99,3,FALSE)/VLOOKUP(6,'Plate Planning'!$L$20:$S$35,4,FALSE)*VLOOKUP("standard",'Plate Planning'!$L$20:$S$35,4,FALSE)/VLOOKUP(A82,'Uncorrected Area Counts'!$A$4:$AU$99,26,FALSE)*100</f>
        <v>#DIV/0!</v>
      </c>
      <c r="O82" s="581" t="e">
        <f>(VLOOKUP(A82,'Uncorrected Area Counts'!$A$4:$AU$99,31,FALSE)/VLOOKUP(A82,'Uncorrected Area Counts'!$A$4:$AU$99,47,FALSE))*100</f>
        <v>#DIV/0!</v>
      </c>
      <c r="P82" s="568" t="e">
        <f>VLOOKUP(A82,'Uncorrected Area Counts'!$A$4:$AU$99,31,FALSE)/VLOOKUP(A82,'Uncorrected Area Counts'!$A$4:$AU$99,3,FALSE)/VLOOKUP(7,'Plate Planning'!$L$20:$S$35,4,FALSE)*VLOOKUP("standard",'Plate Planning'!$L$20:$S$35,4,FALSE)/VLOOKUP(A82,'Uncorrected Area Counts'!$A$4:$AU$99,30,FALSE)*100</f>
        <v>#DIV/0!</v>
      </c>
      <c r="Q82" s="581" t="e">
        <f>(VLOOKUP(A82,'Uncorrected Area Counts'!$A$4:$AU$99,35,FALSE)/VLOOKUP(A82,'Uncorrected Area Counts'!$A$4:$AU$99,47,FALSE))*100</f>
        <v>#DIV/0!</v>
      </c>
      <c r="R82" s="477" t="e">
        <f>VLOOKUP(A82,'Uncorrected Area Counts'!$A$4:$AU$99,35,FALSE)/VLOOKUP(A82,'Uncorrected Area Counts'!$A$4:$AU$99,3,FALSE)/VLOOKUP(8,'Plate Planning'!$L$20:$S$35,4,FALSE)*VLOOKUP("standard",'Plate Planning'!$L$20:$S$35,4,FALSE)/VLOOKUP(A82,'Uncorrected Area Counts'!$A$4:$AU$99,34,FALSE)*100</f>
        <v>#DIV/0!</v>
      </c>
      <c r="S82" s="589" t="e">
        <f>(VLOOKUP(A82,'Uncorrected Area Counts'!$A$4:$AU$99,39,FALSE)/VLOOKUP(A82,'Uncorrected Area Counts'!$A$4:$AU$99,47,FALSE))*100</f>
        <v>#DIV/0!</v>
      </c>
      <c r="T82" s="569" t="e">
        <f>VLOOKUP(A82,'Uncorrected Area Counts'!$A$4:$AU$99,39,FALSE)/VLOOKUP(A82,'Uncorrected Area Counts'!$A$4:$AU$99,3,FALSE)/VLOOKUP(8,'Plate Planning'!$L$20:$S$35,4,FALSE)*VLOOKUP("standard",'Plate Planning'!$L$20:$S$35,4,FALSE)/VLOOKUP(A82,'Uncorrected Area Counts'!$A$4:$AU$99,38,FALSE)*100</f>
        <v>#DIV/0!</v>
      </c>
      <c r="U82" s="589" t="e">
        <f>(VLOOKUP(A82,'Uncorrected Area Counts'!$A$4:$AU$99,43,FALSE)/VLOOKUP(A82,'Uncorrected Area Counts'!$A$4:$AU$99,47,FALSE))*100</f>
        <v>#DIV/0!</v>
      </c>
      <c r="V82" s="604" t="e">
        <f>VLOOKUP(A82,'Uncorrected Area Counts'!$A$4:$AU$99,43,FALSE)/VLOOKUP(A82,'Uncorrected Area Counts'!$A$4:$AU$99,3,FALSE)/VLOOKUP(8,'Plate Planning'!$L$20:$S$35,4,FALSE)*VLOOKUP("standard",'Plate Planning'!$L$20:$S$35,4,FALSE)/VLOOKUP(A82,'Uncorrected Area Counts'!$A$4:$AU$99,42,FALSE)*100</f>
        <v>#DIV/0!</v>
      </c>
    </row>
    <row r="83" spans="1:22">
      <c r="A83" s="478" t="s">
        <v>1241</v>
      </c>
      <c r="B83" s="565" t="s">
        <v>22</v>
      </c>
      <c r="C83" s="573" t="e">
        <f>(VLOOKUP(A83,'Uncorrected Area Counts'!$A$4:$AU$99,7,FALSE)/VLOOKUP(A83,'Uncorrected Area Counts'!$A$4:$AU$99,47,FALSE))*100</f>
        <v>#DIV/0!</v>
      </c>
      <c r="D83" s="566" t="e">
        <f>VLOOKUP(A83,'Uncorrected Area Counts'!$A$4:$AU$99,7,FALSE)/VLOOKUP(A83,'Uncorrected Area Counts'!$A$4:$AU$99,3,FALSE)/VLOOKUP(1,'Plate Planning'!$L$20:$S$35,4,FALSE)*VLOOKUP("standard",'Plate Planning'!$L$20:$S$35,4,FALSE)/VLOOKUP(A83,'Uncorrected Area Counts'!$A$4:$AU$99,6,FALSE)*100</f>
        <v>#DIV/0!</v>
      </c>
      <c r="E83" s="576" t="e">
        <f>(VLOOKUP(A83,'Uncorrected Area Counts'!$A$4:$AU$99,11,FALSE)/VLOOKUP(A83,'Uncorrected Area Counts'!$A$4:$AU$99,47,FALSE))*100</f>
        <v>#DIV/0!</v>
      </c>
      <c r="F83" s="566" t="e">
        <f>VLOOKUP(A83,'Uncorrected Area Counts'!$A$4:$AU$99,11,FALSE)/VLOOKUP(A83,'Uncorrected Area Counts'!$A$4:$AU$99,3,FALSE)/VLOOKUP(2,'Plate Planning'!$L$20:$S$35,4,FALSE)*VLOOKUP("standard",'Plate Planning'!$L$20:$S$35,4,FALSE)/VLOOKUP(A83,'Uncorrected Area Counts'!$A$4:$AU$99,10,FALSE)*100</f>
        <v>#DIV/0!</v>
      </c>
      <c r="G83" s="576" t="e">
        <f>(VLOOKUP(A83,'Uncorrected Area Counts'!$A$4:$AU$99,15,FALSE)/VLOOKUP(A83,'Uncorrected Area Counts'!$A$4:$AU$99,47,FALSE))*100</f>
        <v>#DIV/0!</v>
      </c>
      <c r="H83" s="566" t="e">
        <f>VLOOKUP(A83,'Uncorrected Area Counts'!$A$4:$AU$99,15,FALSE)/VLOOKUP(A83,'Uncorrected Area Counts'!$A$4:$AU$99,3,FALSE)/VLOOKUP(3,'Plate Planning'!$L$20:$S$35,4,FALSE)*VLOOKUP("standard",'Plate Planning'!$L$20:$S$35,4,FALSE)/VLOOKUP(A83,'Uncorrected Area Counts'!$A$4:$AU$99,14,FALSE)*100</f>
        <v>#DIV/0!</v>
      </c>
      <c r="I83" s="576" t="e">
        <f>(VLOOKUP(A83,'Uncorrected Area Counts'!$A$4:$AU$99,19,FALSE)/VLOOKUP(A83,'Uncorrected Area Counts'!$A$4:$AU$99,47,FALSE))*100</f>
        <v>#DIV/0!</v>
      </c>
      <c r="J83" s="567" t="e">
        <f>VLOOKUP(A83,'Uncorrected Area Counts'!$A$4:$AU$99,19,FALSE)/VLOOKUP(A83,'Uncorrected Area Counts'!$A$4:$AU$99,3,FALSE)/VLOOKUP(4,'Plate Planning'!$L$20:$S$35,4,FALSE)*VLOOKUP("standard",'Plate Planning'!$L$20:$S$35,4,FALSE)/VLOOKUP(A83,'Uncorrected Area Counts'!$A$4:$AU$99,18,FALSE)*100</f>
        <v>#DIV/0!</v>
      </c>
      <c r="K83" s="581" t="e">
        <f>(VLOOKUP(A83,'Uncorrected Area Counts'!$A$4:$AU$99,23,FALSE)/VLOOKUP(A83,'Uncorrected Area Counts'!$A$4:$AU$99,47,FALSE))*100</f>
        <v>#DIV/0!</v>
      </c>
      <c r="L83" s="568" t="e">
        <f>VLOOKUP(A83,'Uncorrected Area Counts'!$A$4:$AU$99,23,FALSE)/VLOOKUP(A83,'Uncorrected Area Counts'!$A$4:$AU$99,3,FALSE)/VLOOKUP(5,'Plate Planning'!$L$20:$S$35,4,FALSE)*VLOOKUP("standard",'Plate Planning'!$L$20:$S$35,4,FALSE)/VLOOKUP(A83,'Uncorrected Area Counts'!$A$4:$AU$99,22,FALSE)*100</f>
        <v>#DIV/0!</v>
      </c>
      <c r="M83" s="581" t="e">
        <f>(VLOOKUP(A83,'Uncorrected Area Counts'!$A$4:$AU$99,27,FALSE)/VLOOKUP(A83,'Uncorrected Area Counts'!$A$4:$AU$99,47,FALSE))*100</f>
        <v>#DIV/0!</v>
      </c>
      <c r="N83" s="567" t="e">
        <f>VLOOKUP(A83,'Uncorrected Area Counts'!$A$4:$AU$99,27,FALSE)/VLOOKUP(A83,'Uncorrected Area Counts'!$A$4:$AU$99,3,FALSE)/VLOOKUP(6,'Plate Planning'!$L$20:$S$35,4,FALSE)*VLOOKUP("standard",'Plate Planning'!$L$20:$S$35,4,FALSE)/VLOOKUP(A83,'Uncorrected Area Counts'!$A$4:$AU$99,26,FALSE)*100</f>
        <v>#DIV/0!</v>
      </c>
      <c r="O83" s="581" t="e">
        <f>(VLOOKUP(A83,'Uncorrected Area Counts'!$A$4:$AU$99,31,FALSE)/VLOOKUP(A83,'Uncorrected Area Counts'!$A$4:$AU$99,47,FALSE))*100</f>
        <v>#DIV/0!</v>
      </c>
      <c r="P83" s="568" t="e">
        <f>VLOOKUP(A83,'Uncorrected Area Counts'!$A$4:$AU$99,31,FALSE)/VLOOKUP(A83,'Uncorrected Area Counts'!$A$4:$AU$99,3,FALSE)/VLOOKUP(7,'Plate Planning'!$L$20:$S$35,4,FALSE)*VLOOKUP("standard",'Plate Planning'!$L$20:$S$35,4,FALSE)/VLOOKUP(A83,'Uncorrected Area Counts'!$A$4:$AU$99,30,FALSE)*100</f>
        <v>#DIV/0!</v>
      </c>
      <c r="Q83" s="581" t="e">
        <f>(VLOOKUP(A83,'Uncorrected Area Counts'!$A$4:$AU$99,35,FALSE)/VLOOKUP(A83,'Uncorrected Area Counts'!$A$4:$AU$99,47,FALSE))*100</f>
        <v>#DIV/0!</v>
      </c>
      <c r="R83" s="477" t="e">
        <f>VLOOKUP(A83,'Uncorrected Area Counts'!$A$4:$AU$99,35,FALSE)/VLOOKUP(A83,'Uncorrected Area Counts'!$A$4:$AU$99,3,FALSE)/VLOOKUP(8,'Plate Planning'!$L$20:$S$35,4,FALSE)*VLOOKUP("standard",'Plate Planning'!$L$20:$S$35,4,FALSE)/VLOOKUP(A83,'Uncorrected Area Counts'!$A$4:$AU$99,34,FALSE)*100</f>
        <v>#DIV/0!</v>
      </c>
      <c r="S83" s="589" t="e">
        <f>(VLOOKUP(A83,'Uncorrected Area Counts'!$A$4:$AU$99,39,FALSE)/VLOOKUP(A83,'Uncorrected Area Counts'!$A$4:$AU$99,47,FALSE))*100</f>
        <v>#DIV/0!</v>
      </c>
      <c r="T83" s="569" t="e">
        <f>VLOOKUP(A83,'Uncorrected Area Counts'!$A$4:$AU$99,39,FALSE)/VLOOKUP(A83,'Uncorrected Area Counts'!$A$4:$AU$99,3,FALSE)/VLOOKUP(8,'Plate Planning'!$L$20:$S$35,4,FALSE)*VLOOKUP("standard",'Plate Planning'!$L$20:$S$35,4,FALSE)/VLOOKUP(A83,'Uncorrected Area Counts'!$A$4:$AU$99,38,FALSE)*100</f>
        <v>#DIV/0!</v>
      </c>
      <c r="U83" s="589" t="e">
        <f>(VLOOKUP(A83,'Uncorrected Area Counts'!$A$4:$AU$99,43,FALSE)/VLOOKUP(A83,'Uncorrected Area Counts'!$A$4:$AU$99,47,FALSE))*100</f>
        <v>#DIV/0!</v>
      </c>
      <c r="V83" s="604" t="e">
        <f>VLOOKUP(A83,'Uncorrected Area Counts'!$A$4:$AU$99,43,FALSE)/VLOOKUP(A83,'Uncorrected Area Counts'!$A$4:$AU$99,3,FALSE)/VLOOKUP(8,'Plate Planning'!$L$20:$S$35,4,FALSE)*VLOOKUP("standard",'Plate Planning'!$L$20:$S$35,4,FALSE)/VLOOKUP(A83,'Uncorrected Area Counts'!$A$4:$AU$99,42,FALSE)*100</f>
        <v>#DIV/0!</v>
      </c>
    </row>
    <row r="84" spans="1:22">
      <c r="A84" s="478" t="s">
        <v>1242</v>
      </c>
      <c r="B84" s="565" t="s">
        <v>22</v>
      </c>
      <c r="C84" s="573" t="e">
        <f>(VLOOKUP(A84,'Uncorrected Area Counts'!$A$4:$AU$99,7,FALSE)/VLOOKUP(A84,'Uncorrected Area Counts'!$A$4:$AU$99,47,FALSE))*100</f>
        <v>#DIV/0!</v>
      </c>
      <c r="D84" s="566" t="e">
        <f>VLOOKUP(A84,'Uncorrected Area Counts'!$A$4:$AU$99,7,FALSE)/VLOOKUP(A84,'Uncorrected Area Counts'!$A$4:$AU$99,3,FALSE)/VLOOKUP(1,'Plate Planning'!$L$20:$S$35,4,FALSE)*VLOOKUP("standard",'Plate Planning'!$L$20:$S$35,4,FALSE)/VLOOKUP(A84,'Uncorrected Area Counts'!$A$4:$AU$99,6,FALSE)*100</f>
        <v>#DIV/0!</v>
      </c>
      <c r="E84" s="576" t="e">
        <f>(VLOOKUP(A84,'Uncorrected Area Counts'!$A$4:$AU$99,11,FALSE)/VLOOKUP(A84,'Uncorrected Area Counts'!$A$4:$AU$99,47,FALSE))*100</f>
        <v>#DIV/0!</v>
      </c>
      <c r="F84" s="566" t="e">
        <f>VLOOKUP(A84,'Uncorrected Area Counts'!$A$4:$AU$99,11,FALSE)/VLOOKUP(A84,'Uncorrected Area Counts'!$A$4:$AU$99,3,FALSE)/VLOOKUP(2,'Plate Planning'!$L$20:$S$35,4,FALSE)*VLOOKUP("standard",'Plate Planning'!$L$20:$S$35,4,FALSE)/VLOOKUP(A84,'Uncorrected Area Counts'!$A$4:$AU$99,10,FALSE)*100</f>
        <v>#DIV/0!</v>
      </c>
      <c r="G84" s="576" t="e">
        <f>(VLOOKUP(A84,'Uncorrected Area Counts'!$A$4:$AU$99,15,FALSE)/VLOOKUP(A84,'Uncorrected Area Counts'!$A$4:$AU$99,47,FALSE))*100</f>
        <v>#DIV/0!</v>
      </c>
      <c r="H84" s="566" t="e">
        <f>VLOOKUP(A84,'Uncorrected Area Counts'!$A$4:$AU$99,15,FALSE)/VLOOKUP(A84,'Uncorrected Area Counts'!$A$4:$AU$99,3,FALSE)/VLOOKUP(3,'Plate Planning'!$L$20:$S$35,4,FALSE)*VLOOKUP("standard",'Plate Planning'!$L$20:$S$35,4,FALSE)/VLOOKUP(A84,'Uncorrected Area Counts'!$A$4:$AU$99,14,FALSE)*100</f>
        <v>#DIV/0!</v>
      </c>
      <c r="I84" s="576" t="e">
        <f>(VLOOKUP(A84,'Uncorrected Area Counts'!$A$4:$AU$99,19,FALSE)/VLOOKUP(A84,'Uncorrected Area Counts'!$A$4:$AU$99,47,FALSE))*100</f>
        <v>#DIV/0!</v>
      </c>
      <c r="J84" s="567" t="e">
        <f>VLOOKUP(A84,'Uncorrected Area Counts'!$A$4:$AU$99,19,FALSE)/VLOOKUP(A84,'Uncorrected Area Counts'!$A$4:$AU$99,3,FALSE)/VLOOKUP(4,'Plate Planning'!$L$20:$S$35,4,FALSE)*VLOOKUP("standard",'Plate Planning'!$L$20:$S$35,4,FALSE)/VLOOKUP(A84,'Uncorrected Area Counts'!$A$4:$AU$99,18,FALSE)*100</f>
        <v>#DIV/0!</v>
      </c>
      <c r="K84" s="581" t="e">
        <f>(VLOOKUP(A84,'Uncorrected Area Counts'!$A$4:$AU$99,23,FALSE)/VLOOKUP(A84,'Uncorrected Area Counts'!$A$4:$AU$99,47,FALSE))*100</f>
        <v>#DIV/0!</v>
      </c>
      <c r="L84" s="568" t="e">
        <f>VLOOKUP(A84,'Uncorrected Area Counts'!$A$4:$AU$99,23,FALSE)/VLOOKUP(A84,'Uncorrected Area Counts'!$A$4:$AU$99,3,FALSE)/VLOOKUP(5,'Plate Planning'!$L$20:$S$35,4,FALSE)*VLOOKUP("standard",'Plate Planning'!$L$20:$S$35,4,FALSE)/VLOOKUP(A84,'Uncorrected Area Counts'!$A$4:$AU$99,22,FALSE)*100</f>
        <v>#DIV/0!</v>
      </c>
      <c r="M84" s="581" t="e">
        <f>(VLOOKUP(A84,'Uncorrected Area Counts'!$A$4:$AU$99,27,FALSE)/VLOOKUP(A84,'Uncorrected Area Counts'!$A$4:$AU$99,47,FALSE))*100</f>
        <v>#DIV/0!</v>
      </c>
      <c r="N84" s="567" t="e">
        <f>VLOOKUP(A84,'Uncorrected Area Counts'!$A$4:$AU$99,27,FALSE)/VLOOKUP(A84,'Uncorrected Area Counts'!$A$4:$AU$99,3,FALSE)/VLOOKUP(6,'Plate Planning'!$L$20:$S$35,4,FALSE)*VLOOKUP("standard",'Plate Planning'!$L$20:$S$35,4,FALSE)/VLOOKUP(A84,'Uncorrected Area Counts'!$A$4:$AU$99,26,FALSE)*100</f>
        <v>#DIV/0!</v>
      </c>
      <c r="O84" s="581" t="e">
        <f>(VLOOKUP(A84,'Uncorrected Area Counts'!$A$4:$AU$99,31,FALSE)/VLOOKUP(A84,'Uncorrected Area Counts'!$A$4:$AU$99,47,FALSE))*100</f>
        <v>#DIV/0!</v>
      </c>
      <c r="P84" s="568" t="e">
        <f>VLOOKUP(A84,'Uncorrected Area Counts'!$A$4:$AU$99,31,FALSE)/VLOOKUP(A84,'Uncorrected Area Counts'!$A$4:$AU$99,3,FALSE)/VLOOKUP(7,'Plate Planning'!$L$20:$S$35,4,FALSE)*VLOOKUP("standard",'Plate Planning'!$L$20:$S$35,4,FALSE)/VLOOKUP(A84,'Uncorrected Area Counts'!$A$4:$AU$99,30,FALSE)*100</f>
        <v>#DIV/0!</v>
      </c>
      <c r="Q84" s="581" t="e">
        <f>(VLOOKUP(A84,'Uncorrected Area Counts'!$A$4:$AU$99,35,FALSE)/VLOOKUP(A84,'Uncorrected Area Counts'!$A$4:$AU$99,47,FALSE))*100</f>
        <v>#DIV/0!</v>
      </c>
      <c r="R84" s="477" t="e">
        <f>VLOOKUP(A84,'Uncorrected Area Counts'!$A$4:$AU$99,35,FALSE)/VLOOKUP(A84,'Uncorrected Area Counts'!$A$4:$AU$99,3,FALSE)/VLOOKUP(8,'Plate Planning'!$L$20:$S$35,4,FALSE)*VLOOKUP("standard",'Plate Planning'!$L$20:$S$35,4,FALSE)/VLOOKUP(A84,'Uncorrected Area Counts'!$A$4:$AU$99,34,FALSE)*100</f>
        <v>#DIV/0!</v>
      </c>
      <c r="S84" s="589" t="e">
        <f>(VLOOKUP(A84,'Uncorrected Area Counts'!$A$4:$AU$99,39,FALSE)/VLOOKUP(A84,'Uncorrected Area Counts'!$A$4:$AU$99,47,FALSE))*100</f>
        <v>#DIV/0!</v>
      </c>
      <c r="T84" s="569" t="e">
        <f>VLOOKUP(A84,'Uncorrected Area Counts'!$A$4:$AU$99,39,FALSE)/VLOOKUP(A84,'Uncorrected Area Counts'!$A$4:$AU$99,3,FALSE)/VLOOKUP(8,'Plate Planning'!$L$20:$S$35,4,FALSE)*VLOOKUP("standard",'Plate Planning'!$L$20:$S$35,4,FALSE)/VLOOKUP(A84,'Uncorrected Area Counts'!$A$4:$AU$99,38,FALSE)*100</f>
        <v>#DIV/0!</v>
      </c>
      <c r="U84" s="589" t="e">
        <f>(VLOOKUP(A84,'Uncorrected Area Counts'!$A$4:$AU$99,43,FALSE)/VLOOKUP(A84,'Uncorrected Area Counts'!$A$4:$AU$99,47,FALSE))*100</f>
        <v>#DIV/0!</v>
      </c>
      <c r="V84" s="604" t="e">
        <f>VLOOKUP(A84,'Uncorrected Area Counts'!$A$4:$AU$99,43,FALSE)/VLOOKUP(A84,'Uncorrected Area Counts'!$A$4:$AU$99,3,FALSE)/VLOOKUP(8,'Plate Planning'!$L$20:$S$35,4,FALSE)*VLOOKUP("standard",'Plate Planning'!$L$20:$S$35,4,FALSE)/VLOOKUP(A84,'Uncorrected Area Counts'!$A$4:$AU$99,42,FALSE)*100</f>
        <v>#DIV/0!</v>
      </c>
    </row>
    <row r="85" spans="1:22">
      <c r="A85" s="478" t="s">
        <v>1243</v>
      </c>
      <c r="B85" s="565" t="s">
        <v>22</v>
      </c>
      <c r="C85" s="573" t="e">
        <f>(VLOOKUP(A85,'Uncorrected Area Counts'!$A$4:$AU$99,7,FALSE)/VLOOKUP(A85,'Uncorrected Area Counts'!$A$4:$AU$99,47,FALSE))*100</f>
        <v>#DIV/0!</v>
      </c>
      <c r="D85" s="566" t="e">
        <f>VLOOKUP(A85,'Uncorrected Area Counts'!$A$4:$AU$99,7,FALSE)/VLOOKUP(A85,'Uncorrected Area Counts'!$A$4:$AU$99,3,FALSE)/VLOOKUP(1,'Plate Planning'!$L$20:$S$35,4,FALSE)*VLOOKUP("standard",'Plate Planning'!$L$20:$S$35,4,FALSE)/VLOOKUP(A85,'Uncorrected Area Counts'!$A$4:$AU$99,6,FALSE)*100</f>
        <v>#DIV/0!</v>
      </c>
      <c r="E85" s="576" t="e">
        <f>(VLOOKUP(A85,'Uncorrected Area Counts'!$A$4:$AU$99,11,FALSE)/VLOOKUP(A85,'Uncorrected Area Counts'!$A$4:$AU$99,47,FALSE))*100</f>
        <v>#DIV/0!</v>
      </c>
      <c r="F85" s="566" t="e">
        <f>VLOOKUP(A85,'Uncorrected Area Counts'!$A$4:$AU$99,11,FALSE)/VLOOKUP(A85,'Uncorrected Area Counts'!$A$4:$AU$99,3,FALSE)/VLOOKUP(2,'Plate Planning'!$L$20:$S$35,4,FALSE)*VLOOKUP("standard",'Plate Planning'!$L$20:$S$35,4,FALSE)/VLOOKUP(A85,'Uncorrected Area Counts'!$A$4:$AU$99,10,FALSE)*100</f>
        <v>#DIV/0!</v>
      </c>
      <c r="G85" s="576" t="e">
        <f>(VLOOKUP(A85,'Uncorrected Area Counts'!$A$4:$AU$99,15,FALSE)/VLOOKUP(A85,'Uncorrected Area Counts'!$A$4:$AU$99,47,FALSE))*100</f>
        <v>#DIV/0!</v>
      </c>
      <c r="H85" s="566" t="e">
        <f>VLOOKUP(A85,'Uncorrected Area Counts'!$A$4:$AU$99,15,FALSE)/VLOOKUP(A85,'Uncorrected Area Counts'!$A$4:$AU$99,3,FALSE)/VLOOKUP(3,'Plate Planning'!$L$20:$S$35,4,FALSE)*VLOOKUP("standard",'Plate Planning'!$L$20:$S$35,4,FALSE)/VLOOKUP(A85,'Uncorrected Area Counts'!$A$4:$AU$99,14,FALSE)*100</f>
        <v>#DIV/0!</v>
      </c>
      <c r="I85" s="576" t="e">
        <f>(VLOOKUP(A85,'Uncorrected Area Counts'!$A$4:$AU$99,19,FALSE)/VLOOKUP(A85,'Uncorrected Area Counts'!$A$4:$AU$99,47,FALSE))*100</f>
        <v>#DIV/0!</v>
      </c>
      <c r="J85" s="567" t="e">
        <f>VLOOKUP(A85,'Uncorrected Area Counts'!$A$4:$AU$99,19,FALSE)/VLOOKUP(A85,'Uncorrected Area Counts'!$A$4:$AU$99,3,FALSE)/VLOOKUP(4,'Plate Planning'!$L$20:$S$35,4,FALSE)*VLOOKUP("standard",'Plate Planning'!$L$20:$S$35,4,FALSE)/VLOOKUP(A85,'Uncorrected Area Counts'!$A$4:$AU$99,18,FALSE)*100</f>
        <v>#DIV/0!</v>
      </c>
      <c r="K85" s="581" t="e">
        <f>(VLOOKUP(A85,'Uncorrected Area Counts'!$A$4:$AU$99,23,FALSE)/VLOOKUP(A85,'Uncorrected Area Counts'!$A$4:$AU$99,47,FALSE))*100</f>
        <v>#DIV/0!</v>
      </c>
      <c r="L85" s="568" t="e">
        <f>VLOOKUP(A85,'Uncorrected Area Counts'!$A$4:$AU$99,23,FALSE)/VLOOKUP(A85,'Uncorrected Area Counts'!$A$4:$AU$99,3,FALSE)/VLOOKUP(5,'Plate Planning'!$L$20:$S$35,4,FALSE)*VLOOKUP("standard",'Plate Planning'!$L$20:$S$35,4,FALSE)/VLOOKUP(A85,'Uncorrected Area Counts'!$A$4:$AU$99,22,FALSE)*100</f>
        <v>#DIV/0!</v>
      </c>
      <c r="M85" s="581" t="e">
        <f>(VLOOKUP(A85,'Uncorrected Area Counts'!$A$4:$AU$99,27,FALSE)/VLOOKUP(A85,'Uncorrected Area Counts'!$A$4:$AU$99,47,FALSE))*100</f>
        <v>#DIV/0!</v>
      </c>
      <c r="N85" s="567" t="e">
        <f>VLOOKUP(A85,'Uncorrected Area Counts'!$A$4:$AU$99,27,FALSE)/VLOOKUP(A85,'Uncorrected Area Counts'!$A$4:$AU$99,3,FALSE)/VLOOKUP(6,'Plate Planning'!$L$20:$S$35,4,FALSE)*VLOOKUP("standard",'Plate Planning'!$L$20:$S$35,4,FALSE)/VLOOKUP(A85,'Uncorrected Area Counts'!$A$4:$AU$99,26,FALSE)*100</f>
        <v>#DIV/0!</v>
      </c>
      <c r="O85" s="581" t="e">
        <f>(VLOOKUP(A85,'Uncorrected Area Counts'!$A$4:$AU$99,31,FALSE)/VLOOKUP(A85,'Uncorrected Area Counts'!$A$4:$AU$99,47,FALSE))*100</f>
        <v>#DIV/0!</v>
      </c>
      <c r="P85" s="568" t="e">
        <f>VLOOKUP(A85,'Uncorrected Area Counts'!$A$4:$AU$99,31,FALSE)/VLOOKUP(A85,'Uncorrected Area Counts'!$A$4:$AU$99,3,FALSE)/VLOOKUP(7,'Plate Planning'!$L$20:$S$35,4,FALSE)*VLOOKUP("standard",'Plate Planning'!$L$20:$S$35,4,FALSE)/VLOOKUP(A85,'Uncorrected Area Counts'!$A$4:$AU$99,30,FALSE)*100</f>
        <v>#DIV/0!</v>
      </c>
      <c r="Q85" s="581" t="e">
        <f>(VLOOKUP(A85,'Uncorrected Area Counts'!$A$4:$AU$99,35,FALSE)/VLOOKUP(A85,'Uncorrected Area Counts'!$A$4:$AU$99,47,FALSE))*100</f>
        <v>#DIV/0!</v>
      </c>
      <c r="R85" s="477" t="e">
        <f>VLOOKUP(A85,'Uncorrected Area Counts'!$A$4:$AU$99,35,FALSE)/VLOOKUP(A85,'Uncorrected Area Counts'!$A$4:$AU$99,3,FALSE)/VLOOKUP(8,'Plate Planning'!$L$20:$S$35,4,FALSE)*VLOOKUP("standard",'Plate Planning'!$L$20:$S$35,4,FALSE)/VLOOKUP(A85,'Uncorrected Area Counts'!$A$4:$AU$99,34,FALSE)*100</f>
        <v>#DIV/0!</v>
      </c>
      <c r="S85" s="589" t="e">
        <f>(VLOOKUP(A85,'Uncorrected Area Counts'!$A$4:$AU$99,39,FALSE)/VLOOKUP(A85,'Uncorrected Area Counts'!$A$4:$AU$99,47,FALSE))*100</f>
        <v>#DIV/0!</v>
      </c>
      <c r="T85" s="569" t="e">
        <f>VLOOKUP(A85,'Uncorrected Area Counts'!$A$4:$AU$99,39,FALSE)/VLOOKUP(A85,'Uncorrected Area Counts'!$A$4:$AU$99,3,FALSE)/VLOOKUP(8,'Plate Planning'!$L$20:$S$35,4,FALSE)*VLOOKUP("standard",'Plate Planning'!$L$20:$S$35,4,FALSE)/VLOOKUP(A85,'Uncorrected Area Counts'!$A$4:$AU$99,38,FALSE)*100</f>
        <v>#DIV/0!</v>
      </c>
      <c r="U85" s="589" t="e">
        <f>(VLOOKUP(A85,'Uncorrected Area Counts'!$A$4:$AU$99,43,FALSE)/VLOOKUP(A85,'Uncorrected Area Counts'!$A$4:$AU$99,47,FALSE))*100</f>
        <v>#DIV/0!</v>
      </c>
      <c r="V85" s="604" t="e">
        <f>VLOOKUP(A85,'Uncorrected Area Counts'!$A$4:$AU$99,43,FALSE)/VLOOKUP(A85,'Uncorrected Area Counts'!$A$4:$AU$99,3,FALSE)/VLOOKUP(8,'Plate Planning'!$L$20:$S$35,4,FALSE)*VLOOKUP("standard",'Plate Planning'!$L$20:$S$35,4,FALSE)/VLOOKUP(A85,'Uncorrected Area Counts'!$A$4:$AU$99,42,FALSE)*100</f>
        <v>#DIV/0!</v>
      </c>
    </row>
    <row r="86" spans="1:22">
      <c r="A86" s="478" t="s">
        <v>1244</v>
      </c>
      <c r="B86" s="565" t="s">
        <v>22</v>
      </c>
      <c r="C86" s="573" t="e">
        <f>(VLOOKUP(A86,'Uncorrected Area Counts'!$A$4:$AU$99,7,FALSE)/VLOOKUP(A86,'Uncorrected Area Counts'!$A$4:$AU$99,47,FALSE))*100</f>
        <v>#DIV/0!</v>
      </c>
      <c r="D86" s="566" t="e">
        <f>VLOOKUP(A86,'Uncorrected Area Counts'!$A$4:$AU$99,7,FALSE)/VLOOKUP(A86,'Uncorrected Area Counts'!$A$4:$AU$99,3,FALSE)/VLOOKUP(1,'Plate Planning'!$L$20:$S$35,4,FALSE)*VLOOKUP("standard",'Plate Planning'!$L$20:$S$35,4,FALSE)/VLOOKUP(A86,'Uncorrected Area Counts'!$A$4:$AU$99,6,FALSE)*100</f>
        <v>#DIV/0!</v>
      </c>
      <c r="E86" s="576" t="e">
        <f>(VLOOKUP(A86,'Uncorrected Area Counts'!$A$4:$AU$99,11,FALSE)/VLOOKUP(A86,'Uncorrected Area Counts'!$A$4:$AU$99,47,FALSE))*100</f>
        <v>#DIV/0!</v>
      </c>
      <c r="F86" s="566" t="e">
        <f>VLOOKUP(A86,'Uncorrected Area Counts'!$A$4:$AU$99,11,FALSE)/VLOOKUP(A86,'Uncorrected Area Counts'!$A$4:$AU$99,3,FALSE)/VLOOKUP(2,'Plate Planning'!$L$20:$S$35,4,FALSE)*VLOOKUP("standard",'Plate Planning'!$L$20:$S$35,4,FALSE)/VLOOKUP(A86,'Uncorrected Area Counts'!$A$4:$AU$99,10,FALSE)*100</f>
        <v>#DIV/0!</v>
      </c>
      <c r="G86" s="576" t="e">
        <f>(VLOOKUP(A86,'Uncorrected Area Counts'!$A$4:$AU$99,15,FALSE)/VLOOKUP(A86,'Uncorrected Area Counts'!$A$4:$AU$99,47,FALSE))*100</f>
        <v>#DIV/0!</v>
      </c>
      <c r="H86" s="566" t="e">
        <f>VLOOKUP(A86,'Uncorrected Area Counts'!$A$4:$AU$99,15,FALSE)/VLOOKUP(A86,'Uncorrected Area Counts'!$A$4:$AU$99,3,FALSE)/VLOOKUP(3,'Plate Planning'!$L$20:$S$35,4,FALSE)*VLOOKUP("standard",'Plate Planning'!$L$20:$S$35,4,FALSE)/VLOOKUP(A86,'Uncorrected Area Counts'!$A$4:$AU$99,14,FALSE)*100</f>
        <v>#DIV/0!</v>
      </c>
      <c r="I86" s="576" t="e">
        <f>(VLOOKUP(A86,'Uncorrected Area Counts'!$A$4:$AU$99,19,FALSE)/VLOOKUP(A86,'Uncorrected Area Counts'!$A$4:$AU$99,47,FALSE))*100</f>
        <v>#DIV/0!</v>
      </c>
      <c r="J86" s="567" t="e">
        <f>VLOOKUP(A86,'Uncorrected Area Counts'!$A$4:$AU$99,19,FALSE)/VLOOKUP(A86,'Uncorrected Area Counts'!$A$4:$AU$99,3,FALSE)/VLOOKUP(4,'Plate Planning'!$L$20:$S$35,4,FALSE)*VLOOKUP("standard",'Plate Planning'!$L$20:$S$35,4,FALSE)/VLOOKUP(A86,'Uncorrected Area Counts'!$A$4:$AU$99,18,FALSE)*100</f>
        <v>#DIV/0!</v>
      </c>
      <c r="K86" s="581" t="e">
        <f>(VLOOKUP(A86,'Uncorrected Area Counts'!$A$4:$AU$99,23,FALSE)/VLOOKUP(A86,'Uncorrected Area Counts'!$A$4:$AU$99,47,FALSE))*100</f>
        <v>#DIV/0!</v>
      </c>
      <c r="L86" s="568" t="e">
        <f>VLOOKUP(A86,'Uncorrected Area Counts'!$A$4:$AU$99,23,FALSE)/VLOOKUP(A86,'Uncorrected Area Counts'!$A$4:$AU$99,3,FALSE)/VLOOKUP(5,'Plate Planning'!$L$20:$S$35,4,FALSE)*VLOOKUP("standard",'Plate Planning'!$L$20:$S$35,4,FALSE)/VLOOKUP(A86,'Uncorrected Area Counts'!$A$4:$AU$99,22,FALSE)*100</f>
        <v>#DIV/0!</v>
      </c>
      <c r="M86" s="581" t="e">
        <f>(VLOOKUP(A86,'Uncorrected Area Counts'!$A$4:$AU$99,27,FALSE)/VLOOKUP(A86,'Uncorrected Area Counts'!$A$4:$AU$99,47,FALSE))*100</f>
        <v>#DIV/0!</v>
      </c>
      <c r="N86" s="567" t="e">
        <f>VLOOKUP(A86,'Uncorrected Area Counts'!$A$4:$AU$99,27,FALSE)/VLOOKUP(A86,'Uncorrected Area Counts'!$A$4:$AU$99,3,FALSE)/VLOOKUP(6,'Plate Planning'!$L$20:$S$35,4,FALSE)*VLOOKUP("standard",'Plate Planning'!$L$20:$S$35,4,FALSE)/VLOOKUP(A86,'Uncorrected Area Counts'!$A$4:$AU$99,26,FALSE)*100</f>
        <v>#DIV/0!</v>
      </c>
      <c r="O86" s="581" t="e">
        <f>(VLOOKUP(A86,'Uncorrected Area Counts'!$A$4:$AU$99,31,FALSE)/VLOOKUP(A86,'Uncorrected Area Counts'!$A$4:$AU$99,47,FALSE))*100</f>
        <v>#DIV/0!</v>
      </c>
      <c r="P86" s="568" t="e">
        <f>VLOOKUP(A86,'Uncorrected Area Counts'!$A$4:$AU$99,31,FALSE)/VLOOKUP(A86,'Uncorrected Area Counts'!$A$4:$AU$99,3,FALSE)/VLOOKUP(7,'Plate Planning'!$L$20:$S$35,4,FALSE)*VLOOKUP("standard",'Plate Planning'!$L$20:$S$35,4,FALSE)/VLOOKUP(A86,'Uncorrected Area Counts'!$A$4:$AU$99,30,FALSE)*100</f>
        <v>#DIV/0!</v>
      </c>
      <c r="Q86" s="581" t="e">
        <f>(VLOOKUP(A86,'Uncorrected Area Counts'!$A$4:$AU$99,35,FALSE)/VLOOKUP(A86,'Uncorrected Area Counts'!$A$4:$AU$99,47,FALSE))*100</f>
        <v>#DIV/0!</v>
      </c>
      <c r="R86" s="477" t="e">
        <f>VLOOKUP(A86,'Uncorrected Area Counts'!$A$4:$AU$99,35,FALSE)/VLOOKUP(A86,'Uncorrected Area Counts'!$A$4:$AU$99,3,FALSE)/VLOOKUP(8,'Plate Planning'!$L$20:$S$35,4,FALSE)*VLOOKUP("standard",'Plate Planning'!$L$20:$S$35,4,FALSE)/VLOOKUP(A86,'Uncorrected Area Counts'!$A$4:$AU$99,34,FALSE)*100</f>
        <v>#DIV/0!</v>
      </c>
      <c r="S86" s="589" t="e">
        <f>(VLOOKUP(A86,'Uncorrected Area Counts'!$A$4:$AU$99,39,FALSE)/VLOOKUP(A86,'Uncorrected Area Counts'!$A$4:$AU$99,47,FALSE))*100</f>
        <v>#DIV/0!</v>
      </c>
      <c r="T86" s="569" t="e">
        <f>VLOOKUP(A86,'Uncorrected Area Counts'!$A$4:$AU$99,39,FALSE)/VLOOKUP(A86,'Uncorrected Area Counts'!$A$4:$AU$99,3,FALSE)/VLOOKUP(8,'Plate Planning'!$L$20:$S$35,4,FALSE)*VLOOKUP("standard",'Plate Planning'!$L$20:$S$35,4,FALSE)/VLOOKUP(A86,'Uncorrected Area Counts'!$A$4:$AU$99,38,FALSE)*100</f>
        <v>#DIV/0!</v>
      </c>
      <c r="U86" s="589" t="e">
        <f>(VLOOKUP(A86,'Uncorrected Area Counts'!$A$4:$AU$99,43,FALSE)/VLOOKUP(A86,'Uncorrected Area Counts'!$A$4:$AU$99,47,FALSE))*100</f>
        <v>#DIV/0!</v>
      </c>
      <c r="V86" s="604" t="e">
        <f>VLOOKUP(A86,'Uncorrected Area Counts'!$A$4:$AU$99,43,FALSE)/VLOOKUP(A86,'Uncorrected Area Counts'!$A$4:$AU$99,3,FALSE)/VLOOKUP(8,'Plate Planning'!$L$20:$S$35,4,FALSE)*VLOOKUP("standard",'Plate Planning'!$L$20:$S$35,4,FALSE)/VLOOKUP(A86,'Uncorrected Area Counts'!$A$4:$AU$99,42,FALSE)*100</f>
        <v>#DIV/0!</v>
      </c>
    </row>
    <row r="87" spans="1:22">
      <c r="A87" s="478" t="s">
        <v>1245</v>
      </c>
      <c r="B87" s="565" t="s">
        <v>22</v>
      </c>
      <c r="C87" s="573" t="e">
        <f>(VLOOKUP(A87,'Uncorrected Area Counts'!$A$4:$AU$99,7,FALSE)/VLOOKUP(A87,'Uncorrected Area Counts'!$A$4:$AU$99,47,FALSE))*100</f>
        <v>#DIV/0!</v>
      </c>
      <c r="D87" s="566" t="e">
        <f>VLOOKUP(A87,'Uncorrected Area Counts'!$A$4:$AU$99,7,FALSE)/VLOOKUP(A87,'Uncorrected Area Counts'!$A$4:$AU$99,3,FALSE)/VLOOKUP(1,'Plate Planning'!$L$20:$S$35,4,FALSE)*VLOOKUP("standard",'Plate Planning'!$L$20:$S$35,4,FALSE)/VLOOKUP(A87,'Uncorrected Area Counts'!$A$4:$AU$99,6,FALSE)*100</f>
        <v>#DIV/0!</v>
      </c>
      <c r="E87" s="576" t="e">
        <f>(VLOOKUP(A87,'Uncorrected Area Counts'!$A$4:$AU$99,11,FALSE)/VLOOKUP(A87,'Uncorrected Area Counts'!$A$4:$AU$99,47,FALSE))*100</f>
        <v>#DIV/0!</v>
      </c>
      <c r="F87" s="566" t="e">
        <f>VLOOKUP(A87,'Uncorrected Area Counts'!$A$4:$AU$99,11,FALSE)/VLOOKUP(A87,'Uncorrected Area Counts'!$A$4:$AU$99,3,FALSE)/VLOOKUP(2,'Plate Planning'!$L$20:$S$35,4,FALSE)*VLOOKUP("standard",'Plate Planning'!$L$20:$S$35,4,FALSE)/VLOOKUP(A87,'Uncorrected Area Counts'!$A$4:$AU$99,10,FALSE)*100</f>
        <v>#DIV/0!</v>
      </c>
      <c r="G87" s="576" t="e">
        <f>(VLOOKUP(A87,'Uncorrected Area Counts'!$A$4:$AU$99,15,FALSE)/VLOOKUP(A87,'Uncorrected Area Counts'!$A$4:$AU$99,47,FALSE))*100</f>
        <v>#DIV/0!</v>
      </c>
      <c r="H87" s="566" t="e">
        <f>VLOOKUP(A87,'Uncorrected Area Counts'!$A$4:$AU$99,15,FALSE)/VLOOKUP(A87,'Uncorrected Area Counts'!$A$4:$AU$99,3,FALSE)/VLOOKUP(3,'Plate Planning'!$L$20:$S$35,4,FALSE)*VLOOKUP("standard",'Plate Planning'!$L$20:$S$35,4,FALSE)/VLOOKUP(A87,'Uncorrected Area Counts'!$A$4:$AU$99,14,FALSE)*100</f>
        <v>#DIV/0!</v>
      </c>
      <c r="I87" s="576" t="e">
        <f>(VLOOKUP(A87,'Uncorrected Area Counts'!$A$4:$AU$99,19,FALSE)/VLOOKUP(A87,'Uncorrected Area Counts'!$A$4:$AU$99,47,FALSE))*100</f>
        <v>#DIV/0!</v>
      </c>
      <c r="J87" s="567" t="e">
        <f>VLOOKUP(A87,'Uncorrected Area Counts'!$A$4:$AU$99,19,FALSE)/VLOOKUP(A87,'Uncorrected Area Counts'!$A$4:$AU$99,3,FALSE)/VLOOKUP(4,'Plate Planning'!$L$20:$S$35,4,FALSE)*VLOOKUP("standard",'Plate Planning'!$L$20:$S$35,4,FALSE)/VLOOKUP(A87,'Uncorrected Area Counts'!$A$4:$AU$99,18,FALSE)*100</f>
        <v>#DIV/0!</v>
      </c>
      <c r="K87" s="581" t="e">
        <f>(VLOOKUP(A87,'Uncorrected Area Counts'!$A$4:$AU$99,23,FALSE)/VLOOKUP(A87,'Uncorrected Area Counts'!$A$4:$AU$99,47,FALSE))*100</f>
        <v>#DIV/0!</v>
      </c>
      <c r="L87" s="568" t="e">
        <f>VLOOKUP(A87,'Uncorrected Area Counts'!$A$4:$AU$99,23,FALSE)/VLOOKUP(A87,'Uncorrected Area Counts'!$A$4:$AU$99,3,FALSE)/VLOOKUP(5,'Plate Planning'!$L$20:$S$35,4,FALSE)*VLOOKUP("standard",'Plate Planning'!$L$20:$S$35,4,FALSE)/VLOOKUP(A87,'Uncorrected Area Counts'!$A$4:$AU$99,22,FALSE)*100</f>
        <v>#DIV/0!</v>
      </c>
      <c r="M87" s="581" t="e">
        <f>(VLOOKUP(A87,'Uncorrected Area Counts'!$A$4:$AU$99,27,FALSE)/VLOOKUP(A87,'Uncorrected Area Counts'!$A$4:$AU$99,47,FALSE))*100</f>
        <v>#DIV/0!</v>
      </c>
      <c r="N87" s="567" t="e">
        <f>VLOOKUP(A87,'Uncorrected Area Counts'!$A$4:$AU$99,27,FALSE)/VLOOKUP(A87,'Uncorrected Area Counts'!$A$4:$AU$99,3,FALSE)/VLOOKUP(6,'Plate Planning'!$L$20:$S$35,4,FALSE)*VLOOKUP("standard",'Plate Planning'!$L$20:$S$35,4,FALSE)/VLOOKUP(A87,'Uncorrected Area Counts'!$A$4:$AU$99,26,FALSE)*100</f>
        <v>#DIV/0!</v>
      </c>
      <c r="O87" s="581" t="e">
        <f>(VLOOKUP(A87,'Uncorrected Area Counts'!$A$4:$AU$99,31,FALSE)/VLOOKUP(A87,'Uncorrected Area Counts'!$A$4:$AU$99,47,FALSE))*100</f>
        <v>#DIV/0!</v>
      </c>
      <c r="P87" s="568" t="e">
        <f>VLOOKUP(A87,'Uncorrected Area Counts'!$A$4:$AU$99,31,FALSE)/VLOOKUP(A87,'Uncorrected Area Counts'!$A$4:$AU$99,3,FALSE)/VLOOKUP(7,'Plate Planning'!$L$20:$S$35,4,FALSE)*VLOOKUP("standard",'Plate Planning'!$L$20:$S$35,4,FALSE)/VLOOKUP(A87,'Uncorrected Area Counts'!$A$4:$AU$99,30,FALSE)*100</f>
        <v>#DIV/0!</v>
      </c>
      <c r="Q87" s="581" t="e">
        <f>(VLOOKUP(A87,'Uncorrected Area Counts'!$A$4:$AU$99,35,FALSE)/VLOOKUP(A87,'Uncorrected Area Counts'!$A$4:$AU$99,47,FALSE))*100</f>
        <v>#DIV/0!</v>
      </c>
      <c r="R87" s="477" t="e">
        <f>VLOOKUP(A87,'Uncorrected Area Counts'!$A$4:$AU$99,35,FALSE)/VLOOKUP(A87,'Uncorrected Area Counts'!$A$4:$AU$99,3,FALSE)/VLOOKUP(8,'Plate Planning'!$L$20:$S$35,4,FALSE)*VLOOKUP("standard",'Plate Planning'!$L$20:$S$35,4,FALSE)/VLOOKUP(A87,'Uncorrected Area Counts'!$A$4:$AU$99,34,FALSE)*100</f>
        <v>#DIV/0!</v>
      </c>
      <c r="S87" s="589" t="e">
        <f>(VLOOKUP(A87,'Uncorrected Area Counts'!$A$4:$AU$99,39,FALSE)/VLOOKUP(A87,'Uncorrected Area Counts'!$A$4:$AU$99,47,FALSE))*100</f>
        <v>#DIV/0!</v>
      </c>
      <c r="T87" s="569" t="e">
        <f>VLOOKUP(A87,'Uncorrected Area Counts'!$A$4:$AU$99,39,FALSE)/VLOOKUP(A87,'Uncorrected Area Counts'!$A$4:$AU$99,3,FALSE)/VLOOKUP(8,'Plate Planning'!$L$20:$S$35,4,FALSE)*VLOOKUP("standard",'Plate Planning'!$L$20:$S$35,4,FALSE)/VLOOKUP(A87,'Uncorrected Area Counts'!$A$4:$AU$99,38,FALSE)*100</f>
        <v>#DIV/0!</v>
      </c>
      <c r="U87" s="589" t="e">
        <f>(VLOOKUP(A87,'Uncorrected Area Counts'!$A$4:$AU$99,43,FALSE)/VLOOKUP(A87,'Uncorrected Area Counts'!$A$4:$AU$99,47,FALSE))*100</f>
        <v>#DIV/0!</v>
      </c>
      <c r="V87" s="604" t="e">
        <f>VLOOKUP(A87,'Uncorrected Area Counts'!$A$4:$AU$99,43,FALSE)/VLOOKUP(A87,'Uncorrected Area Counts'!$A$4:$AU$99,3,FALSE)/VLOOKUP(8,'Plate Planning'!$L$20:$S$35,4,FALSE)*VLOOKUP("standard",'Plate Planning'!$L$20:$S$35,4,FALSE)/VLOOKUP(A87,'Uncorrected Area Counts'!$A$4:$AU$99,42,FALSE)*100</f>
        <v>#DIV/0!</v>
      </c>
    </row>
    <row r="88" spans="1:22">
      <c r="A88" s="478" t="s">
        <v>1246</v>
      </c>
      <c r="B88" s="565" t="s">
        <v>22</v>
      </c>
      <c r="C88" s="573" t="e">
        <f>(VLOOKUP(A88,'Uncorrected Area Counts'!$A$4:$AU$99,7,FALSE)/VLOOKUP(A88,'Uncorrected Area Counts'!$A$4:$AU$99,47,FALSE))*100</f>
        <v>#DIV/0!</v>
      </c>
      <c r="D88" s="566" t="e">
        <f>VLOOKUP(A88,'Uncorrected Area Counts'!$A$4:$AU$99,7,FALSE)/VLOOKUP(A88,'Uncorrected Area Counts'!$A$4:$AU$99,3,FALSE)/VLOOKUP(1,'Plate Planning'!$L$20:$S$35,4,FALSE)*VLOOKUP("standard",'Plate Planning'!$L$20:$S$35,4,FALSE)/VLOOKUP(A88,'Uncorrected Area Counts'!$A$4:$AU$99,6,FALSE)*100</f>
        <v>#DIV/0!</v>
      </c>
      <c r="E88" s="576" t="e">
        <f>(VLOOKUP(A88,'Uncorrected Area Counts'!$A$4:$AU$99,11,FALSE)/VLOOKUP(A88,'Uncorrected Area Counts'!$A$4:$AU$99,47,FALSE))*100</f>
        <v>#DIV/0!</v>
      </c>
      <c r="F88" s="566" t="e">
        <f>VLOOKUP(A88,'Uncorrected Area Counts'!$A$4:$AU$99,11,FALSE)/VLOOKUP(A88,'Uncorrected Area Counts'!$A$4:$AU$99,3,FALSE)/VLOOKUP(2,'Plate Planning'!$L$20:$S$35,4,FALSE)*VLOOKUP("standard",'Plate Planning'!$L$20:$S$35,4,FALSE)/VLOOKUP(A88,'Uncorrected Area Counts'!$A$4:$AU$99,10,FALSE)*100</f>
        <v>#DIV/0!</v>
      </c>
      <c r="G88" s="576" t="e">
        <f>(VLOOKUP(A88,'Uncorrected Area Counts'!$A$4:$AU$99,15,FALSE)/VLOOKUP(A88,'Uncorrected Area Counts'!$A$4:$AU$99,47,FALSE))*100</f>
        <v>#DIV/0!</v>
      </c>
      <c r="H88" s="566" t="e">
        <f>VLOOKUP(A88,'Uncorrected Area Counts'!$A$4:$AU$99,15,FALSE)/VLOOKUP(A88,'Uncorrected Area Counts'!$A$4:$AU$99,3,FALSE)/VLOOKUP(3,'Plate Planning'!$L$20:$S$35,4,FALSE)*VLOOKUP("standard",'Plate Planning'!$L$20:$S$35,4,FALSE)/VLOOKUP(A88,'Uncorrected Area Counts'!$A$4:$AU$99,14,FALSE)*100</f>
        <v>#DIV/0!</v>
      </c>
      <c r="I88" s="576" t="e">
        <f>(VLOOKUP(A88,'Uncorrected Area Counts'!$A$4:$AU$99,19,FALSE)/VLOOKUP(A88,'Uncorrected Area Counts'!$A$4:$AU$99,47,FALSE))*100</f>
        <v>#DIV/0!</v>
      </c>
      <c r="J88" s="567" t="e">
        <f>VLOOKUP(A88,'Uncorrected Area Counts'!$A$4:$AU$99,19,FALSE)/VLOOKUP(A88,'Uncorrected Area Counts'!$A$4:$AU$99,3,FALSE)/VLOOKUP(4,'Plate Planning'!$L$20:$S$35,4,FALSE)*VLOOKUP("standard",'Plate Planning'!$L$20:$S$35,4,FALSE)/VLOOKUP(A88,'Uncorrected Area Counts'!$A$4:$AU$99,18,FALSE)*100</f>
        <v>#DIV/0!</v>
      </c>
      <c r="K88" s="581" t="e">
        <f>(VLOOKUP(A88,'Uncorrected Area Counts'!$A$4:$AU$99,23,FALSE)/VLOOKUP(A88,'Uncorrected Area Counts'!$A$4:$AU$99,47,FALSE))*100</f>
        <v>#DIV/0!</v>
      </c>
      <c r="L88" s="568" t="e">
        <f>VLOOKUP(A88,'Uncorrected Area Counts'!$A$4:$AU$99,23,FALSE)/VLOOKUP(A88,'Uncorrected Area Counts'!$A$4:$AU$99,3,FALSE)/VLOOKUP(5,'Plate Planning'!$L$20:$S$35,4,FALSE)*VLOOKUP("standard",'Plate Planning'!$L$20:$S$35,4,FALSE)/VLOOKUP(A88,'Uncorrected Area Counts'!$A$4:$AU$99,22,FALSE)*100</f>
        <v>#DIV/0!</v>
      </c>
      <c r="M88" s="581" t="e">
        <f>(VLOOKUP(A88,'Uncorrected Area Counts'!$A$4:$AU$99,27,FALSE)/VLOOKUP(A88,'Uncorrected Area Counts'!$A$4:$AU$99,47,FALSE))*100</f>
        <v>#DIV/0!</v>
      </c>
      <c r="N88" s="567" t="e">
        <f>VLOOKUP(A88,'Uncorrected Area Counts'!$A$4:$AU$99,27,FALSE)/VLOOKUP(A88,'Uncorrected Area Counts'!$A$4:$AU$99,3,FALSE)/VLOOKUP(6,'Plate Planning'!$L$20:$S$35,4,FALSE)*VLOOKUP("standard",'Plate Planning'!$L$20:$S$35,4,FALSE)/VLOOKUP(A88,'Uncorrected Area Counts'!$A$4:$AU$99,26,FALSE)*100</f>
        <v>#DIV/0!</v>
      </c>
      <c r="O88" s="581" t="e">
        <f>(VLOOKUP(A88,'Uncorrected Area Counts'!$A$4:$AU$99,31,FALSE)/VLOOKUP(A88,'Uncorrected Area Counts'!$A$4:$AU$99,47,FALSE))*100</f>
        <v>#DIV/0!</v>
      </c>
      <c r="P88" s="568" t="e">
        <f>VLOOKUP(A88,'Uncorrected Area Counts'!$A$4:$AU$99,31,FALSE)/VLOOKUP(A88,'Uncorrected Area Counts'!$A$4:$AU$99,3,FALSE)/VLOOKUP(7,'Plate Planning'!$L$20:$S$35,4,FALSE)*VLOOKUP("standard",'Plate Planning'!$L$20:$S$35,4,FALSE)/VLOOKUP(A88,'Uncorrected Area Counts'!$A$4:$AU$99,30,FALSE)*100</f>
        <v>#DIV/0!</v>
      </c>
      <c r="Q88" s="581" t="e">
        <f>(VLOOKUP(A88,'Uncorrected Area Counts'!$A$4:$AU$99,35,FALSE)/VLOOKUP(A88,'Uncorrected Area Counts'!$A$4:$AU$99,47,FALSE))*100</f>
        <v>#DIV/0!</v>
      </c>
      <c r="R88" s="477" t="e">
        <f>VLOOKUP(A88,'Uncorrected Area Counts'!$A$4:$AU$99,35,FALSE)/VLOOKUP(A88,'Uncorrected Area Counts'!$A$4:$AU$99,3,FALSE)/VLOOKUP(8,'Plate Planning'!$L$20:$S$35,4,FALSE)*VLOOKUP("standard",'Plate Planning'!$L$20:$S$35,4,FALSE)/VLOOKUP(A88,'Uncorrected Area Counts'!$A$4:$AU$99,34,FALSE)*100</f>
        <v>#DIV/0!</v>
      </c>
      <c r="S88" s="589" t="e">
        <f>(VLOOKUP(A88,'Uncorrected Area Counts'!$A$4:$AU$99,39,FALSE)/VLOOKUP(A88,'Uncorrected Area Counts'!$A$4:$AU$99,47,FALSE))*100</f>
        <v>#DIV/0!</v>
      </c>
      <c r="T88" s="569" t="e">
        <f>VLOOKUP(A88,'Uncorrected Area Counts'!$A$4:$AU$99,39,FALSE)/VLOOKUP(A88,'Uncorrected Area Counts'!$A$4:$AU$99,3,FALSE)/VLOOKUP(8,'Plate Planning'!$L$20:$S$35,4,FALSE)*VLOOKUP("standard",'Plate Planning'!$L$20:$S$35,4,FALSE)/VLOOKUP(A88,'Uncorrected Area Counts'!$A$4:$AU$99,38,FALSE)*100</f>
        <v>#DIV/0!</v>
      </c>
      <c r="U88" s="589" t="e">
        <f>(VLOOKUP(A88,'Uncorrected Area Counts'!$A$4:$AU$99,43,FALSE)/VLOOKUP(A88,'Uncorrected Area Counts'!$A$4:$AU$99,47,FALSE))*100</f>
        <v>#DIV/0!</v>
      </c>
      <c r="V88" s="604" t="e">
        <f>VLOOKUP(A88,'Uncorrected Area Counts'!$A$4:$AU$99,43,FALSE)/VLOOKUP(A88,'Uncorrected Area Counts'!$A$4:$AU$99,3,FALSE)/VLOOKUP(8,'Plate Planning'!$L$20:$S$35,4,FALSE)*VLOOKUP("standard",'Plate Planning'!$L$20:$S$35,4,FALSE)/VLOOKUP(A88,'Uncorrected Area Counts'!$A$4:$AU$99,42,FALSE)*100</f>
        <v>#DIV/0!</v>
      </c>
    </row>
    <row r="89" spans="1:22">
      <c r="A89" s="478" t="s">
        <v>1247</v>
      </c>
      <c r="B89" s="565" t="s">
        <v>22</v>
      </c>
      <c r="C89" s="573" t="e">
        <f>(VLOOKUP(A89,'Uncorrected Area Counts'!$A$4:$AU$99,7,FALSE)/VLOOKUP(A89,'Uncorrected Area Counts'!$A$4:$AU$99,47,FALSE))*100</f>
        <v>#DIV/0!</v>
      </c>
      <c r="D89" s="566" t="e">
        <f>VLOOKUP(A89,'Uncorrected Area Counts'!$A$4:$AU$99,7,FALSE)/VLOOKUP(A89,'Uncorrected Area Counts'!$A$4:$AU$99,3,FALSE)/VLOOKUP(1,'Plate Planning'!$L$20:$S$35,4,FALSE)*VLOOKUP("standard",'Plate Planning'!$L$20:$S$35,4,FALSE)/VLOOKUP(A89,'Uncorrected Area Counts'!$A$4:$AU$99,6,FALSE)*100</f>
        <v>#DIV/0!</v>
      </c>
      <c r="E89" s="576" t="e">
        <f>(VLOOKUP(A89,'Uncorrected Area Counts'!$A$4:$AU$99,11,FALSE)/VLOOKUP(A89,'Uncorrected Area Counts'!$A$4:$AU$99,47,FALSE))*100</f>
        <v>#DIV/0!</v>
      </c>
      <c r="F89" s="566" t="e">
        <f>VLOOKUP(A89,'Uncorrected Area Counts'!$A$4:$AU$99,11,FALSE)/VLOOKUP(A89,'Uncorrected Area Counts'!$A$4:$AU$99,3,FALSE)/VLOOKUP(2,'Plate Planning'!$L$20:$S$35,4,FALSE)*VLOOKUP("standard",'Plate Planning'!$L$20:$S$35,4,FALSE)/VLOOKUP(A89,'Uncorrected Area Counts'!$A$4:$AU$99,10,FALSE)*100</f>
        <v>#DIV/0!</v>
      </c>
      <c r="G89" s="576" t="e">
        <f>(VLOOKUP(A89,'Uncorrected Area Counts'!$A$4:$AU$99,15,FALSE)/VLOOKUP(A89,'Uncorrected Area Counts'!$A$4:$AU$99,47,FALSE))*100</f>
        <v>#DIV/0!</v>
      </c>
      <c r="H89" s="566" t="e">
        <f>VLOOKUP(A89,'Uncorrected Area Counts'!$A$4:$AU$99,15,FALSE)/VLOOKUP(A89,'Uncorrected Area Counts'!$A$4:$AU$99,3,FALSE)/VLOOKUP(3,'Plate Planning'!$L$20:$S$35,4,FALSE)*VLOOKUP("standard",'Plate Planning'!$L$20:$S$35,4,FALSE)/VLOOKUP(A89,'Uncorrected Area Counts'!$A$4:$AU$99,14,FALSE)*100</f>
        <v>#DIV/0!</v>
      </c>
      <c r="I89" s="576" t="e">
        <f>(VLOOKUP(A89,'Uncorrected Area Counts'!$A$4:$AU$99,19,FALSE)/VLOOKUP(A89,'Uncorrected Area Counts'!$A$4:$AU$99,47,FALSE))*100</f>
        <v>#DIV/0!</v>
      </c>
      <c r="J89" s="567" t="e">
        <f>VLOOKUP(A89,'Uncorrected Area Counts'!$A$4:$AU$99,19,FALSE)/VLOOKUP(A89,'Uncorrected Area Counts'!$A$4:$AU$99,3,FALSE)/VLOOKUP(4,'Plate Planning'!$L$20:$S$35,4,FALSE)*VLOOKUP("standard",'Plate Planning'!$L$20:$S$35,4,FALSE)/VLOOKUP(A89,'Uncorrected Area Counts'!$A$4:$AU$99,18,FALSE)*100</f>
        <v>#DIV/0!</v>
      </c>
      <c r="K89" s="581" t="e">
        <f>(VLOOKUP(A89,'Uncorrected Area Counts'!$A$4:$AU$99,23,FALSE)/VLOOKUP(A89,'Uncorrected Area Counts'!$A$4:$AU$99,47,FALSE))*100</f>
        <v>#DIV/0!</v>
      </c>
      <c r="L89" s="568" t="e">
        <f>VLOOKUP(A89,'Uncorrected Area Counts'!$A$4:$AU$99,23,FALSE)/VLOOKUP(A89,'Uncorrected Area Counts'!$A$4:$AU$99,3,FALSE)/VLOOKUP(5,'Plate Planning'!$L$20:$S$35,4,FALSE)*VLOOKUP("standard",'Plate Planning'!$L$20:$S$35,4,FALSE)/VLOOKUP(A89,'Uncorrected Area Counts'!$A$4:$AU$99,22,FALSE)*100</f>
        <v>#DIV/0!</v>
      </c>
      <c r="M89" s="581" t="e">
        <f>(VLOOKUP(A89,'Uncorrected Area Counts'!$A$4:$AU$99,27,FALSE)/VLOOKUP(A89,'Uncorrected Area Counts'!$A$4:$AU$99,47,FALSE))*100</f>
        <v>#DIV/0!</v>
      </c>
      <c r="N89" s="567" t="e">
        <f>VLOOKUP(A89,'Uncorrected Area Counts'!$A$4:$AU$99,27,FALSE)/VLOOKUP(A89,'Uncorrected Area Counts'!$A$4:$AU$99,3,FALSE)/VLOOKUP(6,'Plate Planning'!$L$20:$S$35,4,FALSE)*VLOOKUP("standard",'Plate Planning'!$L$20:$S$35,4,FALSE)/VLOOKUP(A89,'Uncorrected Area Counts'!$A$4:$AU$99,26,FALSE)*100</f>
        <v>#DIV/0!</v>
      </c>
      <c r="O89" s="581" t="e">
        <f>(VLOOKUP(A89,'Uncorrected Area Counts'!$A$4:$AU$99,31,FALSE)/VLOOKUP(A89,'Uncorrected Area Counts'!$A$4:$AU$99,47,FALSE))*100</f>
        <v>#DIV/0!</v>
      </c>
      <c r="P89" s="568" t="e">
        <f>VLOOKUP(A89,'Uncorrected Area Counts'!$A$4:$AU$99,31,FALSE)/VLOOKUP(A89,'Uncorrected Area Counts'!$A$4:$AU$99,3,FALSE)/VLOOKUP(7,'Plate Planning'!$L$20:$S$35,4,FALSE)*VLOOKUP("standard",'Plate Planning'!$L$20:$S$35,4,FALSE)/VLOOKUP(A89,'Uncorrected Area Counts'!$A$4:$AU$99,30,FALSE)*100</f>
        <v>#DIV/0!</v>
      </c>
      <c r="Q89" s="581" t="e">
        <f>(VLOOKUP(A89,'Uncorrected Area Counts'!$A$4:$AU$99,35,FALSE)/VLOOKUP(A89,'Uncorrected Area Counts'!$A$4:$AU$99,47,FALSE))*100</f>
        <v>#DIV/0!</v>
      </c>
      <c r="R89" s="477" t="e">
        <f>VLOOKUP(A89,'Uncorrected Area Counts'!$A$4:$AU$99,35,FALSE)/VLOOKUP(A89,'Uncorrected Area Counts'!$A$4:$AU$99,3,FALSE)/VLOOKUP(8,'Plate Planning'!$L$20:$S$35,4,FALSE)*VLOOKUP("standard",'Plate Planning'!$L$20:$S$35,4,FALSE)/VLOOKUP(A89,'Uncorrected Area Counts'!$A$4:$AU$99,34,FALSE)*100</f>
        <v>#DIV/0!</v>
      </c>
      <c r="S89" s="589" t="e">
        <f>(VLOOKUP(A89,'Uncorrected Area Counts'!$A$4:$AU$99,39,FALSE)/VLOOKUP(A89,'Uncorrected Area Counts'!$A$4:$AU$99,47,FALSE))*100</f>
        <v>#DIV/0!</v>
      </c>
      <c r="T89" s="569" t="e">
        <f>VLOOKUP(A89,'Uncorrected Area Counts'!$A$4:$AU$99,39,FALSE)/VLOOKUP(A89,'Uncorrected Area Counts'!$A$4:$AU$99,3,FALSE)/VLOOKUP(8,'Plate Planning'!$L$20:$S$35,4,FALSE)*VLOOKUP("standard",'Plate Planning'!$L$20:$S$35,4,FALSE)/VLOOKUP(A89,'Uncorrected Area Counts'!$A$4:$AU$99,38,FALSE)*100</f>
        <v>#DIV/0!</v>
      </c>
      <c r="U89" s="589" t="e">
        <f>(VLOOKUP(A89,'Uncorrected Area Counts'!$A$4:$AU$99,43,FALSE)/VLOOKUP(A89,'Uncorrected Area Counts'!$A$4:$AU$99,47,FALSE))*100</f>
        <v>#DIV/0!</v>
      </c>
      <c r="V89" s="604" t="e">
        <f>VLOOKUP(A89,'Uncorrected Area Counts'!$A$4:$AU$99,43,FALSE)/VLOOKUP(A89,'Uncorrected Area Counts'!$A$4:$AU$99,3,FALSE)/VLOOKUP(8,'Plate Planning'!$L$20:$S$35,4,FALSE)*VLOOKUP("standard",'Plate Planning'!$L$20:$S$35,4,FALSE)/VLOOKUP(A89,'Uncorrected Area Counts'!$A$4:$AU$99,42,FALSE)*100</f>
        <v>#DIV/0!</v>
      </c>
    </row>
    <row r="90" spans="1:22">
      <c r="A90" s="478" t="s">
        <v>1248</v>
      </c>
      <c r="B90" s="565" t="s">
        <v>22</v>
      </c>
      <c r="C90" s="573" t="e">
        <f>(VLOOKUP(A90,'Uncorrected Area Counts'!$A$4:$AU$99,7,FALSE)/VLOOKUP(A90,'Uncorrected Area Counts'!$A$4:$AU$99,47,FALSE))*100</f>
        <v>#DIV/0!</v>
      </c>
      <c r="D90" s="566" t="e">
        <f>VLOOKUP(A90,'Uncorrected Area Counts'!$A$4:$AU$99,7,FALSE)/VLOOKUP(A90,'Uncorrected Area Counts'!$A$4:$AU$99,3,FALSE)/VLOOKUP(1,'Plate Planning'!$L$20:$S$35,4,FALSE)*VLOOKUP("standard",'Plate Planning'!$L$20:$S$35,4,FALSE)/VLOOKUP(A90,'Uncorrected Area Counts'!$A$4:$AU$99,6,FALSE)*100</f>
        <v>#DIV/0!</v>
      </c>
      <c r="E90" s="576" t="e">
        <f>(VLOOKUP(A90,'Uncorrected Area Counts'!$A$4:$AU$99,11,FALSE)/VLOOKUP(A90,'Uncorrected Area Counts'!$A$4:$AU$99,47,FALSE))*100</f>
        <v>#DIV/0!</v>
      </c>
      <c r="F90" s="566" t="e">
        <f>VLOOKUP(A90,'Uncorrected Area Counts'!$A$4:$AU$99,11,FALSE)/VLOOKUP(A90,'Uncorrected Area Counts'!$A$4:$AU$99,3,FALSE)/VLOOKUP(2,'Plate Planning'!$L$20:$S$35,4,FALSE)*VLOOKUP("standard",'Plate Planning'!$L$20:$S$35,4,FALSE)/VLOOKUP(A90,'Uncorrected Area Counts'!$A$4:$AU$99,10,FALSE)*100</f>
        <v>#DIV/0!</v>
      </c>
      <c r="G90" s="576" t="e">
        <f>(VLOOKUP(A90,'Uncorrected Area Counts'!$A$4:$AU$99,15,FALSE)/VLOOKUP(A90,'Uncorrected Area Counts'!$A$4:$AU$99,47,FALSE))*100</f>
        <v>#DIV/0!</v>
      </c>
      <c r="H90" s="566" t="e">
        <f>VLOOKUP(A90,'Uncorrected Area Counts'!$A$4:$AU$99,15,FALSE)/VLOOKUP(A90,'Uncorrected Area Counts'!$A$4:$AU$99,3,FALSE)/VLOOKUP(3,'Plate Planning'!$L$20:$S$35,4,FALSE)*VLOOKUP("standard",'Plate Planning'!$L$20:$S$35,4,FALSE)/VLOOKUP(A90,'Uncorrected Area Counts'!$A$4:$AU$99,14,FALSE)*100</f>
        <v>#DIV/0!</v>
      </c>
      <c r="I90" s="576" t="e">
        <f>(VLOOKUP(A90,'Uncorrected Area Counts'!$A$4:$AU$99,19,FALSE)/VLOOKUP(A90,'Uncorrected Area Counts'!$A$4:$AU$99,47,FALSE))*100</f>
        <v>#DIV/0!</v>
      </c>
      <c r="J90" s="567" t="e">
        <f>VLOOKUP(A90,'Uncorrected Area Counts'!$A$4:$AU$99,19,FALSE)/VLOOKUP(A90,'Uncorrected Area Counts'!$A$4:$AU$99,3,FALSE)/VLOOKUP(4,'Plate Planning'!$L$20:$S$35,4,FALSE)*VLOOKUP("standard",'Plate Planning'!$L$20:$S$35,4,FALSE)/VLOOKUP(A90,'Uncorrected Area Counts'!$A$4:$AU$99,18,FALSE)*100</f>
        <v>#DIV/0!</v>
      </c>
      <c r="K90" s="581" t="e">
        <f>(VLOOKUP(A90,'Uncorrected Area Counts'!$A$4:$AU$99,23,FALSE)/VLOOKUP(A90,'Uncorrected Area Counts'!$A$4:$AU$99,47,FALSE))*100</f>
        <v>#DIV/0!</v>
      </c>
      <c r="L90" s="568" t="e">
        <f>VLOOKUP(A90,'Uncorrected Area Counts'!$A$4:$AU$99,23,FALSE)/VLOOKUP(A90,'Uncorrected Area Counts'!$A$4:$AU$99,3,FALSE)/VLOOKUP(5,'Plate Planning'!$L$20:$S$35,4,FALSE)*VLOOKUP("standard",'Plate Planning'!$L$20:$S$35,4,FALSE)/VLOOKUP(A90,'Uncorrected Area Counts'!$A$4:$AU$99,22,FALSE)*100</f>
        <v>#DIV/0!</v>
      </c>
      <c r="M90" s="581" t="e">
        <f>(VLOOKUP(A90,'Uncorrected Area Counts'!$A$4:$AU$99,27,FALSE)/VLOOKUP(A90,'Uncorrected Area Counts'!$A$4:$AU$99,47,FALSE))*100</f>
        <v>#DIV/0!</v>
      </c>
      <c r="N90" s="567" t="e">
        <f>VLOOKUP(A90,'Uncorrected Area Counts'!$A$4:$AU$99,27,FALSE)/VLOOKUP(A90,'Uncorrected Area Counts'!$A$4:$AU$99,3,FALSE)/VLOOKUP(6,'Plate Planning'!$L$20:$S$35,4,FALSE)*VLOOKUP("standard",'Plate Planning'!$L$20:$S$35,4,FALSE)/VLOOKUP(A90,'Uncorrected Area Counts'!$A$4:$AU$99,26,FALSE)*100</f>
        <v>#DIV/0!</v>
      </c>
      <c r="O90" s="581" t="e">
        <f>(VLOOKUP(A90,'Uncorrected Area Counts'!$A$4:$AU$99,31,FALSE)/VLOOKUP(A90,'Uncorrected Area Counts'!$A$4:$AU$99,47,FALSE))*100</f>
        <v>#DIV/0!</v>
      </c>
      <c r="P90" s="568" t="e">
        <f>VLOOKUP(A90,'Uncorrected Area Counts'!$A$4:$AU$99,31,FALSE)/VLOOKUP(A90,'Uncorrected Area Counts'!$A$4:$AU$99,3,FALSE)/VLOOKUP(7,'Plate Planning'!$L$20:$S$35,4,FALSE)*VLOOKUP("standard",'Plate Planning'!$L$20:$S$35,4,FALSE)/VLOOKUP(A90,'Uncorrected Area Counts'!$A$4:$AU$99,30,FALSE)*100</f>
        <v>#DIV/0!</v>
      </c>
      <c r="Q90" s="581" t="e">
        <f>(VLOOKUP(A90,'Uncorrected Area Counts'!$A$4:$AU$99,35,FALSE)/VLOOKUP(A90,'Uncorrected Area Counts'!$A$4:$AU$99,47,FALSE))*100</f>
        <v>#DIV/0!</v>
      </c>
      <c r="R90" s="477" t="e">
        <f>VLOOKUP(A90,'Uncorrected Area Counts'!$A$4:$AU$99,35,FALSE)/VLOOKUP(A90,'Uncorrected Area Counts'!$A$4:$AU$99,3,FALSE)/VLOOKUP(8,'Plate Planning'!$L$20:$S$35,4,FALSE)*VLOOKUP("standard",'Plate Planning'!$L$20:$S$35,4,FALSE)/VLOOKUP(A90,'Uncorrected Area Counts'!$A$4:$AU$99,34,FALSE)*100</f>
        <v>#DIV/0!</v>
      </c>
      <c r="S90" s="589" t="e">
        <f>(VLOOKUP(A90,'Uncorrected Area Counts'!$A$4:$AU$99,39,FALSE)/VLOOKUP(A90,'Uncorrected Area Counts'!$A$4:$AU$99,47,FALSE))*100</f>
        <v>#DIV/0!</v>
      </c>
      <c r="T90" s="569" t="e">
        <f>VLOOKUP(A90,'Uncorrected Area Counts'!$A$4:$AU$99,39,FALSE)/VLOOKUP(A90,'Uncorrected Area Counts'!$A$4:$AU$99,3,FALSE)/VLOOKUP(8,'Plate Planning'!$L$20:$S$35,4,FALSE)*VLOOKUP("standard",'Plate Planning'!$L$20:$S$35,4,FALSE)/VLOOKUP(A90,'Uncorrected Area Counts'!$A$4:$AU$99,38,FALSE)*100</f>
        <v>#DIV/0!</v>
      </c>
      <c r="U90" s="589" t="e">
        <f>(VLOOKUP(A90,'Uncorrected Area Counts'!$A$4:$AU$99,43,FALSE)/VLOOKUP(A90,'Uncorrected Area Counts'!$A$4:$AU$99,47,FALSE))*100</f>
        <v>#DIV/0!</v>
      </c>
      <c r="V90" s="604" t="e">
        <f>VLOOKUP(A90,'Uncorrected Area Counts'!$A$4:$AU$99,43,FALSE)/VLOOKUP(A90,'Uncorrected Area Counts'!$A$4:$AU$99,3,FALSE)/VLOOKUP(8,'Plate Planning'!$L$20:$S$35,4,FALSE)*VLOOKUP("standard",'Plate Planning'!$L$20:$S$35,4,FALSE)/VLOOKUP(A90,'Uncorrected Area Counts'!$A$4:$AU$99,42,FALSE)*100</f>
        <v>#DIV/0!</v>
      </c>
    </row>
    <row r="91" spans="1:22">
      <c r="A91" s="478" t="s">
        <v>1249</v>
      </c>
      <c r="B91" s="565" t="s">
        <v>22</v>
      </c>
      <c r="C91" s="573" t="e">
        <f>(VLOOKUP(A91,'Uncorrected Area Counts'!$A$4:$AU$99,7,FALSE)/VLOOKUP(A91,'Uncorrected Area Counts'!$A$4:$AU$99,47,FALSE))*100</f>
        <v>#DIV/0!</v>
      </c>
      <c r="D91" s="566" t="e">
        <f>VLOOKUP(A91,'Uncorrected Area Counts'!$A$4:$AU$99,7,FALSE)/VLOOKUP(A91,'Uncorrected Area Counts'!$A$4:$AU$99,3,FALSE)/VLOOKUP(1,'Plate Planning'!$L$20:$S$35,4,FALSE)*VLOOKUP("standard",'Plate Planning'!$L$20:$S$35,4,FALSE)/VLOOKUP(A91,'Uncorrected Area Counts'!$A$4:$AU$99,6,FALSE)*100</f>
        <v>#DIV/0!</v>
      </c>
      <c r="E91" s="576" t="e">
        <f>(VLOOKUP(A91,'Uncorrected Area Counts'!$A$4:$AU$99,11,FALSE)/VLOOKUP(A91,'Uncorrected Area Counts'!$A$4:$AU$99,47,FALSE))*100</f>
        <v>#DIV/0!</v>
      </c>
      <c r="F91" s="566" t="e">
        <f>VLOOKUP(A91,'Uncorrected Area Counts'!$A$4:$AU$99,11,FALSE)/VLOOKUP(A91,'Uncorrected Area Counts'!$A$4:$AU$99,3,FALSE)/VLOOKUP(2,'Plate Planning'!$L$20:$S$35,4,FALSE)*VLOOKUP("standard",'Plate Planning'!$L$20:$S$35,4,FALSE)/VLOOKUP(A91,'Uncorrected Area Counts'!$A$4:$AU$99,10,FALSE)*100</f>
        <v>#DIV/0!</v>
      </c>
      <c r="G91" s="576" t="e">
        <f>(VLOOKUP(A91,'Uncorrected Area Counts'!$A$4:$AU$99,15,FALSE)/VLOOKUP(A91,'Uncorrected Area Counts'!$A$4:$AU$99,47,FALSE))*100</f>
        <v>#DIV/0!</v>
      </c>
      <c r="H91" s="566" t="e">
        <f>VLOOKUP(A91,'Uncorrected Area Counts'!$A$4:$AU$99,15,FALSE)/VLOOKUP(A91,'Uncorrected Area Counts'!$A$4:$AU$99,3,FALSE)/VLOOKUP(3,'Plate Planning'!$L$20:$S$35,4,FALSE)*VLOOKUP("standard",'Plate Planning'!$L$20:$S$35,4,FALSE)/VLOOKUP(A91,'Uncorrected Area Counts'!$A$4:$AU$99,14,FALSE)*100</f>
        <v>#DIV/0!</v>
      </c>
      <c r="I91" s="576" t="e">
        <f>(VLOOKUP(A91,'Uncorrected Area Counts'!$A$4:$AU$99,19,FALSE)/VLOOKUP(A91,'Uncorrected Area Counts'!$A$4:$AU$99,47,FALSE))*100</f>
        <v>#DIV/0!</v>
      </c>
      <c r="J91" s="567" t="e">
        <f>VLOOKUP(A91,'Uncorrected Area Counts'!$A$4:$AU$99,19,FALSE)/VLOOKUP(A91,'Uncorrected Area Counts'!$A$4:$AU$99,3,FALSE)/VLOOKUP(4,'Plate Planning'!$L$20:$S$35,4,FALSE)*VLOOKUP("standard",'Plate Planning'!$L$20:$S$35,4,FALSE)/VLOOKUP(A91,'Uncorrected Area Counts'!$A$4:$AU$99,18,FALSE)*100</f>
        <v>#DIV/0!</v>
      </c>
      <c r="K91" s="581" t="e">
        <f>(VLOOKUP(A91,'Uncorrected Area Counts'!$A$4:$AU$99,23,FALSE)/VLOOKUP(A91,'Uncorrected Area Counts'!$A$4:$AU$99,47,FALSE))*100</f>
        <v>#DIV/0!</v>
      </c>
      <c r="L91" s="568" t="e">
        <f>VLOOKUP(A91,'Uncorrected Area Counts'!$A$4:$AU$99,23,FALSE)/VLOOKUP(A91,'Uncorrected Area Counts'!$A$4:$AU$99,3,FALSE)/VLOOKUP(5,'Plate Planning'!$L$20:$S$35,4,FALSE)*VLOOKUP("standard",'Plate Planning'!$L$20:$S$35,4,FALSE)/VLOOKUP(A91,'Uncorrected Area Counts'!$A$4:$AU$99,22,FALSE)*100</f>
        <v>#DIV/0!</v>
      </c>
      <c r="M91" s="581" t="e">
        <f>(VLOOKUP(A91,'Uncorrected Area Counts'!$A$4:$AU$99,27,FALSE)/VLOOKUP(A91,'Uncorrected Area Counts'!$A$4:$AU$99,47,FALSE))*100</f>
        <v>#DIV/0!</v>
      </c>
      <c r="N91" s="567" t="e">
        <f>VLOOKUP(A91,'Uncorrected Area Counts'!$A$4:$AU$99,27,FALSE)/VLOOKUP(A91,'Uncorrected Area Counts'!$A$4:$AU$99,3,FALSE)/VLOOKUP(6,'Plate Planning'!$L$20:$S$35,4,FALSE)*VLOOKUP("standard",'Plate Planning'!$L$20:$S$35,4,FALSE)/VLOOKUP(A91,'Uncorrected Area Counts'!$A$4:$AU$99,26,FALSE)*100</f>
        <v>#DIV/0!</v>
      </c>
      <c r="O91" s="581" t="e">
        <f>(VLOOKUP(A91,'Uncorrected Area Counts'!$A$4:$AU$99,31,FALSE)/VLOOKUP(A91,'Uncorrected Area Counts'!$A$4:$AU$99,47,FALSE))*100</f>
        <v>#DIV/0!</v>
      </c>
      <c r="P91" s="568" t="e">
        <f>VLOOKUP(A91,'Uncorrected Area Counts'!$A$4:$AU$99,31,FALSE)/VLOOKUP(A91,'Uncorrected Area Counts'!$A$4:$AU$99,3,FALSE)/VLOOKUP(7,'Plate Planning'!$L$20:$S$35,4,FALSE)*VLOOKUP("standard",'Plate Planning'!$L$20:$S$35,4,FALSE)/VLOOKUP(A91,'Uncorrected Area Counts'!$A$4:$AU$99,30,FALSE)*100</f>
        <v>#DIV/0!</v>
      </c>
      <c r="Q91" s="581" t="e">
        <f>(VLOOKUP(A91,'Uncorrected Area Counts'!$A$4:$AU$99,35,FALSE)/VLOOKUP(A91,'Uncorrected Area Counts'!$A$4:$AU$99,47,FALSE))*100</f>
        <v>#DIV/0!</v>
      </c>
      <c r="R91" s="477" t="e">
        <f>VLOOKUP(A91,'Uncorrected Area Counts'!$A$4:$AU$99,35,FALSE)/VLOOKUP(A91,'Uncorrected Area Counts'!$A$4:$AU$99,3,FALSE)/VLOOKUP(8,'Plate Planning'!$L$20:$S$35,4,FALSE)*VLOOKUP("standard",'Plate Planning'!$L$20:$S$35,4,FALSE)/VLOOKUP(A91,'Uncorrected Area Counts'!$A$4:$AU$99,34,FALSE)*100</f>
        <v>#DIV/0!</v>
      </c>
      <c r="S91" s="589" t="e">
        <f>(VLOOKUP(A91,'Uncorrected Area Counts'!$A$4:$AU$99,39,FALSE)/VLOOKUP(A91,'Uncorrected Area Counts'!$A$4:$AU$99,47,FALSE))*100</f>
        <v>#DIV/0!</v>
      </c>
      <c r="T91" s="569" t="e">
        <f>VLOOKUP(A91,'Uncorrected Area Counts'!$A$4:$AU$99,39,FALSE)/VLOOKUP(A91,'Uncorrected Area Counts'!$A$4:$AU$99,3,FALSE)/VLOOKUP(8,'Plate Planning'!$L$20:$S$35,4,FALSE)*VLOOKUP("standard",'Plate Planning'!$L$20:$S$35,4,FALSE)/VLOOKUP(A91,'Uncorrected Area Counts'!$A$4:$AU$99,38,FALSE)*100</f>
        <v>#DIV/0!</v>
      </c>
      <c r="U91" s="589" t="e">
        <f>(VLOOKUP(A91,'Uncorrected Area Counts'!$A$4:$AU$99,43,FALSE)/VLOOKUP(A91,'Uncorrected Area Counts'!$A$4:$AU$99,47,FALSE))*100</f>
        <v>#DIV/0!</v>
      </c>
      <c r="V91" s="604" t="e">
        <f>VLOOKUP(A91,'Uncorrected Area Counts'!$A$4:$AU$99,43,FALSE)/VLOOKUP(A91,'Uncorrected Area Counts'!$A$4:$AU$99,3,FALSE)/VLOOKUP(8,'Plate Planning'!$L$20:$S$35,4,FALSE)*VLOOKUP("standard",'Plate Planning'!$L$20:$S$35,4,FALSE)/VLOOKUP(A91,'Uncorrected Area Counts'!$A$4:$AU$99,42,FALSE)*100</f>
        <v>#DIV/0!</v>
      </c>
    </row>
    <row r="92" spans="1:22">
      <c r="A92" s="478" t="s">
        <v>1250</v>
      </c>
      <c r="B92" s="565" t="s">
        <v>22</v>
      </c>
      <c r="C92" s="573" t="e">
        <f>(VLOOKUP(A92,'Uncorrected Area Counts'!$A$4:$AU$99,7,FALSE)/VLOOKUP(A92,'Uncorrected Area Counts'!$A$4:$AU$99,47,FALSE))*100</f>
        <v>#DIV/0!</v>
      </c>
      <c r="D92" s="566" t="e">
        <f>VLOOKUP(A92,'Uncorrected Area Counts'!$A$4:$AU$99,7,FALSE)/VLOOKUP(A92,'Uncorrected Area Counts'!$A$4:$AU$99,3,FALSE)/VLOOKUP(1,'Plate Planning'!$L$20:$S$35,4,FALSE)*VLOOKUP("standard",'Plate Planning'!$L$20:$S$35,4,FALSE)/VLOOKUP(A92,'Uncorrected Area Counts'!$A$4:$AU$99,6,FALSE)*100</f>
        <v>#DIV/0!</v>
      </c>
      <c r="E92" s="576" t="e">
        <f>(VLOOKUP(A92,'Uncorrected Area Counts'!$A$4:$AU$99,11,FALSE)/VLOOKUP(A92,'Uncorrected Area Counts'!$A$4:$AU$99,47,FALSE))*100</f>
        <v>#DIV/0!</v>
      </c>
      <c r="F92" s="566" t="e">
        <f>VLOOKUP(A92,'Uncorrected Area Counts'!$A$4:$AU$99,11,FALSE)/VLOOKUP(A92,'Uncorrected Area Counts'!$A$4:$AU$99,3,FALSE)/VLOOKUP(2,'Plate Planning'!$L$20:$S$35,4,FALSE)*VLOOKUP("standard",'Plate Planning'!$L$20:$S$35,4,FALSE)/VLOOKUP(A92,'Uncorrected Area Counts'!$A$4:$AU$99,10,FALSE)*100</f>
        <v>#DIV/0!</v>
      </c>
      <c r="G92" s="576" t="e">
        <f>(VLOOKUP(A92,'Uncorrected Area Counts'!$A$4:$AU$99,15,FALSE)/VLOOKUP(A92,'Uncorrected Area Counts'!$A$4:$AU$99,47,FALSE))*100</f>
        <v>#DIV/0!</v>
      </c>
      <c r="H92" s="566" t="e">
        <f>VLOOKUP(A92,'Uncorrected Area Counts'!$A$4:$AU$99,15,FALSE)/VLOOKUP(A92,'Uncorrected Area Counts'!$A$4:$AU$99,3,FALSE)/VLOOKUP(3,'Plate Planning'!$L$20:$S$35,4,FALSE)*VLOOKUP("standard",'Plate Planning'!$L$20:$S$35,4,FALSE)/VLOOKUP(A92,'Uncorrected Area Counts'!$A$4:$AU$99,14,FALSE)*100</f>
        <v>#DIV/0!</v>
      </c>
      <c r="I92" s="576" t="e">
        <f>(VLOOKUP(A92,'Uncorrected Area Counts'!$A$4:$AU$99,19,FALSE)/VLOOKUP(A92,'Uncorrected Area Counts'!$A$4:$AU$99,47,FALSE))*100</f>
        <v>#DIV/0!</v>
      </c>
      <c r="J92" s="567" t="e">
        <f>VLOOKUP(A92,'Uncorrected Area Counts'!$A$4:$AU$99,19,FALSE)/VLOOKUP(A92,'Uncorrected Area Counts'!$A$4:$AU$99,3,FALSE)/VLOOKUP(4,'Plate Planning'!$L$20:$S$35,4,FALSE)*VLOOKUP("standard",'Plate Planning'!$L$20:$S$35,4,FALSE)/VLOOKUP(A92,'Uncorrected Area Counts'!$A$4:$AU$99,18,FALSE)*100</f>
        <v>#DIV/0!</v>
      </c>
      <c r="K92" s="581" t="e">
        <f>(VLOOKUP(A92,'Uncorrected Area Counts'!$A$4:$AU$99,23,FALSE)/VLOOKUP(A92,'Uncorrected Area Counts'!$A$4:$AU$99,47,FALSE))*100</f>
        <v>#DIV/0!</v>
      </c>
      <c r="L92" s="568" t="e">
        <f>VLOOKUP(A92,'Uncorrected Area Counts'!$A$4:$AU$99,23,FALSE)/VLOOKUP(A92,'Uncorrected Area Counts'!$A$4:$AU$99,3,FALSE)/VLOOKUP(5,'Plate Planning'!$L$20:$S$35,4,FALSE)*VLOOKUP("standard",'Plate Planning'!$L$20:$S$35,4,FALSE)/VLOOKUP(A92,'Uncorrected Area Counts'!$A$4:$AU$99,22,FALSE)*100</f>
        <v>#DIV/0!</v>
      </c>
      <c r="M92" s="581" t="e">
        <f>(VLOOKUP(A92,'Uncorrected Area Counts'!$A$4:$AU$99,27,FALSE)/VLOOKUP(A92,'Uncorrected Area Counts'!$A$4:$AU$99,47,FALSE))*100</f>
        <v>#DIV/0!</v>
      </c>
      <c r="N92" s="567" t="e">
        <f>VLOOKUP(A92,'Uncorrected Area Counts'!$A$4:$AU$99,27,FALSE)/VLOOKUP(A92,'Uncorrected Area Counts'!$A$4:$AU$99,3,FALSE)/VLOOKUP(6,'Plate Planning'!$L$20:$S$35,4,FALSE)*VLOOKUP("standard",'Plate Planning'!$L$20:$S$35,4,FALSE)/VLOOKUP(A92,'Uncorrected Area Counts'!$A$4:$AU$99,26,FALSE)*100</f>
        <v>#DIV/0!</v>
      </c>
      <c r="O92" s="581" t="e">
        <f>(VLOOKUP(A92,'Uncorrected Area Counts'!$A$4:$AU$99,31,FALSE)/VLOOKUP(A92,'Uncorrected Area Counts'!$A$4:$AU$99,47,FALSE))*100</f>
        <v>#DIV/0!</v>
      </c>
      <c r="P92" s="568" t="e">
        <f>VLOOKUP(A92,'Uncorrected Area Counts'!$A$4:$AU$99,31,FALSE)/VLOOKUP(A92,'Uncorrected Area Counts'!$A$4:$AU$99,3,FALSE)/VLOOKUP(7,'Plate Planning'!$L$20:$S$35,4,FALSE)*VLOOKUP("standard",'Plate Planning'!$L$20:$S$35,4,FALSE)/VLOOKUP(A92,'Uncorrected Area Counts'!$A$4:$AU$99,30,FALSE)*100</f>
        <v>#DIV/0!</v>
      </c>
      <c r="Q92" s="581" t="e">
        <f>(VLOOKUP(A92,'Uncorrected Area Counts'!$A$4:$AU$99,35,FALSE)/VLOOKUP(A92,'Uncorrected Area Counts'!$A$4:$AU$99,47,FALSE))*100</f>
        <v>#DIV/0!</v>
      </c>
      <c r="R92" s="477" t="e">
        <f>VLOOKUP(A92,'Uncorrected Area Counts'!$A$4:$AU$99,35,FALSE)/VLOOKUP(A92,'Uncorrected Area Counts'!$A$4:$AU$99,3,FALSE)/VLOOKUP(8,'Plate Planning'!$L$20:$S$35,4,FALSE)*VLOOKUP("standard",'Plate Planning'!$L$20:$S$35,4,FALSE)/VLOOKUP(A92,'Uncorrected Area Counts'!$A$4:$AU$99,34,FALSE)*100</f>
        <v>#DIV/0!</v>
      </c>
      <c r="S92" s="589" t="e">
        <f>(VLOOKUP(A92,'Uncorrected Area Counts'!$A$4:$AU$99,39,FALSE)/VLOOKUP(A92,'Uncorrected Area Counts'!$A$4:$AU$99,47,FALSE))*100</f>
        <v>#DIV/0!</v>
      </c>
      <c r="T92" s="569" t="e">
        <f>VLOOKUP(A92,'Uncorrected Area Counts'!$A$4:$AU$99,39,FALSE)/VLOOKUP(A92,'Uncorrected Area Counts'!$A$4:$AU$99,3,FALSE)/VLOOKUP(8,'Plate Planning'!$L$20:$S$35,4,FALSE)*VLOOKUP("standard",'Plate Planning'!$L$20:$S$35,4,FALSE)/VLOOKUP(A92,'Uncorrected Area Counts'!$A$4:$AU$99,38,FALSE)*100</f>
        <v>#DIV/0!</v>
      </c>
      <c r="U92" s="589" t="e">
        <f>(VLOOKUP(A92,'Uncorrected Area Counts'!$A$4:$AU$99,43,FALSE)/VLOOKUP(A92,'Uncorrected Area Counts'!$A$4:$AU$99,47,FALSE))*100</f>
        <v>#DIV/0!</v>
      </c>
      <c r="V92" s="604" t="e">
        <f>VLOOKUP(A92,'Uncorrected Area Counts'!$A$4:$AU$99,43,FALSE)/VLOOKUP(A92,'Uncorrected Area Counts'!$A$4:$AU$99,3,FALSE)/VLOOKUP(8,'Plate Planning'!$L$20:$S$35,4,FALSE)*VLOOKUP("standard",'Plate Planning'!$L$20:$S$35,4,FALSE)/VLOOKUP(A92,'Uncorrected Area Counts'!$A$4:$AU$99,42,FALSE)*100</f>
        <v>#DIV/0!</v>
      </c>
    </row>
    <row r="93" spans="1:22">
      <c r="A93" s="478" t="s">
        <v>1251</v>
      </c>
      <c r="B93" s="565" t="s">
        <v>22</v>
      </c>
      <c r="C93" s="573" t="e">
        <f>(VLOOKUP(A93,'Uncorrected Area Counts'!$A$4:$AU$99,7,FALSE)/VLOOKUP(A93,'Uncorrected Area Counts'!$A$4:$AU$99,47,FALSE))*100</f>
        <v>#DIV/0!</v>
      </c>
      <c r="D93" s="566" t="e">
        <f>VLOOKUP(A93,'Uncorrected Area Counts'!$A$4:$AU$99,7,FALSE)/VLOOKUP(A93,'Uncorrected Area Counts'!$A$4:$AU$99,3,FALSE)/VLOOKUP(1,'Plate Planning'!$L$20:$S$35,4,FALSE)*VLOOKUP("standard",'Plate Planning'!$L$20:$S$35,4,FALSE)/VLOOKUP(A93,'Uncorrected Area Counts'!$A$4:$AU$99,6,FALSE)*100</f>
        <v>#DIV/0!</v>
      </c>
      <c r="E93" s="576" t="e">
        <f>(VLOOKUP(A93,'Uncorrected Area Counts'!$A$4:$AU$99,11,FALSE)/VLOOKUP(A93,'Uncorrected Area Counts'!$A$4:$AU$99,47,FALSE))*100</f>
        <v>#DIV/0!</v>
      </c>
      <c r="F93" s="566" t="e">
        <f>VLOOKUP(A93,'Uncorrected Area Counts'!$A$4:$AU$99,11,FALSE)/VLOOKUP(A93,'Uncorrected Area Counts'!$A$4:$AU$99,3,FALSE)/VLOOKUP(2,'Plate Planning'!$L$20:$S$35,4,FALSE)*VLOOKUP("standard",'Plate Planning'!$L$20:$S$35,4,FALSE)/VLOOKUP(A93,'Uncorrected Area Counts'!$A$4:$AU$99,10,FALSE)*100</f>
        <v>#DIV/0!</v>
      </c>
      <c r="G93" s="576" t="e">
        <f>(VLOOKUP(A93,'Uncorrected Area Counts'!$A$4:$AU$99,15,FALSE)/VLOOKUP(A93,'Uncorrected Area Counts'!$A$4:$AU$99,47,FALSE))*100</f>
        <v>#DIV/0!</v>
      </c>
      <c r="H93" s="566" t="e">
        <f>VLOOKUP(A93,'Uncorrected Area Counts'!$A$4:$AU$99,15,FALSE)/VLOOKUP(A93,'Uncorrected Area Counts'!$A$4:$AU$99,3,FALSE)/VLOOKUP(3,'Plate Planning'!$L$20:$S$35,4,FALSE)*VLOOKUP("standard",'Plate Planning'!$L$20:$S$35,4,FALSE)/VLOOKUP(A93,'Uncorrected Area Counts'!$A$4:$AU$99,14,FALSE)*100</f>
        <v>#DIV/0!</v>
      </c>
      <c r="I93" s="576" t="e">
        <f>(VLOOKUP(A93,'Uncorrected Area Counts'!$A$4:$AU$99,19,FALSE)/VLOOKUP(A93,'Uncorrected Area Counts'!$A$4:$AU$99,47,FALSE))*100</f>
        <v>#DIV/0!</v>
      </c>
      <c r="J93" s="567" t="e">
        <f>VLOOKUP(A93,'Uncorrected Area Counts'!$A$4:$AU$99,19,FALSE)/VLOOKUP(A93,'Uncorrected Area Counts'!$A$4:$AU$99,3,FALSE)/VLOOKUP(4,'Plate Planning'!$L$20:$S$35,4,FALSE)*VLOOKUP("standard",'Plate Planning'!$L$20:$S$35,4,FALSE)/VLOOKUP(A93,'Uncorrected Area Counts'!$A$4:$AU$99,18,FALSE)*100</f>
        <v>#DIV/0!</v>
      </c>
      <c r="K93" s="581" t="e">
        <f>(VLOOKUP(A93,'Uncorrected Area Counts'!$A$4:$AU$99,23,FALSE)/VLOOKUP(A93,'Uncorrected Area Counts'!$A$4:$AU$99,47,FALSE))*100</f>
        <v>#DIV/0!</v>
      </c>
      <c r="L93" s="568" t="e">
        <f>VLOOKUP(A93,'Uncorrected Area Counts'!$A$4:$AU$99,23,FALSE)/VLOOKUP(A93,'Uncorrected Area Counts'!$A$4:$AU$99,3,FALSE)/VLOOKUP(5,'Plate Planning'!$L$20:$S$35,4,FALSE)*VLOOKUP("standard",'Plate Planning'!$L$20:$S$35,4,FALSE)/VLOOKUP(A93,'Uncorrected Area Counts'!$A$4:$AU$99,22,FALSE)*100</f>
        <v>#DIV/0!</v>
      </c>
      <c r="M93" s="581" t="e">
        <f>(VLOOKUP(A93,'Uncorrected Area Counts'!$A$4:$AU$99,27,FALSE)/VLOOKUP(A93,'Uncorrected Area Counts'!$A$4:$AU$99,47,FALSE))*100</f>
        <v>#DIV/0!</v>
      </c>
      <c r="N93" s="567" t="e">
        <f>VLOOKUP(A93,'Uncorrected Area Counts'!$A$4:$AU$99,27,FALSE)/VLOOKUP(A93,'Uncorrected Area Counts'!$A$4:$AU$99,3,FALSE)/VLOOKUP(6,'Plate Planning'!$L$20:$S$35,4,FALSE)*VLOOKUP("standard",'Plate Planning'!$L$20:$S$35,4,FALSE)/VLOOKUP(A93,'Uncorrected Area Counts'!$A$4:$AU$99,26,FALSE)*100</f>
        <v>#DIV/0!</v>
      </c>
      <c r="O93" s="581" t="e">
        <f>(VLOOKUP(A93,'Uncorrected Area Counts'!$A$4:$AU$99,31,FALSE)/VLOOKUP(A93,'Uncorrected Area Counts'!$A$4:$AU$99,47,FALSE))*100</f>
        <v>#DIV/0!</v>
      </c>
      <c r="P93" s="568" t="e">
        <f>VLOOKUP(A93,'Uncorrected Area Counts'!$A$4:$AU$99,31,FALSE)/VLOOKUP(A93,'Uncorrected Area Counts'!$A$4:$AU$99,3,FALSE)/VLOOKUP(7,'Plate Planning'!$L$20:$S$35,4,FALSE)*VLOOKUP("standard",'Plate Planning'!$L$20:$S$35,4,FALSE)/VLOOKUP(A93,'Uncorrected Area Counts'!$A$4:$AU$99,30,FALSE)*100</f>
        <v>#DIV/0!</v>
      </c>
      <c r="Q93" s="581" t="e">
        <f>(VLOOKUP(A93,'Uncorrected Area Counts'!$A$4:$AU$99,35,FALSE)/VLOOKUP(A93,'Uncorrected Area Counts'!$A$4:$AU$99,47,FALSE))*100</f>
        <v>#DIV/0!</v>
      </c>
      <c r="R93" s="477" t="e">
        <f>VLOOKUP(A93,'Uncorrected Area Counts'!$A$4:$AU$99,35,FALSE)/VLOOKUP(A93,'Uncorrected Area Counts'!$A$4:$AU$99,3,FALSE)/VLOOKUP(8,'Plate Planning'!$L$20:$S$35,4,FALSE)*VLOOKUP("standard",'Plate Planning'!$L$20:$S$35,4,FALSE)/VLOOKUP(A93,'Uncorrected Area Counts'!$A$4:$AU$99,34,FALSE)*100</f>
        <v>#DIV/0!</v>
      </c>
      <c r="S93" s="589" t="e">
        <f>(VLOOKUP(A93,'Uncorrected Area Counts'!$A$4:$AU$99,39,FALSE)/VLOOKUP(A93,'Uncorrected Area Counts'!$A$4:$AU$99,47,FALSE))*100</f>
        <v>#DIV/0!</v>
      </c>
      <c r="T93" s="569" t="e">
        <f>VLOOKUP(A93,'Uncorrected Area Counts'!$A$4:$AU$99,39,FALSE)/VLOOKUP(A93,'Uncorrected Area Counts'!$A$4:$AU$99,3,FALSE)/VLOOKUP(8,'Plate Planning'!$L$20:$S$35,4,FALSE)*VLOOKUP("standard",'Plate Planning'!$L$20:$S$35,4,FALSE)/VLOOKUP(A93,'Uncorrected Area Counts'!$A$4:$AU$99,38,FALSE)*100</f>
        <v>#DIV/0!</v>
      </c>
      <c r="U93" s="589" t="e">
        <f>(VLOOKUP(A93,'Uncorrected Area Counts'!$A$4:$AU$99,43,FALSE)/VLOOKUP(A93,'Uncorrected Area Counts'!$A$4:$AU$99,47,FALSE))*100</f>
        <v>#DIV/0!</v>
      </c>
      <c r="V93" s="604" t="e">
        <f>VLOOKUP(A93,'Uncorrected Area Counts'!$A$4:$AU$99,43,FALSE)/VLOOKUP(A93,'Uncorrected Area Counts'!$A$4:$AU$99,3,FALSE)/VLOOKUP(8,'Plate Planning'!$L$20:$S$35,4,FALSE)*VLOOKUP("standard",'Plate Planning'!$L$20:$S$35,4,FALSE)/VLOOKUP(A93,'Uncorrected Area Counts'!$A$4:$AU$99,42,FALSE)*100</f>
        <v>#DIV/0!</v>
      </c>
    </row>
    <row r="94" spans="1:22">
      <c r="A94" s="478" t="s">
        <v>1252</v>
      </c>
      <c r="B94" s="565" t="s">
        <v>22</v>
      </c>
      <c r="C94" s="573" t="e">
        <f>(VLOOKUP(A94,'Uncorrected Area Counts'!$A$4:$AU$99,7,FALSE)/VLOOKUP(A94,'Uncorrected Area Counts'!$A$4:$AU$99,47,FALSE))*100</f>
        <v>#DIV/0!</v>
      </c>
      <c r="D94" s="566" t="e">
        <f>VLOOKUP(A94,'Uncorrected Area Counts'!$A$4:$AU$99,7,FALSE)/VLOOKUP(A94,'Uncorrected Area Counts'!$A$4:$AU$99,3,FALSE)/VLOOKUP(1,'Plate Planning'!$L$20:$S$35,4,FALSE)*VLOOKUP("standard",'Plate Planning'!$L$20:$S$35,4,FALSE)/VLOOKUP(A94,'Uncorrected Area Counts'!$A$4:$AU$99,6,FALSE)*100</f>
        <v>#DIV/0!</v>
      </c>
      <c r="E94" s="576" t="e">
        <f>(VLOOKUP(A94,'Uncorrected Area Counts'!$A$4:$AU$99,11,FALSE)/VLOOKUP(A94,'Uncorrected Area Counts'!$A$4:$AU$99,47,FALSE))*100</f>
        <v>#DIV/0!</v>
      </c>
      <c r="F94" s="566" t="e">
        <f>VLOOKUP(A94,'Uncorrected Area Counts'!$A$4:$AU$99,11,FALSE)/VLOOKUP(A94,'Uncorrected Area Counts'!$A$4:$AU$99,3,FALSE)/VLOOKUP(2,'Plate Planning'!$L$20:$S$35,4,FALSE)*VLOOKUP("standard",'Plate Planning'!$L$20:$S$35,4,FALSE)/VLOOKUP(A94,'Uncorrected Area Counts'!$A$4:$AU$99,10,FALSE)*100</f>
        <v>#DIV/0!</v>
      </c>
      <c r="G94" s="576" t="e">
        <f>(VLOOKUP(A94,'Uncorrected Area Counts'!$A$4:$AU$99,15,FALSE)/VLOOKUP(A94,'Uncorrected Area Counts'!$A$4:$AU$99,47,FALSE))*100</f>
        <v>#DIV/0!</v>
      </c>
      <c r="H94" s="566" t="e">
        <f>VLOOKUP(A94,'Uncorrected Area Counts'!$A$4:$AU$99,15,FALSE)/VLOOKUP(A94,'Uncorrected Area Counts'!$A$4:$AU$99,3,FALSE)/VLOOKUP(3,'Plate Planning'!$L$20:$S$35,4,FALSE)*VLOOKUP("standard",'Plate Planning'!$L$20:$S$35,4,FALSE)/VLOOKUP(A94,'Uncorrected Area Counts'!$A$4:$AU$99,14,FALSE)*100</f>
        <v>#DIV/0!</v>
      </c>
      <c r="I94" s="576" t="e">
        <f>(VLOOKUP(A94,'Uncorrected Area Counts'!$A$4:$AU$99,19,FALSE)/VLOOKUP(A94,'Uncorrected Area Counts'!$A$4:$AU$99,47,FALSE))*100</f>
        <v>#DIV/0!</v>
      </c>
      <c r="J94" s="567" t="e">
        <f>VLOOKUP(A94,'Uncorrected Area Counts'!$A$4:$AU$99,19,FALSE)/VLOOKUP(A94,'Uncorrected Area Counts'!$A$4:$AU$99,3,FALSE)/VLOOKUP(4,'Plate Planning'!$L$20:$S$35,4,FALSE)*VLOOKUP("standard",'Plate Planning'!$L$20:$S$35,4,FALSE)/VLOOKUP(A94,'Uncorrected Area Counts'!$A$4:$AU$99,18,FALSE)*100</f>
        <v>#DIV/0!</v>
      </c>
      <c r="K94" s="581" t="e">
        <f>(VLOOKUP(A94,'Uncorrected Area Counts'!$A$4:$AU$99,23,FALSE)/VLOOKUP(A94,'Uncorrected Area Counts'!$A$4:$AU$99,47,FALSE))*100</f>
        <v>#DIV/0!</v>
      </c>
      <c r="L94" s="568" t="e">
        <f>VLOOKUP(A94,'Uncorrected Area Counts'!$A$4:$AU$99,23,FALSE)/VLOOKUP(A94,'Uncorrected Area Counts'!$A$4:$AU$99,3,FALSE)/VLOOKUP(5,'Plate Planning'!$L$20:$S$35,4,FALSE)*VLOOKUP("standard",'Plate Planning'!$L$20:$S$35,4,FALSE)/VLOOKUP(A94,'Uncorrected Area Counts'!$A$4:$AU$99,22,FALSE)*100</f>
        <v>#DIV/0!</v>
      </c>
      <c r="M94" s="581" t="e">
        <f>(VLOOKUP(A94,'Uncorrected Area Counts'!$A$4:$AU$99,27,FALSE)/VLOOKUP(A94,'Uncorrected Area Counts'!$A$4:$AU$99,47,FALSE))*100</f>
        <v>#DIV/0!</v>
      </c>
      <c r="N94" s="567" t="e">
        <f>VLOOKUP(A94,'Uncorrected Area Counts'!$A$4:$AU$99,27,FALSE)/VLOOKUP(A94,'Uncorrected Area Counts'!$A$4:$AU$99,3,FALSE)/VLOOKUP(6,'Plate Planning'!$L$20:$S$35,4,FALSE)*VLOOKUP("standard",'Plate Planning'!$L$20:$S$35,4,FALSE)/VLOOKUP(A94,'Uncorrected Area Counts'!$A$4:$AU$99,26,FALSE)*100</f>
        <v>#DIV/0!</v>
      </c>
      <c r="O94" s="581" t="e">
        <f>(VLOOKUP(A94,'Uncorrected Area Counts'!$A$4:$AU$99,31,FALSE)/VLOOKUP(A94,'Uncorrected Area Counts'!$A$4:$AU$99,47,FALSE))*100</f>
        <v>#DIV/0!</v>
      </c>
      <c r="P94" s="568" t="e">
        <f>VLOOKUP(A94,'Uncorrected Area Counts'!$A$4:$AU$99,31,FALSE)/VLOOKUP(A94,'Uncorrected Area Counts'!$A$4:$AU$99,3,FALSE)/VLOOKUP(7,'Plate Planning'!$L$20:$S$35,4,FALSE)*VLOOKUP("standard",'Plate Planning'!$L$20:$S$35,4,FALSE)/VLOOKUP(A94,'Uncorrected Area Counts'!$A$4:$AU$99,30,FALSE)*100</f>
        <v>#DIV/0!</v>
      </c>
      <c r="Q94" s="581" t="e">
        <f>(VLOOKUP(A94,'Uncorrected Area Counts'!$A$4:$AU$99,35,FALSE)/VLOOKUP(A94,'Uncorrected Area Counts'!$A$4:$AU$99,47,FALSE))*100</f>
        <v>#DIV/0!</v>
      </c>
      <c r="R94" s="477" t="e">
        <f>VLOOKUP(A94,'Uncorrected Area Counts'!$A$4:$AU$99,35,FALSE)/VLOOKUP(A94,'Uncorrected Area Counts'!$A$4:$AU$99,3,FALSE)/VLOOKUP(8,'Plate Planning'!$L$20:$S$35,4,FALSE)*VLOOKUP("standard",'Plate Planning'!$L$20:$S$35,4,FALSE)/VLOOKUP(A94,'Uncorrected Area Counts'!$A$4:$AU$99,34,FALSE)*100</f>
        <v>#DIV/0!</v>
      </c>
      <c r="S94" s="589" t="e">
        <f>(VLOOKUP(A94,'Uncorrected Area Counts'!$A$4:$AU$99,39,FALSE)/VLOOKUP(A94,'Uncorrected Area Counts'!$A$4:$AU$99,47,FALSE))*100</f>
        <v>#DIV/0!</v>
      </c>
      <c r="T94" s="569" t="e">
        <f>VLOOKUP(A94,'Uncorrected Area Counts'!$A$4:$AU$99,39,FALSE)/VLOOKUP(A94,'Uncorrected Area Counts'!$A$4:$AU$99,3,FALSE)/VLOOKUP(8,'Plate Planning'!$L$20:$S$35,4,FALSE)*VLOOKUP("standard",'Plate Planning'!$L$20:$S$35,4,FALSE)/VLOOKUP(A94,'Uncorrected Area Counts'!$A$4:$AU$99,38,FALSE)*100</f>
        <v>#DIV/0!</v>
      </c>
      <c r="U94" s="589" t="e">
        <f>(VLOOKUP(A94,'Uncorrected Area Counts'!$A$4:$AU$99,43,FALSE)/VLOOKUP(A94,'Uncorrected Area Counts'!$A$4:$AU$99,47,FALSE))*100</f>
        <v>#DIV/0!</v>
      </c>
      <c r="V94" s="604" t="e">
        <f>VLOOKUP(A94,'Uncorrected Area Counts'!$A$4:$AU$99,43,FALSE)/VLOOKUP(A94,'Uncorrected Area Counts'!$A$4:$AU$99,3,FALSE)/VLOOKUP(8,'Plate Planning'!$L$20:$S$35,4,FALSE)*VLOOKUP("standard",'Plate Planning'!$L$20:$S$35,4,FALSE)/VLOOKUP(A94,'Uncorrected Area Counts'!$A$4:$AU$99,42,FALSE)*100</f>
        <v>#DIV/0!</v>
      </c>
    </row>
    <row r="95" spans="1:22">
      <c r="A95" s="478" t="s">
        <v>1253</v>
      </c>
      <c r="B95" s="565" t="s">
        <v>22</v>
      </c>
      <c r="C95" s="573" t="e">
        <f>(VLOOKUP(A95,'Uncorrected Area Counts'!$A$4:$AU$99,7,FALSE)/VLOOKUP(A95,'Uncorrected Area Counts'!$A$4:$AU$99,47,FALSE))*100</f>
        <v>#DIV/0!</v>
      </c>
      <c r="D95" s="566" t="e">
        <f>VLOOKUP(A95,'Uncorrected Area Counts'!$A$4:$AU$99,7,FALSE)/VLOOKUP(A95,'Uncorrected Area Counts'!$A$4:$AU$99,3,FALSE)/VLOOKUP(1,'Plate Planning'!$L$20:$S$35,4,FALSE)*VLOOKUP("standard",'Plate Planning'!$L$20:$S$35,4,FALSE)/VLOOKUP(A95,'Uncorrected Area Counts'!$A$4:$AU$99,6,FALSE)*100</f>
        <v>#DIV/0!</v>
      </c>
      <c r="E95" s="576" t="e">
        <f>(VLOOKUP(A95,'Uncorrected Area Counts'!$A$4:$AU$99,11,FALSE)/VLOOKUP(A95,'Uncorrected Area Counts'!$A$4:$AU$99,47,FALSE))*100</f>
        <v>#DIV/0!</v>
      </c>
      <c r="F95" s="566" t="e">
        <f>VLOOKUP(A95,'Uncorrected Area Counts'!$A$4:$AU$99,11,FALSE)/VLOOKUP(A95,'Uncorrected Area Counts'!$A$4:$AU$99,3,FALSE)/VLOOKUP(2,'Plate Planning'!$L$20:$S$35,4,FALSE)*VLOOKUP("standard",'Plate Planning'!$L$20:$S$35,4,FALSE)/VLOOKUP(A95,'Uncorrected Area Counts'!$A$4:$AU$99,10,FALSE)*100</f>
        <v>#DIV/0!</v>
      </c>
      <c r="G95" s="576" t="e">
        <f>(VLOOKUP(A95,'Uncorrected Area Counts'!$A$4:$AU$99,15,FALSE)/VLOOKUP(A95,'Uncorrected Area Counts'!$A$4:$AU$99,47,FALSE))*100</f>
        <v>#DIV/0!</v>
      </c>
      <c r="H95" s="566" t="e">
        <f>VLOOKUP(A95,'Uncorrected Area Counts'!$A$4:$AU$99,15,FALSE)/VLOOKUP(A95,'Uncorrected Area Counts'!$A$4:$AU$99,3,FALSE)/VLOOKUP(3,'Plate Planning'!$L$20:$S$35,4,FALSE)*VLOOKUP("standard",'Plate Planning'!$L$20:$S$35,4,FALSE)/VLOOKUP(A95,'Uncorrected Area Counts'!$A$4:$AU$99,14,FALSE)*100</f>
        <v>#DIV/0!</v>
      </c>
      <c r="I95" s="576" t="e">
        <f>(VLOOKUP(A95,'Uncorrected Area Counts'!$A$4:$AU$99,19,FALSE)/VLOOKUP(A95,'Uncorrected Area Counts'!$A$4:$AU$99,47,FALSE))*100</f>
        <v>#DIV/0!</v>
      </c>
      <c r="J95" s="567" t="e">
        <f>VLOOKUP(A95,'Uncorrected Area Counts'!$A$4:$AU$99,19,FALSE)/VLOOKUP(A95,'Uncorrected Area Counts'!$A$4:$AU$99,3,FALSE)/VLOOKUP(4,'Plate Planning'!$L$20:$S$35,4,FALSE)*VLOOKUP("standard",'Plate Planning'!$L$20:$S$35,4,FALSE)/VLOOKUP(A95,'Uncorrected Area Counts'!$A$4:$AU$99,18,FALSE)*100</f>
        <v>#DIV/0!</v>
      </c>
      <c r="K95" s="581" t="e">
        <f>(VLOOKUP(A95,'Uncorrected Area Counts'!$A$4:$AU$99,23,FALSE)/VLOOKUP(A95,'Uncorrected Area Counts'!$A$4:$AU$99,47,FALSE))*100</f>
        <v>#DIV/0!</v>
      </c>
      <c r="L95" s="568" t="e">
        <f>VLOOKUP(A95,'Uncorrected Area Counts'!$A$4:$AU$99,23,FALSE)/VLOOKUP(A95,'Uncorrected Area Counts'!$A$4:$AU$99,3,FALSE)/VLOOKUP(5,'Plate Planning'!$L$20:$S$35,4,FALSE)*VLOOKUP("standard",'Plate Planning'!$L$20:$S$35,4,FALSE)/VLOOKUP(A95,'Uncorrected Area Counts'!$A$4:$AU$99,22,FALSE)*100</f>
        <v>#DIV/0!</v>
      </c>
      <c r="M95" s="581" t="e">
        <f>(VLOOKUP(A95,'Uncorrected Area Counts'!$A$4:$AU$99,27,FALSE)/VLOOKUP(A95,'Uncorrected Area Counts'!$A$4:$AU$99,47,FALSE))*100</f>
        <v>#DIV/0!</v>
      </c>
      <c r="N95" s="567" t="e">
        <f>VLOOKUP(A95,'Uncorrected Area Counts'!$A$4:$AU$99,27,FALSE)/VLOOKUP(A95,'Uncorrected Area Counts'!$A$4:$AU$99,3,FALSE)/VLOOKUP(6,'Plate Planning'!$L$20:$S$35,4,FALSE)*VLOOKUP("standard",'Plate Planning'!$L$20:$S$35,4,FALSE)/VLOOKUP(A95,'Uncorrected Area Counts'!$A$4:$AU$99,26,FALSE)*100</f>
        <v>#DIV/0!</v>
      </c>
      <c r="O95" s="581" t="e">
        <f>(VLOOKUP(A95,'Uncorrected Area Counts'!$A$4:$AU$99,31,FALSE)/VLOOKUP(A95,'Uncorrected Area Counts'!$A$4:$AU$99,47,FALSE))*100</f>
        <v>#DIV/0!</v>
      </c>
      <c r="P95" s="568" t="e">
        <f>VLOOKUP(A95,'Uncorrected Area Counts'!$A$4:$AU$99,31,FALSE)/VLOOKUP(A95,'Uncorrected Area Counts'!$A$4:$AU$99,3,FALSE)/VLOOKUP(7,'Plate Planning'!$L$20:$S$35,4,FALSE)*VLOOKUP("standard",'Plate Planning'!$L$20:$S$35,4,FALSE)/VLOOKUP(A95,'Uncorrected Area Counts'!$A$4:$AU$99,30,FALSE)*100</f>
        <v>#DIV/0!</v>
      </c>
      <c r="Q95" s="581" t="e">
        <f>(VLOOKUP(A95,'Uncorrected Area Counts'!$A$4:$AU$99,35,FALSE)/VLOOKUP(A95,'Uncorrected Area Counts'!$A$4:$AU$99,47,FALSE))*100</f>
        <v>#DIV/0!</v>
      </c>
      <c r="R95" s="477" t="e">
        <f>VLOOKUP(A95,'Uncorrected Area Counts'!$A$4:$AU$99,35,FALSE)/VLOOKUP(A95,'Uncorrected Area Counts'!$A$4:$AU$99,3,FALSE)/VLOOKUP(8,'Plate Planning'!$L$20:$S$35,4,FALSE)*VLOOKUP("standard",'Plate Planning'!$L$20:$S$35,4,FALSE)/VLOOKUP(A95,'Uncorrected Area Counts'!$A$4:$AU$99,34,FALSE)*100</f>
        <v>#DIV/0!</v>
      </c>
      <c r="S95" s="589" t="e">
        <f>(VLOOKUP(A95,'Uncorrected Area Counts'!$A$4:$AU$99,39,FALSE)/VLOOKUP(A95,'Uncorrected Area Counts'!$A$4:$AU$99,47,FALSE))*100</f>
        <v>#DIV/0!</v>
      </c>
      <c r="T95" s="569" t="e">
        <f>VLOOKUP(A95,'Uncorrected Area Counts'!$A$4:$AU$99,39,FALSE)/VLOOKUP(A95,'Uncorrected Area Counts'!$A$4:$AU$99,3,FALSE)/VLOOKUP(8,'Plate Planning'!$L$20:$S$35,4,FALSE)*VLOOKUP("standard",'Plate Planning'!$L$20:$S$35,4,FALSE)/VLOOKUP(A95,'Uncorrected Area Counts'!$A$4:$AU$99,38,FALSE)*100</f>
        <v>#DIV/0!</v>
      </c>
      <c r="U95" s="589" t="e">
        <f>(VLOOKUP(A95,'Uncorrected Area Counts'!$A$4:$AU$99,43,FALSE)/VLOOKUP(A95,'Uncorrected Area Counts'!$A$4:$AU$99,47,FALSE))*100</f>
        <v>#DIV/0!</v>
      </c>
      <c r="V95" s="604" t="e">
        <f>VLOOKUP(A95,'Uncorrected Area Counts'!$A$4:$AU$99,43,FALSE)/VLOOKUP(A95,'Uncorrected Area Counts'!$A$4:$AU$99,3,FALSE)/VLOOKUP(8,'Plate Planning'!$L$20:$S$35,4,FALSE)*VLOOKUP("standard",'Plate Planning'!$L$20:$S$35,4,FALSE)/VLOOKUP(A95,'Uncorrected Area Counts'!$A$4:$AU$99,42,FALSE)*100</f>
        <v>#DIV/0!</v>
      </c>
    </row>
    <row r="96" spans="1:22">
      <c r="A96" s="478" t="s">
        <v>1254</v>
      </c>
      <c r="B96" s="565" t="s">
        <v>22</v>
      </c>
      <c r="C96" s="573" t="e">
        <f>(VLOOKUP(A96,'Uncorrected Area Counts'!$A$4:$AU$99,7,FALSE)/VLOOKUP(A96,'Uncorrected Area Counts'!$A$4:$AU$99,47,FALSE))*100</f>
        <v>#DIV/0!</v>
      </c>
      <c r="D96" s="566" t="e">
        <f>VLOOKUP(A96,'Uncorrected Area Counts'!$A$4:$AU$99,7,FALSE)/VLOOKUP(A96,'Uncorrected Area Counts'!$A$4:$AU$99,3,FALSE)/VLOOKUP(1,'Plate Planning'!$L$20:$S$35,4,FALSE)*VLOOKUP("standard",'Plate Planning'!$L$20:$S$35,4,FALSE)/VLOOKUP(A96,'Uncorrected Area Counts'!$A$4:$AU$99,6,FALSE)*100</f>
        <v>#DIV/0!</v>
      </c>
      <c r="E96" s="576" t="e">
        <f>(VLOOKUP(A96,'Uncorrected Area Counts'!$A$4:$AU$99,11,FALSE)/VLOOKUP(A96,'Uncorrected Area Counts'!$A$4:$AU$99,47,FALSE))*100</f>
        <v>#DIV/0!</v>
      </c>
      <c r="F96" s="566" t="e">
        <f>VLOOKUP(A96,'Uncorrected Area Counts'!$A$4:$AU$99,11,FALSE)/VLOOKUP(A96,'Uncorrected Area Counts'!$A$4:$AU$99,3,FALSE)/VLOOKUP(2,'Plate Planning'!$L$20:$S$35,4,FALSE)*VLOOKUP("standard",'Plate Planning'!$L$20:$S$35,4,FALSE)/VLOOKUP(A96,'Uncorrected Area Counts'!$A$4:$AU$99,10,FALSE)*100</f>
        <v>#DIV/0!</v>
      </c>
      <c r="G96" s="576" t="e">
        <f>(VLOOKUP(A96,'Uncorrected Area Counts'!$A$4:$AU$99,15,FALSE)/VLOOKUP(A96,'Uncorrected Area Counts'!$A$4:$AU$99,47,FALSE))*100</f>
        <v>#DIV/0!</v>
      </c>
      <c r="H96" s="566" t="e">
        <f>VLOOKUP(A96,'Uncorrected Area Counts'!$A$4:$AU$99,15,FALSE)/VLOOKUP(A96,'Uncorrected Area Counts'!$A$4:$AU$99,3,FALSE)/VLOOKUP(3,'Plate Planning'!$L$20:$S$35,4,FALSE)*VLOOKUP("standard",'Plate Planning'!$L$20:$S$35,4,FALSE)/VLOOKUP(A96,'Uncorrected Area Counts'!$A$4:$AU$99,14,FALSE)*100</f>
        <v>#DIV/0!</v>
      </c>
      <c r="I96" s="576" t="e">
        <f>(VLOOKUP(A96,'Uncorrected Area Counts'!$A$4:$AU$99,19,FALSE)/VLOOKUP(A96,'Uncorrected Area Counts'!$A$4:$AU$99,47,FALSE))*100</f>
        <v>#DIV/0!</v>
      </c>
      <c r="J96" s="567" t="e">
        <f>VLOOKUP(A96,'Uncorrected Area Counts'!$A$4:$AU$99,19,FALSE)/VLOOKUP(A96,'Uncorrected Area Counts'!$A$4:$AU$99,3,FALSE)/VLOOKUP(4,'Plate Planning'!$L$20:$S$35,4,FALSE)*VLOOKUP("standard",'Plate Planning'!$L$20:$S$35,4,FALSE)/VLOOKUP(A96,'Uncorrected Area Counts'!$A$4:$AU$99,18,FALSE)*100</f>
        <v>#DIV/0!</v>
      </c>
      <c r="K96" s="581" t="e">
        <f>(VLOOKUP(A96,'Uncorrected Area Counts'!$A$4:$AU$99,23,FALSE)/VLOOKUP(A96,'Uncorrected Area Counts'!$A$4:$AU$99,47,FALSE))*100</f>
        <v>#DIV/0!</v>
      </c>
      <c r="L96" s="568" t="e">
        <f>VLOOKUP(A96,'Uncorrected Area Counts'!$A$4:$AU$99,23,FALSE)/VLOOKUP(A96,'Uncorrected Area Counts'!$A$4:$AU$99,3,FALSE)/VLOOKUP(5,'Plate Planning'!$L$20:$S$35,4,FALSE)*VLOOKUP("standard",'Plate Planning'!$L$20:$S$35,4,FALSE)/VLOOKUP(A96,'Uncorrected Area Counts'!$A$4:$AU$99,22,FALSE)*100</f>
        <v>#DIV/0!</v>
      </c>
      <c r="M96" s="581" t="e">
        <f>(VLOOKUP(A96,'Uncorrected Area Counts'!$A$4:$AU$99,27,FALSE)/VLOOKUP(A96,'Uncorrected Area Counts'!$A$4:$AU$99,47,FALSE))*100</f>
        <v>#DIV/0!</v>
      </c>
      <c r="N96" s="567" t="e">
        <f>VLOOKUP(A96,'Uncorrected Area Counts'!$A$4:$AU$99,27,FALSE)/VLOOKUP(A96,'Uncorrected Area Counts'!$A$4:$AU$99,3,FALSE)/VLOOKUP(6,'Plate Planning'!$L$20:$S$35,4,FALSE)*VLOOKUP("standard",'Plate Planning'!$L$20:$S$35,4,FALSE)/VLOOKUP(A96,'Uncorrected Area Counts'!$A$4:$AU$99,26,FALSE)*100</f>
        <v>#DIV/0!</v>
      </c>
      <c r="O96" s="581" t="e">
        <f>(VLOOKUP(A96,'Uncorrected Area Counts'!$A$4:$AU$99,31,FALSE)/VLOOKUP(A96,'Uncorrected Area Counts'!$A$4:$AU$99,47,FALSE))*100</f>
        <v>#DIV/0!</v>
      </c>
      <c r="P96" s="568" t="e">
        <f>VLOOKUP(A96,'Uncorrected Area Counts'!$A$4:$AU$99,31,FALSE)/VLOOKUP(A96,'Uncorrected Area Counts'!$A$4:$AU$99,3,FALSE)/VLOOKUP(7,'Plate Planning'!$L$20:$S$35,4,FALSE)*VLOOKUP("standard",'Plate Planning'!$L$20:$S$35,4,FALSE)/VLOOKUP(A96,'Uncorrected Area Counts'!$A$4:$AU$99,30,FALSE)*100</f>
        <v>#DIV/0!</v>
      </c>
      <c r="Q96" s="581" t="e">
        <f>(VLOOKUP(A96,'Uncorrected Area Counts'!$A$4:$AU$99,35,FALSE)/VLOOKUP(A96,'Uncorrected Area Counts'!$A$4:$AU$99,47,FALSE))*100</f>
        <v>#DIV/0!</v>
      </c>
      <c r="R96" s="477" t="e">
        <f>VLOOKUP(A96,'Uncorrected Area Counts'!$A$4:$AU$99,35,FALSE)/VLOOKUP(A96,'Uncorrected Area Counts'!$A$4:$AU$99,3,FALSE)/VLOOKUP(8,'Plate Planning'!$L$20:$S$35,4,FALSE)*VLOOKUP("standard",'Plate Planning'!$L$20:$S$35,4,FALSE)/VLOOKUP(A96,'Uncorrected Area Counts'!$A$4:$AU$99,34,FALSE)*100</f>
        <v>#DIV/0!</v>
      </c>
      <c r="S96" s="589" t="e">
        <f>(VLOOKUP(A96,'Uncorrected Area Counts'!$A$4:$AU$99,39,FALSE)/VLOOKUP(A96,'Uncorrected Area Counts'!$A$4:$AU$99,47,FALSE))*100</f>
        <v>#DIV/0!</v>
      </c>
      <c r="T96" s="569" t="e">
        <f>VLOOKUP(A96,'Uncorrected Area Counts'!$A$4:$AU$99,39,FALSE)/VLOOKUP(A96,'Uncorrected Area Counts'!$A$4:$AU$99,3,FALSE)/VLOOKUP(8,'Plate Planning'!$L$20:$S$35,4,FALSE)*VLOOKUP("standard",'Plate Planning'!$L$20:$S$35,4,FALSE)/VLOOKUP(A96,'Uncorrected Area Counts'!$A$4:$AU$99,38,FALSE)*100</f>
        <v>#DIV/0!</v>
      </c>
      <c r="U96" s="589" t="e">
        <f>(VLOOKUP(A96,'Uncorrected Area Counts'!$A$4:$AU$99,43,FALSE)/VLOOKUP(A96,'Uncorrected Area Counts'!$A$4:$AU$99,47,FALSE))*100</f>
        <v>#DIV/0!</v>
      </c>
      <c r="V96" s="604" t="e">
        <f>VLOOKUP(A96,'Uncorrected Area Counts'!$A$4:$AU$99,43,FALSE)/VLOOKUP(A96,'Uncorrected Area Counts'!$A$4:$AU$99,3,FALSE)/VLOOKUP(8,'Plate Planning'!$L$20:$S$35,4,FALSE)*VLOOKUP("standard",'Plate Planning'!$L$20:$S$35,4,FALSE)/VLOOKUP(A96,'Uncorrected Area Counts'!$A$4:$AU$99,42,FALSE)*100</f>
        <v>#DIV/0!</v>
      </c>
    </row>
    <row r="97" spans="1:22">
      <c r="A97" s="478" t="s">
        <v>1255</v>
      </c>
      <c r="B97" s="565" t="s">
        <v>22</v>
      </c>
      <c r="C97" s="573" t="e">
        <f>(VLOOKUP(A97,'Uncorrected Area Counts'!$A$4:$AU$99,7,FALSE)/VLOOKUP(A97,'Uncorrected Area Counts'!$A$4:$AU$99,47,FALSE))*100</f>
        <v>#DIV/0!</v>
      </c>
      <c r="D97" s="566" t="e">
        <f>VLOOKUP(A97,'Uncorrected Area Counts'!$A$4:$AU$99,7,FALSE)/VLOOKUP(A97,'Uncorrected Area Counts'!$A$4:$AU$99,3,FALSE)/VLOOKUP(1,'Plate Planning'!$L$20:$S$35,4,FALSE)*VLOOKUP("standard",'Plate Planning'!$L$20:$S$35,4,FALSE)/VLOOKUP(A97,'Uncorrected Area Counts'!$A$4:$AU$99,6,FALSE)*100</f>
        <v>#DIV/0!</v>
      </c>
      <c r="E97" s="576" t="e">
        <f>(VLOOKUP(A97,'Uncorrected Area Counts'!$A$4:$AU$99,11,FALSE)/VLOOKUP(A97,'Uncorrected Area Counts'!$A$4:$AU$99,47,FALSE))*100</f>
        <v>#DIV/0!</v>
      </c>
      <c r="F97" s="566" t="e">
        <f>VLOOKUP(A97,'Uncorrected Area Counts'!$A$4:$AU$99,11,FALSE)/VLOOKUP(A97,'Uncorrected Area Counts'!$A$4:$AU$99,3,FALSE)/VLOOKUP(2,'Plate Planning'!$L$20:$S$35,4,FALSE)*VLOOKUP("standard",'Plate Planning'!$L$20:$S$35,4,FALSE)/VLOOKUP(A97,'Uncorrected Area Counts'!$A$4:$AU$99,10,FALSE)*100</f>
        <v>#DIV/0!</v>
      </c>
      <c r="G97" s="576" t="e">
        <f>(VLOOKUP(A97,'Uncorrected Area Counts'!$A$4:$AU$99,15,FALSE)/VLOOKUP(A97,'Uncorrected Area Counts'!$A$4:$AU$99,47,FALSE))*100</f>
        <v>#DIV/0!</v>
      </c>
      <c r="H97" s="566" t="e">
        <f>VLOOKUP(A97,'Uncorrected Area Counts'!$A$4:$AU$99,15,FALSE)/VLOOKUP(A97,'Uncorrected Area Counts'!$A$4:$AU$99,3,FALSE)/VLOOKUP(3,'Plate Planning'!$L$20:$S$35,4,FALSE)*VLOOKUP("standard",'Plate Planning'!$L$20:$S$35,4,FALSE)/VLOOKUP(A97,'Uncorrected Area Counts'!$A$4:$AU$99,14,FALSE)*100</f>
        <v>#DIV/0!</v>
      </c>
      <c r="I97" s="576" t="e">
        <f>(VLOOKUP(A97,'Uncorrected Area Counts'!$A$4:$AU$99,19,FALSE)/VLOOKUP(A97,'Uncorrected Area Counts'!$A$4:$AU$99,47,FALSE))*100</f>
        <v>#DIV/0!</v>
      </c>
      <c r="J97" s="567" t="e">
        <f>VLOOKUP(A97,'Uncorrected Area Counts'!$A$4:$AU$99,19,FALSE)/VLOOKUP(A97,'Uncorrected Area Counts'!$A$4:$AU$99,3,FALSE)/VLOOKUP(4,'Plate Planning'!$L$20:$S$35,4,FALSE)*VLOOKUP("standard",'Plate Planning'!$L$20:$S$35,4,FALSE)/VLOOKUP(A97,'Uncorrected Area Counts'!$A$4:$AU$99,18,FALSE)*100</f>
        <v>#DIV/0!</v>
      </c>
      <c r="K97" s="581" t="e">
        <f>(VLOOKUP(A97,'Uncorrected Area Counts'!$A$4:$AU$99,23,FALSE)/VLOOKUP(A97,'Uncorrected Area Counts'!$A$4:$AU$99,47,FALSE))*100</f>
        <v>#DIV/0!</v>
      </c>
      <c r="L97" s="568" t="e">
        <f>VLOOKUP(A97,'Uncorrected Area Counts'!$A$4:$AU$99,23,FALSE)/VLOOKUP(A97,'Uncorrected Area Counts'!$A$4:$AU$99,3,FALSE)/VLOOKUP(5,'Plate Planning'!$L$20:$S$35,4,FALSE)*VLOOKUP("standard",'Plate Planning'!$L$20:$S$35,4,FALSE)/VLOOKUP(A97,'Uncorrected Area Counts'!$A$4:$AU$99,22,FALSE)*100</f>
        <v>#DIV/0!</v>
      </c>
      <c r="M97" s="581" t="e">
        <f>(VLOOKUP(A97,'Uncorrected Area Counts'!$A$4:$AU$99,27,FALSE)/VLOOKUP(A97,'Uncorrected Area Counts'!$A$4:$AU$99,47,FALSE))*100</f>
        <v>#DIV/0!</v>
      </c>
      <c r="N97" s="567" t="e">
        <f>VLOOKUP(A97,'Uncorrected Area Counts'!$A$4:$AU$99,27,FALSE)/VLOOKUP(A97,'Uncorrected Area Counts'!$A$4:$AU$99,3,FALSE)/VLOOKUP(6,'Plate Planning'!$L$20:$S$35,4,FALSE)*VLOOKUP("standard",'Plate Planning'!$L$20:$S$35,4,FALSE)/VLOOKUP(A97,'Uncorrected Area Counts'!$A$4:$AU$99,26,FALSE)*100</f>
        <v>#DIV/0!</v>
      </c>
      <c r="O97" s="581" t="e">
        <f>(VLOOKUP(A97,'Uncorrected Area Counts'!$A$4:$AU$99,31,FALSE)/VLOOKUP(A97,'Uncorrected Area Counts'!$A$4:$AU$99,47,FALSE))*100</f>
        <v>#DIV/0!</v>
      </c>
      <c r="P97" s="568" t="e">
        <f>VLOOKUP(A97,'Uncorrected Area Counts'!$A$4:$AU$99,31,FALSE)/VLOOKUP(A97,'Uncorrected Area Counts'!$A$4:$AU$99,3,FALSE)/VLOOKUP(7,'Plate Planning'!$L$20:$S$35,4,FALSE)*VLOOKUP("standard",'Plate Planning'!$L$20:$S$35,4,FALSE)/VLOOKUP(A97,'Uncorrected Area Counts'!$A$4:$AU$99,30,FALSE)*100</f>
        <v>#DIV/0!</v>
      </c>
      <c r="Q97" s="581" t="e">
        <f>(VLOOKUP(A97,'Uncorrected Area Counts'!$A$4:$AU$99,35,FALSE)/VLOOKUP(A97,'Uncorrected Area Counts'!$A$4:$AU$99,47,FALSE))*100</f>
        <v>#DIV/0!</v>
      </c>
      <c r="R97" s="477" t="e">
        <f>VLOOKUP(A97,'Uncorrected Area Counts'!$A$4:$AU$99,35,FALSE)/VLOOKUP(A97,'Uncorrected Area Counts'!$A$4:$AU$99,3,FALSE)/VLOOKUP(8,'Plate Planning'!$L$20:$S$35,4,FALSE)*VLOOKUP("standard",'Plate Planning'!$L$20:$S$35,4,FALSE)/VLOOKUP(A97,'Uncorrected Area Counts'!$A$4:$AU$99,34,FALSE)*100</f>
        <v>#DIV/0!</v>
      </c>
      <c r="S97" s="589" t="e">
        <f>(VLOOKUP(A97,'Uncorrected Area Counts'!$A$4:$AU$99,39,FALSE)/VLOOKUP(A97,'Uncorrected Area Counts'!$A$4:$AU$99,47,FALSE))*100</f>
        <v>#DIV/0!</v>
      </c>
      <c r="T97" s="569" t="e">
        <f>VLOOKUP(A97,'Uncorrected Area Counts'!$A$4:$AU$99,39,FALSE)/VLOOKUP(A97,'Uncorrected Area Counts'!$A$4:$AU$99,3,FALSE)/VLOOKUP(8,'Plate Planning'!$L$20:$S$35,4,FALSE)*VLOOKUP("standard",'Plate Planning'!$L$20:$S$35,4,FALSE)/VLOOKUP(A97,'Uncorrected Area Counts'!$A$4:$AU$99,38,FALSE)*100</f>
        <v>#DIV/0!</v>
      </c>
      <c r="U97" s="589" t="e">
        <f>(VLOOKUP(A97,'Uncorrected Area Counts'!$A$4:$AU$99,43,FALSE)/VLOOKUP(A97,'Uncorrected Area Counts'!$A$4:$AU$99,47,FALSE))*100</f>
        <v>#DIV/0!</v>
      </c>
      <c r="V97" s="604" t="e">
        <f>VLOOKUP(A97,'Uncorrected Area Counts'!$A$4:$AU$99,43,FALSE)/VLOOKUP(A97,'Uncorrected Area Counts'!$A$4:$AU$99,3,FALSE)/VLOOKUP(8,'Plate Planning'!$L$20:$S$35,4,FALSE)*VLOOKUP("standard",'Plate Planning'!$L$20:$S$35,4,FALSE)/VLOOKUP(A97,'Uncorrected Area Counts'!$A$4:$AU$99,42,FALSE)*100</f>
        <v>#DIV/0!</v>
      </c>
    </row>
    <row r="98" spans="1:22">
      <c r="A98" s="478" t="s">
        <v>1256</v>
      </c>
      <c r="B98" s="565" t="s">
        <v>22</v>
      </c>
      <c r="C98" s="573" t="e">
        <f>(VLOOKUP(A98,'Uncorrected Area Counts'!$A$4:$AU$99,7,FALSE)/VLOOKUP(A98,'Uncorrected Area Counts'!$A$4:$AU$99,47,FALSE))*100</f>
        <v>#DIV/0!</v>
      </c>
      <c r="D98" s="566" t="e">
        <f>VLOOKUP(A98,'Uncorrected Area Counts'!$A$4:$AU$99,7,FALSE)/VLOOKUP(A98,'Uncorrected Area Counts'!$A$4:$AU$99,3,FALSE)/VLOOKUP(1,'Plate Planning'!$L$20:$S$35,4,FALSE)*VLOOKUP("standard",'Plate Planning'!$L$20:$S$35,4,FALSE)/VLOOKUP(A98,'Uncorrected Area Counts'!$A$4:$AU$99,6,FALSE)*100</f>
        <v>#DIV/0!</v>
      </c>
      <c r="E98" s="576" t="e">
        <f>(VLOOKUP(A98,'Uncorrected Area Counts'!$A$4:$AU$99,11,FALSE)/VLOOKUP(A98,'Uncorrected Area Counts'!$A$4:$AU$99,47,FALSE))*100</f>
        <v>#DIV/0!</v>
      </c>
      <c r="F98" s="566" t="e">
        <f>VLOOKUP(A98,'Uncorrected Area Counts'!$A$4:$AU$99,11,FALSE)/VLOOKUP(A98,'Uncorrected Area Counts'!$A$4:$AU$99,3,FALSE)/VLOOKUP(2,'Plate Planning'!$L$20:$S$35,4,FALSE)*VLOOKUP("standard",'Plate Planning'!$L$20:$S$35,4,FALSE)/VLOOKUP(A98,'Uncorrected Area Counts'!$A$4:$AU$99,10,FALSE)*100</f>
        <v>#DIV/0!</v>
      </c>
      <c r="G98" s="576" t="e">
        <f>(VLOOKUP(A98,'Uncorrected Area Counts'!$A$4:$AU$99,15,FALSE)/VLOOKUP(A98,'Uncorrected Area Counts'!$A$4:$AU$99,47,FALSE))*100</f>
        <v>#DIV/0!</v>
      </c>
      <c r="H98" s="566" t="e">
        <f>VLOOKUP(A98,'Uncorrected Area Counts'!$A$4:$AU$99,15,FALSE)/VLOOKUP(A98,'Uncorrected Area Counts'!$A$4:$AU$99,3,FALSE)/VLOOKUP(3,'Plate Planning'!$L$20:$S$35,4,FALSE)*VLOOKUP("standard",'Plate Planning'!$L$20:$S$35,4,FALSE)/VLOOKUP(A98,'Uncorrected Area Counts'!$A$4:$AU$99,14,FALSE)*100</f>
        <v>#DIV/0!</v>
      </c>
      <c r="I98" s="576" t="e">
        <f>(VLOOKUP(A98,'Uncorrected Area Counts'!$A$4:$AU$99,19,FALSE)/VLOOKUP(A98,'Uncorrected Area Counts'!$A$4:$AU$99,47,FALSE))*100</f>
        <v>#DIV/0!</v>
      </c>
      <c r="J98" s="567" t="e">
        <f>VLOOKUP(A98,'Uncorrected Area Counts'!$A$4:$AU$99,19,FALSE)/VLOOKUP(A98,'Uncorrected Area Counts'!$A$4:$AU$99,3,FALSE)/VLOOKUP(4,'Plate Planning'!$L$20:$S$35,4,FALSE)*VLOOKUP("standard",'Plate Planning'!$L$20:$S$35,4,FALSE)/VLOOKUP(A98,'Uncorrected Area Counts'!$A$4:$AU$99,18,FALSE)*100</f>
        <v>#DIV/0!</v>
      </c>
      <c r="K98" s="581" t="e">
        <f>(VLOOKUP(A98,'Uncorrected Area Counts'!$A$4:$AU$99,23,FALSE)/VLOOKUP(A98,'Uncorrected Area Counts'!$A$4:$AU$99,47,FALSE))*100</f>
        <v>#DIV/0!</v>
      </c>
      <c r="L98" s="568" t="e">
        <f>VLOOKUP(A98,'Uncorrected Area Counts'!$A$4:$AU$99,23,FALSE)/VLOOKUP(A98,'Uncorrected Area Counts'!$A$4:$AU$99,3,FALSE)/VLOOKUP(5,'Plate Planning'!$L$20:$S$35,4,FALSE)*VLOOKUP("standard",'Plate Planning'!$L$20:$S$35,4,FALSE)/VLOOKUP(A98,'Uncorrected Area Counts'!$A$4:$AU$99,22,FALSE)*100</f>
        <v>#DIV/0!</v>
      </c>
      <c r="M98" s="581" t="e">
        <f>(VLOOKUP(A98,'Uncorrected Area Counts'!$A$4:$AU$99,27,FALSE)/VLOOKUP(A98,'Uncorrected Area Counts'!$A$4:$AU$99,47,FALSE))*100</f>
        <v>#DIV/0!</v>
      </c>
      <c r="N98" s="567" t="e">
        <f>VLOOKUP(A98,'Uncorrected Area Counts'!$A$4:$AU$99,27,FALSE)/VLOOKUP(A98,'Uncorrected Area Counts'!$A$4:$AU$99,3,FALSE)/VLOOKUP(6,'Plate Planning'!$L$20:$S$35,4,FALSE)*VLOOKUP("standard",'Plate Planning'!$L$20:$S$35,4,FALSE)/VLOOKUP(A98,'Uncorrected Area Counts'!$A$4:$AU$99,26,FALSE)*100</f>
        <v>#DIV/0!</v>
      </c>
      <c r="O98" s="581" t="e">
        <f>(VLOOKUP(A98,'Uncorrected Area Counts'!$A$4:$AU$99,31,FALSE)/VLOOKUP(A98,'Uncorrected Area Counts'!$A$4:$AU$99,47,FALSE))*100</f>
        <v>#DIV/0!</v>
      </c>
      <c r="P98" s="568" t="e">
        <f>VLOOKUP(A98,'Uncorrected Area Counts'!$A$4:$AU$99,31,FALSE)/VLOOKUP(A98,'Uncorrected Area Counts'!$A$4:$AU$99,3,FALSE)/VLOOKUP(7,'Plate Planning'!$L$20:$S$35,4,FALSE)*VLOOKUP("standard",'Plate Planning'!$L$20:$S$35,4,FALSE)/VLOOKUP(A98,'Uncorrected Area Counts'!$A$4:$AU$99,30,FALSE)*100</f>
        <v>#DIV/0!</v>
      </c>
      <c r="Q98" s="581" t="e">
        <f>(VLOOKUP(A98,'Uncorrected Area Counts'!$A$4:$AU$99,35,FALSE)/VLOOKUP(A98,'Uncorrected Area Counts'!$A$4:$AU$99,47,FALSE))*100</f>
        <v>#DIV/0!</v>
      </c>
      <c r="R98" s="477" t="e">
        <f>VLOOKUP(A98,'Uncorrected Area Counts'!$A$4:$AU$99,35,FALSE)/VLOOKUP(A98,'Uncorrected Area Counts'!$A$4:$AU$99,3,FALSE)/VLOOKUP(8,'Plate Planning'!$L$20:$S$35,4,FALSE)*VLOOKUP("standard",'Plate Planning'!$L$20:$S$35,4,FALSE)/VLOOKUP(A98,'Uncorrected Area Counts'!$A$4:$AU$99,34,FALSE)*100</f>
        <v>#DIV/0!</v>
      </c>
      <c r="S98" s="589" t="e">
        <f>(VLOOKUP(A98,'Uncorrected Area Counts'!$A$4:$AU$99,39,FALSE)/VLOOKUP(A98,'Uncorrected Area Counts'!$A$4:$AU$99,47,FALSE))*100</f>
        <v>#DIV/0!</v>
      </c>
      <c r="T98" s="569" t="e">
        <f>VLOOKUP(A98,'Uncorrected Area Counts'!$A$4:$AU$99,39,FALSE)/VLOOKUP(A98,'Uncorrected Area Counts'!$A$4:$AU$99,3,FALSE)/VLOOKUP(8,'Plate Planning'!$L$20:$S$35,4,FALSE)*VLOOKUP("standard",'Plate Planning'!$L$20:$S$35,4,FALSE)/VLOOKUP(A98,'Uncorrected Area Counts'!$A$4:$AU$99,38,FALSE)*100</f>
        <v>#DIV/0!</v>
      </c>
      <c r="U98" s="589" t="e">
        <f>(VLOOKUP(A98,'Uncorrected Area Counts'!$A$4:$AU$99,43,FALSE)/VLOOKUP(A98,'Uncorrected Area Counts'!$A$4:$AU$99,47,FALSE))*100</f>
        <v>#DIV/0!</v>
      </c>
      <c r="V98" s="604" t="e">
        <f>VLOOKUP(A98,'Uncorrected Area Counts'!$A$4:$AU$99,43,FALSE)/VLOOKUP(A98,'Uncorrected Area Counts'!$A$4:$AU$99,3,FALSE)/VLOOKUP(8,'Plate Planning'!$L$20:$S$35,4,FALSE)*VLOOKUP("standard",'Plate Planning'!$L$20:$S$35,4,FALSE)/VLOOKUP(A98,'Uncorrected Area Counts'!$A$4:$AU$99,42,FALSE)*100</f>
        <v>#DIV/0!</v>
      </c>
    </row>
    <row r="99" spans="1:22" ht="17" thickBot="1">
      <c r="A99" s="590" t="s">
        <v>1257</v>
      </c>
      <c r="B99" s="591" t="s">
        <v>22</v>
      </c>
      <c r="C99" s="592" t="e">
        <f>(VLOOKUP(A99,'Uncorrected Area Counts'!$A$4:$AU$99,7,FALSE)/VLOOKUP(A99,'Uncorrected Area Counts'!$A$4:$AU$99,47,FALSE))*100</f>
        <v>#DIV/0!</v>
      </c>
      <c r="D99" s="593" t="e">
        <f>VLOOKUP(A99,'Uncorrected Area Counts'!$A$4:$AU$99,7,FALSE)/VLOOKUP(A99,'Uncorrected Area Counts'!$A$4:$AU$99,3,FALSE)/VLOOKUP(1,'Plate Planning'!$L$20:$S$35,4,FALSE)*VLOOKUP("standard",'Plate Planning'!$L$20:$S$35,4,FALSE)/VLOOKUP(A99,'Uncorrected Area Counts'!$A$4:$AU$99,6,FALSE)*100</f>
        <v>#DIV/0!</v>
      </c>
      <c r="E99" s="594" t="e">
        <f>(VLOOKUP(A99,'Uncorrected Area Counts'!$A$4:$AU$99,11,FALSE)/VLOOKUP(A99,'Uncorrected Area Counts'!$A$4:$AU$99,47,FALSE))*100</f>
        <v>#DIV/0!</v>
      </c>
      <c r="F99" s="593" t="e">
        <f>VLOOKUP(A99,'Uncorrected Area Counts'!$A$4:$AU$99,11,FALSE)/VLOOKUP(A99,'Uncorrected Area Counts'!$A$4:$AU$99,3,FALSE)/VLOOKUP(2,'Plate Planning'!$L$20:$S$35,4,FALSE)*VLOOKUP("standard",'Plate Planning'!$L$20:$S$35,4,FALSE)/VLOOKUP(A99,'Uncorrected Area Counts'!$A$4:$AU$99,10,FALSE)*100</f>
        <v>#DIV/0!</v>
      </c>
      <c r="G99" s="594" t="e">
        <f>(VLOOKUP(A99,'Uncorrected Area Counts'!$A$4:$AU$99,15,FALSE)/VLOOKUP(A99,'Uncorrected Area Counts'!$A$4:$AU$99,47,FALSE))*100</f>
        <v>#DIV/0!</v>
      </c>
      <c r="H99" s="593" t="e">
        <f>VLOOKUP(A99,'Uncorrected Area Counts'!$A$4:$AU$99,15,FALSE)/VLOOKUP(A99,'Uncorrected Area Counts'!$A$4:$AU$99,3,FALSE)/VLOOKUP(3,'Plate Planning'!$L$20:$S$35,4,FALSE)*VLOOKUP("standard",'Plate Planning'!$L$20:$S$35,4,FALSE)/VLOOKUP(A99,'Uncorrected Area Counts'!$A$4:$AU$99,14,FALSE)*100</f>
        <v>#DIV/0!</v>
      </c>
      <c r="I99" s="594" t="e">
        <f>(VLOOKUP(A99,'Uncorrected Area Counts'!$A$4:$AU$99,19,FALSE)/VLOOKUP(A99,'Uncorrected Area Counts'!$A$4:$AU$99,47,FALSE))*100</f>
        <v>#DIV/0!</v>
      </c>
      <c r="J99" s="595" t="e">
        <f>VLOOKUP(A99,'Uncorrected Area Counts'!$A$4:$AU$99,19,FALSE)/VLOOKUP(A99,'Uncorrected Area Counts'!$A$4:$AU$99,3,FALSE)/VLOOKUP(4,'Plate Planning'!$L$20:$S$35,4,FALSE)*VLOOKUP("standard",'Plate Planning'!$L$20:$S$35,4,FALSE)/VLOOKUP(A99,'Uncorrected Area Counts'!$A$4:$AU$99,18,FALSE)*100</f>
        <v>#DIV/0!</v>
      </c>
      <c r="K99" s="596" t="e">
        <f>(VLOOKUP(A99,'Uncorrected Area Counts'!$A$4:$AU$99,23,FALSE)/VLOOKUP(A99,'Uncorrected Area Counts'!$A$4:$AU$99,47,FALSE))*100</f>
        <v>#DIV/0!</v>
      </c>
      <c r="L99" s="597" t="e">
        <f>VLOOKUP(A99,'Uncorrected Area Counts'!$A$4:$AU$99,23,FALSE)/VLOOKUP(A99,'Uncorrected Area Counts'!$A$4:$AU$99,3,FALSE)/VLOOKUP(5,'Plate Planning'!$L$20:$S$35,4,FALSE)*VLOOKUP("standard",'Plate Planning'!$L$20:$S$35,4,FALSE)/VLOOKUP(A99,'Uncorrected Area Counts'!$A$4:$AU$99,22,FALSE)*100</f>
        <v>#DIV/0!</v>
      </c>
      <c r="M99" s="596" t="e">
        <f>(VLOOKUP(A99,'Uncorrected Area Counts'!$A$4:$AU$99,27,FALSE)/VLOOKUP(A99,'Uncorrected Area Counts'!$A$4:$AU$99,47,FALSE))*100</f>
        <v>#DIV/0!</v>
      </c>
      <c r="N99" s="595" t="e">
        <f>VLOOKUP(A99,'Uncorrected Area Counts'!$A$4:$AU$99,27,FALSE)/VLOOKUP(A99,'Uncorrected Area Counts'!$A$4:$AU$99,3,FALSE)/VLOOKUP(6,'Plate Planning'!$L$20:$S$35,4,FALSE)*VLOOKUP("standard",'Plate Planning'!$L$20:$S$35,4,FALSE)/VLOOKUP(A99,'Uncorrected Area Counts'!$A$4:$AU$99,26,FALSE)*100</f>
        <v>#DIV/0!</v>
      </c>
      <c r="O99" s="596" t="e">
        <f>(VLOOKUP(A99,'Uncorrected Area Counts'!$A$4:$AU$99,31,FALSE)/VLOOKUP(A99,'Uncorrected Area Counts'!$A$4:$AU$99,47,FALSE))*100</f>
        <v>#DIV/0!</v>
      </c>
      <c r="P99" s="597" t="e">
        <f>VLOOKUP(A99,'Uncorrected Area Counts'!$A$4:$AU$99,31,FALSE)/VLOOKUP(A99,'Uncorrected Area Counts'!$A$4:$AU$99,3,FALSE)/VLOOKUP(7,'Plate Planning'!$L$20:$S$35,4,FALSE)*VLOOKUP("standard",'Plate Planning'!$L$20:$S$35,4,FALSE)/VLOOKUP(A99,'Uncorrected Area Counts'!$A$4:$AU$99,30,FALSE)*100</f>
        <v>#DIV/0!</v>
      </c>
      <c r="Q99" s="596" t="e">
        <f>(VLOOKUP(A99,'Uncorrected Area Counts'!$A$4:$AU$99,35,FALSE)/VLOOKUP(A99,'Uncorrected Area Counts'!$A$4:$AU$99,47,FALSE))*100</f>
        <v>#DIV/0!</v>
      </c>
      <c r="R99" s="598" t="e">
        <f>VLOOKUP(A99,'Uncorrected Area Counts'!$A$4:$AU$99,35,FALSE)/VLOOKUP(A99,'Uncorrected Area Counts'!$A$4:$AU$99,3,FALSE)/VLOOKUP(8,'Plate Planning'!$L$20:$S$35,4,FALSE)*VLOOKUP("standard",'Plate Planning'!$L$20:$S$35,4,FALSE)/VLOOKUP(A99,'Uncorrected Area Counts'!$A$4:$AU$99,34,FALSE)*100</f>
        <v>#DIV/0!</v>
      </c>
      <c r="S99" s="599" t="e">
        <f>(VLOOKUP(A99,'Uncorrected Area Counts'!$A$4:$AU$99,39,FALSE)/VLOOKUP(A99,'Uncorrected Area Counts'!$A$4:$AU$99,47,FALSE))*100</f>
        <v>#DIV/0!</v>
      </c>
      <c r="T99" s="600" t="e">
        <f>VLOOKUP(A99,'Uncorrected Area Counts'!$A$4:$AU$99,39,FALSE)/VLOOKUP(A99,'Uncorrected Area Counts'!$A$4:$AU$99,3,FALSE)/VLOOKUP(8,'Plate Planning'!$L$20:$S$35,4,FALSE)*VLOOKUP("standard",'Plate Planning'!$L$20:$S$35,4,FALSE)/VLOOKUP(A99,'Uncorrected Area Counts'!$A$4:$AU$99,38,FALSE)*100</f>
        <v>#DIV/0!</v>
      </c>
      <c r="U99" s="599" t="e">
        <f>(VLOOKUP(A99,'Uncorrected Area Counts'!$A$4:$AU$99,43,FALSE)/VLOOKUP(A99,'Uncorrected Area Counts'!$A$4:$AU$99,47,FALSE))*100</f>
        <v>#DIV/0!</v>
      </c>
      <c r="V99" s="605"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1151</v>
      </c>
      <c r="G1" s="41" t="s">
        <v>1152</v>
      </c>
      <c r="H1" s="41" t="s">
        <v>1153</v>
      </c>
      <c r="I1" s="148" t="s">
        <v>1154</v>
      </c>
      <c r="J1" s="41" t="s">
        <v>1155</v>
      </c>
      <c r="K1" s="41" t="s">
        <v>1853</v>
      </c>
      <c r="L1" s="41" t="s">
        <v>1874</v>
      </c>
      <c r="M1" s="41" t="s">
        <v>1875</v>
      </c>
      <c r="N1" s="41" t="s">
        <v>1876</v>
      </c>
      <c r="O1" s="41" t="s">
        <v>1892</v>
      </c>
      <c r="P1" s="41" t="s">
        <v>1893</v>
      </c>
      <c r="Q1" s="41" t="s">
        <v>1038</v>
      </c>
      <c r="R1" s="41" t="s">
        <v>1273</v>
      </c>
      <c r="S1" s="41" t="s">
        <v>1066</v>
      </c>
    </row>
    <row r="2" spans="5:19">
      <c r="E2" s="41" t="s">
        <v>46</v>
      </c>
      <c r="F2" s="41" t="s">
        <v>46</v>
      </c>
      <c r="G2" s="41" t="s">
        <v>46</v>
      </c>
      <c r="H2" s="41" t="str">
        <f>G2&amp;"_name"</f>
        <v>substrate_1_name</v>
      </c>
      <c r="I2" s="148" t="str">
        <f>G2&amp;"_smiles"</f>
        <v>substrate_1_smiles</v>
      </c>
      <c r="J2" s="41" t="str">
        <f>G2&amp;"_loading_umol"</f>
        <v>substrate_1_loading_umol</v>
      </c>
      <c r="K2" s="41" t="s">
        <v>1854</v>
      </c>
      <c r="L2" s="41" t="s">
        <v>2081</v>
      </c>
      <c r="M2" s="41" t="s">
        <v>2102</v>
      </c>
      <c r="N2" s="41" t="s">
        <v>1894</v>
      </c>
      <c r="O2" s="41" t="s">
        <v>1156</v>
      </c>
      <c r="P2" s="41" t="s">
        <v>1895</v>
      </c>
      <c r="Q2" s="41" t="s">
        <v>1080</v>
      </c>
      <c r="R2" s="41" t="s">
        <v>1274</v>
      </c>
      <c r="S2" s="41" t="s">
        <v>1067</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1855</v>
      </c>
      <c r="L3" s="41" t="s">
        <v>2082</v>
      </c>
      <c r="M3" s="41" t="s">
        <v>2103</v>
      </c>
      <c r="N3" s="41" t="s">
        <v>1896</v>
      </c>
      <c r="O3" s="41" t="s">
        <v>1156</v>
      </c>
      <c r="P3" s="41" t="s">
        <v>1897</v>
      </c>
      <c r="Q3" s="41" t="s">
        <v>1081</v>
      </c>
      <c r="R3" s="41" t="s">
        <v>1275</v>
      </c>
      <c r="S3" s="41" t="s">
        <v>1068</v>
      </c>
    </row>
    <row r="4" spans="5:19">
      <c r="E4" s="41" t="s">
        <v>48</v>
      </c>
      <c r="F4" s="41" t="s">
        <v>48</v>
      </c>
      <c r="G4" s="41" t="s">
        <v>48</v>
      </c>
      <c r="H4" s="41" t="str">
        <f t="shared" si="0"/>
        <v>substrate_3_name</v>
      </c>
      <c r="I4" s="148" t="str">
        <f t="shared" si="1"/>
        <v>substrate_3_smiles</v>
      </c>
      <c r="J4" s="41" t="str">
        <f t="shared" si="2"/>
        <v>substrate_3_loading_umol</v>
      </c>
      <c r="K4" s="41" t="s">
        <v>1856</v>
      </c>
      <c r="L4" s="41" t="s">
        <v>2083</v>
      </c>
      <c r="M4" s="41" t="s">
        <v>2104</v>
      </c>
      <c r="N4" s="41" t="s">
        <v>1898</v>
      </c>
      <c r="O4" s="41" t="s">
        <v>1156</v>
      </c>
      <c r="P4" s="41" t="s">
        <v>1899</v>
      </c>
      <c r="Q4" s="41" t="s">
        <v>1082</v>
      </c>
      <c r="R4" s="41" t="s">
        <v>1276</v>
      </c>
      <c r="S4" s="41" t="s">
        <v>1142</v>
      </c>
    </row>
    <row r="5" spans="5:19">
      <c r="E5" s="41" t="s">
        <v>1009</v>
      </c>
      <c r="F5" s="41" t="s">
        <v>1009</v>
      </c>
      <c r="G5" s="41" t="s">
        <v>1009</v>
      </c>
      <c r="H5" s="41" t="str">
        <f t="shared" si="0"/>
        <v>catalyst_1_name</v>
      </c>
      <c r="I5" s="148" t="str">
        <f t="shared" si="1"/>
        <v>catalyst_1_smiles</v>
      </c>
      <c r="J5" s="41" t="str">
        <f t="shared" si="2"/>
        <v>catalyst_1_loading_umol</v>
      </c>
      <c r="K5" s="41" t="s">
        <v>1857</v>
      </c>
      <c r="L5" s="41" t="s">
        <v>2084</v>
      </c>
      <c r="M5" s="41" t="s">
        <v>2105</v>
      </c>
      <c r="N5" s="41" t="s">
        <v>1900</v>
      </c>
      <c r="O5" s="41" t="s">
        <v>1156</v>
      </c>
      <c r="P5" s="41" t="s">
        <v>1901</v>
      </c>
      <c r="Q5" s="41" t="s">
        <v>1083</v>
      </c>
      <c r="R5" s="41" t="s">
        <v>1277</v>
      </c>
      <c r="S5" s="41" t="s">
        <v>1143</v>
      </c>
    </row>
    <row r="6" spans="5:19">
      <c r="E6" s="41" t="s">
        <v>1010</v>
      </c>
      <c r="F6" s="41" t="s">
        <v>1010</v>
      </c>
      <c r="G6" s="41" t="s">
        <v>1010</v>
      </c>
      <c r="H6" s="41" t="str">
        <f t="shared" si="0"/>
        <v>catalyst_2_name</v>
      </c>
      <c r="I6" s="148" t="str">
        <f t="shared" si="1"/>
        <v>catalyst_2_smiles</v>
      </c>
      <c r="J6" s="41" t="str">
        <f t="shared" si="2"/>
        <v>catalyst_2_loading_umol</v>
      </c>
      <c r="K6" s="41" t="s">
        <v>1858</v>
      </c>
      <c r="L6" s="41" t="s">
        <v>2085</v>
      </c>
      <c r="M6" s="41" t="s">
        <v>2106</v>
      </c>
      <c r="N6" s="41" t="s">
        <v>1902</v>
      </c>
      <c r="O6" s="41" t="s">
        <v>1156</v>
      </c>
      <c r="P6" s="41" t="s">
        <v>1903</v>
      </c>
      <c r="Q6" s="41" t="s">
        <v>1084</v>
      </c>
      <c r="R6" s="41" t="s">
        <v>1288</v>
      </c>
      <c r="S6" s="41" t="s">
        <v>1144</v>
      </c>
    </row>
    <row r="7" spans="5:19">
      <c r="E7" s="41" t="s">
        <v>1011</v>
      </c>
      <c r="F7" s="41" t="s">
        <v>1011</v>
      </c>
      <c r="G7" s="41" t="s">
        <v>1011</v>
      </c>
      <c r="H7" s="41" t="str">
        <f t="shared" si="0"/>
        <v>catalyst_3_name</v>
      </c>
      <c r="I7" s="148" t="str">
        <f t="shared" si="1"/>
        <v>catalyst_3_smiles</v>
      </c>
      <c r="J7" s="41" t="str">
        <f t="shared" si="2"/>
        <v>catalyst_3_loading_umol</v>
      </c>
      <c r="K7" s="41" t="s">
        <v>1859</v>
      </c>
      <c r="L7" s="41" t="s">
        <v>2086</v>
      </c>
      <c r="M7" s="41" t="s">
        <v>2107</v>
      </c>
      <c r="N7" s="41" t="s">
        <v>1904</v>
      </c>
      <c r="O7" s="41" t="s">
        <v>1156</v>
      </c>
      <c r="P7" s="41" t="s">
        <v>1905</v>
      </c>
      <c r="Q7" s="41" t="s">
        <v>1085</v>
      </c>
      <c r="R7" s="41" t="s">
        <v>1289</v>
      </c>
      <c r="S7" s="41" t="s">
        <v>1145</v>
      </c>
    </row>
    <row r="8" spans="5:19">
      <c r="E8" s="41" t="s">
        <v>1012</v>
      </c>
      <c r="F8" s="41" t="s">
        <v>1012</v>
      </c>
      <c r="G8" s="41" t="s">
        <v>1012</v>
      </c>
      <c r="H8" s="41" t="str">
        <f t="shared" si="0"/>
        <v>ligand_2_name</v>
      </c>
      <c r="I8" s="148" t="str">
        <f t="shared" si="1"/>
        <v>ligand_2_smiles</v>
      </c>
      <c r="J8" s="41" t="str">
        <f t="shared" si="2"/>
        <v>ligand_2_loading_umol</v>
      </c>
      <c r="K8" s="41" t="s">
        <v>1860</v>
      </c>
      <c r="L8" s="41" t="s">
        <v>2087</v>
      </c>
      <c r="M8" s="41" t="s">
        <v>2108</v>
      </c>
      <c r="N8" s="41" t="s">
        <v>1906</v>
      </c>
      <c r="O8" s="41" t="s">
        <v>1156</v>
      </c>
      <c r="P8" s="41" t="s">
        <v>1907</v>
      </c>
      <c r="Q8" s="41" t="s">
        <v>1086</v>
      </c>
      <c r="R8" s="41" t="s">
        <v>1290</v>
      </c>
      <c r="S8" s="41" t="s">
        <v>1146</v>
      </c>
    </row>
    <row r="9" spans="5:19">
      <c r="E9" s="41" t="s">
        <v>1013</v>
      </c>
      <c r="F9" s="41" t="s">
        <v>1013</v>
      </c>
      <c r="G9" s="41" t="s">
        <v>1013</v>
      </c>
      <c r="H9" s="41" t="str">
        <f t="shared" si="0"/>
        <v>ligand_3_name</v>
      </c>
      <c r="I9" s="148" t="str">
        <f t="shared" si="1"/>
        <v>ligand_3_smiles</v>
      </c>
      <c r="J9" s="41" t="str">
        <f t="shared" si="2"/>
        <v>ligand_3_loading_umol</v>
      </c>
      <c r="K9" s="41" t="s">
        <v>1861</v>
      </c>
      <c r="L9" s="41" t="s">
        <v>2088</v>
      </c>
      <c r="M9" s="41" t="s">
        <v>2109</v>
      </c>
      <c r="N9" s="41" t="s">
        <v>1908</v>
      </c>
      <c r="O9" s="41" t="s">
        <v>1156</v>
      </c>
      <c r="P9" s="41" t="s">
        <v>1909</v>
      </c>
      <c r="Q9" s="41" t="s">
        <v>1087</v>
      </c>
      <c r="R9" s="41" t="s">
        <v>1292</v>
      </c>
      <c r="S9" s="41" t="s">
        <v>1069</v>
      </c>
    </row>
    <row r="10" spans="5:19">
      <c r="E10" s="41" t="s">
        <v>1014</v>
      </c>
      <c r="F10" s="41" t="s">
        <v>1014</v>
      </c>
      <c r="G10" s="41" t="s">
        <v>1014</v>
      </c>
      <c r="H10" s="41" t="str">
        <f t="shared" si="0"/>
        <v>base_1_name</v>
      </c>
      <c r="I10" s="148" t="str">
        <f t="shared" si="1"/>
        <v>base_1_smiles</v>
      </c>
      <c r="J10" s="41" t="str">
        <f t="shared" si="2"/>
        <v>base_1_loading_umol</v>
      </c>
      <c r="K10" s="41" t="s">
        <v>1862</v>
      </c>
      <c r="L10" s="41" t="s">
        <v>2089</v>
      </c>
      <c r="M10" s="41" t="s">
        <v>2110</v>
      </c>
      <c r="N10" s="41" t="s">
        <v>1910</v>
      </c>
      <c r="O10" s="41" t="s">
        <v>1156</v>
      </c>
      <c r="P10" s="41" t="s">
        <v>1911</v>
      </c>
      <c r="Q10" s="41" t="s">
        <v>1088</v>
      </c>
      <c r="R10" s="41" t="s">
        <v>1284</v>
      </c>
      <c r="S10" s="41" t="s">
        <v>1070</v>
      </c>
    </row>
    <row r="11" spans="5:19">
      <c r="E11" s="41" t="s">
        <v>1015</v>
      </c>
      <c r="F11" s="41" t="s">
        <v>1015</v>
      </c>
      <c r="G11" s="41" t="s">
        <v>1015</v>
      </c>
      <c r="H11" s="41" t="str">
        <f t="shared" si="0"/>
        <v>base_2_name</v>
      </c>
      <c r="I11" s="148" t="str">
        <f t="shared" si="1"/>
        <v>base_2_smiles</v>
      </c>
      <c r="J11" s="41" t="str">
        <f t="shared" si="2"/>
        <v>base_2_loading_umol</v>
      </c>
      <c r="K11" s="41" t="s">
        <v>1863</v>
      </c>
      <c r="L11" s="41" t="s">
        <v>2090</v>
      </c>
      <c r="M11" s="41" t="s">
        <v>2111</v>
      </c>
      <c r="N11" s="41" t="s">
        <v>1912</v>
      </c>
      <c r="O11" s="41" t="s">
        <v>1156</v>
      </c>
      <c r="P11" s="41" t="s">
        <v>1913</v>
      </c>
      <c r="Q11" s="41" t="s">
        <v>1089</v>
      </c>
      <c r="R11" s="41" t="s">
        <v>1291</v>
      </c>
      <c r="S11" s="41" t="s">
        <v>1071</v>
      </c>
    </row>
    <row r="12" spans="5:19">
      <c r="E12" s="41" t="s">
        <v>1016</v>
      </c>
      <c r="F12" s="41" t="s">
        <v>1016</v>
      </c>
      <c r="G12" s="41" t="s">
        <v>1016</v>
      </c>
      <c r="H12" s="41" t="str">
        <f t="shared" si="0"/>
        <v>acid_1_name</v>
      </c>
      <c r="I12" s="148" t="str">
        <f t="shared" si="1"/>
        <v>acid_1_smiles</v>
      </c>
      <c r="J12" s="41" t="str">
        <f t="shared" si="2"/>
        <v>acid_1_loading_umol</v>
      </c>
      <c r="K12" s="41" t="s">
        <v>1864</v>
      </c>
      <c r="L12" s="41" t="s">
        <v>2091</v>
      </c>
      <c r="M12" s="41" t="s">
        <v>2112</v>
      </c>
      <c r="N12" s="41" t="s">
        <v>1914</v>
      </c>
      <c r="O12" s="41" t="s">
        <v>1156</v>
      </c>
      <c r="P12" s="41" t="s">
        <v>1915</v>
      </c>
      <c r="Q12" s="41" t="s">
        <v>1090</v>
      </c>
      <c r="R12" s="41" t="s">
        <v>1313</v>
      </c>
      <c r="S12" s="41" t="s">
        <v>1072</v>
      </c>
    </row>
    <row r="13" spans="5:19">
      <c r="E13" s="41" t="s">
        <v>1017</v>
      </c>
      <c r="F13" s="41" t="s">
        <v>1017</v>
      </c>
      <c r="G13" s="41" t="s">
        <v>1017</v>
      </c>
      <c r="H13" s="41" t="str">
        <f t="shared" si="0"/>
        <v>acid_2_name</v>
      </c>
      <c r="I13" s="148" t="str">
        <f t="shared" si="1"/>
        <v>acid_2_smiles</v>
      </c>
      <c r="J13" s="41" t="str">
        <f t="shared" si="2"/>
        <v>acid_2_loading_umol</v>
      </c>
      <c r="K13" s="41" t="s">
        <v>1865</v>
      </c>
      <c r="L13" s="41" t="s">
        <v>2092</v>
      </c>
      <c r="M13" s="41" t="s">
        <v>2113</v>
      </c>
      <c r="N13" s="41" t="s">
        <v>1916</v>
      </c>
      <c r="O13" s="41" t="s">
        <v>1156</v>
      </c>
      <c r="P13" s="41" t="s">
        <v>1917</v>
      </c>
      <c r="Q13" s="41" t="s">
        <v>1091</v>
      </c>
      <c r="R13" s="41" t="s">
        <v>1293</v>
      </c>
      <c r="S13" s="41" t="s">
        <v>1073</v>
      </c>
    </row>
    <row r="14" spans="5:19">
      <c r="E14" s="41" t="s">
        <v>1018</v>
      </c>
      <c r="F14" s="41" t="s">
        <v>1018</v>
      </c>
      <c r="G14" s="41" t="s">
        <v>1018</v>
      </c>
      <c r="H14" s="41" t="str">
        <f t="shared" si="0"/>
        <v>reductant_1_name</v>
      </c>
      <c r="I14" s="148" t="str">
        <f t="shared" si="1"/>
        <v>reductant_1_smiles</v>
      </c>
      <c r="J14" s="41" t="str">
        <f t="shared" si="2"/>
        <v>reductant_1_loading_umol</v>
      </c>
      <c r="K14" s="41" t="s">
        <v>1866</v>
      </c>
      <c r="L14" s="41" t="s">
        <v>2093</v>
      </c>
      <c r="M14" s="41" t="s">
        <v>2114</v>
      </c>
      <c r="N14" s="41" t="s">
        <v>1918</v>
      </c>
      <c r="O14" s="41" t="s">
        <v>1156</v>
      </c>
      <c r="P14" s="41" t="s">
        <v>1919</v>
      </c>
      <c r="Q14" s="41" t="s">
        <v>1092</v>
      </c>
      <c r="R14" s="41" t="s">
        <v>1311</v>
      </c>
      <c r="S14" s="41" t="s">
        <v>1074</v>
      </c>
    </row>
    <row r="15" spans="5:19">
      <c r="E15" s="41" t="s">
        <v>1019</v>
      </c>
      <c r="F15" s="41" t="s">
        <v>1019</v>
      </c>
      <c r="G15" s="41" t="s">
        <v>1019</v>
      </c>
      <c r="H15" s="41" t="str">
        <f t="shared" si="0"/>
        <v>reductant_2_name</v>
      </c>
      <c r="I15" s="148" t="str">
        <f t="shared" si="1"/>
        <v>reductant_2_smiles</v>
      </c>
      <c r="J15" s="41" t="str">
        <f t="shared" si="2"/>
        <v>reductant_2_loading_umol</v>
      </c>
      <c r="K15" s="41" t="s">
        <v>1867</v>
      </c>
      <c r="L15" s="41" t="s">
        <v>2094</v>
      </c>
      <c r="M15" s="41" t="s">
        <v>2115</v>
      </c>
      <c r="N15" s="41" t="s">
        <v>1920</v>
      </c>
      <c r="O15" s="41" t="s">
        <v>1156</v>
      </c>
      <c r="P15" s="41" t="s">
        <v>1921</v>
      </c>
      <c r="Q15" s="41" t="s">
        <v>1093</v>
      </c>
      <c r="R15" s="41" t="s">
        <v>1312</v>
      </c>
      <c r="S15" s="41" t="s">
        <v>1075</v>
      </c>
    </row>
    <row r="16" spans="5:19">
      <c r="E16" s="41" t="s">
        <v>1021</v>
      </c>
      <c r="F16" s="41" t="s">
        <v>1021</v>
      </c>
      <c r="G16" s="41" t="s">
        <v>1021</v>
      </c>
      <c r="H16" s="41" t="str">
        <f t="shared" si="0"/>
        <v>solvent_2_name</v>
      </c>
      <c r="I16" s="148" t="str">
        <f t="shared" si="1"/>
        <v>solvent_2_smiles</v>
      </c>
      <c r="J16" s="41" t="str">
        <f>G16&amp;"_loading_uL"</f>
        <v>solvent_2_loading_uL</v>
      </c>
      <c r="K16" s="41" t="s">
        <v>1868</v>
      </c>
      <c r="L16" s="41" t="s">
        <v>1156</v>
      </c>
      <c r="M16" s="41" t="s">
        <v>1156</v>
      </c>
      <c r="N16" s="41" t="s">
        <v>1156</v>
      </c>
      <c r="O16" s="41" t="s">
        <v>1156</v>
      </c>
      <c r="P16" s="41" t="s">
        <v>1156</v>
      </c>
      <c r="Q16" s="41" t="s">
        <v>1094</v>
      </c>
      <c r="R16" s="41" t="s">
        <v>1294</v>
      </c>
      <c r="S16" s="41" t="s">
        <v>1076</v>
      </c>
    </row>
    <row r="17" spans="5:19">
      <c r="E17" s="41" t="s">
        <v>1022</v>
      </c>
      <c r="F17" s="41" t="s">
        <v>1022</v>
      </c>
      <c r="G17" s="41" t="s">
        <v>1022</v>
      </c>
      <c r="H17" s="41" t="str">
        <f t="shared" si="0"/>
        <v>solvent_3_name</v>
      </c>
      <c r="I17" s="148" t="str">
        <f t="shared" si="1"/>
        <v>solvent_3_smiles</v>
      </c>
      <c r="J17" s="41" t="str">
        <f>G17&amp;"_loading_uL"</f>
        <v>solvent_3_loading_uL</v>
      </c>
      <c r="K17" s="41" t="s">
        <v>1869</v>
      </c>
      <c r="L17" s="41" t="s">
        <v>1156</v>
      </c>
      <c r="M17" s="41" t="s">
        <v>1156</v>
      </c>
      <c r="N17" s="41" t="s">
        <v>1156</v>
      </c>
      <c r="O17" s="41" t="s">
        <v>1156</v>
      </c>
      <c r="P17" s="41" t="s">
        <v>1156</v>
      </c>
      <c r="Q17" s="41" t="s">
        <v>1095</v>
      </c>
      <c r="R17" s="41" t="s">
        <v>1302</v>
      </c>
      <c r="S17" s="41" t="s">
        <v>1077</v>
      </c>
    </row>
    <row r="18" spans="5:19">
      <c r="E18" s="41" t="s">
        <v>1034</v>
      </c>
      <c r="F18" s="41" t="s">
        <v>1025</v>
      </c>
      <c r="G18" s="41" t="s">
        <v>1034</v>
      </c>
      <c r="H18" s="41" t="str">
        <f t="shared" si="0"/>
        <v>oxidant_1_name</v>
      </c>
      <c r="I18" s="148" t="str">
        <f t="shared" si="1"/>
        <v>oxidant_1_smiles</v>
      </c>
      <c r="J18" s="41" t="str">
        <f t="shared" si="2"/>
        <v>oxidant_1_loading_umol</v>
      </c>
      <c r="K18" s="41" t="s">
        <v>1870</v>
      </c>
      <c r="L18" s="41" t="s">
        <v>2095</v>
      </c>
      <c r="M18" s="41" t="s">
        <v>2116</v>
      </c>
      <c r="N18" s="41" t="s">
        <v>1922</v>
      </c>
      <c r="O18" s="41" t="s">
        <v>1156</v>
      </c>
      <c r="P18" s="41" t="s">
        <v>1923</v>
      </c>
      <c r="Q18" s="41" t="s">
        <v>1096</v>
      </c>
      <c r="R18" s="41" t="s">
        <v>1303</v>
      </c>
      <c r="S18" s="41" t="s">
        <v>1078</v>
      </c>
    </row>
    <row r="19" spans="5:19">
      <c r="E19" s="41" t="s">
        <v>1035</v>
      </c>
      <c r="F19" s="41" t="s">
        <v>1026</v>
      </c>
      <c r="G19" s="41" t="s">
        <v>1035</v>
      </c>
      <c r="H19" s="41" t="str">
        <f t="shared" si="0"/>
        <v>oxidant_2_name</v>
      </c>
      <c r="I19" s="148" t="str">
        <f t="shared" si="1"/>
        <v>oxidant_2_smiles</v>
      </c>
      <c r="J19" s="41" t="str">
        <f t="shared" si="2"/>
        <v>oxidant_2_loading_umol</v>
      </c>
      <c r="K19" s="41" t="s">
        <v>1871</v>
      </c>
      <c r="L19" s="41" t="s">
        <v>2096</v>
      </c>
      <c r="M19" s="41" t="s">
        <v>2117</v>
      </c>
      <c r="N19" s="41" t="s">
        <v>1924</v>
      </c>
      <c r="O19" s="41" t="s">
        <v>1156</v>
      </c>
      <c r="P19" s="41" t="s">
        <v>1925</v>
      </c>
      <c r="Q19" s="41" t="s">
        <v>1097</v>
      </c>
      <c r="R19" s="41" t="s">
        <v>1308</v>
      </c>
    </row>
    <row r="20" spans="5:19">
      <c r="E20" s="41" t="s">
        <v>1036</v>
      </c>
      <c r="F20" s="41" t="s">
        <v>1027</v>
      </c>
      <c r="G20" s="41" t="s">
        <v>1036</v>
      </c>
      <c r="H20" s="41" t="str">
        <f t="shared" si="0"/>
        <v>additive_1_name</v>
      </c>
      <c r="I20" s="148" t="str">
        <f t="shared" si="1"/>
        <v>additive_1_smiles</v>
      </c>
      <c r="J20" s="41" t="str">
        <f t="shared" si="2"/>
        <v>additive_1_loading_umol</v>
      </c>
      <c r="K20" s="41" t="s">
        <v>1872</v>
      </c>
      <c r="L20" s="41" t="s">
        <v>2097</v>
      </c>
      <c r="M20" s="41" t="s">
        <v>2118</v>
      </c>
      <c r="N20" s="41" t="s">
        <v>1926</v>
      </c>
      <c r="O20" s="41" t="s">
        <v>1156</v>
      </c>
      <c r="P20" s="41" t="s">
        <v>1927</v>
      </c>
      <c r="Q20" s="41" t="s">
        <v>1098</v>
      </c>
      <c r="R20" s="41" t="s">
        <v>1307</v>
      </c>
    </row>
    <row r="21" spans="5:19">
      <c r="E21" s="41" t="s">
        <v>1037</v>
      </c>
      <c r="F21" s="41" t="s">
        <v>1023</v>
      </c>
      <c r="G21" s="41" t="s">
        <v>1037</v>
      </c>
      <c r="H21" s="41" t="str">
        <f t="shared" si="0"/>
        <v>additive_2_name</v>
      </c>
      <c r="I21" s="148" t="str">
        <f t="shared" si="1"/>
        <v>additive_2_smiles</v>
      </c>
      <c r="J21" s="41" t="str">
        <f t="shared" si="2"/>
        <v>additive_2_loading_umol</v>
      </c>
      <c r="K21" s="41" t="s">
        <v>1873</v>
      </c>
      <c r="L21" s="41" t="s">
        <v>2098</v>
      </c>
      <c r="M21" s="41" t="s">
        <v>2119</v>
      </c>
      <c r="N21" s="41" t="s">
        <v>1928</v>
      </c>
      <c r="O21" s="41" t="s">
        <v>1156</v>
      </c>
      <c r="P21" s="41" t="s">
        <v>1929</v>
      </c>
      <c r="Q21" s="41" t="s">
        <v>1099</v>
      </c>
      <c r="R21" s="41" t="s">
        <v>1306</v>
      </c>
    </row>
    <row r="22" spans="5:19">
      <c r="F22" s="41" t="s">
        <v>1024</v>
      </c>
      <c r="G22" s="41" t="s">
        <v>1040</v>
      </c>
      <c r="H22" s="41" t="s">
        <v>1156</v>
      </c>
      <c r="I22" s="41" t="s">
        <v>1156</v>
      </c>
      <c r="J22" s="41" t="s">
        <v>1156</v>
      </c>
      <c r="K22" s="41" t="s">
        <v>1156</v>
      </c>
      <c r="L22" s="41" t="s">
        <v>1156</v>
      </c>
      <c r="M22" s="41" t="s">
        <v>1156</v>
      </c>
      <c r="N22" s="41" t="s">
        <v>1156</v>
      </c>
      <c r="O22" s="41" t="s">
        <v>1156</v>
      </c>
      <c r="P22" s="41" t="s">
        <v>1156</v>
      </c>
      <c r="Q22" s="41" t="s">
        <v>1100</v>
      </c>
      <c r="R22" s="41" t="s">
        <v>1295</v>
      </c>
    </row>
    <row r="23" spans="5:19">
      <c r="F23" s="41" t="s">
        <v>1034</v>
      </c>
      <c r="G23" s="41">
        <v>0</v>
      </c>
      <c r="H23" s="148" t="s">
        <v>1156</v>
      </c>
      <c r="I23" s="41" t="s">
        <v>1156</v>
      </c>
      <c r="J23" s="41" t="s">
        <v>1156</v>
      </c>
      <c r="K23" s="41" t="s">
        <v>1156</v>
      </c>
      <c r="L23" s="41" t="s">
        <v>1156</v>
      </c>
      <c r="M23" s="41" t="s">
        <v>1156</v>
      </c>
      <c r="N23" s="41" t="s">
        <v>1156</v>
      </c>
      <c r="O23" s="41" t="s">
        <v>1156</v>
      </c>
      <c r="P23" s="41" t="s">
        <v>1156</v>
      </c>
      <c r="Q23" s="41" t="s">
        <v>1101</v>
      </c>
      <c r="R23" s="41" t="s">
        <v>1296</v>
      </c>
    </row>
    <row r="24" spans="5:19">
      <c r="F24" s="41" t="s">
        <v>1035</v>
      </c>
      <c r="G24" s="41" t="s">
        <v>1159</v>
      </c>
      <c r="H24" s="148" t="s">
        <v>1156</v>
      </c>
      <c r="I24" s="41" t="s">
        <v>1156</v>
      </c>
      <c r="J24" s="41" t="s">
        <v>1156</v>
      </c>
      <c r="K24" s="41" t="s">
        <v>1156</v>
      </c>
      <c r="L24" s="41" t="s">
        <v>1156</v>
      </c>
      <c r="M24" s="41" t="s">
        <v>1156</v>
      </c>
      <c r="N24" s="41" t="s">
        <v>1156</v>
      </c>
      <c r="O24" s="41" t="s">
        <v>1156</v>
      </c>
      <c r="P24" s="41" t="s">
        <v>1156</v>
      </c>
      <c r="Q24" s="41" t="s">
        <v>1102</v>
      </c>
      <c r="R24" s="41" t="s">
        <v>1297</v>
      </c>
    </row>
    <row r="25" spans="5:19">
      <c r="F25" s="41" t="s">
        <v>1036</v>
      </c>
      <c r="G25" s="41" t="s">
        <v>1160</v>
      </c>
      <c r="H25" s="148" t="s">
        <v>1156</v>
      </c>
      <c r="I25" s="41" t="s">
        <v>1156</v>
      </c>
      <c r="J25" s="41" t="s">
        <v>1156</v>
      </c>
      <c r="K25" s="41" t="s">
        <v>1156</v>
      </c>
      <c r="L25" s="41" t="s">
        <v>1156</v>
      </c>
      <c r="M25" s="41" t="s">
        <v>1156</v>
      </c>
      <c r="N25" s="41" t="s">
        <v>1156</v>
      </c>
      <c r="O25" s="41" t="s">
        <v>1156</v>
      </c>
      <c r="P25" s="41" t="s">
        <v>1156</v>
      </c>
      <c r="Q25" s="41" t="s">
        <v>1103</v>
      </c>
      <c r="R25" s="41" t="s">
        <v>1280</v>
      </c>
    </row>
    <row r="26" spans="5:19">
      <c r="F26" s="41" t="s">
        <v>1037</v>
      </c>
      <c r="G26" s="148" t="s">
        <v>1025</v>
      </c>
      <c r="H26" s="148" t="s">
        <v>2101</v>
      </c>
      <c r="I26" s="41" t="s">
        <v>1156</v>
      </c>
      <c r="J26" s="41" t="s">
        <v>1156</v>
      </c>
      <c r="K26" s="41" t="s">
        <v>1156</v>
      </c>
      <c r="L26" s="41" t="s">
        <v>1156</v>
      </c>
      <c r="M26" s="41" t="s">
        <v>1156</v>
      </c>
      <c r="N26" s="41" t="s">
        <v>1156</v>
      </c>
      <c r="O26" s="41" t="s">
        <v>1156</v>
      </c>
      <c r="P26" s="41" t="s">
        <v>1156</v>
      </c>
      <c r="Q26" s="41" t="s">
        <v>1104</v>
      </c>
      <c r="R26" s="41" t="s">
        <v>1285</v>
      </c>
    </row>
    <row r="27" spans="5:19">
      <c r="F27" s="41" t="s">
        <v>1040</v>
      </c>
      <c r="G27" s="148" t="s">
        <v>1026</v>
      </c>
      <c r="H27" s="148" t="s">
        <v>2099</v>
      </c>
      <c r="I27" s="41" t="s">
        <v>1156</v>
      </c>
      <c r="J27" s="41" t="s">
        <v>1156</v>
      </c>
      <c r="K27" s="41" t="s">
        <v>1156</v>
      </c>
      <c r="L27" s="41" t="s">
        <v>1156</v>
      </c>
      <c r="M27" s="41" t="s">
        <v>1156</v>
      </c>
      <c r="N27" s="41" t="s">
        <v>1156</v>
      </c>
      <c r="O27" s="41" t="s">
        <v>1156</v>
      </c>
      <c r="P27" s="41" t="s">
        <v>1156</v>
      </c>
      <c r="Q27" s="41" t="s">
        <v>1105</v>
      </c>
      <c r="R27" s="41" t="s">
        <v>1279</v>
      </c>
    </row>
    <row r="28" spans="5:19">
      <c r="F28" s="41" t="s">
        <v>1020</v>
      </c>
      <c r="G28" s="148" t="s">
        <v>1027</v>
      </c>
      <c r="H28" s="148" t="s">
        <v>2100</v>
      </c>
      <c r="I28" s="41" t="s">
        <v>1156</v>
      </c>
      <c r="J28" s="41" t="s">
        <v>1156</v>
      </c>
      <c r="K28" s="41" t="s">
        <v>1156</v>
      </c>
      <c r="L28" s="41" t="s">
        <v>1156</v>
      </c>
      <c r="M28" s="41" t="s">
        <v>1156</v>
      </c>
      <c r="N28" s="41" t="s">
        <v>1156</v>
      </c>
      <c r="O28" s="41" t="s">
        <v>1156</v>
      </c>
      <c r="P28" s="41" t="s">
        <v>1156</v>
      </c>
      <c r="Q28" s="41" t="s">
        <v>1106</v>
      </c>
      <c r="R28" s="41" t="s">
        <v>1301</v>
      </c>
    </row>
    <row r="29" spans="5:19">
      <c r="G29" s="148" t="s">
        <v>1023</v>
      </c>
      <c r="H29" s="148" t="s">
        <v>1023</v>
      </c>
      <c r="I29" s="41" t="s">
        <v>1156</v>
      </c>
      <c r="J29" s="41" t="s">
        <v>1156</v>
      </c>
      <c r="K29" s="41" t="s">
        <v>1156</v>
      </c>
      <c r="L29" s="41" t="s">
        <v>1156</v>
      </c>
      <c r="M29" s="41" t="s">
        <v>1156</v>
      </c>
      <c r="N29" s="41" t="s">
        <v>1156</v>
      </c>
      <c r="O29" s="41" t="s">
        <v>1156</v>
      </c>
      <c r="P29" s="41" t="s">
        <v>1156</v>
      </c>
      <c r="Q29" s="41" t="s">
        <v>1107</v>
      </c>
      <c r="R29" s="41" t="s">
        <v>1300</v>
      </c>
    </row>
    <row r="30" spans="5:19">
      <c r="G30" s="148" t="s">
        <v>1024</v>
      </c>
      <c r="H30" s="148" t="s">
        <v>1024</v>
      </c>
      <c r="I30" s="41" t="s">
        <v>1156</v>
      </c>
      <c r="J30" s="41" t="s">
        <v>1156</v>
      </c>
      <c r="K30" s="41" t="s">
        <v>1156</v>
      </c>
      <c r="L30" s="41" t="s">
        <v>1156</v>
      </c>
      <c r="M30" s="41" t="s">
        <v>1156</v>
      </c>
      <c r="N30" s="41" t="s">
        <v>1156</v>
      </c>
      <c r="O30" s="41" t="s">
        <v>1156</v>
      </c>
      <c r="P30" s="41" t="s">
        <v>1156</v>
      </c>
      <c r="Q30" s="41" t="s">
        <v>1108</v>
      </c>
      <c r="R30" s="41" t="s">
        <v>1281</v>
      </c>
    </row>
    <row r="31" spans="5:19">
      <c r="Q31" s="41" t="s">
        <v>1109</v>
      </c>
      <c r="R31" s="41" t="s">
        <v>1282</v>
      </c>
    </row>
    <row r="32" spans="5:19">
      <c r="Q32" s="41" t="s">
        <v>1110</v>
      </c>
      <c r="R32" s="41" t="s">
        <v>1283</v>
      </c>
    </row>
    <row r="33" spans="17:18">
      <c r="Q33" s="41" t="s">
        <v>1111</v>
      </c>
      <c r="R33" s="41" t="s">
        <v>1278</v>
      </c>
    </row>
    <row r="34" spans="17:18">
      <c r="Q34" s="41" t="s">
        <v>1112</v>
      </c>
      <c r="R34" s="41" t="s">
        <v>1299</v>
      </c>
    </row>
    <row r="35" spans="17:18">
      <c r="Q35" s="41" t="s">
        <v>1113</v>
      </c>
      <c r="R35" s="41" t="s">
        <v>1298</v>
      </c>
    </row>
    <row r="36" spans="17:18">
      <c r="Q36" s="41" t="s">
        <v>1114</v>
      </c>
      <c r="R36" s="41" t="s">
        <v>1286</v>
      </c>
    </row>
    <row r="37" spans="17:18">
      <c r="Q37" s="41" t="s">
        <v>1115</v>
      </c>
      <c r="R37" s="41" t="s">
        <v>1287</v>
      </c>
    </row>
    <row r="38" spans="17:18">
      <c r="Q38" s="41" t="s">
        <v>1304</v>
      </c>
      <c r="R38" s="41" t="s">
        <v>1305</v>
      </c>
    </row>
    <row r="39" spans="17:18">
      <c r="Q39" s="41" t="s">
        <v>1309</v>
      </c>
      <c r="R39" s="41" t="s">
        <v>1310</v>
      </c>
    </row>
    <row r="40" spans="17:18">
      <c r="Q40" s="41" t="s">
        <v>1315</v>
      </c>
      <c r="R40" s="41" t="s">
        <v>1316</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0"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DF20" sqref="DF20"/>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hidden="1"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08" width="10.83203125" hidden="1" customWidth="1"/>
    <col min="209"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372" t="s">
        <v>1833</v>
      </c>
      <c r="E1" s="231" t="s">
        <v>1062</v>
      </c>
      <c r="F1" s="231" t="s">
        <v>949</v>
      </c>
      <c r="G1" s="231" t="s">
        <v>950</v>
      </c>
      <c r="H1" s="231" t="s">
        <v>951</v>
      </c>
      <c r="I1" s="231" t="s">
        <v>1061</v>
      </c>
      <c r="J1" s="231" t="s">
        <v>1060</v>
      </c>
      <c r="K1" s="231" t="s">
        <v>1041</v>
      </c>
      <c r="L1" s="231" t="s">
        <v>1063</v>
      </c>
      <c r="M1" s="231" t="s">
        <v>1020</v>
      </c>
      <c r="N1" s="231" t="s">
        <v>1079</v>
      </c>
      <c r="O1" s="231" t="s">
        <v>1059</v>
      </c>
      <c r="P1" s="231" t="s">
        <v>1314</v>
      </c>
      <c r="Q1" s="338" t="s">
        <v>1317</v>
      </c>
      <c r="R1" s="461" t="s">
        <v>2079</v>
      </c>
      <c r="S1" s="461"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IF(OR(v7_central="solvent_2",v7_central="solvent_3"),"not_used",IF(OR('Central Variable'!$L$2="Stock slurry",'Central Variable'!$L$2="Stock solution"),VLOOKUP(v7_central,Dictionaries!$G$2:$P$30,6,FALSE), VLOOKUP(v7_central, Dictionaries!$G$2:$P$30,9,FALSE)))</f>
        <v>substrate_1_stock_m</v>
      </c>
      <c r="W1" s="372" t="str">
        <f>IF(OR(v7_central="solvent_2",v7_central="solvent_3"),"not_used",IF(OR('Central Variable'!$L$2="Stock slurry",'Central Variable'!$L$2="Stock solution"),VLOOKUP(v7_central,Dictionaries!$G$2:$P$30,7,FALSE), VLOOKUP(v7_central, Dictionaries!$G$2:$P$30,8,FALSE)))</f>
        <v>substrate_1_stock_ul</v>
      </c>
      <c r="X1" s="372" t="str">
        <f>VLOOKUP(v7_central,Dictionaries!$G$2:$P$30,10,FALSE)</f>
        <v>substrate_1_order</v>
      </c>
      <c r="Y1" s="679"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231"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231"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VLOOKUP(Reagents!$E$9,Dictionaries!$G$2:$P$30,5,FALSE)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1049</v>
      </c>
      <c r="EI1" s="231" t="s">
        <v>1050</v>
      </c>
      <c r="EJ1" s="381" t="s">
        <v>1834</v>
      </c>
      <c r="EK1" s="231" t="s">
        <v>1051</v>
      </c>
      <c r="EL1" s="231" t="s">
        <v>1043</v>
      </c>
      <c r="EM1" s="231" t="s">
        <v>1044</v>
      </c>
      <c r="EN1" s="381" t="s">
        <v>1835</v>
      </c>
      <c r="EO1" s="461" t="s">
        <v>2051</v>
      </c>
      <c r="EP1" s="461" t="s">
        <v>2056</v>
      </c>
      <c r="EQ1" s="461" t="s">
        <v>2038</v>
      </c>
      <c r="ER1" s="369" t="s">
        <v>1045</v>
      </c>
      <c r="ES1" s="370" t="s">
        <v>1046</v>
      </c>
      <c r="ET1" s="370" t="s">
        <v>1047</v>
      </c>
      <c r="EU1" s="384" t="s">
        <v>1836</v>
      </c>
      <c r="EV1" s="477" t="s">
        <v>2041</v>
      </c>
      <c r="EW1" s="477" t="s">
        <v>2057</v>
      </c>
      <c r="EX1" s="370" t="s">
        <v>1324</v>
      </c>
      <c r="EY1" s="371" t="s">
        <v>1048</v>
      </c>
      <c r="EZ1" s="370" t="s">
        <v>1052</v>
      </c>
      <c r="FA1" s="370" t="s">
        <v>1053</v>
      </c>
      <c r="FB1" s="385" t="s">
        <v>1837</v>
      </c>
      <c r="FC1" s="477" t="s">
        <v>2043</v>
      </c>
      <c r="FD1" s="477" t="s">
        <v>2058</v>
      </c>
      <c r="FE1" s="370" t="s">
        <v>1325</v>
      </c>
      <c r="FF1" s="371" t="s">
        <v>1054</v>
      </c>
      <c r="FG1" s="368" t="s">
        <v>1055</v>
      </c>
      <c r="FH1" s="368" t="s">
        <v>1056</v>
      </c>
      <c r="FI1" s="386" t="s">
        <v>1838</v>
      </c>
      <c r="FJ1" s="368" t="s">
        <v>1057</v>
      </c>
      <c r="FK1" s="461" t="s">
        <v>2059</v>
      </c>
      <c r="FL1" s="461" t="s">
        <v>2060</v>
      </c>
      <c r="FM1" s="369" t="s">
        <v>1058</v>
      </c>
      <c r="FN1" s="368" t="s">
        <v>1116</v>
      </c>
      <c r="FO1" s="368" t="s">
        <v>1117</v>
      </c>
      <c r="FP1" s="386" t="s">
        <v>1839</v>
      </c>
      <c r="FQ1" s="368" t="s">
        <v>1118</v>
      </c>
      <c r="FR1" s="461" t="s">
        <v>2062</v>
      </c>
      <c r="FS1" s="461" t="s">
        <v>2061</v>
      </c>
      <c r="FT1" s="369" t="s">
        <v>1119</v>
      </c>
      <c r="FU1" s="368" t="s">
        <v>1120</v>
      </c>
      <c r="FV1" s="368" t="s">
        <v>1121</v>
      </c>
      <c r="FW1" s="386" t="s">
        <v>1840</v>
      </c>
      <c r="FX1" s="368" t="s">
        <v>1122</v>
      </c>
      <c r="FY1" s="461" t="s">
        <v>2063</v>
      </c>
      <c r="FZ1" s="461" t="s">
        <v>2064</v>
      </c>
      <c r="GA1" s="369" t="s">
        <v>1123</v>
      </c>
      <c r="GB1" s="368" t="s">
        <v>1124</v>
      </c>
      <c r="GC1" s="368" t="s">
        <v>1125</v>
      </c>
      <c r="GD1" s="386" t="s">
        <v>1841</v>
      </c>
      <c r="GE1" s="368" t="s">
        <v>1126</v>
      </c>
      <c r="GF1" s="461" t="s">
        <v>2065</v>
      </c>
      <c r="GG1" s="461" t="s">
        <v>2066</v>
      </c>
      <c r="GH1" s="369" t="s">
        <v>1127</v>
      </c>
      <c r="GI1" s="368" t="s">
        <v>1128</v>
      </c>
      <c r="GJ1" s="368" t="s">
        <v>1129</v>
      </c>
      <c r="GK1" s="386" t="s">
        <v>1842</v>
      </c>
      <c r="GL1" s="368" t="s">
        <v>1130</v>
      </c>
      <c r="GM1" s="461" t="s">
        <v>2069</v>
      </c>
      <c r="GN1" s="461" t="s">
        <v>2070</v>
      </c>
      <c r="GO1" s="369" t="s">
        <v>1131</v>
      </c>
      <c r="GP1" s="368" t="s">
        <v>1132</v>
      </c>
      <c r="GQ1" s="368" t="s">
        <v>1133</v>
      </c>
      <c r="GR1" s="386" t="s">
        <v>1843</v>
      </c>
      <c r="GS1" s="368" t="s">
        <v>1134</v>
      </c>
      <c r="GT1" s="461" t="s">
        <v>2067</v>
      </c>
      <c r="GU1" s="461" t="s">
        <v>2068</v>
      </c>
      <c r="GV1" s="369" t="s">
        <v>1135</v>
      </c>
      <c r="GW1" s="368" t="s">
        <v>1136</v>
      </c>
      <c r="GX1" s="368" t="s">
        <v>1137</v>
      </c>
      <c r="GY1" s="386" t="s">
        <v>1844</v>
      </c>
      <c r="GZ1" s="368" t="s">
        <v>1138</v>
      </c>
      <c r="HA1" s="461" t="s">
        <v>2071</v>
      </c>
      <c r="HB1" s="461" t="s">
        <v>2072</v>
      </c>
      <c r="HC1" s="369" t="s">
        <v>1139</v>
      </c>
      <c r="HD1" s="405"/>
      <c r="HE1" s="405"/>
      <c r="HF1" s="406"/>
      <c r="HG1" s="405"/>
      <c r="HH1" s="407"/>
      <c r="HI1" s="405"/>
      <c r="HJ1" s="405"/>
      <c r="HK1" s="406"/>
      <c r="HL1" s="405"/>
      <c r="HM1" s="407"/>
      <c r="HN1" s="226"/>
      <c r="HO1" s="153"/>
      <c r="HP1" s="153"/>
      <c r="HQ1" s="153"/>
    </row>
    <row r="2" spans="1:225">
      <c r="A2" s="233" t="s">
        <v>1162</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IFERROR(VLOOKUP(R2,'Central Variable'!$A$2:$S$97,2,FALSE), "")</f>
        <v/>
      </c>
      <c r="T2" s="372" t="str">
        <f>IFERROR(VLOOKUP(R2,'Central Variable'!$A$2:$S$97,3,FALSE), "")</f>
        <v/>
      </c>
      <c r="U2" s="372" t="str">
        <f>IFERROR(VLOOKUP(R2,'Central Variable'!$A$2:$S$97,5,FALSE), "")</f>
        <v/>
      </c>
      <c r="V2" s="372" t="str">
        <f>IFERROR(VLOOKUP(R2,'Central Variable'!$A$2:$S$97,14,FALSE), "")</f>
        <v/>
      </c>
      <c r="W2" s="678" t="str">
        <f>IFERROR(VLOOKUP(R2,'Central Variable'!$A$2:$S$97,19,FALSE), "")</f>
        <v/>
      </c>
      <c r="X2" s="372" t="str">
        <f>IFERROR(VLOOKUP(R2,'Central Variable'!$A$2:$S$97,13,FALSE), "")</f>
        <v/>
      </c>
      <c r="Y2" s="680"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461"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1163</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IFERROR(VLOOKUP(R3,'Central Variable'!$A$2:$S$97,2,FALSE), "")</f>
        <v/>
      </c>
      <c r="T3" s="372" t="str">
        <f>IFERROR(VLOOKUP(R3,'Central Variable'!$A$2:$S$97,3,FALSE), "")</f>
        <v/>
      </c>
      <c r="U3" s="372" t="str">
        <f>IFERROR(VLOOKUP(R3,'Central Variable'!$A$2:$S$97,5,FALSE), "")</f>
        <v/>
      </c>
      <c r="V3" s="372" t="str">
        <f>IFERROR(VLOOKUP(R3,'Central Variable'!$A$2:$S$97,14,FALSE), "")</f>
        <v/>
      </c>
      <c r="W3" s="678" t="str">
        <f>IFERROR(VLOOKUP(R3,'Central Variable'!$A$2:$S$97,19,FALSE), "")</f>
        <v/>
      </c>
      <c r="X3" s="372" t="str">
        <f>IFERROR(VLOOKUP(R3,'Central Variable'!$A$2:$S$97,13,FALSE), "")</f>
        <v/>
      </c>
      <c r="Y3" s="680"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461"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1164</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IFERROR(VLOOKUP(R4,'Central Variable'!$A$2:$S$97,2,FALSE), "")</f>
        <v/>
      </c>
      <c r="T4" s="372" t="str">
        <f>IFERROR(VLOOKUP(R4,'Central Variable'!$A$2:$S$97,3,FALSE), "")</f>
        <v/>
      </c>
      <c r="U4" s="372" t="str">
        <f>IFERROR(VLOOKUP(R4,'Central Variable'!$A$2:$S$97,5,FALSE), "")</f>
        <v/>
      </c>
      <c r="V4" s="372" t="str">
        <f>IFERROR(VLOOKUP(R4,'Central Variable'!$A$2:$S$97,14,FALSE), "")</f>
        <v/>
      </c>
      <c r="W4" s="678" t="str">
        <f>IFERROR(VLOOKUP(R4,'Central Variable'!$A$2:$S$97,19,FALSE), "")</f>
        <v/>
      </c>
      <c r="X4" s="372" t="str">
        <f>IFERROR(VLOOKUP(R4,'Central Variable'!$A$2:$S$97,13,FALSE), "")</f>
        <v/>
      </c>
      <c r="Y4" s="680"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461"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1165</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IFERROR(VLOOKUP(R5,'Central Variable'!$A$2:$S$97,2,FALSE), "")</f>
        <v/>
      </c>
      <c r="T5" s="372" t="str">
        <f>IFERROR(VLOOKUP(R5,'Central Variable'!$A$2:$S$97,3,FALSE), "")</f>
        <v/>
      </c>
      <c r="U5" s="372" t="str">
        <f>IFERROR(VLOOKUP(R5,'Central Variable'!$A$2:$S$97,5,FALSE), "")</f>
        <v/>
      </c>
      <c r="V5" s="372" t="str">
        <f>IFERROR(VLOOKUP(R5,'Central Variable'!$A$2:$S$97,14,FALSE), "")</f>
        <v/>
      </c>
      <c r="W5" s="678" t="str">
        <f>IFERROR(VLOOKUP(R5,'Central Variable'!$A$2:$S$97,19,FALSE), "")</f>
        <v/>
      </c>
      <c r="X5" s="372" t="str">
        <f>IFERROR(VLOOKUP(R5,'Central Variable'!$A$2:$S$97,13,FALSE), "")</f>
        <v/>
      </c>
      <c r="Y5" s="680"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461"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1166</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IFERROR(VLOOKUP(R6,'Central Variable'!$A$2:$S$97,2,FALSE), "")</f>
        <v/>
      </c>
      <c r="T6" s="372" t="str">
        <f>IFERROR(VLOOKUP(R6,'Central Variable'!$A$2:$S$97,3,FALSE), "")</f>
        <v/>
      </c>
      <c r="U6" s="372" t="str">
        <f>IFERROR(VLOOKUP(R6,'Central Variable'!$A$2:$S$97,5,FALSE), "")</f>
        <v/>
      </c>
      <c r="V6" s="372" t="str">
        <f>IFERROR(VLOOKUP(R6,'Central Variable'!$A$2:$S$97,14,FALSE), "")</f>
        <v/>
      </c>
      <c r="W6" s="678" t="str">
        <f>IFERROR(VLOOKUP(R6,'Central Variable'!$A$2:$S$97,19,FALSE), "")</f>
        <v/>
      </c>
      <c r="X6" s="372" t="str">
        <f>IFERROR(VLOOKUP(R6,'Central Variable'!$A$2:$S$97,13,FALSE), "")</f>
        <v/>
      </c>
      <c r="Y6" s="680"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461"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1167</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IFERROR(VLOOKUP(R7,'Central Variable'!$A$2:$S$97,2,FALSE), "")</f>
        <v/>
      </c>
      <c r="T7" s="372" t="str">
        <f>IFERROR(VLOOKUP(R7,'Central Variable'!$A$2:$S$97,3,FALSE), "")</f>
        <v/>
      </c>
      <c r="U7" s="372" t="str">
        <f>IFERROR(VLOOKUP(R7,'Central Variable'!$A$2:$S$97,5,FALSE), "")</f>
        <v/>
      </c>
      <c r="V7" s="372" t="str">
        <f>IFERROR(VLOOKUP(R7,'Central Variable'!$A$2:$S$97,14,FALSE), "")</f>
        <v/>
      </c>
      <c r="W7" s="678" t="str">
        <f>IFERROR(VLOOKUP(R7,'Central Variable'!$A$2:$S$97,19,FALSE), "")</f>
        <v/>
      </c>
      <c r="X7" s="372" t="str">
        <f>IFERROR(VLOOKUP(R7,'Central Variable'!$A$2:$S$97,13,FALSE), "")</f>
        <v/>
      </c>
      <c r="Y7" s="680"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461"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1168</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IFERROR(VLOOKUP(R8,'Central Variable'!$A$2:$S$97,2,FALSE), "")</f>
        <v/>
      </c>
      <c r="T8" s="372" t="str">
        <f>IFERROR(VLOOKUP(R8,'Central Variable'!$A$2:$S$97,3,FALSE), "")</f>
        <v/>
      </c>
      <c r="U8" s="372" t="str">
        <f>IFERROR(VLOOKUP(R8,'Central Variable'!$A$2:$S$97,5,FALSE), "")</f>
        <v/>
      </c>
      <c r="V8" s="372" t="str">
        <f>IFERROR(VLOOKUP(R8,'Central Variable'!$A$2:$S$97,14,FALSE), "")</f>
        <v/>
      </c>
      <c r="W8" s="678" t="str">
        <f>IFERROR(VLOOKUP(R8,'Central Variable'!$A$2:$S$97,19,FALSE), "")</f>
        <v/>
      </c>
      <c r="X8" s="372" t="str">
        <f>IFERROR(VLOOKUP(R8,'Central Variable'!$A$2:$S$97,13,FALSE), "")</f>
        <v/>
      </c>
      <c r="Y8" s="680"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461"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1169</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IFERROR(VLOOKUP(R9,'Central Variable'!$A$2:$S$97,2,FALSE), "")</f>
        <v/>
      </c>
      <c r="T9" s="372" t="str">
        <f>IFERROR(VLOOKUP(R9,'Central Variable'!$A$2:$S$97,3,FALSE), "")</f>
        <v/>
      </c>
      <c r="U9" s="372" t="str">
        <f>IFERROR(VLOOKUP(R9,'Central Variable'!$A$2:$S$97,5,FALSE), "")</f>
        <v/>
      </c>
      <c r="V9" s="372" t="str">
        <f>IFERROR(VLOOKUP(R9,'Central Variable'!$A$2:$S$97,14,FALSE), "")</f>
        <v/>
      </c>
      <c r="W9" s="678" t="str">
        <f>IFERROR(VLOOKUP(R9,'Central Variable'!$A$2:$S$97,19,FALSE), "")</f>
        <v/>
      </c>
      <c r="X9" s="372" t="str">
        <f>IFERROR(VLOOKUP(R9,'Central Variable'!$A$2:$S$97,13,FALSE), "")</f>
        <v/>
      </c>
      <c r="Y9" s="680"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461"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1170</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IFERROR(VLOOKUP(R10,'Central Variable'!$A$2:$S$97,2,FALSE), "")</f>
        <v/>
      </c>
      <c r="T10" s="372" t="str">
        <f>IFERROR(VLOOKUP(R10,'Central Variable'!$A$2:$S$97,3,FALSE), "")</f>
        <v/>
      </c>
      <c r="U10" s="372" t="str">
        <f>IFERROR(VLOOKUP(R10,'Central Variable'!$A$2:$S$97,5,FALSE), "")</f>
        <v/>
      </c>
      <c r="V10" s="372" t="str">
        <f>IFERROR(VLOOKUP(R10,'Central Variable'!$A$2:$S$97,14,FALSE), "")</f>
        <v/>
      </c>
      <c r="W10" s="678" t="str">
        <f>IFERROR(VLOOKUP(R10,'Central Variable'!$A$2:$S$97,19,FALSE), "")</f>
        <v/>
      </c>
      <c r="X10" s="372" t="str">
        <f>IFERROR(VLOOKUP(R10,'Central Variable'!$A$2:$S$97,13,FALSE), "")</f>
        <v/>
      </c>
      <c r="Y10" s="680"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461"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1171</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IFERROR(VLOOKUP(R11,'Central Variable'!$A$2:$S$97,2,FALSE), "")</f>
        <v/>
      </c>
      <c r="T11" s="372" t="str">
        <f>IFERROR(VLOOKUP(R11,'Central Variable'!$A$2:$S$97,3,FALSE), "")</f>
        <v/>
      </c>
      <c r="U11" s="372" t="str">
        <f>IFERROR(VLOOKUP(R11,'Central Variable'!$A$2:$S$97,5,FALSE), "")</f>
        <v/>
      </c>
      <c r="V11" s="372" t="str">
        <f>IFERROR(VLOOKUP(R11,'Central Variable'!$A$2:$S$97,14,FALSE), "")</f>
        <v/>
      </c>
      <c r="W11" s="678" t="str">
        <f>IFERROR(VLOOKUP(R11,'Central Variable'!$A$2:$S$97,19,FALSE), "")</f>
        <v/>
      </c>
      <c r="X11" s="372" t="str">
        <f>IFERROR(VLOOKUP(R11,'Central Variable'!$A$2:$S$97,13,FALSE), "")</f>
        <v/>
      </c>
      <c r="Y11" s="680"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461"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1172</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IFERROR(VLOOKUP(R12,'Central Variable'!$A$2:$S$97,2,FALSE), "")</f>
        <v/>
      </c>
      <c r="T12" s="372" t="str">
        <f>IFERROR(VLOOKUP(R12,'Central Variable'!$A$2:$S$97,3,FALSE), "")</f>
        <v/>
      </c>
      <c r="U12" s="372" t="str">
        <f>IFERROR(VLOOKUP(R12,'Central Variable'!$A$2:$S$97,5,FALSE), "")</f>
        <v/>
      </c>
      <c r="V12" s="372" t="str">
        <f>IFERROR(VLOOKUP(R12,'Central Variable'!$A$2:$S$97,14,FALSE), "")</f>
        <v/>
      </c>
      <c r="W12" s="678" t="str">
        <f>IFERROR(VLOOKUP(R12,'Central Variable'!$A$2:$S$97,19,FALSE), "")</f>
        <v/>
      </c>
      <c r="X12" s="372" t="str">
        <f>IFERROR(VLOOKUP(R12,'Central Variable'!$A$2:$S$97,13,FALSE), "")</f>
        <v/>
      </c>
      <c r="Y12" s="680"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461"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1173</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IFERROR(VLOOKUP(R13,'Central Variable'!$A$2:$S$97,2,FALSE), "")</f>
        <v/>
      </c>
      <c r="T13" s="372" t="str">
        <f>IFERROR(VLOOKUP(R13,'Central Variable'!$A$2:$S$97,3,FALSE), "")</f>
        <v/>
      </c>
      <c r="U13" s="372" t="str">
        <f>IFERROR(VLOOKUP(R13,'Central Variable'!$A$2:$S$97,5,FALSE), "")</f>
        <v/>
      </c>
      <c r="V13" s="372" t="str">
        <f>IFERROR(VLOOKUP(R13,'Central Variable'!$A$2:$S$97,14,FALSE), "")</f>
        <v/>
      </c>
      <c r="W13" s="678" t="str">
        <f>IFERROR(VLOOKUP(R13,'Central Variable'!$A$2:$S$97,19,FALSE), "")</f>
        <v/>
      </c>
      <c r="X13" s="372" t="str">
        <f>IFERROR(VLOOKUP(R13,'Central Variable'!$A$2:$S$97,13,FALSE), "")</f>
        <v/>
      </c>
      <c r="Y13" s="680"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461"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1174</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IFERROR(VLOOKUP(R14,'Central Variable'!$A$2:$S$97,2,FALSE), "")</f>
        <v/>
      </c>
      <c r="T14" s="372" t="str">
        <f>IFERROR(VLOOKUP(R14,'Central Variable'!$A$2:$S$97,3,FALSE), "")</f>
        <v/>
      </c>
      <c r="U14" s="372" t="str">
        <f>IFERROR(VLOOKUP(R14,'Central Variable'!$A$2:$S$97,5,FALSE), "")</f>
        <v/>
      </c>
      <c r="V14" s="372" t="str">
        <f>IFERROR(VLOOKUP(R14,'Central Variable'!$A$2:$S$97,14,FALSE), "")</f>
        <v/>
      </c>
      <c r="W14" s="678" t="str">
        <f>IFERROR(VLOOKUP(R14,'Central Variable'!$A$2:$S$97,19,FALSE), "")</f>
        <v/>
      </c>
      <c r="X14" s="372" t="str">
        <f>IFERROR(VLOOKUP(R14,'Central Variable'!$A$2:$S$97,13,FALSE), "")</f>
        <v/>
      </c>
      <c r="Y14" s="680"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461"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1175</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IFERROR(VLOOKUP(R15,'Central Variable'!$A$2:$S$97,2,FALSE), "")</f>
        <v/>
      </c>
      <c r="T15" s="372" t="str">
        <f>IFERROR(VLOOKUP(R15,'Central Variable'!$A$2:$S$97,3,FALSE), "")</f>
        <v/>
      </c>
      <c r="U15" s="372" t="str">
        <f>IFERROR(VLOOKUP(R15,'Central Variable'!$A$2:$S$97,5,FALSE), "")</f>
        <v/>
      </c>
      <c r="V15" s="372" t="str">
        <f>IFERROR(VLOOKUP(R15,'Central Variable'!$A$2:$S$97,14,FALSE), "")</f>
        <v/>
      </c>
      <c r="W15" s="678" t="str">
        <f>IFERROR(VLOOKUP(R15,'Central Variable'!$A$2:$S$97,19,FALSE), "")</f>
        <v/>
      </c>
      <c r="X15" s="372" t="str">
        <f>IFERROR(VLOOKUP(R15,'Central Variable'!$A$2:$S$97,13,FALSE), "")</f>
        <v/>
      </c>
      <c r="Y15" s="680"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461"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1176</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IFERROR(VLOOKUP(R16,'Central Variable'!$A$2:$S$97,2,FALSE), "")</f>
        <v/>
      </c>
      <c r="T16" s="372" t="str">
        <f>IFERROR(VLOOKUP(R16,'Central Variable'!$A$2:$S$97,3,FALSE), "")</f>
        <v/>
      </c>
      <c r="U16" s="372" t="str">
        <f>IFERROR(VLOOKUP(R16,'Central Variable'!$A$2:$S$97,5,FALSE), "")</f>
        <v/>
      </c>
      <c r="V16" s="372" t="str">
        <f>IFERROR(VLOOKUP(R16,'Central Variable'!$A$2:$S$97,14,FALSE), "")</f>
        <v/>
      </c>
      <c r="W16" s="678" t="str">
        <f>IFERROR(VLOOKUP(R16,'Central Variable'!$A$2:$S$97,19,FALSE), "")</f>
        <v/>
      </c>
      <c r="X16" s="372" t="str">
        <f>IFERROR(VLOOKUP(R16,'Central Variable'!$A$2:$S$97,13,FALSE), "")</f>
        <v/>
      </c>
      <c r="Y16" s="680"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461"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1177</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IFERROR(VLOOKUP(R17,'Central Variable'!$A$2:$S$97,2,FALSE), "")</f>
        <v/>
      </c>
      <c r="T17" s="372" t="str">
        <f>IFERROR(VLOOKUP(R17,'Central Variable'!$A$2:$S$97,3,FALSE), "")</f>
        <v/>
      </c>
      <c r="U17" s="372" t="str">
        <f>IFERROR(VLOOKUP(R17,'Central Variable'!$A$2:$S$97,5,FALSE), "")</f>
        <v/>
      </c>
      <c r="V17" s="372" t="str">
        <f>IFERROR(VLOOKUP(R17,'Central Variable'!$A$2:$S$97,14,FALSE), "")</f>
        <v/>
      </c>
      <c r="W17" s="678" t="str">
        <f>IFERROR(VLOOKUP(R17,'Central Variable'!$A$2:$S$97,19,FALSE), "")</f>
        <v/>
      </c>
      <c r="X17" s="372" t="str">
        <f>IFERROR(VLOOKUP(R17,'Central Variable'!$A$2:$S$97,13,FALSE), "")</f>
        <v/>
      </c>
      <c r="Y17" s="680"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461"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1178</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IFERROR(VLOOKUP(R18,'Central Variable'!$A$2:$S$97,2,FALSE), "")</f>
        <v/>
      </c>
      <c r="T18" s="372" t="str">
        <f>IFERROR(VLOOKUP(R18,'Central Variable'!$A$2:$S$97,3,FALSE), "")</f>
        <v/>
      </c>
      <c r="U18" s="372" t="str">
        <f>IFERROR(VLOOKUP(R18,'Central Variable'!$A$2:$S$97,5,FALSE), "")</f>
        <v/>
      </c>
      <c r="V18" s="372" t="str">
        <f>IFERROR(VLOOKUP(R18,'Central Variable'!$A$2:$S$97,14,FALSE), "")</f>
        <v/>
      </c>
      <c r="W18" s="678" t="str">
        <f>IFERROR(VLOOKUP(R18,'Central Variable'!$A$2:$S$97,19,FALSE), "")</f>
        <v/>
      </c>
      <c r="X18" s="372" t="str">
        <f>IFERROR(VLOOKUP(R18,'Central Variable'!$A$2:$S$97,13,FALSE), "")</f>
        <v/>
      </c>
      <c r="Y18" s="680"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461"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1179</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IFERROR(VLOOKUP(R19,'Central Variable'!$A$2:$S$97,2,FALSE), "")</f>
        <v/>
      </c>
      <c r="T19" s="372" t="str">
        <f>IFERROR(VLOOKUP(R19,'Central Variable'!$A$2:$S$97,3,FALSE), "")</f>
        <v/>
      </c>
      <c r="U19" s="372" t="str">
        <f>IFERROR(VLOOKUP(R19,'Central Variable'!$A$2:$S$97,5,FALSE), "")</f>
        <v/>
      </c>
      <c r="V19" s="372" t="str">
        <f>IFERROR(VLOOKUP(R19,'Central Variable'!$A$2:$S$97,14,FALSE), "")</f>
        <v/>
      </c>
      <c r="W19" s="678" t="str">
        <f>IFERROR(VLOOKUP(R19,'Central Variable'!$A$2:$S$97,19,FALSE), "")</f>
        <v/>
      </c>
      <c r="X19" s="372" t="str">
        <f>IFERROR(VLOOKUP(R19,'Central Variable'!$A$2:$S$97,13,FALSE), "")</f>
        <v/>
      </c>
      <c r="Y19" s="680"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461"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1180</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IFERROR(VLOOKUP(R20,'Central Variable'!$A$2:$S$97,2,FALSE), "")</f>
        <v/>
      </c>
      <c r="T20" s="372" t="str">
        <f>IFERROR(VLOOKUP(R20,'Central Variable'!$A$2:$S$97,3,FALSE), "")</f>
        <v/>
      </c>
      <c r="U20" s="372" t="str">
        <f>IFERROR(VLOOKUP(R20,'Central Variable'!$A$2:$S$97,5,FALSE), "")</f>
        <v/>
      </c>
      <c r="V20" s="372" t="str">
        <f>IFERROR(VLOOKUP(R20,'Central Variable'!$A$2:$S$97,14,FALSE), "")</f>
        <v/>
      </c>
      <c r="W20" s="678" t="str">
        <f>IFERROR(VLOOKUP(R20,'Central Variable'!$A$2:$S$97,19,FALSE), "")</f>
        <v/>
      </c>
      <c r="X20" s="372" t="str">
        <f>IFERROR(VLOOKUP(R20,'Central Variable'!$A$2:$S$97,13,FALSE), "")</f>
        <v/>
      </c>
      <c r="Y20" s="680"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461"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1181</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IFERROR(VLOOKUP(R21,'Central Variable'!$A$2:$S$97,2,FALSE), "")</f>
        <v/>
      </c>
      <c r="T21" s="372" t="str">
        <f>IFERROR(VLOOKUP(R21,'Central Variable'!$A$2:$S$97,3,FALSE), "")</f>
        <v/>
      </c>
      <c r="U21" s="372" t="str">
        <f>IFERROR(VLOOKUP(R21,'Central Variable'!$A$2:$S$97,5,FALSE), "")</f>
        <v/>
      </c>
      <c r="V21" s="372" t="str">
        <f>IFERROR(VLOOKUP(R21,'Central Variable'!$A$2:$S$97,14,FALSE), "")</f>
        <v/>
      </c>
      <c r="W21" s="678" t="str">
        <f>IFERROR(VLOOKUP(R21,'Central Variable'!$A$2:$S$97,19,FALSE), "")</f>
        <v/>
      </c>
      <c r="X21" s="372" t="str">
        <f>IFERROR(VLOOKUP(R21,'Central Variable'!$A$2:$S$97,13,FALSE), "")</f>
        <v/>
      </c>
      <c r="Y21" s="680"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461"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1182</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IFERROR(VLOOKUP(R22,'Central Variable'!$A$2:$S$97,2,FALSE), "")</f>
        <v/>
      </c>
      <c r="T22" s="372" t="str">
        <f>IFERROR(VLOOKUP(R22,'Central Variable'!$A$2:$S$97,3,FALSE), "")</f>
        <v/>
      </c>
      <c r="U22" s="372" t="str">
        <f>IFERROR(VLOOKUP(R22,'Central Variable'!$A$2:$S$97,5,FALSE), "")</f>
        <v/>
      </c>
      <c r="V22" s="372" t="str">
        <f>IFERROR(VLOOKUP(R22,'Central Variable'!$A$2:$S$97,14,FALSE), "")</f>
        <v/>
      </c>
      <c r="W22" s="678" t="str">
        <f>IFERROR(VLOOKUP(R22,'Central Variable'!$A$2:$S$97,19,FALSE), "")</f>
        <v/>
      </c>
      <c r="X22" s="372" t="str">
        <f>IFERROR(VLOOKUP(R22,'Central Variable'!$A$2:$S$97,13,FALSE), "")</f>
        <v/>
      </c>
      <c r="Y22" s="680"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461"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1183</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IFERROR(VLOOKUP(R23,'Central Variable'!$A$2:$S$97,2,FALSE), "")</f>
        <v/>
      </c>
      <c r="T23" s="372" t="str">
        <f>IFERROR(VLOOKUP(R23,'Central Variable'!$A$2:$S$97,3,FALSE), "")</f>
        <v/>
      </c>
      <c r="U23" s="372" t="str">
        <f>IFERROR(VLOOKUP(R23,'Central Variable'!$A$2:$S$97,5,FALSE), "")</f>
        <v/>
      </c>
      <c r="V23" s="372" t="str">
        <f>IFERROR(VLOOKUP(R23,'Central Variable'!$A$2:$S$97,14,FALSE), "")</f>
        <v/>
      </c>
      <c r="W23" s="678" t="str">
        <f>IFERROR(VLOOKUP(R23,'Central Variable'!$A$2:$S$97,19,FALSE), "")</f>
        <v/>
      </c>
      <c r="X23" s="372" t="str">
        <f>IFERROR(VLOOKUP(R23,'Central Variable'!$A$2:$S$97,13,FALSE), "")</f>
        <v/>
      </c>
      <c r="Y23" s="680"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461"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1184</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IFERROR(VLOOKUP(R24,'Central Variable'!$A$2:$S$97,2,FALSE), "")</f>
        <v/>
      </c>
      <c r="T24" s="372" t="str">
        <f>IFERROR(VLOOKUP(R24,'Central Variable'!$A$2:$S$97,3,FALSE), "")</f>
        <v/>
      </c>
      <c r="U24" s="372" t="str">
        <f>IFERROR(VLOOKUP(R24,'Central Variable'!$A$2:$S$97,5,FALSE), "")</f>
        <v/>
      </c>
      <c r="V24" s="372" t="str">
        <f>IFERROR(VLOOKUP(R24,'Central Variable'!$A$2:$S$97,14,FALSE), "")</f>
        <v/>
      </c>
      <c r="W24" s="678" t="str">
        <f>IFERROR(VLOOKUP(R24,'Central Variable'!$A$2:$S$97,19,FALSE), "")</f>
        <v/>
      </c>
      <c r="X24" s="372" t="str">
        <f>IFERROR(VLOOKUP(R24,'Central Variable'!$A$2:$S$97,13,FALSE), "")</f>
        <v/>
      </c>
      <c r="Y24" s="680"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461"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1185</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IFERROR(VLOOKUP(R25,'Central Variable'!$A$2:$S$97,2,FALSE), "")</f>
        <v/>
      </c>
      <c r="T25" s="372" t="str">
        <f>IFERROR(VLOOKUP(R25,'Central Variable'!$A$2:$S$97,3,FALSE), "")</f>
        <v/>
      </c>
      <c r="U25" s="372" t="str">
        <f>IFERROR(VLOOKUP(R25,'Central Variable'!$A$2:$S$97,5,FALSE), "")</f>
        <v/>
      </c>
      <c r="V25" s="372" t="str">
        <f>IFERROR(VLOOKUP(R25,'Central Variable'!$A$2:$S$97,14,FALSE), "")</f>
        <v/>
      </c>
      <c r="W25" s="678" t="str">
        <f>IFERROR(VLOOKUP(R25,'Central Variable'!$A$2:$S$97,19,FALSE), "")</f>
        <v/>
      </c>
      <c r="X25" s="372" t="str">
        <f>IFERROR(VLOOKUP(R25,'Central Variable'!$A$2:$S$97,13,FALSE), "")</f>
        <v/>
      </c>
      <c r="Y25" s="680"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461"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1186</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IFERROR(VLOOKUP(R26,'Central Variable'!$A$2:$S$97,2,FALSE), "")</f>
        <v/>
      </c>
      <c r="T26" s="372" t="str">
        <f>IFERROR(VLOOKUP(R26,'Central Variable'!$A$2:$S$97,3,FALSE), "")</f>
        <v/>
      </c>
      <c r="U26" s="372" t="str">
        <f>IFERROR(VLOOKUP(R26,'Central Variable'!$A$2:$S$97,5,FALSE), "")</f>
        <v/>
      </c>
      <c r="V26" s="372" t="str">
        <f>IFERROR(VLOOKUP(R26,'Central Variable'!$A$2:$S$97,14,FALSE), "")</f>
        <v/>
      </c>
      <c r="W26" s="678" t="str">
        <f>IFERROR(VLOOKUP(R26,'Central Variable'!$A$2:$S$97,19,FALSE), "")</f>
        <v/>
      </c>
      <c r="X26" s="372" t="str">
        <f>IFERROR(VLOOKUP(R26,'Central Variable'!$A$2:$S$97,13,FALSE), "")</f>
        <v/>
      </c>
      <c r="Y26" s="680"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461"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1187</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IFERROR(VLOOKUP(R27,'Central Variable'!$A$2:$S$97,2,FALSE), "")</f>
        <v/>
      </c>
      <c r="T27" s="372" t="str">
        <f>IFERROR(VLOOKUP(R27,'Central Variable'!$A$2:$S$97,3,FALSE), "")</f>
        <v/>
      </c>
      <c r="U27" s="372" t="str">
        <f>IFERROR(VLOOKUP(R27,'Central Variable'!$A$2:$S$97,5,FALSE), "")</f>
        <v/>
      </c>
      <c r="V27" s="372" t="str">
        <f>IFERROR(VLOOKUP(R27,'Central Variable'!$A$2:$S$97,14,FALSE), "")</f>
        <v/>
      </c>
      <c r="W27" s="678" t="str">
        <f>IFERROR(VLOOKUP(R27,'Central Variable'!$A$2:$S$97,19,FALSE), "")</f>
        <v/>
      </c>
      <c r="X27" s="372" t="str">
        <f>IFERROR(VLOOKUP(R27,'Central Variable'!$A$2:$S$97,13,FALSE), "")</f>
        <v/>
      </c>
      <c r="Y27" s="680"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461"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1188</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IFERROR(VLOOKUP(R28,'Central Variable'!$A$2:$S$97,2,FALSE), "")</f>
        <v/>
      </c>
      <c r="T28" s="372" t="str">
        <f>IFERROR(VLOOKUP(R28,'Central Variable'!$A$2:$S$97,3,FALSE), "")</f>
        <v/>
      </c>
      <c r="U28" s="372" t="str">
        <f>IFERROR(VLOOKUP(R28,'Central Variable'!$A$2:$S$97,5,FALSE), "")</f>
        <v/>
      </c>
      <c r="V28" s="372" t="str">
        <f>IFERROR(VLOOKUP(R28,'Central Variable'!$A$2:$S$97,14,FALSE), "")</f>
        <v/>
      </c>
      <c r="W28" s="678" t="str">
        <f>IFERROR(VLOOKUP(R28,'Central Variable'!$A$2:$S$97,19,FALSE), "")</f>
        <v/>
      </c>
      <c r="X28" s="372" t="str">
        <f>IFERROR(VLOOKUP(R28,'Central Variable'!$A$2:$S$97,13,FALSE), "")</f>
        <v/>
      </c>
      <c r="Y28" s="680"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461"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1189</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IFERROR(VLOOKUP(R29,'Central Variable'!$A$2:$S$97,2,FALSE), "")</f>
        <v/>
      </c>
      <c r="T29" s="372" t="str">
        <f>IFERROR(VLOOKUP(R29,'Central Variable'!$A$2:$S$97,3,FALSE), "")</f>
        <v/>
      </c>
      <c r="U29" s="372" t="str">
        <f>IFERROR(VLOOKUP(R29,'Central Variable'!$A$2:$S$97,5,FALSE), "")</f>
        <v/>
      </c>
      <c r="V29" s="372" t="str">
        <f>IFERROR(VLOOKUP(R29,'Central Variable'!$A$2:$S$97,14,FALSE), "")</f>
        <v/>
      </c>
      <c r="W29" s="678" t="str">
        <f>IFERROR(VLOOKUP(R29,'Central Variable'!$A$2:$S$97,19,FALSE), "")</f>
        <v/>
      </c>
      <c r="X29" s="372" t="str">
        <f>IFERROR(VLOOKUP(R29,'Central Variable'!$A$2:$S$97,13,FALSE), "")</f>
        <v/>
      </c>
      <c r="Y29" s="680"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461"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1190</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IFERROR(VLOOKUP(R30,'Central Variable'!$A$2:$S$97,2,FALSE), "")</f>
        <v/>
      </c>
      <c r="T30" s="372" t="str">
        <f>IFERROR(VLOOKUP(R30,'Central Variable'!$A$2:$S$97,3,FALSE), "")</f>
        <v/>
      </c>
      <c r="U30" s="372" t="str">
        <f>IFERROR(VLOOKUP(R30,'Central Variable'!$A$2:$S$97,5,FALSE), "")</f>
        <v/>
      </c>
      <c r="V30" s="372" t="str">
        <f>IFERROR(VLOOKUP(R30,'Central Variable'!$A$2:$S$97,14,FALSE), "")</f>
        <v/>
      </c>
      <c r="W30" s="678" t="str">
        <f>IFERROR(VLOOKUP(R30,'Central Variable'!$A$2:$S$97,19,FALSE), "")</f>
        <v/>
      </c>
      <c r="X30" s="372" t="str">
        <f>IFERROR(VLOOKUP(R30,'Central Variable'!$A$2:$S$97,13,FALSE), "")</f>
        <v/>
      </c>
      <c r="Y30" s="680"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461"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1191</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IFERROR(VLOOKUP(R31,'Central Variable'!$A$2:$S$97,2,FALSE), "")</f>
        <v/>
      </c>
      <c r="T31" s="372" t="str">
        <f>IFERROR(VLOOKUP(R31,'Central Variable'!$A$2:$S$97,3,FALSE), "")</f>
        <v/>
      </c>
      <c r="U31" s="372" t="str">
        <f>IFERROR(VLOOKUP(R31,'Central Variable'!$A$2:$S$97,5,FALSE), "")</f>
        <v/>
      </c>
      <c r="V31" s="372" t="str">
        <f>IFERROR(VLOOKUP(R31,'Central Variable'!$A$2:$S$97,14,FALSE), "")</f>
        <v/>
      </c>
      <c r="W31" s="678" t="str">
        <f>IFERROR(VLOOKUP(R31,'Central Variable'!$A$2:$S$97,19,FALSE), "")</f>
        <v/>
      </c>
      <c r="X31" s="372" t="str">
        <f>IFERROR(VLOOKUP(R31,'Central Variable'!$A$2:$S$97,13,FALSE), "")</f>
        <v/>
      </c>
      <c r="Y31" s="680"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461"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1192</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IFERROR(VLOOKUP(R32,'Central Variable'!$A$2:$S$97,2,FALSE), "")</f>
        <v/>
      </c>
      <c r="T32" s="372" t="str">
        <f>IFERROR(VLOOKUP(R32,'Central Variable'!$A$2:$S$97,3,FALSE), "")</f>
        <v/>
      </c>
      <c r="U32" s="372" t="str">
        <f>IFERROR(VLOOKUP(R32,'Central Variable'!$A$2:$S$97,5,FALSE), "")</f>
        <v/>
      </c>
      <c r="V32" s="372" t="str">
        <f>IFERROR(VLOOKUP(R32,'Central Variable'!$A$2:$S$97,14,FALSE), "")</f>
        <v/>
      </c>
      <c r="W32" s="678" t="str">
        <f>IFERROR(VLOOKUP(R32,'Central Variable'!$A$2:$S$97,19,FALSE), "")</f>
        <v/>
      </c>
      <c r="X32" s="372" t="str">
        <f>IFERROR(VLOOKUP(R32,'Central Variable'!$A$2:$S$97,13,FALSE), "")</f>
        <v/>
      </c>
      <c r="Y32" s="680"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461"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1193</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IFERROR(VLOOKUP(R33,'Central Variable'!$A$2:$S$97,2,FALSE), "")</f>
        <v/>
      </c>
      <c r="T33" s="372" t="str">
        <f>IFERROR(VLOOKUP(R33,'Central Variable'!$A$2:$S$97,3,FALSE), "")</f>
        <v/>
      </c>
      <c r="U33" s="372" t="str">
        <f>IFERROR(VLOOKUP(R33,'Central Variable'!$A$2:$S$97,5,FALSE), "")</f>
        <v/>
      </c>
      <c r="V33" s="372" t="str">
        <f>IFERROR(VLOOKUP(R33,'Central Variable'!$A$2:$S$97,14,FALSE), "")</f>
        <v/>
      </c>
      <c r="W33" s="678" t="str">
        <f>IFERROR(VLOOKUP(R33,'Central Variable'!$A$2:$S$97,19,FALSE), "")</f>
        <v/>
      </c>
      <c r="X33" s="372" t="str">
        <f>IFERROR(VLOOKUP(R33,'Central Variable'!$A$2:$S$97,13,FALSE), "")</f>
        <v/>
      </c>
      <c r="Y33" s="680"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461"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1194</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IFERROR(VLOOKUP(R34,'Central Variable'!$A$2:$S$97,2,FALSE), "")</f>
        <v/>
      </c>
      <c r="T34" s="372" t="str">
        <f>IFERROR(VLOOKUP(R34,'Central Variable'!$A$2:$S$97,3,FALSE), "")</f>
        <v/>
      </c>
      <c r="U34" s="372" t="str">
        <f>IFERROR(VLOOKUP(R34,'Central Variable'!$A$2:$S$97,5,FALSE), "")</f>
        <v/>
      </c>
      <c r="V34" s="372" t="str">
        <f>IFERROR(VLOOKUP(R34,'Central Variable'!$A$2:$S$97,14,FALSE), "")</f>
        <v/>
      </c>
      <c r="W34" s="678" t="str">
        <f>IFERROR(VLOOKUP(R34,'Central Variable'!$A$2:$S$97,19,FALSE), "")</f>
        <v/>
      </c>
      <c r="X34" s="372" t="str">
        <f>IFERROR(VLOOKUP(R34,'Central Variable'!$A$2:$S$97,13,FALSE), "")</f>
        <v/>
      </c>
      <c r="Y34" s="680"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461"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1195</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IFERROR(VLOOKUP(R35,'Central Variable'!$A$2:$S$97,2,FALSE), "")</f>
        <v/>
      </c>
      <c r="T35" s="372" t="str">
        <f>IFERROR(VLOOKUP(R35,'Central Variable'!$A$2:$S$97,3,FALSE), "")</f>
        <v/>
      </c>
      <c r="U35" s="372" t="str">
        <f>IFERROR(VLOOKUP(R35,'Central Variable'!$A$2:$S$97,5,FALSE), "")</f>
        <v/>
      </c>
      <c r="V35" s="372" t="str">
        <f>IFERROR(VLOOKUP(R35,'Central Variable'!$A$2:$S$97,14,FALSE), "")</f>
        <v/>
      </c>
      <c r="W35" s="678" t="str">
        <f>IFERROR(VLOOKUP(R35,'Central Variable'!$A$2:$S$97,19,FALSE), "")</f>
        <v/>
      </c>
      <c r="X35" s="372" t="str">
        <f>IFERROR(VLOOKUP(R35,'Central Variable'!$A$2:$S$97,13,FALSE), "")</f>
        <v/>
      </c>
      <c r="Y35" s="680"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461"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1196</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IFERROR(VLOOKUP(R36,'Central Variable'!$A$2:$S$97,2,FALSE), "")</f>
        <v/>
      </c>
      <c r="T36" s="372" t="str">
        <f>IFERROR(VLOOKUP(R36,'Central Variable'!$A$2:$S$97,3,FALSE), "")</f>
        <v/>
      </c>
      <c r="U36" s="372" t="str">
        <f>IFERROR(VLOOKUP(R36,'Central Variable'!$A$2:$S$97,5,FALSE), "")</f>
        <v/>
      </c>
      <c r="V36" s="372" t="str">
        <f>IFERROR(VLOOKUP(R36,'Central Variable'!$A$2:$S$97,14,FALSE), "")</f>
        <v/>
      </c>
      <c r="W36" s="678" t="str">
        <f>IFERROR(VLOOKUP(R36,'Central Variable'!$A$2:$S$97,19,FALSE), "")</f>
        <v/>
      </c>
      <c r="X36" s="372" t="str">
        <f>IFERROR(VLOOKUP(R36,'Central Variable'!$A$2:$S$97,13,FALSE), "")</f>
        <v/>
      </c>
      <c r="Y36" s="680"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461"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1197</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IFERROR(VLOOKUP(R37,'Central Variable'!$A$2:$S$97,2,FALSE), "")</f>
        <v/>
      </c>
      <c r="T37" s="372" t="str">
        <f>IFERROR(VLOOKUP(R37,'Central Variable'!$A$2:$S$97,3,FALSE), "")</f>
        <v/>
      </c>
      <c r="U37" s="372" t="str">
        <f>IFERROR(VLOOKUP(R37,'Central Variable'!$A$2:$S$97,5,FALSE), "")</f>
        <v/>
      </c>
      <c r="V37" s="372" t="str">
        <f>IFERROR(VLOOKUP(R37,'Central Variable'!$A$2:$S$97,14,FALSE), "")</f>
        <v/>
      </c>
      <c r="W37" s="678" t="str">
        <f>IFERROR(VLOOKUP(R37,'Central Variable'!$A$2:$S$97,19,FALSE), "")</f>
        <v/>
      </c>
      <c r="X37" s="372" t="str">
        <f>IFERROR(VLOOKUP(R37,'Central Variable'!$A$2:$S$97,13,FALSE), "")</f>
        <v/>
      </c>
      <c r="Y37" s="680"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461"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1198</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IFERROR(VLOOKUP(R38,'Central Variable'!$A$2:$S$97,2,FALSE), "")</f>
        <v/>
      </c>
      <c r="T38" s="372" t="str">
        <f>IFERROR(VLOOKUP(R38,'Central Variable'!$A$2:$S$97,3,FALSE), "")</f>
        <v/>
      </c>
      <c r="U38" s="372" t="str">
        <f>IFERROR(VLOOKUP(R38,'Central Variable'!$A$2:$S$97,5,FALSE), "")</f>
        <v/>
      </c>
      <c r="V38" s="372" t="str">
        <f>IFERROR(VLOOKUP(R38,'Central Variable'!$A$2:$S$97,14,FALSE), "")</f>
        <v/>
      </c>
      <c r="W38" s="678" t="str">
        <f>IFERROR(VLOOKUP(R38,'Central Variable'!$A$2:$S$97,19,FALSE), "")</f>
        <v/>
      </c>
      <c r="X38" s="372" t="str">
        <f>IFERROR(VLOOKUP(R38,'Central Variable'!$A$2:$S$97,13,FALSE), "")</f>
        <v/>
      </c>
      <c r="Y38" s="680"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461"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1199</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IFERROR(VLOOKUP(R39,'Central Variable'!$A$2:$S$97,2,FALSE), "")</f>
        <v/>
      </c>
      <c r="T39" s="372" t="str">
        <f>IFERROR(VLOOKUP(R39,'Central Variable'!$A$2:$S$97,3,FALSE), "")</f>
        <v/>
      </c>
      <c r="U39" s="372" t="str">
        <f>IFERROR(VLOOKUP(R39,'Central Variable'!$A$2:$S$97,5,FALSE), "")</f>
        <v/>
      </c>
      <c r="V39" s="372" t="str">
        <f>IFERROR(VLOOKUP(R39,'Central Variable'!$A$2:$S$97,14,FALSE), "")</f>
        <v/>
      </c>
      <c r="W39" s="678" t="str">
        <f>IFERROR(VLOOKUP(R39,'Central Variable'!$A$2:$S$97,19,FALSE), "")</f>
        <v/>
      </c>
      <c r="X39" s="372" t="str">
        <f>IFERROR(VLOOKUP(R39,'Central Variable'!$A$2:$S$97,13,FALSE), "")</f>
        <v/>
      </c>
      <c r="Y39" s="680"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461"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1200</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IFERROR(VLOOKUP(R40,'Central Variable'!$A$2:$S$97,2,FALSE), "")</f>
        <v/>
      </c>
      <c r="T40" s="372" t="str">
        <f>IFERROR(VLOOKUP(R40,'Central Variable'!$A$2:$S$97,3,FALSE), "")</f>
        <v/>
      </c>
      <c r="U40" s="372" t="str">
        <f>IFERROR(VLOOKUP(R40,'Central Variable'!$A$2:$S$97,5,FALSE), "")</f>
        <v/>
      </c>
      <c r="V40" s="372" t="str">
        <f>IFERROR(VLOOKUP(R40,'Central Variable'!$A$2:$S$97,14,FALSE), "")</f>
        <v/>
      </c>
      <c r="W40" s="678" t="str">
        <f>IFERROR(VLOOKUP(R40,'Central Variable'!$A$2:$S$97,19,FALSE), "")</f>
        <v/>
      </c>
      <c r="X40" s="372" t="str">
        <f>IFERROR(VLOOKUP(R40,'Central Variable'!$A$2:$S$97,13,FALSE), "")</f>
        <v/>
      </c>
      <c r="Y40" s="680"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461"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1201</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IFERROR(VLOOKUP(R41,'Central Variable'!$A$2:$S$97,2,FALSE), "")</f>
        <v/>
      </c>
      <c r="T41" s="372" t="str">
        <f>IFERROR(VLOOKUP(R41,'Central Variable'!$A$2:$S$97,3,FALSE), "")</f>
        <v/>
      </c>
      <c r="U41" s="372" t="str">
        <f>IFERROR(VLOOKUP(R41,'Central Variable'!$A$2:$S$97,5,FALSE), "")</f>
        <v/>
      </c>
      <c r="V41" s="372" t="str">
        <f>IFERROR(VLOOKUP(R41,'Central Variable'!$A$2:$S$97,14,FALSE), "")</f>
        <v/>
      </c>
      <c r="W41" s="678" t="str">
        <f>IFERROR(VLOOKUP(R41,'Central Variable'!$A$2:$S$97,19,FALSE), "")</f>
        <v/>
      </c>
      <c r="X41" s="372" t="str">
        <f>IFERROR(VLOOKUP(R41,'Central Variable'!$A$2:$S$97,13,FALSE), "")</f>
        <v/>
      </c>
      <c r="Y41" s="680"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461"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1202</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IFERROR(VLOOKUP(R42,'Central Variable'!$A$2:$S$97,2,FALSE), "")</f>
        <v/>
      </c>
      <c r="T42" s="372" t="str">
        <f>IFERROR(VLOOKUP(R42,'Central Variable'!$A$2:$S$97,3,FALSE), "")</f>
        <v/>
      </c>
      <c r="U42" s="372" t="str">
        <f>IFERROR(VLOOKUP(R42,'Central Variable'!$A$2:$S$97,5,FALSE), "")</f>
        <v/>
      </c>
      <c r="V42" s="372" t="str">
        <f>IFERROR(VLOOKUP(R42,'Central Variable'!$A$2:$S$97,14,FALSE), "")</f>
        <v/>
      </c>
      <c r="W42" s="678" t="str">
        <f>IFERROR(VLOOKUP(R42,'Central Variable'!$A$2:$S$97,19,FALSE), "")</f>
        <v/>
      </c>
      <c r="X42" s="372" t="str">
        <f>IFERROR(VLOOKUP(R42,'Central Variable'!$A$2:$S$97,13,FALSE), "")</f>
        <v/>
      </c>
      <c r="Y42" s="680"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461"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1203</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IFERROR(VLOOKUP(R43,'Central Variable'!$A$2:$S$97,2,FALSE), "")</f>
        <v/>
      </c>
      <c r="T43" s="372" t="str">
        <f>IFERROR(VLOOKUP(R43,'Central Variable'!$A$2:$S$97,3,FALSE), "")</f>
        <v/>
      </c>
      <c r="U43" s="372" t="str">
        <f>IFERROR(VLOOKUP(R43,'Central Variable'!$A$2:$S$97,5,FALSE), "")</f>
        <v/>
      </c>
      <c r="V43" s="372" t="str">
        <f>IFERROR(VLOOKUP(R43,'Central Variable'!$A$2:$S$97,14,FALSE), "")</f>
        <v/>
      </c>
      <c r="W43" s="678" t="str">
        <f>IFERROR(VLOOKUP(R43,'Central Variable'!$A$2:$S$97,19,FALSE), "")</f>
        <v/>
      </c>
      <c r="X43" s="372" t="str">
        <f>IFERROR(VLOOKUP(R43,'Central Variable'!$A$2:$S$97,13,FALSE), "")</f>
        <v/>
      </c>
      <c r="Y43" s="680"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461"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1204</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IFERROR(VLOOKUP(R44,'Central Variable'!$A$2:$S$97,2,FALSE), "")</f>
        <v/>
      </c>
      <c r="T44" s="372" t="str">
        <f>IFERROR(VLOOKUP(R44,'Central Variable'!$A$2:$S$97,3,FALSE), "")</f>
        <v/>
      </c>
      <c r="U44" s="372" t="str">
        <f>IFERROR(VLOOKUP(R44,'Central Variable'!$A$2:$S$97,5,FALSE), "")</f>
        <v/>
      </c>
      <c r="V44" s="372" t="str">
        <f>IFERROR(VLOOKUP(R44,'Central Variable'!$A$2:$S$97,14,FALSE), "")</f>
        <v/>
      </c>
      <c r="W44" s="678" t="str">
        <f>IFERROR(VLOOKUP(R44,'Central Variable'!$A$2:$S$97,19,FALSE), "")</f>
        <v/>
      </c>
      <c r="X44" s="372" t="str">
        <f>IFERROR(VLOOKUP(R44,'Central Variable'!$A$2:$S$97,13,FALSE), "")</f>
        <v/>
      </c>
      <c r="Y44" s="680"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461"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1205</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IFERROR(VLOOKUP(R45,'Central Variable'!$A$2:$S$97,2,FALSE), "")</f>
        <v/>
      </c>
      <c r="T45" s="372" t="str">
        <f>IFERROR(VLOOKUP(R45,'Central Variable'!$A$2:$S$97,3,FALSE), "")</f>
        <v/>
      </c>
      <c r="U45" s="372" t="str">
        <f>IFERROR(VLOOKUP(R45,'Central Variable'!$A$2:$S$97,5,FALSE), "")</f>
        <v/>
      </c>
      <c r="V45" s="372" t="str">
        <f>IFERROR(VLOOKUP(R45,'Central Variable'!$A$2:$S$97,14,FALSE), "")</f>
        <v/>
      </c>
      <c r="W45" s="678" t="str">
        <f>IFERROR(VLOOKUP(R45,'Central Variable'!$A$2:$S$97,19,FALSE), "")</f>
        <v/>
      </c>
      <c r="X45" s="372" t="str">
        <f>IFERROR(VLOOKUP(R45,'Central Variable'!$A$2:$S$97,13,FALSE), "")</f>
        <v/>
      </c>
      <c r="Y45" s="680"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461"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1206</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IFERROR(VLOOKUP(R46,'Central Variable'!$A$2:$S$97,2,FALSE), "")</f>
        <v/>
      </c>
      <c r="T46" s="372" t="str">
        <f>IFERROR(VLOOKUP(R46,'Central Variable'!$A$2:$S$97,3,FALSE), "")</f>
        <v/>
      </c>
      <c r="U46" s="372" t="str">
        <f>IFERROR(VLOOKUP(R46,'Central Variable'!$A$2:$S$97,5,FALSE), "")</f>
        <v/>
      </c>
      <c r="V46" s="372" t="str">
        <f>IFERROR(VLOOKUP(R46,'Central Variable'!$A$2:$S$97,14,FALSE), "")</f>
        <v/>
      </c>
      <c r="W46" s="678" t="str">
        <f>IFERROR(VLOOKUP(R46,'Central Variable'!$A$2:$S$97,19,FALSE), "")</f>
        <v/>
      </c>
      <c r="X46" s="372" t="str">
        <f>IFERROR(VLOOKUP(R46,'Central Variable'!$A$2:$S$97,13,FALSE), "")</f>
        <v/>
      </c>
      <c r="Y46" s="680"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461"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1207</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IFERROR(VLOOKUP(R47,'Central Variable'!$A$2:$S$97,2,FALSE), "")</f>
        <v/>
      </c>
      <c r="T47" s="372" t="str">
        <f>IFERROR(VLOOKUP(R47,'Central Variable'!$A$2:$S$97,3,FALSE), "")</f>
        <v/>
      </c>
      <c r="U47" s="372" t="str">
        <f>IFERROR(VLOOKUP(R47,'Central Variable'!$A$2:$S$97,5,FALSE), "")</f>
        <v/>
      </c>
      <c r="V47" s="372" t="str">
        <f>IFERROR(VLOOKUP(R47,'Central Variable'!$A$2:$S$97,14,FALSE), "")</f>
        <v/>
      </c>
      <c r="W47" s="678" t="str">
        <f>IFERROR(VLOOKUP(R47,'Central Variable'!$A$2:$S$97,19,FALSE), "")</f>
        <v/>
      </c>
      <c r="X47" s="372" t="str">
        <f>IFERROR(VLOOKUP(R47,'Central Variable'!$A$2:$S$97,13,FALSE), "")</f>
        <v/>
      </c>
      <c r="Y47" s="680"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461"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1208</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IFERROR(VLOOKUP(R48,'Central Variable'!$A$2:$S$97,2,FALSE), "")</f>
        <v/>
      </c>
      <c r="T48" s="372" t="str">
        <f>IFERROR(VLOOKUP(R48,'Central Variable'!$A$2:$S$97,3,FALSE), "")</f>
        <v/>
      </c>
      <c r="U48" s="372" t="str">
        <f>IFERROR(VLOOKUP(R48,'Central Variable'!$A$2:$S$97,5,FALSE), "")</f>
        <v/>
      </c>
      <c r="V48" s="372" t="str">
        <f>IFERROR(VLOOKUP(R48,'Central Variable'!$A$2:$S$97,14,FALSE), "")</f>
        <v/>
      </c>
      <c r="W48" s="678" t="str">
        <f>IFERROR(VLOOKUP(R48,'Central Variable'!$A$2:$S$97,19,FALSE), "")</f>
        <v/>
      </c>
      <c r="X48" s="372" t="str">
        <f>IFERROR(VLOOKUP(R48,'Central Variable'!$A$2:$S$97,13,FALSE), "")</f>
        <v/>
      </c>
      <c r="Y48" s="680"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461"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1209</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IFERROR(VLOOKUP(R49,'Central Variable'!$A$2:$S$97,2,FALSE), "")</f>
        <v/>
      </c>
      <c r="T49" s="372" t="str">
        <f>IFERROR(VLOOKUP(R49,'Central Variable'!$A$2:$S$97,3,FALSE), "")</f>
        <v/>
      </c>
      <c r="U49" s="372" t="str">
        <f>IFERROR(VLOOKUP(R49,'Central Variable'!$A$2:$S$97,5,FALSE), "")</f>
        <v/>
      </c>
      <c r="V49" s="372" t="str">
        <f>IFERROR(VLOOKUP(R49,'Central Variable'!$A$2:$S$97,14,FALSE), "")</f>
        <v/>
      </c>
      <c r="W49" s="678" t="str">
        <f>IFERROR(VLOOKUP(R49,'Central Variable'!$A$2:$S$97,19,FALSE), "")</f>
        <v/>
      </c>
      <c r="X49" s="372" t="str">
        <f>IFERROR(VLOOKUP(R49,'Central Variable'!$A$2:$S$97,13,FALSE), "")</f>
        <v/>
      </c>
      <c r="Y49" s="680"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461"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1210</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IFERROR(VLOOKUP(R50,'Central Variable'!$A$2:$S$97,2,FALSE), "")</f>
        <v/>
      </c>
      <c r="T50" s="372" t="str">
        <f>IFERROR(VLOOKUP(R50,'Central Variable'!$A$2:$S$97,3,FALSE), "")</f>
        <v/>
      </c>
      <c r="U50" s="372" t="str">
        <f>IFERROR(VLOOKUP(R50,'Central Variable'!$A$2:$S$97,5,FALSE), "")</f>
        <v/>
      </c>
      <c r="V50" s="372" t="str">
        <f>IFERROR(VLOOKUP(R50,'Central Variable'!$A$2:$S$97,14,FALSE), "")</f>
        <v/>
      </c>
      <c r="W50" s="678" t="str">
        <f>IFERROR(VLOOKUP(R50,'Central Variable'!$A$2:$S$97,19,FALSE), "")</f>
        <v/>
      </c>
      <c r="X50" s="372" t="str">
        <f>IFERROR(VLOOKUP(R50,'Central Variable'!$A$2:$S$97,13,FALSE), "")</f>
        <v/>
      </c>
      <c r="Y50" s="680"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461"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1211</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IFERROR(VLOOKUP(R51,'Central Variable'!$A$2:$S$97,2,FALSE), "")</f>
        <v/>
      </c>
      <c r="T51" s="372" t="str">
        <f>IFERROR(VLOOKUP(R51,'Central Variable'!$A$2:$S$97,3,FALSE), "")</f>
        <v/>
      </c>
      <c r="U51" s="372" t="str">
        <f>IFERROR(VLOOKUP(R51,'Central Variable'!$A$2:$S$97,5,FALSE), "")</f>
        <v/>
      </c>
      <c r="V51" s="372" t="str">
        <f>IFERROR(VLOOKUP(R51,'Central Variable'!$A$2:$S$97,14,FALSE), "")</f>
        <v/>
      </c>
      <c r="W51" s="678" t="str">
        <f>IFERROR(VLOOKUP(R51,'Central Variable'!$A$2:$S$97,19,FALSE), "")</f>
        <v/>
      </c>
      <c r="X51" s="372" t="str">
        <f>IFERROR(VLOOKUP(R51,'Central Variable'!$A$2:$S$97,13,FALSE), "")</f>
        <v/>
      </c>
      <c r="Y51" s="680"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461"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1212</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IFERROR(VLOOKUP(R52,'Central Variable'!$A$2:$S$97,2,FALSE), "")</f>
        <v/>
      </c>
      <c r="T52" s="372" t="str">
        <f>IFERROR(VLOOKUP(R52,'Central Variable'!$A$2:$S$97,3,FALSE), "")</f>
        <v/>
      </c>
      <c r="U52" s="372" t="str">
        <f>IFERROR(VLOOKUP(R52,'Central Variable'!$A$2:$S$97,5,FALSE), "")</f>
        <v/>
      </c>
      <c r="V52" s="372" t="str">
        <f>IFERROR(VLOOKUP(R52,'Central Variable'!$A$2:$S$97,14,FALSE), "")</f>
        <v/>
      </c>
      <c r="W52" s="678" t="str">
        <f>IFERROR(VLOOKUP(R52,'Central Variable'!$A$2:$S$97,19,FALSE), "")</f>
        <v/>
      </c>
      <c r="X52" s="372" t="str">
        <f>IFERROR(VLOOKUP(R52,'Central Variable'!$A$2:$S$97,13,FALSE), "")</f>
        <v/>
      </c>
      <c r="Y52" s="680"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461"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1213</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IFERROR(VLOOKUP(R53,'Central Variable'!$A$2:$S$97,2,FALSE), "")</f>
        <v/>
      </c>
      <c r="T53" s="372" t="str">
        <f>IFERROR(VLOOKUP(R53,'Central Variable'!$A$2:$S$97,3,FALSE), "")</f>
        <v/>
      </c>
      <c r="U53" s="372" t="str">
        <f>IFERROR(VLOOKUP(R53,'Central Variable'!$A$2:$S$97,5,FALSE), "")</f>
        <v/>
      </c>
      <c r="V53" s="372" t="str">
        <f>IFERROR(VLOOKUP(R53,'Central Variable'!$A$2:$S$97,14,FALSE), "")</f>
        <v/>
      </c>
      <c r="W53" s="678" t="str">
        <f>IFERROR(VLOOKUP(R53,'Central Variable'!$A$2:$S$97,19,FALSE), "")</f>
        <v/>
      </c>
      <c r="X53" s="372" t="str">
        <f>IFERROR(VLOOKUP(R53,'Central Variable'!$A$2:$S$97,13,FALSE), "")</f>
        <v/>
      </c>
      <c r="Y53" s="680"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461"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1214</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IFERROR(VLOOKUP(R54,'Central Variable'!$A$2:$S$97,2,FALSE), "")</f>
        <v/>
      </c>
      <c r="T54" s="372" t="str">
        <f>IFERROR(VLOOKUP(R54,'Central Variable'!$A$2:$S$97,3,FALSE), "")</f>
        <v/>
      </c>
      <c r="U54" s="372" t="str">
        <f>IFERROR(VLOOKUP(R54,'Central Variable'!$A$2:$S$97,5,FALSE), "")</f>
        <v/>
      </c>
      <c r="V54" s="372" t="str">
        <f>IFERROR(VLOOKUP(R54,'Central Variable'!$A$2:$S$97,14,FALSE), "")</f>
        <v/>
      </c>
      <c r="W54" s="678" t="str">
        <f>IFERROR(VLOOKUP(R54,'Central Variable'!$A$2:$S$97,19,FALSE), "")</f>
        <v/>
      </c>
      <c r="X54" s="372" t="str">
        <f>IFERROR(VLOOKUP(R54,'Central Variable'!$A$2:$S$97,13,FALSE), "")</f>
        <v/>
      </c>
      <c r="Y54" s="680"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461"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1215</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IFERROR(VLOOKUP(R55,'Central Variable'!$A$2:$S$97,2,FALSE), "")</f>
        <v/>
      </c>
      <c r="T55" s="372" t="str">
        <f>IFERROR(VLOOKUP(R55,'Central Variable'!$A$2:$S$97,3,FALSE), "")</f>
        <v/>
      </c>
      <c r="U55" s="372" t="str">
        <f>IFERROR(VLOOKUP(R55,'Central Variable'!$A$2:$S$97,5,FALSE), "")</f>
        <v/>
      </c>
      <c r="V55" s="372" t="str">
        <f>IFERROR(VLOOKUP(R55,'Central Variable'!$A$2:$S$97,14,FALSE), "")</f>
        <v/>
      </c>
      <c r="W55" s="678" t="str">
        <f>IFERROR(VLOOKUP(R55,'Central Variable'!$A$2:$S$97,19,FALSE), "")</f>
        <v/>
      </c>
      <c r="X55" s="372" t="str">
        <f>IFERROR(VLOOKUP(R55,'Central Variable'!$A$2:$S$97,13,FALSE), "")</f>
        <v/>
      </c>
      <c r="Y55" s="680"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461"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1216</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IFERROR(VLOOKUP(R56,'Central Variable'!$A$2:$S$97,2,FALSE), "")</f>
        <v/>
      </c>
      <c r="T56" s="372" t="str">
        <f>IFERROR(VLOOKUP(R56,'Central Variable'!$A$2:$S$97,3,FALSE), "")</f>
        <v/>
      </c>
      <c r="U56" s="372" t="str">
        <f>IFERROR(VLOOKUP(R56,'Central Variable'!$A$2:$S$97,5,FALSE), "")</f>
        <v/>
      </c>
      <c r="V56" s="372" t="str">
        <f>IFERROR(VLOOKUP(R56,'Central Variable'!$A$2:$S$97,14,FALSE), "")</f>
        <v/>
      </c>
      <c r="W56" s="678" t="str">
        <f>IFERROR(VLOOKUP(R56,'Central Variable'!$A$2:$S$97,19,FALSE), "")</f>
        <v/>
      </c>
      <c r="X56" s="372" t="str">
        <f>IFERROR(VLOOKUP(R56,'Central Variable'!$A$2:$S$97,13,FALSE), "")</f>
        <v/>
      </c>
      <c r="Y56" s="680"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461"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1217</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IFERROR(VLOOKUP(R57,'Central Variable'!$A$2:$S$97,2,FALSE), "")</f>
        <v/>
      </c>
      <c r="T57" s="372" t="str">
        <f>IFERROR(VLOOKUP(R57,'Central Variable'!$A$2:$S$97,3,FALSE), "")</f>
        <v/>
      </c>
      <c r="U57" s="372" t="str">
        <f>IFERROR(VLOOKUP(R57,'Central Variable'!$A$2:$S$97,5,FALSE), "")</f>
        <v/>
      </c>
      <c r="V57" s="372" t="str">
        <f>IFERROR(VLOOKUP(R57,'Central Variable'!$A$2:$S$97,14,FALSE), "")</f>
        <v/>
      </c>
      <c r="W57" s="678" t="str">
        <f>IFERROR(VLOOKUP(R57,'Central Variable'!$A$2:$S$97,19,FALSE), "")</f>
        <v/>
      </c>
      <c r="X57" s="372" t="str">
        <f>IFERROR(VLOOKUP(R57,'Central Variable'!$A$2:$S$97,13,FALSE), "")</f>
        <v/>
      </c>
      <c r="Y57" s="680"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461"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1218</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IFERROR(VLOOKUP(R58,'Central Variable'!$A$2:$S$97,2,FALSE), "")</f>
        <v/>
      </c>
      <c r="T58" s="372" t="str">
        <f>IFERROR(VLOOKUP(R58,'Central Variable'!$A$2:$S$97,3,FALSE), "")</f>
        <v/>
      </c>
      <c r="U58" s="372" t="str">
        <f>IFERROR(VLOOKUP(R58,'Central Variable'!$A$2:$S$97,5,FALSE), "")</f>
        <v/>
      </c>
      <c r="V58" s="372" t="str">
        <f>IFERROR(VLOOKUP(R58,'Central Variable'!$A$2:$S$97,14,FALSE), "")</f>
        <v/>
      </c>
      <c r="W58" s="678" t="str">
        <f>IFERROR(VLOOKUP(R58,'Central Variable'!$A$2:$S$97,19,FALSE), "")</f>
        <v/>
      </c>
      <c r="X58" s="372" t="str">
        <f>IFERROR(VLOOKUP(R58,'Central Variable'!$A$2:$S$97,13,FALSE), "")</f>
        <v/>
      </c>
      <c r="Y58" s="680"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461"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1219</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IFERROR(VLOOKUP(R59,'Central Variable'!$A$2:$S$97,2,FALSE), "")</f>
        <v/>
      </c>
      <c r="T59" s="372" t="str">
        <f>IFERROR(VLOOKUP(R59,'Central Variable'!$A$2:$S$97,3,FALSE), "")</f>
        <v/>
      </c>
      <c r="U59" s="372" t="str">
        <f>IFERROR(VLOOKUP(R59,'Central Variable'!$A$2:$S$97,5,FALSE), "")</f>
        <v/>
      </c>
      <c r="V59" s="372" t="str">
        <f>IFERROR(VLOOKUP(R59,'Central Variable'!$A$2:$S$97,14,FALSE), "")</f>
        <v/>
      </c>
      <c r="W59" s="678" t="str">
        <f>IFERROR(VLOOKUP(R59,'Central Variable'!$A$2:$S$97,19,FALSE), "")</f>
        <v/>
      </c>
      <c r="X59" s="372" t="str">
        <f>IFERROR(VLOOKUP(R59,'Central Variable'!$A$2:$S$97,13,FALSE), "")</f>
        <v/>
      </c>
      <c r="Y59" s="680"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461"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1220</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IFERROR(VLOOKUP(R60,'Central Variable'!$A$2:$S$97,2,FALSE), "")</f>
        <v/>
      </c>
      <c r="T60" s="372" t="str">
        <f>IFERROR(VLOOKUP(R60,'Central Variable'!$A$2:$S$97,3,FALSE), "")</f>
        <v/>
      </c>
      <c r="U60" s="372" t="str">
        <f>IFERROR(VLOOKUP(R60,'Central Variable'!$A$2:$S$97,5,FALSE), "")</f>
        <v/>
      </c>
      <c r="V60" s="372" t="str">
        <f>IFERROR(VLOOKUP(R60,'Central Variable'!$A$2:$S$97,14,FALSE), "")</f>
        <v/>
      </c>
      <c r="W60" s="678" t="str">
        <f>IFERROR(VLOOKUP(R60,'Central Variable'!$A$2:$S$97,19,FALSE), "")</f>
        <v/>
      </c>
      <c r="X60" s="372" t="str">
        <f>IFERROR(VLOOKUP(R60,'Central Variable'!$A$2:$S$97,13,FALSE), "")</f>
        <v/>
      </c>
      <c r="Y60" s="680"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461"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1221</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IFERROR(VLOOKUP(R61,'Central Variable'!$A$2:$S$97,2,FALSE), "")</f>
        <v/>
      </c>
      <c r="T61" s="372" t="str">
        <f>IFERROR(VLOOKUP(R61,'Central Variable'!$A$2:$S$97,3,FALSE), "")</f>
        <v/>
      </c>
      <c r="U61" s="372" t="str">
        <f>IFERROR(VLOOKUP(R61,'Central Variable'!$A$2:$S$97,5,FALSE), "")</f>
        <v/>
      </c>
      <c r="V61" s="372" t="str">
        <f>IFERROR(VLOOKUP(R61,'Central Variable'!$A$2:$S$97,14,FALSE), "")</f>
        <v/>
      </c>
      <c r="W61" s="678" t="str">
        <f>IFERROR(VLOOKUP(R61,'Central Variable'!$A$2:$S$97,19,FALSE), "")</f>
        <v/>
      </c>
      <c r="X61" s="372" t="str">
        <f>IFERROR(VLOOKUP(R61,'Central Variable'!$A$2:$S$97,13,FALSE), "")</f>
        <v/>
      </c>
      <c r="Y61" s="680"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461"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1222</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IFERROR(VLOOKUP(R62,'Central Variable'!$A$2:$S$97,2,FALSE), "")</f>
        <v/>
      </c>
      <c r="T62" s="372" t="str">
        <f>IFERROR(VLOOKUP(R62,'Central Variable'!$A$2:$S$97,3,FALSE), "")</f>
        <v/>
      </c>
      <c r="U62" s="372" t="str">
        <f>IFERROR(VLOOKUP(R62,'Central Variable'!$A$2:$S$97,5,FALSE), "")</f>
        <v/>
      </c>
      <c r="V62" s="372" t="str">
        <f>IFERROR(VLOOKUP(R62,'Central Variable'!$A$2:$S$97,14,FALSE), "")</f>
        <v/>
      </c>
      <c r="W62" s="678" t="str">
        <f>IFERROR(VLOOKUP(R62,'Central Variable'!$A$2:$S$97,19,FALSE), "")</f>
        <v/>
      </c>
      <c r="X62" s="372" t="str">
        <f>IFERROR(VLOOKUP(R62,'Central Variable'!$A$2:$S$97,13,FALSE), "")</f>
        <v/>
      </c>
      <c r="Y62" s="680"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461"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1223</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IFERROR(VLOOKUP(R63,'Central Variable'!$A$2:$S$97,2,FALSE), "")</f>
        <v/>
      </c>
      <c r="T63" s="372" t="str">
        <f>IFERROR(VLOOKUP(R63,'Central Variable'!$A$2:$S$97,3,FALSE), "")</f>
        <v/>
      </c>
      <c r="U63" s="372" t="str">
        <f>IFERROR(VLOOKUP(R63,'Central Variable'!$A$2:$S$97,5,FALSE), "")</f>
        <v/>
      </c>
      <c r="V63" s="372" t="str">
        <f>IFERROR(VLOOKUP(R63,'Central Variable'!$A$2:$S$97,14,FALSE), "")</f>
        <v/>
      </c>
      <c r="W63" s="678" t="str">
        <f>IFERROR(VLOOKUP(R63,'Central Variable'!$A$2:$S$97,19,FALSE), "")</f>
        <v/>
      </c>
      <c r="X63" s="372" t="str">
        <f>IFERROR(VLOOKUP(R63,'Central Variable'!$A$2:$S$97,13,FALSE), "")</f>
        <v/>
      </c>
      <c r="Y63" s="680"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461"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1224</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IFERROR(VLOOKUP(R64,'Central Variable'!$A$2:$S$97,2,FALSE), "")</f>
        <v/>
      </c>
      <c r="T64" s="372" t="str">
        <f>IFERROR(VLOOKUP(R64,'Central Variable'!$A$2:$S$97,3,FALSE), "")</f>
        <v/>
      </c>
      <c r="U64" s="372" t="str">
        <f>IFERROR(VLOOKUP(R64,'Central Variable'!$A$2:$S$97,5,FALSE), "")</f>
        <v/>
      </c>
      <c r="V64" s="372" t="str">
        <f>IFERROR(VLOOKUP(R64,'Central Variable'!$A$2:$S$97,14,FALSE), "")</f>
        <v/>
      </c>
      <c r="W64" s="678" t="str">
        <f>IFERROR(VLOOKUP(R64,'Central Variable'!$A$2:$S$97,19,FALSE), "")</f>
        <v/>
      </c>
      <c r="X64" s="372" t="str">
        <f>IFERROR(VLOOKUP(R64,'Central Variable'!$A$2:$S$97,13,FALSE), "")</f>
        <v/>
      </c>
      <c r="Y64" s="680"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461"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1225</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IFERROR(VLOOKUP(R65,'Central Variable'!$A$2:$S$97,2,FALSE), "")</f>
        <v/>
      </c>
      <c r="T65" s="372" t="str">
        <f>IFERROR(VLOOKUP(R65,'Central Variable'!$A$2:$S$97,3,FALSE), "")</f>
        <v/>
      </c>
      <c r="U65" s="372" t="str">
        <f>IFERROR(VLOOKUP(R65,'Central Variable'!$A$2:$S$97,5,FALSE), "")</f>
        <v/>
      </c>
      <c r="V65" s="372" t="str">
        <f>IFERROR(VLOOKUP(R65,'Central Variable'!$A$2:$S$97,14,FALSE), "")</f>
        <v/>
      </c>
      <c r="W65" s="678" t="str">
        <f>IFERROR(VLOOKUP(R65,'Central Variable'!$A$2:$S$97,19,FALSE), "")</f>
        <v/>
      </c>
      <c r="X65" s="372" t="str">
        <f>IFERROR(VLOOKUP(R65,'Central Variable'!$A$2:$S$97,13,FALSE), "")</f>
        <v/>
      </c>
      <c r="Y65" s="680"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461"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1226</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IFERROR(VLOOKUP(R66,'Central Variable'!$A$2:$S$97,2,FALSE), "")</f>
        <v/>
      </c>
      <c r="T66" s="372" t="str">
        <f>IFERROR(VLOOKUP(R66,'Central Variable'!$A$2:$S$97,3,FALSE), "")</f>
        <v/>
      </c>
      <c r="U66" s="372" t="str">
        <f>IFERROR(VLOOKUP(R66,'Central Variable'!$A$2:$S$97,5,FALSE), "")</f>
        <v/>
      </c>
      <c r="V66" s="372" t="str">
        <f>IFERROR(VLOOKUP(R66,'Central Variable'!$A$2:$S$97,14,FALSE), "")</f>
        <v/>
      </c>
      <c r="W66" s="678" t="str">
        <f>IFERROR(VLOOKUP(R66,'Central Variable'!$A$2:$S$97,19,FALSE), "")</f>
        <v/>
      </c>
      <c r="X66" s="372" t="str">
        <f>IFERROR(VLOOKUP(R66,'Central Variable'!$A$2:$S$97,13,FALSE), "")</f>
        <v/>
      </c>
      <c r="Y66" s="680"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461"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1227</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IFERROR(VLOOKUP(R67,'Central Variable'!$A$2:$S$97,2,FALSE), "")</f>
        <v/>
      </c>
      <c r="T67" s="372" t="str">
        <f>IFERROR(VLOOKUP(R67,'Central Variable'!$A$2:$S$97,3,FALSE), "")</f>
        <v/>
      </c>
      <c r="U67" s="372" t="str">
        <f>IFERROR(VLOOKUP(R67,'Central Variable'!$A$2:$S$97,5,FALSE), "")</f>
        <v/>
      </c>
      <c r="V67" s="372" t="str">
        <f>IFERROR(VLOOKUP(R67,'Central Variable'!$A$2:$S$97,14,FALSE), "")</f>
        <v/>
      </c>
      <c r="W67" s="678" t="str">
        <f>IFERROR(VLOOKUP(R67,'Central Variable'!$A$2:$S$97,19,FALSE), "")</f>
        <v/>
      </c>
      <c r="X67" s="372" t="str">
        <f>IFERROR(VLOOKUP(R67,'Central Variable'!$A$2:$S$97,13,FALSE), "")</f>
        <v/>
      </c>
      <c r="Y67" s="680"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461"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1228</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IFERROR(VLOOKUP(R68,'Central Variable'!$A$2:$S$97,2,FALSE), "")</f>
        <v/>
      </c>
      <c r="T68" s="372" t="str">
        <f>IFERROR(VLOOKUP(R68,'Central Variable'!$A$2:$S$97,3,FALSE), "")</f>
        <v/>
      </c>
      <c r="U68" s="372" t="str">
        <f>IFERROR(VLOOKUP(R68,'Central Variable'!$A$2:$S$97,5,FALSE), "")</f>
        <v/>
      </c>
      <c r="V68" s="372" t="str">
        <f>IFERROR(VLOOKUP(R68,'Central Variable'!$A$2:$S$97,14,FALSE), "")</f>
        <v/>
      </c>
      <c r="W68" s="678" t="str">
        <f>IFERROR(VLOOKUP(R68,'Central Variable'!$A$2:$S$97,19,FALSE), "")</f>
        <v/>
      </c>
      <c r="X68" s="372" t="str">
        <f>IFERROR(VLOOKUP(R68,'Central Variable'!$A$2:$S$97,13,FALSE), "")</f>
        <v/>
      </c>
      <c r="Y68" s="680"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461"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1229</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IFERROR(VLOOKUP(R69,'Central Variable'!$A$2:$S$97,2,FALSE), "")</f>
        <v/>
      </c>
      <c r="T69" s="372" t="str">
        <f>IFERROR(VLOOKUP(R69,'Central Variable'!$A$2:$S$97,3,FALSE), "")</f>
        <v/>
      </c>
      <c r="U69" s="372" t="str">
        <f>IFERROR(VLOOKUP(R69,'Central Variable'!$A$2:$S$97,5,FALSE), "")</f>
        <v/>
      </c>
      <c r="V69" s="372" t="str">
        <f>IFERROR(VLOOKUP(R69,'Central Variable'!$A$2:$S$97,14,FALSE), "")</f>
        <v/>
      </c>
      <c r="W69" s="678" t="str">
        <f>IFERROR(VLOOKUP(R69,'Central Variable'!$A$2:$S$97,19,FALSE), "")</f>
        <v/>
      </c>
      <c r="X69" s="372" t="str">
        <f>IFERROR(VLOOKUP(R69,'Central Variable'!$A$2:$S$97,13,FALSE), "")</f>
        <v/>
      </c>
      <c r="Y69" s="680"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461"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1230</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IFERROR(VLOOKUP(R70,'Central Variable'!$A$2:$S$97,2,FALSE), "")</f>
        <v/>
      </c>
      <c r="T70" s="372" t="str">
        <f>IFERROR(VLOOKUP(R70,'Central Variable'!$A$2:$S$97,3,FALSE), "")</f>
        <v/>
      </c>
      <c r="U70" s="372" t="str">
        <f>IFERROR(VLOOKUP(R70,'Central Variable'!$A$2:$S$97,5,FALSE), "")</f>
        <v/>
      </c>
      <c r="V70" s="372" t="str">
        <f>IFERROR(VLOOKUP(R70,'Central Variable'!$A$2:$S$97,14,FALSE), "")</f>
        <v/>
      </c>
      <c r="W70" s="678" t="str">
        <f>IFERROR(VLOOKUP(R70,'Central Variable'!$A$2:$S$97,19,FALSE), "")</f>
        <v/>
      </c>
      <c r="X70" s="372" t="str">
        <f>IFERROR(VLOOKUP(R70,'Central Variable'!$A$2:$S$97,13,FALSE), "")</f>
        <v/>
      </c>
      <c r="Y70" s="680"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461"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1231</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IFERROR(VLOOKUP(R71,'Central Variable'!$A$2:$S$97,2,FALSE), "")</f>
        <v/>
      </c>
      <c r="T71" s="372" t="str">
        <f>IFERROR(VLOOKUP(R71,'Central Variable'!$A$2:$S$97,3,FALSE), "")</f>
        <v/>
      </c>
      <c r="U71" s="372" t="str">
        <f>IFERROR(VLOOKUP(R71,'Central Variable'!$A$2:$S$97,5,FALSE), "")</f>
        <v/>
      </c>
      <c r="V71" s="372" t="str">
        <f>IFERROR(VLOOKUP(R71,'Central Variable'!$A$2:$S$97,14,FALSE), "")</f>
        <v/>
      </c>
      <c r="W71" s="678" t="str">
        <f>IFERROR(VLOOKUP(R71,'Central Variable'!$A$2:$S$97,19,FALSE), "")</f>
        <v/>
      </c>
      <c r="X71" s="372" t="str">
        <f>IFERROR(VLOOKUP(R71,'Central Variable'!$A$2:$S$97,13,FALSE), "")</f>
        <v/>
      </c>
      <c r="Y71" s="680"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461"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1232</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IFERROR(VLOOKUP(R72,'Central Variable'!$A$2:$S$97,2,FALSE), "")</f>
        <v/>
      </c>
      <c r="T72" s="372" t="str">
        <f>IFERROR(VLOOKUP(R72,'Central Variable'!$A$2:$S$97,3,FALSE), "")</f>
        <v/>
      </c>
      <c r="U72" s="372" t="str">
        <f>IFERROR(VLOOKUP(R72,'Central Variable'!$A$2:$S$97,5,FALSE), "")</f>
        <v/>
      </c>
      <c r="V72" s="372" t="str">
        <f>IFERROR(VLOOKUP(R72,'Central Variable'!$A$2:$S$97,14,FALSE), "")</f>
        <v/>
      </c>
      <c r="W72" s="678" t="str">
        <f>IFERROR(VLOOKUP(R72,'Central Variable'!$A$2:$S$97,19,FALSE), "")</f>
        <v/>
      </c>
      <c r="X72" s="372" t="str">
        <f>IFERROR(VLOOKUP(R72,'Central Variable'!$A$2:$S$97,13,FALSE), "")</f>
        <v/>
      </c>
      <c r="Y72" s="680"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461"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1233</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IFERROR(VLOOKUP(R73,'Central Variable'!$A$2:$S$97,2,FALSE), "")</f>
        <v/>
      </c>
      <c r="T73" s="372" t="str">
        <f>IFERROR(VLOOKUP(R73,'Central Variable'!$A$2:$S$97,3,FALSE), "")</f>
        <v/>
      </c>
      <c r="U73" s="372" t="str">
        <f>IFERROR(VLOOKUP(R73,'Central Variable'!$A$2:$S$97,5,FALSE), "")</f>
        <v/>
      </c>
      <c r="V73" s="372" t="str">
        <f>IFERROR(VLOOKUP(R73,'Central Variable'!$A$2:$S$97,14,FALSE), "")</f>
        <v/>
      </c>
      <c r="W73" s="678" t="str">
        <f>IFERROR(VLOOKUP(R73,'Central Variable'!$A$2:$S$97,19,FALSE), "")</f>
        <v/>
      </c>
      <c r="X73" s="372" t="str">
        <f>IFERROR(VLOOKUP(R73,'Central Variable'!$A$2:$S$97,13,FALSE), "")</f>
        <v/>
      </c>
      <c r="Y73" s="680"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461"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1234</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IFERROR(VLOOKUP(R74,'Central Variable'!$A$2:$S$97,2,FALSE), "")</f>
        <v/>
      </c>
      <c r="T74" s="372" t="str">
        <f>IFERROR(VLOOKUP(R74,'Central Variable'!$A$2:$S$97,3,FALSE), "")</f>
        <v/>
      </c>
      <c r="U74" s="372" t="str">
        <f>IFERROR(VLOOKUP(R74,'Central Variable'!$A$2:$S$97,5,FALSE), "")</f>
        <v/>
      </c>
      <c r="V74" s="372" t="str">
        <f>IFERROR(VLOOKUP(R74,'Central Variable'!$A$2:$S$97,14,FALSE), "")</f>
        <v/>
      </c>
      <c r="W74" s="678" t="str">
        <f>IFERROR(VLOOKUP(R74,'Central Variable'!$A$2:$S$97,19,FALSE), "")</f>
        <v/>
      </c>
      <c r="X74" s="372" t="str">
        <f>IFERROR(VLOOKUP(R74,'Central Variable'!$A$2:$S$97,13,FALSE), "")</f>
        <v/>
      </c>
      <c r="Y74" s="680"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461"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1235</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IFERROR(VLOOKUP(R75,'Central Variable'!$A$2:$S$97,2,FALSE), "")</f>
        <v/>
      </c>
      <c r="T75" s="372" t="str">
        <f>IFERROR(VLOOKUP(R75,'Central Variable'!$A$2:$S$97,3,FALSE), "")</f>
        <v/>
      </c>
      <c r="U75" s="372" t="str">
        <f>IFERROR(VLOOKUP(R75,'Central Variable'!$A$2:$S$97,5,FALSE), "")</f>
        <v/>
      </c>
      <c r="V75" s="372" t="str">
        <f>IFERROR(VLOOKUP(R75,'Central Variable'!$A$2:$S$97,14,FALSE), "")</f>
        <v/>
      </c>
      <c r="W75" s="678" t="str">
        <f>IFERROR(VLOOKUP(R75,'Central Variable'!$A$2:$S$97,19,FALSE), "")</f>
        <v/>
      </c>
      <c r="X75" s="372" t="str">
        <f>IFERROR(VLOOKUP(R75,'Central Variable'!$A$2:$S$97,13,FALSE), "")</f>
        <v/>
      </c>
      <c r="Y75" s="680"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461"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1236</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IFERROR(VLOOKUP(R76,'Central Variable'!$A$2:$S$97,2,FALSE), "")</f>
        <v/>
      </c>
      <c r="T76" s="372" t="str">
        <f>IFERROR(VLOOKUP(R76,'Central Variable'!$A$2:$S$97,3,FALSE), "")</f>
        <v/>
      </c>
      <c r="U76" s="372" t="str">
        <f>IFERROR(VLOOKUP(R76,'Central Variable'!$A$2:$S$97,5,FALSE), "")</f>
        <v/>
      </c>
      <c r="V76" s="372" t="str">
        <f>IFERROR(VLOOKUP(R76,'Central Variable'!$A$2:$S$97,14,FALSE), "")</f>
        <v/>
      </c>
      <c r="W76" s="678" t="str">
        <f>IFERROR(VLOOKUP(R76,'Central Variable'!$A$2:$S$97,19,FALSE), "")</f>
        <v/>
      </c>
      <c r="X76" s="372" t="str">
        <f>IFERROR(VLOOKUP(R76,'Central Variable'!$A$2:$S$97,13,FALSE), "")</f>
        <v/>
      </c>
      <c r="Y76" s="680"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461"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1237</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IFERROR(VLOOKUP(R77,'Central Variable'!$A$2:$S$97,2,FALSE), "")</f>
        <v/>
      </c>
      <c r="T77" s="372" t="str">
        <f>IFERROR(VLOOKUP(R77,'Central Variable'!$A$2:$S$97,3,FALSE), "")</f>
        <v/>
      </c>
      <c r="U77" s="372" t="str">
        <f>IFERROR(VLOOKUP(R77,'Central Variable'!$A$2:$S$97,5,FALSE), "")</f>
        <v/>
      </c>
      <c r="V77" s="372" t="str">
        <f>IFERROR(VLOOKUP(R77,'Central Variable'!$A$2:$S$97,14,FALSE), "")</f>
        <v/>
      </c>
      <c r="W77" s="678" t="str">
        <f>IFERROR(VLOOKUP(R77,'Central Variable'!$A$2:$S$97,19,FALSE), "")</f>
        <v/>
      </c>
      <c r="X77" s="372" t="str">
        <f>IFERROR(VLOOKUP(R77,'Central Variable'!$A$2:$S$97,13,FALSE), "")</f>
        <v/>
      </c>
      <c r="Y77" s="680"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461"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1238</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IFERROR(VLOOKUP(R78,'Central Variable'!$A$2:$S$97,2,FALSE), "")</f>
        <v/>
      </c>
      <c r="T78" s="372" t="str">
        <f>IFERROR(VLOOKUP(R78,'Central Variable'!$A$2:$S$97,3,FALSE), "")</f>
        <v/>
      </c>
      <c r="U78" s="372" t="str">
        <f>IFERROR(VLOOKUP(R78,'Central Variable'!$A$2:$S$97,5,FALSE), "")</f>
        <v/>
      </c>
      <c r="V78" s="372" t="str">
        <f>IFERROR(VLOOKUP(R78,'Central Variable'!$A$2:$S$97,14,FALSE), "")</f>
        <v/>
      </c>
      <c r="W78" s="678" t="str">
        <f>IFERROR(VLOOKUP(R78,'Central Variable'!$A$2:$S$97,19,FALSE), "")</f>
        <v/>
      </c>
      <c r="X78" s="372" t="str">
        <f>IFERROR(VLOOKUP(R78,'Central Variable'!$A$2:$S$97,13,FALSE), "")</f>
        <v/>
      </c>
      <c r="Y78" s="680"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461"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1239</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IFERROR(VLOOKUP(R79,'Central Variable'!$A$2:$S$97,2,FALSE), "")</f>
        <v/>
      </c>
      <c r="T79" s="372" t="str">
        <f>IFERROR(VLOOKUP(R79,'Central Variable'!$A$2:$S$97,3,FALSE), "")</f>
        <v/>
      </c>
      <c r="U79" s="372" t="str">
        <f>IFERROR(VLOOKUP(R79,'Central Variable'!$A$2:$S$97,5,FALSE), "")</f>
        <v/>
      </c>
      <c r="V79" s="372" t="str">
        <f>IFERROR(VLOOKUP(R79,'Central Variable'!$A$2:$S$97,14,FALSE), "")</f>
        <v/>
      </c>
      <c r="W79" s="678" t="str">
        <f>IFERROR(VLOOKUP(R79,'Central Variable'!$A$2:$S$97,19,FALSE), "")</f>
        <v/>
      </c>
      <c r="X79" s="372" t="str">
        <f>IFERROR(VLOOKUP(R79,'Central Variable'!$A$2:$S$97,13,FALSE), "")</f>
        <v/>
      </c>
      <c r="Y79" s="680"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461"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1240</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IFERROR(VLOOKUP(R80,'Central Variable'!$A$2:$S$97,2,FALSE), "")</f>
        <v/>
      </c>
      <c r="T80" s="372" t="str">
        <f>IFERROR(VLOOKUP(R80,'Central Variable'!$A$2:$S$97,3,FALSE), "")</f>
        <v/>
      </c>
      <c r="U80" s="372" t="str">
        <f>IFERROR(VLOOKUP(R80,'Central Variable'!$A$2:$S$97,5,FALSE), "")</f>
        <v/>
      </c>
      <c r="V80" s="372" t="str">
        <f>IFERROR(VLOOKUP(R80,'Central Variable'!$A$2:$S$97,14,FALSE), "")</f>
        <v/>
      </c>
      <c r="W80" s="678" t="str">
        <f>IFERROR(VLOOKUP(R80,'Central Variable'!$A$2:$S$97,19,FALSE), "")</f>
        <v/>
      </c>
      <c r="X80" s="372" t="str">
        <f>IFERROR(VLOOKUP(R80,'Central Variable'!$A$2:$S$97,13,FALSE), "")</f>
        <v/>
      </c>
      <c r="Y80" s="680"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461"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1241</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IFERROR(VLOOKUP(R81,'Central Variable'!$A$2:$S$97,2,FALSE), "")</f>
        <v/>
      </c>
      <c r="T81" s="372" t="str">
        <f>IFERROR(VLOOKUP(R81,'Central Variable'!$A$2:$S$97,3,FALSE), "")</f>
        <v/>
      </c>
      <c r="U81" s="372" t="str">
        <f>IFERROR(VLOOKUP(R81,'Central Variable'!$A$2:$S$97,5,FALSE), "")</f>
        <v/>
      </c>
      <c r="V81" s="372" t="str">
        <f>IFERROR(VLOOKUP(R81,'Central Variable'!$A$2:$S$97,14,FALSE), "")</f>
        <v/>
      </c>
      <c r="W81" s="678" t="str">
        <f>IFERROR(VLOOKUP(R81,'Central Variable'!$A$2:$S$97,19,FALSE), "")</f>
        <v/>
      </c>
      <c r="X81" s="372" t="str">
        <f>IFERROR(VLOOKUP(R81,'Central Variable'!$A$2:$S$97,13,FALSE), "")</f>
        <v/>
      </c>
      <c r="Y81" s="680"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461"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1242</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IFERROR(VLOOKUP(R82,'Central Variable'!$A$2:$S$97,2,FALSE), "")</f>
        <v/>
      </c>
      <c r="T82" s="372" t="str">
        <f>IFERROR(VLOOKUP(R82,'Central Variable'!$A$2:$S$97,3,FALSE), "")</f>
        <v/>
      </c>
      <c r="U82" s="372" t="str">
        <f>IFERROR(VLOOKUP(R82,'Central Variable'!$A$2:$S$97,5,FALSE), "")</f>
        <v/>
      </c>
      <c r="V82" s="372" t="str">
        <f>IFERROR(VLOOKUP(R82,'Central Variable'!$A$2:$S$97,14,FALSE), "")</f>
        <v/>
      </c>
      <c r="W82" s="678" t="str">
        <f>IFERROR(VLOOKUP(R82,'Central Variable'!$A$2:$S$97,19,FALSE), "")</f>
        <v/>
      </c>
      <c r="X82" s="372" t="str">
        <f>IFERROR(VLOOKUP(R82,'Central Variable'!$A$2:$S$97,13,FALSE), "")</f>
        <v/>
      </c>
      <c r="Y82" s="680"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461"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1243</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IFERROR(VLOOKUP(R83,'Central Variable'!$A$2:$S$97,2,FALSE), "")</f>
        <v/>
      </c>
      <c r="T83" s="372" t="str">
        <f>IFERROR(VLOOKUP(R83,'Central Variable'!$A$2:$S$97,3,FALSE), "")</f>
        <v/>
      </c>
      <c r="U83" s="372" t="str">
        <f>IFERROR(VLOOKUP(R83,'Central Variable'!$A$2:$S$97,5,FALSE), "")</f>
        <v/>
      </c>
      <c r="V83" s="372" t="str">
        <f>IFERROR(VLOOKUP(R83,'Central Variable'!$A$2:$S$97,14,FALSE), "")</f>
        <v/>
      </c>
      <c r="W83" s="678" t="str">
        <f>IFERROR(VLOOKUP(R83,'Central Variable'!$A$2:$S$97,19,FALSE), "")</f>
        <v/>
      </c>
      <c r="X83" s="372" t="str">
        <f>IFERROR(VLOOKUP(R83,'Central Variable'!$A$2:$S$97,13,FALSE), "")</f>
        <v/>
      </c>
      <c r="Y83" s="680"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461"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1244</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IFERROR(VLOOKUP(R84,'Central Variable'!$A$2:$S$97,2,FALSE), "")</f>
        <v/>
      </c>
      <c r="T84" s="372" t="str">
        <f>IFERROR(VLOOKUP(R84,'Central Variable'!$A$2:$S$97,3,FALSE), "")</f>
        <v/>
      </c>
      <c r="U84" s="372" t="str">
        <f>IFERROR(VLOOKUP(R84,'Central Variable'!$A$2:$S$97,5,FALSE), "")</f>
        <v/>
      </c>
      <c r="V84" s="372" t="str">
        <f>IFERROR(VLOOKUP(R84,'Central Variable'!$A$2:$S$97,14,FALSE), "")</f>
        <v/>
      </c>
      <c r="W84" s="678" t="str">
        <f>IFERROR(VLOOKUP(R84,'Central Variable'!$A$2:$S$97,19,FALSE), "")</f>
        <v/>
      </c>
      <c r="X84" s="372" t="str">
        <f>IFERROR(VLOOKUP(R84,'Central Variable'!$A$2:$S$97,13,FALSE), "")</f>
        <v/>
      </c>
      <c r="Y84" s="680"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461"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1245</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IFERROR(VLOOKUP(R85,'Central Variable'!$A$2:$S$97,2,FALSE), "")</f>
        <v/>
      </c>
      <c r="T85" s="372" t="str">
        <f>IFERROR(VLOOKUP(R85,'Central Variable'!$A$2:$S$97,3,FALSE), "")</f>
        <v/>
      </c>
      <c r="U85" s="372" t="str">
        <f>IFERROR(VLOOKUP(R85,'Central Variable'!$A$2:$S$97,5,FALSE), "")</f>
        <v/>
      </c>
      <c r="V85" s="372" t="str">
        <f>IFERROR(VLOOKUP(R85,'Central Variable'!$A$2:$S$97,14,FALSE), "")</f>
        <v/>
      </c>
      <c r="W85" s="678" t="str">
        <f>IFERROR(VLOOKUP(R85,'Central Variable'!$A$2:$S$97,19,FALSE), "")</f>
        <v/>
      </c>
      <c r="X85" s="372" t="str">
        <f>IFERROR(VLOOKUP(R85,'Central Variable'!$A$2:$S$97,13,FALSE), "")</f>
        <v/>
      </c>
      <c r="Y85" s="680"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461"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1246</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IFERROR(VLOOKUP(R86,'Central Variable'!$A$2:$S$97,2,FALSE), "")</f>
        <v/>
      </c>
      <c r="T86" s="372" t="str">
        <f>IFERROR(VLOOKUP(R86,'Central Variable'!$A$2:$S$97,3,FALSE), "")</f>
        <v/>
      </c>
      <c r="U86" s="372" t="str">
        <f>IFERROR(VLOOKUP(R86,'Central Variable'!$A$2:$S$97,5,FALSE), "")</f>
        <v/>
      </c>
      <c r="V86" s="372" t="str">
        <f>IFERROR(VLOOKUP(R86,'Central Variable'!$A$2:$S$97,14,FALSE), "")</f>
        <v/>
      </c>
      <c r="W86" s="678" t="str">
        <f>IFERROR(VLOOKUP(R86,'Central Variable'!$A$2:$S$97,19,FALSE), "")</f>
        <v/>
      </c>
      <c r="X86" s="372" t="str">
        <f>IFERROR(VLOOKUP(R86,'Central Variable'!$A$2:$S$97,13,FALSE), "")</f>
        <v/>
      </c>
      <c r="Y86" s="680"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461"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1247</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IFERROR(VLOOKUP(R87,'Central Variable'!$A$2:$S$97,2,FALSE), "")</f>
        <v/>
      </c>
      <c r="T87" s="372" t="str">
        <f>IFERROR(VLOOKUP(R87,'Central Variable'!$A$2:$S$97,3,FALSE), "")</f>
        <v/>
      </c>
      <c r="U87" s="372" t="str">
        <f>IFERROR(VLOOKUP(R87,'Central Variable'!$A$2:$S$97,5,FALSE), "")</f>
        <v/>
      </c>
      <c r="V87" s="372" t="str">
        <f>IFERROR(VLOOKUP(R87,'Central Variable'!$A$2:$S$97,14,FALSE), "")</f>
        <v/>
      </c>
      <c r="W87" s="678" t="str">
        <f>IFERROR(VLOOKUP(R87,'Central Variable'!$A$2:$S$97,19,FALSE), "")</f>
        <v/>
      </c>
      <c r="X87" s="372" t="str">
        <f>IFERROR(VLOOKUP(R87,'Central Variable'!$A$2:$S$97,13,FALSE), "")</f>
        <v/>
      </c>
      <c r="Y87" s="680"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461"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1248</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IFERROR(VLOOKUP(R88,'Central Variable'!$A$2:$S$97,2,FALSE), "")</f>
        <v/>
      </c>
      <c r="T88" s="372" t="str">
        <f>IFERROR(VLOOKUP(R88,'Central Variable'!$A$2:$S$97,3,FALSE), "")</f>
        <v/>
      </c>
      <c r="U88" s="372" t="str">
        <f>IFERROR(VLOOKUP(R88,'Central Variable'!$A$2:$S$97,5,FALSE), "")</f>
        <v/>
      </c>
      <c r="V88" s="372" t="str">
        <f>IFERROR(VLOOKUP(R88,'Central Variable'!$A$2:$S$97,14,FALSE), "")</f>
        <v/>
      </c>
      <c r="W88" s="678" t="str">
        <f>IFERROR(VLOOKUP(R88,'Central Variable'!$A$2:$S$97,19,FALSE), "")</f>
        <v/>
      </c>
      <c r="X88" s="372" t="str">
        <f>IFERROR(VLOOKUP(R88,'Central Variable'!$A$2:$S$97,13,FALSE), "")</f>
        <v/>
      </c>
      <c r="Y88" s="680"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461"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1249</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IFERROR(VLOOKUP(R89,'Central Variable'!$A$2:$S$97,2,FALSE), "")</f>
        <v/>
      </c>
      <c r="T89" s="372" t="str">
        <f>IFERROR(VLOOKUP(R89,'Central Variable'!$A$2:$S$97,3,FALSE), "")</f>
        <v/>
      </c>
      <c r="U89" s="372" t="str">
        <f>IFERROR(VLOOKUP(R89,'Central Variable'!$A$2:$S$97,5,FALSE), "")</f>
        <v/>
      </c>
      <c r="V89" s="372" t="str">
        <f>IFERROR(VLOOKUP(R89,'Central Variable'!$A$2:$S$97,14,FALSE), "")</f>
        <v/>
      </c>
      <c r="W89" s="678" t="str">
        <f>IFERROR(VLOOKUP(R89,'Central Variable'!$A$2:$S$97,19,FALSE), "")</f>
        <v/>
      </c>
      <c r="X89" s="372" t="str">
        <f>IFERROR(VLOOKUP(R89,'Central Variable'!$A$2:$S$97,13,FALSE), "")</f>
        <v/>
      </c>
      <c r="Y89" s="680"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461"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1250</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IFERROR(VLOOKUP(R90,'Central Variable'!$A$2:$S$97,2,FALSE), "")</f>
        <v/>
      </c>
      <c r="T90" s="372" t="str">
        <f>IFERROR(VLOOKUP(R90,'Central Variable'!$A$2:$S$97,3,FALSE), "")</f>
        <v/>
      </c>
      <c r="U90" s="372" t="str">
        <f>IFERROR(VLOOKUP(R90,'Central Variable'!$A$2:$S$97,5,FALSE), "")</f>
        <v/>
      </c>
      <c r="V90" s="372" t="str">
        <f>IFERROR(VLOOKUP(R90,'Central Variable'!$A$2:$S$97,14,FALSE), "")</f>
        <v/>
      </c>
      <c r="W90" s="678" t="str">
        <f>IFERROR(VLOOKUP(R90,'Central Variable'!$A$2:$S$97,19,FALSE), "")</f>
        <v/>
      </c>
      <c r="X90" s="372" t="str">
        <f>IFERROR(VLOOKUP(R90,'Central Variable'!$A$2:$S$97,13,FALSE), "")</f>
        <v/>
      </c>
      <c r="Y90" s="680"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461"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1251</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IFERROR(VLOOKUP(R91,'Central Variable'!$A$2:$S$97,2,FALSE), "")</f>
        <v/>
      </c>
      <c r="T91" s="372" t="str">
        <f>IFERROR(VLOOKUP(R91,'Central Variable'!$A$2:$S$97,3,FALSE), "")</f>
        <v/>
      </c>
      <c r="U91" s="372" t="str">
        <f>IFERROR(VLOOKUP(R91,'Central Variable'!$A$2:$S$97,5,FALSE), "")</f>
        <v/>
      </c>
      <c r="V91" s="372" t="str">
        <f>IFERROR(VLOOKUP(R91,'Central Variable'!$A$2:$S$97,14,FALSE), "")</f>
        <v/>
      </c>
      <c r="W91" s="678" t="str">
        <f>IFERROR(VLOOKUP(R91,'Central Variable'!$A$2:$S$97,19,FALSE), "")</f>
        <v/>
      </c>
      <c r="X91" s="372" t="str">
        <f>IFERROR(VLOOKUP(R91,'Central Variable'!$A$2:$S$97,13,FALSE), "")</f>
        <v/>
      </c>
      <c r="Y91" s="680"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461"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1252</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IFERROR(VLOOKUP(R92,'Central Variable'!$A$2:$S$97,2,FALSE), "")</f>
        <v/>
      </c>
      <c r="T92" s="372" t="str">
        <f>IFERROR(VLOOKUP(R92,'Central Variable'!$A$2:$S$97,3,FALSE), "")</f>
        <v/>
      </c>
      <c r="U92" s="372" t="str">
        <f>IFERROR(VLOOKUP(R92,'Central Variable'!$A$2:$S$97,5,FALSE), "")</f>
        <v/>
      </c>
      <c r="V92" s="372" t="str">
        <f>IFERROR(VLOOKUP(R92,'Central Variable'!$A$2:$S$97,14,FALSE), "")</f>
        <v/>
      </c>
      <c r="W92" s="678" t="str">
        <f>IFERROR(VLOOKUP(R92,'Central Variable'!$A$2:$S$97,19,FALSE), "")</f>
        <v/>
      </c>
      <c r="X92" s="372" t="str">
        <f>IFERROR(VLOOKUP(R92,'Central Variable'!$A$2:$S$97,13,FALSE), "")</f>
        <v/>
      </c>
      <c r="Y92" s="680"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461"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1253</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IFERROR(VLOOKUP(R93,'Central Variable'!$A$2:$S$97,2,FALSE), "")</f>
        <v/>
      </c>
      <c r="T93" s="372" t="str">
        <f>IFERROR(VLOOKUP(R93,'Central Variable'!$A$2:$S$97,3,FALSE), "")</f>
        <v/>
      </c>
      <c r="U93" s="372" t="str">
        <f>IFERROR(VLOOKUP(R93,'Central Variable'!$A$2:$S$97,5,FALSE), "")</f>
        <v/>
      </c>
      <c r="V93" s="372" t="str">
        <f>IFERROR(VLOOKUP(R93,'Central Variable'!$A$2:$S$97,14,FALSE), "")</f>
        <v/>
      </c>
      <c r="W93" s="678" t="str">
        <f>IFERROR(VLOOKUP(R93,'Central Variable'!$A$2:$S$97,19,FALSE), "")</f>
        <v/>
      </c>
      <c r="X93" s="372" t="str">
        <f>IFERROR(VLOOKUP(R93,'Central Variable'!$A$2:$S$97,13,FALSE), "")</f>
        <v/>
      </c>
      <c r="Y93" s="680"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461"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1254</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IFERROR(VLOOKUP(R94,'Central Variable'!$A$2:$S$97,2,FALSE), "")</f>
        <v/>
      </c>
      <c r="T94" s="372" t="str">
        <f>IFERROR(VLOOKUP(R94,'Central Variable'!$A$2:$S$97,3,FALSE), "")</f>
        <v/>
      </c>
      <c r="U94" s="372" t="str">
        <f>IFERROR(VLOOKUP(R94,'Central Variable'!$A$2:$S$97,5,FALSE), "")</f>
        <v/>
      </c>
      <c r="V94" s="372" t="str">
        <f>IFERROR(VLOOKUP(R94,'Central Variable'!$A$2:$S$97,14,FALSE), "")</f>
        <v/>
      </c>
      <c r="W94" s="678" t="str">
        <f>IFERROR(VLOOKUP(R94,'Central Variable'!$A$2:$S$97,19,FALSE), "")</f>
        <v/>
      </c>
      <c r="X94" s="372" t="str">
        <f>IFERROR(VLOOKUP(R94,'Central Variable'!$A$2:$S$97,13,FALSE), "")</f>
        <v/>
      </c>
      <c r="Y94" s="680"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461"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1255</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IFERROR(VLOOKUP(R95,'Central Variable'!$A$2:$S$97,2,FALSE), "")</f>
        <v/>
      </c>
      <c r="T95" s="372" t="str">
        <f>IFERROR(VLOOKUP(R95,'Central Variable'!$A$2:$S$97,3,FALSE), "")</f>
        <v/>
      </c>
      <c r="U95" s="372" t="str">
        <f>IFERROR(VLOOKUP(R95,'Central Variable'!$A$2:$S$97,5,FALSE), "")</f>
        <v/>
      </c>
      <c r="V95" s="372" t="str">
        <f>IFERROR(VLOOKUP(R95,'Central Variable'!$A$2:$S$97,14,FALSE), "")</f>
        <v/>
      </c>
      <c r="W95" s="678" t="str">
        <f>IFERROR(VLOOKUP(R95,'Central Variable'!$A$2:$S$97,19,FALSE), "")</f>
        <v/>
      </c>
      <c r="X95" s="372" t="str">
        <f>IFERROR(VLOOKUP(R95,'Central Variable'!$A$2:$S$97,13,FALSE), "")</f>
        <v/>
      </c>
      <c r="Y95" s="680"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461"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1256</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IFERROR(VLOOKUP(R96,'Central Variable'!$A$2:$S$97,2,FALSE), "")</f>
        <v/>
      </c>
      <c r="T96" s="372" t="str">
        <f>IFERROR(VLOOKUP(R96,'Central Variable'!$A$2:$S$97,3,FALSE), "")</f>
        <v/>
      </c>
      <c r="U96" s="372" t="str">
        <f>IFERROR(VLOOKUP(R96,'Central Variable'!$A$2:$S$97,5,FALSE), "")</f>
        <v/>
      </c>
      <c r="V96" s="372" t="str">
        <f>IFERROR(VLOOKUP(R96,'Central Variable'!$A$2:$S$97,14,FALSE), "")</f>
        <v/>
      </c>
      <c r="W96" s="678" t="str">
        <f>IFERROR(VLOOKUP(R96,'Central Variable'!$A$2:$S$97,19,FALSE), "")</f>
        <v/>
      </c>
      <c r="X96" s="372" t="str">
        <f>IFERROR(VLOOKUP(R96,'Central Variable'!$A$2:$S$97,13,FALSE), "")</f>
        <v/>
      </c>
      <c r="Y96" s="680"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461"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1257</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IFERROR(VLOOKUP(R97,'Central Variable'!$A$2:$S$97,2,FALSE), "")</f>
        <v/>
      </c>
      <c r="T97" s="372" t="str">
        <f>IFERROR(VLOOKUP(R97,'Central Variable'!$A$2:$S$97,3,FALSE), "")</f>
        <v/>
      </c>
      <c r="U97" s="372" t="str">
        <f>IFERROR(VLOOKUP(R97,'Central Variable'!$A$2:$S$97,5,FALSE), "")</f>
        <v/>
      </c>
      <c r="V97" s="372" t="str">
        <f>IFERROR(VLOOKUP(R97,'Central Variable'!$A$2:$S$97,14,FALSE), "")</f>
        <v/>
      </c>
      <c r="W97" s="678" t="str">
        <f>IFERROR(VLOOKUP(R97,'Central Variable'!$A$2:$S$97,19,FALSE), "")</f>
        <v/>
      </c>
      <c r="X97" s="372" t="str">
        <f>IFERROR(VLOOKUP(R97,'Central Variable'!$A$2:$S$97,13,FALSE), "")</f>
        <v/>
      </c>
      <c r="Y97" s="680"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461"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ZcWRhhN+dJtgUvxd1lBmglyJLhC1bYIMyNZqGZzZ1YFBS6H0/D3C0REeS4Go6qOWf504v2+mNgD7H0M669z/lQ==" saltValue="qeVHiF67cwzs6CnHMjx2n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483"/>
    <col min="2" max="2" width="15.6640625" customWidth="1"/>
    <col min="4" max="4" width="10.83203125" style="481"/>
    <col min="5" max="5" width="20.33203125" customWidth="1"/>
    <col min="6" max="6" width="42" customWidth="1"/>
    <col min="7" max="7" width="10.83203125" style="483"/>
  </cols>
  <sheetData>
    <row r="1" spans="1:7">
      <c r="A1" s="483" t="s">
        <v>1930</v>
      </c>
      <c r="B1" s="484" t="s">
        <v>27</v>
      </c>
      <c r="C1" s="484" t="s">
        <v>54</v>
      </c>
      <c r="D1" s="510" t="s">
        <v>2015</v>
      </c>
      <c r="E1" s="485" t="s">
        <v>1007</v>
      </c>
      <c r="F1" s="488" t="s">
        <v>1932</v>
      </c>
      <c r="G1" s="160" t="s">
        <v>1931</v>
      </c>
    </row>
    <row r="2" spans="1:7">
      <c r="B2" s="486">
        <v>1</v>
      </c>
      <c r="C2" s="486" t="s">
        <v>34</v>
      </c>
      <c r="D2" s="487" t="s">
        <v>943</v>
      </c>
      <c r="E2" s="41" t="s">
        <v>1326</v>
      </c>
      <c r="F2" s="42" t="s">
        <v>502</v>
      </c>
      <c r="G2" s="483" t="e">
        <f>COUNTIF(#REF!,B2)</f>
        <v>#REF!</v>
      </c>
    </row>
    <row r="3" spans="1:7">
      <c r="B3" s="486">
        <v>2</v>
      </c>
      <c r="C3" s="486" t="s">
        <v>35</v>
      </c>
      <c r="D3" s="487" t="s">
        <v>943</v>
      </c>
      <c r="E3" s="41" t="s">
        <v>1327</v>
      </c>
      <c r="F3" s="42" t="s">
        <v>503</v>
      </c>
      <c r="G3" s="483" t="e">
        <f>COUNTIF(#REF!,B3)</f>
        <v>#REF!</v>
      </c>
    </row>
    <row r="4" spans="1:7">
      <c r="B4" s="486">
        <v>3</v>
      </c>
      <c r="C4" s="486" t="s">
        <v>31</v>
      </c>
      <c r="D4" s="487" t="s">
        <v>943</v>
      </c>
      <c r="E4" s="41" t="s">
        <v>1328</v>
      </c>
      <c r="F4" s="42" t="s">
        <v>504</v>
      </c>
      <c r="G4" s="483" t="e">
        <f>COUNTIF(#REF!,B4)</f>
        <v>#REF!</v>
      </c>
    </row>
    <row r="5" spans="1:7">
      <c r="B5" s="486">
        <v>4</v>
      </c>
      <c r="C5" s="486" t="s">
        <v>36</v>
      </c>
      <c r="D5" s="487" t="s">
        <v>943</v>
      </c>
      <c r="E5" s="41" t="s">
        <v>1329</v>
      </c>
      <c r="F5" s="42" t="s">
        <v>505</v>
      </c>
      <c r="G5" s="483" t="e">
        <f>COUNTIF(#REF!,B5)</f>
        <v>#REF!</v>
      </c>
    </row>
    <row r="6" spans="1:7">
      <c r="B6" s="486">
        <v>5</v>
      </c>
      <c r="C6" s="486" t="s">
        <v>37</v>
      </c>
      <c r="D6" s="487" t="s">
        <v>943</v>
      </c>
      <c r="E6" s="41" t="s">
        <v>1330</v>
      </c>
      <c r="F6" s="42" t="s">
        <v>506</v>
      </c>
      <c r="G6" s="483" t="e">
        <f>COUNTIF(#REF!,B6)</f>
        <v>#REF!</v>
      </c>
    </row>
    <row r="7" spans="1:7">
      <c r="B7" s="486">
        <v>6</v>
      </c>
      <c r="C7" s="486" t="s">
        <v>38</v>
      </c>
      <c r="D7" s="487" t="s">
        <v>28</v>
      </c>
      <c r="E7" s="41" t="s">
        <v>1331</v>
      </c>
      <c r="F7" s="42" t="s">
        <v>507</v>
      </c>
      <c r="G7" s="483" t="e">
        <f>COUNTIF(#REF!,B7)</f>
        <v>#REF!</v>
      </c>
    </row>
    <row r="8" spans="1:7">
      <c r="B8" s="486">
        <v>7</v>
      </c>
      <c r="C8" s="486" t="s">
        <v>39</v>
      </c>
      <c r="D8" s="487" t="s">
        <v>943</v>
      </c>
      <c r="E8" s="41" t="s">
        <v>1332</v>
      </c>
      <c r="F8" s="42" t="s">
        <v>508</v>
      </c>
      <c r="G8" s="483" t="e">
        <f>COUNTIF(#REF!,B8)</f>
        <v>#REF!</v>
      </c>
    </row>
    <row r="9" spans="1:7">
      <c r="B9" s="486">
        <v>8</v>
      </c>
      <c r="C9" s="486" t="s">
        <v>40</v>
      </c>
      <c r="D9" s="487" t="s">
        <v>943</v>
      </c>
      <c r="E9" s="41" t="s">
        <v>1333</v>
      </c>
      <c r="F9" s="42" t="s">
        <v>509</v>
      </c>
      <c r="G9" s="483" t="e">
        <f>COUNTIF(#REF!,B9)</f>
        <v>#REF!</v>
      </c>
    </row>
    <row r="10" spans="1:7">
      <c r="B10" s="486">
        <v>9</v>
      </c>
      <c r="C10" s="486" t="s">
        <v>41</v>
      </c>
      <c r="D10" s="487" t="s">
        <v>943</v>
      </c>
      <c r="E10" s="41" t="s">
        <v>1334</v>
      </c>
      <c r="F10" s="42" t="s">
        <v>510</v>
      </c>
      <c r="G10" s="483" t="e">
        <f>COUNTIF(#REF!,B10)</f>
        <v>#REF!</v>
      </c>
    </row>
    <row r="11" spans="1:7">
      <c r="B11" s="486">
        <v>10</v>
      </c>
      <c r="C11" s="486" t="s">
        <v>42</v>
      </c>
      <c r="D11" s="487" t="s">
        <v>943</v>
      </c>
      <c r="E11" s="41" t="s">
        <v>1335</v>
      </c>
      <c r="F11" s="42" t="s">
        <v>511</v>
      </c>
      <c r="G11" s="483" t="e">
        <f>COUNTIF(#REF!,B11)</f>
        <v>#REF!</v>
      </c>
    </row>
    <row r="12" spans="1:7">
      <c r="B12" s="486">
        <v>11</v>
      </c>
      <c r="C12" s="486" t="s">
        <v>43</v>
      </c>
      <c r="D12" s="487" t="s">
        <v>943</v>
      </c>
      <c r="E12" s="41" t="s">
        <v>1336</v>
      </c>
      <c r="F12" s="42" t="s">
        <v>512</v>
      </c>
      <c r="G12" s="483" t="e">
        <f>COUNTIF(#REF!,B12)</f>
        <v>#REF!</v>
      </c>
    </row>
    <row r="13" spans="1:7">
      <c r="B13" s="486">
        <v>12</v>
      </c>
      <c r="C13" s="486" t="s">
        <v>44</v>
      </c>
      <c r="D13" s="487" t="s">
        <v>943</v>
      </c>
      <c r="E13" s="41" t="s">
        <v>1337</v>
      </c>
      <c r="F13" s="42" t="s">
        <v>513</v>
      </c>
      <c r="G13" s="483" t="e">
        <f>COUNTIF(#REF!,B13)</f>
        <v>#REF!</v>
      </c>
    </row>
    <row r="14" spans="1:7">
      <c r="B14" s="486">
        <v>13</v>
      </c>
      <c r="C14" s="486" t="s">
        <v>55</v>
      </c>
      <c r="D14" s="487" t="s">
        <v>943</v>
      </c>
      <c r="E14" s="41" t="s">
        <v>1338</v>
      </c>
      <c r="F14" s="42" t="s">
        <v>514</v>
      </c>
      <c r="G14" s="483" t="e">
        <f>COUNTIF(#REF!,B14)</f>
        <v>#REF!</v>
      </c>
    </row>
    <row r="15" spans="1:7">
      <c r="B15" s="486">
        <v>14</v>
      </c>
      <c r="C15" s="486" t="s">
        <v>56</v>
      </c>
      <c r="D15" s="487" t="s">
        <v>943</v>
      </c>
      <c r="E15" s="41" t="s">
        <v>1339</v>
      </c>
      <c r="F15" s="42" t="s">
        <v>515</v>
      </c>
      <c r="G15" s="483" t="e">
        <f>COUNTIF(#REF!,B15)</f>
        <v>#REF!</v>
      </c>
    </row>
    <row r="16" spans="1:7">
      <c r="B16" s="486">
        <v>15</v>
      </c>
      <c r="C16" s="486" t="s">
        <v>57</v>
      </c>
      <c r="D16" s="487" t="s">
        <v>29</v>
      </c>
      <c r="E16" s="41" t="s">
        <v>1340</v>
      </c>
      <c r="F16" s="42" t="s">
        <v>516</v>
      </c>
      <c r="G16" s="483" t="e">
        <f>COUNTIF(#REF!,B16)</f>
        <v>#REF!</v>
      </c>
    </row>
    <row r="17" spans="2:7">
      <c r="B17" s="486">
        <v>16</v>
      </c>
      <c r="C17" s="486" t="s">
        <v>58</v>
      </c>
      <c r="D17" s="487" t="s">
        <v>943</v>
      </c>
      <c r="E17" s="41" t="s">
        <v>1341</v>
      </c>
      <c r="F17" s="42" t="s">
        <v>517</v>
      </c>
      <c r="G17" s="483" t="e">
        <f>COUNTIF(#REF!,B17)</f>
        <v>#REF!</v>
      </c>
    </row>
    <row r="18" spans="2:7">
      <c r="B18" s="486">
        <v>17</v>
      </c>
      <c r="C18" s="486" t="s">
        <v>59</v>
      </c>
      <c r="D18" s="487" t="s">
        <v>943</v>
      </c>
      <c r="E18" s="41" t="s">
        <v>1342</v>
      </c>
      <c r="F18" s="42" t="s">
        <v>518</v>
      </c>
      <c r="G18" s="483" t="e">
        <f>COUNTIF(#REF!,B18)</f>
        <v>#REF!</v>
      </c>
    </row>
    <row r="19" spans="2:7">
      <c r="B19" s="486">
        <v>18</v>
      </c>
      <c r="C19" s="486" t="s">
        <v>60</v>
      </c>
      <c r="D19" s="487" t="s">
        <v>943</v>
      </c>
      <c r="E19" s="41" t="s">
        <v>1343</v>
      </c>
      <c r="F19" s="42" t="s">
        <v>519</v>
      </c>
      <c r="G19" s="483" t="e">
        <f>COUNTIF(#REF!,B19)</f>
        <v>#REF!</v>
      </c>
    </row>
    <row r="20" spans="2:7">
      <c r="B20" s="486">
        <v>19</v>
      </c>
      <c r="C20" s="486" t="s">
        <v>61</v>
      </c>
      <c r="D20" s="487" t="s">
        <v>943</v>
      </c>
      <c r="E20" s="41" t="s">
        <v>1344</v>
      </c>
      <c r="F20" s="42" t="s">
        <v>520</v>
      </c>
      <c r="G20" s="483" t="e">
        <f>COUNTIF(#REF!,B20)</f>
        <v>#REF!</v>
      </c>
    </row>
    <row r="21" spans="2:7">
      <c r="B21" s="486">
        <v>20</v>
      </c>
      <c r="C21" s="486" t="s">
        <v>62</v>
      </c>
      <c r="D21" s="487" t="s">
        <v>943</v>
      </c>
      <c r="E21" s="41" t="s">
        <v>1345</v>
      </c>
      <c r="F21" s="42" t="s">
        <v>521</v>
      </c>
      <c r="G21" s="483" t="e">
        <f>COUNTIF(#REF!,B21)</f>
        <v>#REF!</v>
      </c>
    </row>
    <row r="22" spans="2:7">
      <c r="B22" s="486">
        <v>21</v>
      </c>
      <c r="C22" s="486" t="s">
        <v>63</v>
      </c>
      <c r="D22" s="487" t="s">
        <v>28</v>
      </c>
      <c r="E22" s="41" t="s">
        <v>1346</v>
      </c>
      <c r="F22" s="42" t="s">
        <v>522</v>
      </c>
      <c r="G22" s="483" t="e">
        <f>COUNTIF(#REF!,B22)</f>
        <v>#REF!</v>
      </c>
    </row>
    <row r="23" spans="2:7">
      <c r="B23" s="486">
        <v>22</v>
      </c>
      <c r="C23" s="486" t="s">
        <v>64</v>
      </c>
      <c r="D23" s="487" t="s">
        <v>943</v>
      </c>
      <c r="E23" s="41" t="s">
        <v>1347</v>
      </c>
      <c r="F23" s="42" t="s">
        <v>523</v>
      </c>
      <c r="G23" s="483" t="e">
        <f>COUNTIF(#REF!,B23)</f>
        <v>#REF!</v>
      </c>
    </row>
    <row r="24" spans="2:7">
      <c r="B24" s="486">
        <v>23</v>
      </c>
      <c r="C24" s="486" t="s">
        <v>65</v>
      </c>
      <c r="D24" s="487" t="s">
        <v>943</v>
      </c>
      <c r="E24" s="41" t="s">
        <v>1348</v>
      </c>
      <c r="F24" s="42" t="s">
        <v>524</v>
      </c>
      <c r="G24" s="483" t="e">
        <f>COUNTIF(#REF!,B24)</f>
        <v>#REF!</v>
      </c>
    </row>
    <row r="25" spans="2:7">
      <c r="B25" s="486">
        <v>24</v>
      </c>
      <c r="C25" s="486" t="s">
        <v>66</v>
      </c>
      <c r="D25" s="487" t="s">
        <v>943</v>
      </c>
      <c r="E25" s="41" t="s">
        <v>1349</v>
      </c>
      <c r="F25" s="42" t="s">
        <v>525</v>
      </c>
      <c r="G25" s="483" t="e">
        <f>COUNTIF(#REF!,B25)</f>
        <v>#REF!</v>
      </c>
    </row>
    <row r="26" spans="2:7">
      <c r="B26" s="486">
        <v>25</v>
      </c>
      <c r="C26" s="486" t="s">
        <v>67</v>
      </c>
      <c r="D26" s="487" t="s">
        <v>28</v>
      </c>
      <c r="E26" s="41" t="s">
        <v>1350</v>
      </c>
      <c r="F26" s="42" t="s">
        <v>526</v>
      </c>
      <c r="G26" s="483" t="e">
        <f>COUNTIF(#REF!,B26)</f>
        <v>#REF!</v>
      </c>
    </row>
    <row r="27" spans="2:7">
      <c r="B27" s="486">
        <v>26</v>
      </c>
      <c r="C27" s="486" t="s">
        <v>68</v>
      </c>
      <c r="D27" s="487" t="s">
        <v>28</v>
      </c>
      <c r="E27" s="41" t="s">
        <v>1351</v>
      </c>
      <c r="F27" s="42" t="s">
        <v>527</v>
      </c>
      <c r="G27" s="483" t="e">
        <f>COUNTIF(#REF!,B27)</f>
        <v>#REF!</v>
      </c>
    </row>
    <row r="28" spans="2:7">
      <c r="B28" s="486">
        <v>27</v>
      </c>
      <c r="C28" s="486" t="s">
        <v>69</v>
      </c>
      <c r="D28" s="487" t="s">
        <v>943</v>
      </c>
      <c r="E28" s="41" t="s">
        <v>1352</v>
      </c>
      <c r="F28" s="42" t="s">
        <v>528</v>
      </c>
      <c r="G28" s="483" t="e">
        <f>COUNTIF(#REF!,B28)</f>
        <v>#REF!</v>
      </c>
    </row>
    <row r="29" spans="2:7">
      <c r="B29" s="486">
        <v>28</v>
      </c>
      <c r="C29" s="486" t="s">
        <v>70</v>
      </c>
      <c r="D29" s="487" t="s">
        <v>943</v>
      </c>
      <c r="E29" s="41" t="s">
        <v>1353</v>
      </c>
      <c r="F29" s="42" t="s">
        <v>529</v>
      </c>
      <c r="G29" s="483" t="e">
        <f>COUNTIF(#REF!,B29)</f>
        <v>#REF!</v>
      </c>
    </row>
    <row r="30" spans="2:7">
      <c r="B30" s="486">
        <v>29</v>
      </c>
      <c r="C30" s="486" t="s">
        <v>71</v>
      </c>
      <c r="D30" s="487" t="s">
        <v>30</v>
      </c>
      <c r="E30" s="41" t="s">
        <v>1354</v>
      </c>
      <c r="F30" s="42" t="s">
        <v>530</v>
      </c>
      <c r="G30" s="483" t="e">
        <f>COUNTIF(#REF!,B30)</f>
        <v>#REF!</v>
      </c>
    </row>
    <row r="31" spans="2:7">
      <c r="B31" s="486">
        <v>30</v>
      </c>
      <c r="C31" s="486" t="s">
        <v>72</v>
      </c>
      <c r="D31" s="487" t="s">
        <v>943</v>
      </c>
      <c r="E31" s="41" t="s">
        <v>1355</v>
      </c>
      <c r="F31" s="42" t="s">
        <v>531</v>
      </c>
      <c r="G31" s="483" t="e">
        <f>COUNTIF(#REF!,B31)</f>
        <v>#REF!</v>
      </c>
    </row>
    <row r="32" spans="2:7">
      <c r="B32" s="486">
        <v>31</v>
      </c>
      <c r="C32" s="486" t="s">
        <v>73</v>
      </c>
      <c r="D32" s="487" t="s">
        <v>943</v>
      </c>
      <c r="E32" s="41" t="s">
        <v>1356</v>
      </c>
      <c r="F32" s="42" t="s">
        <v>532</v>
      </c>
      <c r="G32" s="483" t="e">
        <f>COUNTIF(#REF!,B32)</f>
        <v>#REF!</v>
      </c>
    </row>
    <row r="33" spans="2:7">
      <c r="B33" s="486">
        <v>32</v>
      </c>
      <c r="C33" s="486" t="s">
        <v>74</v>
      </c>
      <c r="D33" s="487" t="s">
        <v>944</v>
      </c>
      <c r="E33" s="41" t="s">
        <v>1357</v>
      </c>
      <c r="F33" s="42" t="s">
        <v>533</v>
      </c>
      <c r="G33" s="483" t="e">
        <f>COUNTIF(#REF!,B33)</f>
        <v>#REF!</v>
      </c>
    </row>
    <row r="34" spans="2:7">
      <c r="B34" s="486">
        <v>33</v>
      </c>
      <c r="C34" s="486" t="s">
        <v>75</v>
      </c>
      <c r="D34" s="487" t="s">
        <v>943</v>
      </c>
      <c r="E34" s="41" t="s">
        <v>1358</v>
      </c>
      <c r="F34" s="42" t="s">
        <v>534</v>
      </c>
      <c r="G34" s="483" t="e">
        <f>COUNTIF(#REF!,B34)</f>
        <v>#REF!</v>
      </c>
    </row>
    <row r="35" spans="2:7">
      <c r="B35" s="486">
        <v>34</v>
      </c>
      <c r="C35" s="486" t="s">
        <v>76</v>
      </c>
      <c r="D35" s="487" t="s">
        <v>943</v>
      </c>
      <c r="E35" s="41" t="s">
        <v>1359</v>
      </c>
      <c r="F35" s="42" t="s">
        <v>535</v>
      </c>
      <c r="G35" s="483" t="e">
        <f>COUNTIF(#REF!,B35)</f>
        <v>#REF!</v>
      </c>
    </row>
    <row r="36" spans="2:7">
      <c r="B36" s="486">
        <v>35</v>
      </c>
      <c r="C36" s="486" t="s">
        <v>77</v>
      </c>
      <c r="D36" s="487" t="s">
        <v>943</v>
      </c>
      <c r="E36" s="41" t="s">
        <v>1360</v>
      </c>
      <c r="F36" s="42" t="s">
        <v>536</v>
      </c>
      <c r="G36" s="483" t="e">
        <f>COUNTIF(#REF!,B36)</f>
        <v>#REF!</v>
      </c>
    </row>
    <row r="37" spans="2:7">
      <c r="B37" s="486">
        <v>36</v>
      </c>
      <c r="C37" s="486" t="s">
        <v>78</v>
      </c>
      <c r="D37" s="487" t="s">
        <v>943</v>
      </c>
      <c r="E37" s="41" t="s">
        <v>1361</v>
      </c>
      <c r="F37" s="42" t="s">
        <v>537</v>
      </c>
      <c r="G37" s="483" t="e">
        <f>COUNTIF(#REF!,B37)</f>
        <v>#REF!</v>
      </c>
    </row>
    <row r="38" spans="2:7">
      <c r="B38" s="486">
        <v>37</v>
      </c>
      <c r="C38" s="486" t="s">
        <v>79</v>
      </c>
      <c r="D38" s="487" t="s">
        <v>28</v>
      </c>
      <c r="E38" s="41" t="s">
        <v>1362</v>
      </c>
      <c r="F38" s="42" t="s">
        <v>538</v>
      </c>
      <c r="G38" s="483" t="e">
        <f>COUNTIF(#REF!,B38)</f>
        <v>#REF!</v>
      </c>
    </row>
    <row r="39" spans="2:7">
      <c r="B39" s="486">
        <v>38</v>
      </c>
      <c r="C39" s="486" t="s">
        <v>80</v>
      </c>
      <c r="D39" s="487" t="s">
        <v>943</v>
      </c>
      <c r="E39" s="41" t="s">
        <v>1363</v>
      </c>
      <c r="F39" s="42" t="s">
        <v>539</v>
      </c>
      <c r="G39" s="483" t="e">
        <f>COUNTIF(#REF!,B39)</f>
        <v>#REF!</v>
      </c>
    </row>
    <row r="40" spans="2:7">
      <c r="B40" s="486">
        <v>39</v>
      </c>
      <c r="C40" s="486" t="s">
        <v>81</v>
      </c>
      <c r="D40" s="487" t="s">
        <v>28</v>
      </c>
      <c r="E40" s="41" t="s">
        <v>1364</v>
      </c>
      <c r="F40" s="42" t="s">
        <v>540</v>
      </c>
      <c r="G40" s="483" t="e">
        <f>COUNTIF(#REF!,B40)</f>
        <v>#REF!</v>
      </c>
    </row>
    <row r="41" spans="2:7">
      <c r="B41" s="486">
        <v>40</v>
      </c>
      <c r="C41" s="486" t="s">
        <v>82</v>
      </c>
      <c r="D41" s="487" t="s">
        <v>943</v>
      </c>
      <c r="E41" s="41" t="s">
        <v>1365</v>
      </c>
      <c r="F41" s="42" t="s">
        <v>541</v>
      </c>
      <c r="G41" s="483" t="e">
        <f>COUNTIF(#REF!,B41)</f>
        <v>#REF!</v>
      </c>
    </row>
    <row r="42" spans="2:7">
      <c r="B42" s="486">
        <v>41</v>
      </c>
      <c r="C42" s="486" t="s">
        <v>83</v>
      </c>
      <c r="D42" s="487" t="s">
        <v>943</v>
      </c>
      <c r="E42" s="41" t="s">
        <v>1366</v>
      </c>
      <c r="F42" s="42" t="s">
        <v>542</v>
      </c>
      <c r="G42" s="483" t="e">
        <f>COUNTIF(#REF!,B42)</f>
        <v>#REF!</v>
      </c>
    </row>
    <row r="43" spans="2:7">
      <c r="B43" s="486">
        <v>42</v>
      </c>
      <c r="C43" s="486" t="s">
        <v>84</v>
      </c>
      <c r="D43" s="487" t="s">
        <v>29</v>
      </c>
      <c r="E43" s="41" t="s">
        <v>1367</v>
      </c>
      <c r="F43" s="42" t="s">
        <v>543</v>
      </c>
      <c r="G43" s="483" t="e">
        <f>COUNTIF(#REF!,B43)</f>
        <v>#REF!</v>
      </c>
    </row>
    <row r="44" spans="2:7">
      <c r="B44" s="486">
        <v>43</v>
      </c>
      <c r="C44" s="486" t="s">
        <v>85</v>
      </c>
      <c r="D44" s="487" t="s">
        <v>28</v>
      </c>
      <c r="E44" s="41" t="s">
        <v>1368</v>
      </c>
      <c r="F44" s="42" t="s">
        <v>544</v>
      </c>
      <c r="G44" s="483" t="e">
        <f>COUNTIF(#REF!,B44)</f>
        <v>#REF!</v>
      </c>
    </row>
    <row r="45" spans="2:7">
      <c r="B45" s="486">
        <v>44</v>
      </c>
      <c r="C45" s="486" t="s">
        <v>86</v>
      </c>
      <c r="D45" s="487" t="s">
        <v>29</v>
      </c>
      <c r="E45" s="41" t="s">
        <v>1369</v>
      </c>
      <c r="F45" s="42" t="s">
        <v>545</v>
      </c>
      <c r="G45" s="483" t="e">
        <f>COUNTIF(#REF!,B45)</f>
        <v>#REF!</v>
      </c>
    </row>
    <row r="46" spans="2:7">
      <c r="B46" s="486">
        <v>45</v>
      </c>
      <c r="C46" s="486" t="s">
        <v>87</v>
      </c>
      <c r="D46" s="487" t="s">
        <v>30</v>
      </c>
      <c r="E46" s="41" t="s">
        <v>1370</v>
      </c>
      <c r="F46" s="42" t="s">
        <v>546</v>
      </c>
      <c r="G46" s="483" t="e">
        <f>COUNTIF(#REF!,B46)</f>
        <v>#REF!</v>
      </c>
    </row>
    <row r="47" spans="2:7">
      <c r="B47" s="486">
        <v>46</v>
      </c>
      <c r="C47" s="486" t="s">
        <v>88</v>
      </c>
      <c r="D47" s="487" t="s">
        <v>28</v>
      </c>
      <c r="E47" s="41" t="s">
        <v>1371</v>
      </c>
      <c r="F47" s="42" t="s">
        <v>547</v>
      </c>
      <c r="G47" s="483" t="e">
        <f>COUNTIF(#REF!,B47)</f>
        <v>#REF!</v>
      </c>
    </row>
    <row r="48" spans="2:7">
      <c r="B48" s="486">
        <v>47</v>
      </c>
      <c r="C48" s="486" t="s">
        <v>89</v>
      </c>
      <c r="D48" s="487" t="s">
        <v>28</v>
      </c>
      <c r="E48" s="41" t="s">
        <v>1372</v>
      </c>
      <c r="F48" s="42" t="s">
        <v>548</v>
      </c>
      <c r="G48" s="483" t="e">
        <f>COUNTIF(#REF!,B48)</f>
        <v>#REF!</v>
      </c>
    </row>
    <row r="49" spans="2:7">
      <c r="B49" s="486">
        <v>48</v>
      </c>
      <c r="C49" s="486" t="s">
        <v>90</v>
      </c>
      <c r="D49" s="487" t="s">
        <v>28</v>
      </c>
      <c r="E49" s="41" t="s">
        <v>1373</v>
      </c>
      <c r="F49" s="42" t="s">
        <v>549</v>
      </c>
      <c r="G49" s="483" t="e">
        <f>COUNTIF(#REF!,B49)</f>
        <v>#REF!</v>
      </c>
    </row>
    <row r="50" spans="2:7">
      <c r="B50" s="486">
        <v>49</v>
      </c>
      <c r="C50" s="486" t="s">
        <v>91</v>
      </c>
      <c r="D50" s="487" t="s">
        <v>28</v>
      </c>
      <c r="E50" s="41" t="s">
        <v>1374</v>
      </c>
      <c r="F50" s="42" t="s">
        <v>550</v>
      </c>
      <c r="G50" s="483" t="e">
        <f>COUNTIF(#REF!,B50)</f>
        <v>#REF!</v>
      </c>
    </row>
    <row r="51" spans="2:7">
      <c r="B51" s="486">
        <v>50</v>
      </c>
      <c r="C51" s="486" t="s">
        <v>92</v>
      </c>
      <c r="D51" s="487" t="s">
        <v>28</v>
      </c>
      <c r="E51" s="41" t="s">
        <v>1375</v>
      </c>
      <c r="F51" s="42" t="s">
        <v>551</v>
      </c>
      <c r="G51" s="483" t="e">
        <f>COUNTIF(#REF!,B51)</f>
        <v>#REF!</v>
      </c>
    </row>
    <row r="52" spans="2:7">
      <c r="B52" s="486">
        <v>51</v>
      </c>
      <c r="C52" s="486" t="s">
        <v>93</v>
      </c>
      <c r="D52" s="487" t="s">
        <v>943</v>
      </c>
      <c r="E52" s="41" t="s">
        <v>1376</v>
      </c>
      <c r="F52" s="42" t="s">
        <v>552</v>
      </c>
      <c r="G52" s="483" t="e">
        <f>COUNTIF(#REF!,B52)</f>
        <v>#REF!</v>
      </c>
    </row>
    <row r="53" spans="2:7">
      <c r="B53" s="486">
        <v>52</v>
      </c>
      <c r="C53" s="486" t="s">
        <v>94</v>
      </c>
      <c r="D53" s="487" t="s">
        <v>943</v>
      </c>
      <c r="E53" s="41" t="s">
        <v>1377</v>
      </c>
      <c r="F53" s="42" t="s">
        <v>1933</v>
      </c>
      <c r="G53" s="483" t="e">
        <f>COUNTIF(#REF!,B53)</f>
        <v>#REF!</v>
      </c>
    </row>
    <row r="54" spans="2:7">
      <c r="B54" s="486">
        <v>53</v>
      </c>
      <c r="C54" s="486" t="s">
        <v>95</v>
      </c>
      <c r="D54" s="487" t="s">
        <v>943</v>
      </c>
      <c r="E54" s="41" t="s">
        <v>1378</v>
      </c>
      <c r="F54" s="42" t="s">
        <v>553</v>
      </c>
      <c r="G54" s="483" t="e">
        <f>COUNTIF(#REF!,B54)</f>
        <v>#REF!</v>
      </c>
    </row>
    <row r="55" spans="2:7">
      <c r="B55" s="486">
        <v>54</v>
      </c>
      <c r="C55" s="486" t="s">
        <v>96</v>
      </c>
      <c r="D55" s="487" t="s">
        <v>943</v>
      </c>
      <c r="E55" s="41" t="s">
        <v>1379</v>
      </c>
      <c r="F55" s="42" t="s">
        <v>554</v>
      </c>
      <c r="G55" s="483" t="e">
        <f>COUNTIF(#REF!,B55)</f>
        <v>#REF!</v>
      </c>
    </row>
    <row r="56" spans="2:7">
      <c r="B56" s="486">
        <v>55</v>
      </c>
      <c r="C56" s="486" t="s">
        <v>97</v>
      </c>
      <c r="D56" s="487" t="e">
        <v>#VALUE!</v>
      </c>
      <c r="E56" s="41" t="s">
        <v>1380</v>
      </c>
      <c r="F56" s="42" t="s">
        <v>555</v>
      </c>
      <c r="G56" s="483" t="e">
        <f>COUNTIF(#REF!,B56)</f>
        <v>#REF!</v>
      </c>
    </row>
    <row r="57" spans="2:7">
      <c r="B57" s="486">
        <v>56</v>
      </c>
      <c r="C57" s="486" t="s">
        <v>98</v>
      </c>
      <c r="D57" s="487" t="s">
        <v>943</v>
      </c>
      <c r="E57" s="41" t="s">
        <v>1381</v>
      </c>
      <c r="F57" s="42" t="s">
        <v>556</v>
      </c>
      <c r="G57" s="483" t="e">
        <f>COUNTIF(#REF!,B57)</f>
        <v>#REF!</v>
      </c>
    </row>
    <row r="58" spans="2:7">
      <c r="B58" s="486">
        <v>57</v>
      </c>
      <c r="C58" s="486" t="s">
        <v>99</v>
      </c>
      <c r="D58" s="487" t="s">
        <v>943</v>
      </c>
      <c r="E58" s="41" t="s">
        <v>1382</v>
      </c>
      <c r="F58" s="42" t="s">
        <v>557</v>
      </c>
      <c r="G58" s="483" t="e">
        <f>COUNTIF(#REF!,B58)</f>
        <v>#REF!</v>
      </c>
    </row>
    <row r="59" spans="2:7">
      <c r="B59" s="486">
        <v>58</v>
      </c>
      <c r="C59" s="486" t="s">
        <v>100</v>
      </c>
      <c r="D59" s="487" t="s">
        <v>28</v>
      </c>
      <c r="E59" s="41" t="s">
        <v>1383</v>
      </c>
      <c r="F59" s="42" t="s">
        <v>558</v>
      </c>
      <c r="G59" s="483" t="e">
        <f>COUNTIF(#REF!,B59)</f>
        <v>#REF!</v>
      </c>
    </row>
    <row r="60" spans="2:7">
      <c r="B60" s="486">
        <v>59</v>
      </c>
      <c r="C60" s="486" t="s">
        <v>101</v>
      </c>
      <c r="D60" s="487" t="s">
        <v>943</v>
      </c>
      <c r="E60" s="41" t="s">
        <v>1384</v>
      </c>
      <c r="F60" s="42" t="s">
        <v>559</v>
      </c>
      <c r="G60" s="483" t="e">
        <f>COUNTIF(#REF!,B60)</f>
        <v>#REF!</v>
      </c>
    </row>
    <row r="61" spans="2:7">
      <c r="B61" s="486">
        <v>60</v>
      </c>
      <c r="C61" s="486" t="s">
        <v>102</v>
      </c>
      <c r="D61" s="487" t="s">
        <v>944</v>
      </c>
      <c r="E61" s="41" t="s">
        <v>1385</v>
      </c>
      <c r="F61" s="42" t="s">
        <v>560</v>
      </c>
      <c r="G61" s="483" t="e">
        <f>COUNTIF(#REF!,B61)</f>
        <v>#REF!</v>
      </c>
    </row>
    <row r="62" spans="2:7">
      <c r="B62" s="486">
        <v>61</v>
      </c>
      <c r="C62" s="486" t="s">
        <v>103</v>
      </c>
      <c r="D62" s="487" t="s">
        <v>943</v>
      </c>
      <c r="E62" s="41" t="s">
        <v>1386</v>
      </c>
      <c r="F62" s="42" t="s">
        <v>561</v>
      </c>
      <c r="G62" s="483" t="e">
        <f>COUNTIF(#REF!,B62)</f>
        <v>#REF!</v>
      </c>
    </row>
    <row r="63" spans="2:7">
      <c r="B63" s="486">
        <v>62</v>
      </c>
      <c r="C63" s="486" t="s">
        <v>104</v>
      </c>
      <c r="D63" s="487" t="s">
        <v>943</v>
      </c>
      <c r="E63" s="41" t="s">
        <v>1387</v>
      </c>
      <c r="F63" s="42" t="s">
        <v>562</v>
      </c>
      <c r="G63" s="483" t="e">
        <f>COUNTIF(#REF!,B63)</f>
        <v>#REF!</v>
      </c>
    </row>
    <row r="64" spans="2:7">
      <c r="B64" s="486">
        <v>63</v>
      </c>
      <c r="C64" s="486" t="s">
        <v>105</v>
      </c>
      <c r="D64" s="487" t="s">
        <v>943</v>
      </c>
      <c r="E64" s="41" t="s">
        <v>1388</v>
      </c>
      <c r="F64" s="42" t="s">
        <v>563</v>
      </c>
      <c r="G64" s="483" t="e">
        <f>COUNTIF(#REF!,B64)</f>
        <v>#REF!</v>
      </c>
    </row>
    <row r="65" spans="2:7">
      <c r="B65" s="486">
        <v>64</v>
      </c>
      <c r="C65" s="486" t="s">
        <v>106</v>
      </c>
      <c r="D65" s="487" t="s">
        <v>943</v>
      </c>
      <c r="E65" s="41" t="s">
        <v>1389</v>
      </c>
      <c r="F65" s="42" t="s">
        <v>564</v>
      </c>
      <c r="G65" s="483" t="e">
        <f>COUNTIF(#REF!,B65)</f>
        <v>#REF!</v>
      </c>
    </row>
    <row r="66" spans="2:7">
      <c r="B66" s="486">
        <v>65</v>
      </c>
      <c r="C66" s="486" t="s">
        <v>107</v>
      </c>
      <c r="D66" s="487" t="s">
        <v>943</v>
      </c>
      <c r="E66" s="41" t="s">
        <v>1390</v>
      </c>
      <c r="F66" s="42" t="s">
        <v>565</v>
      </c>
      <c r="G66" s="483" t="e">
        <f>COUNTIF(#REF!,B66)</f>
        <v>#REF!</v>
      </c>
    </row>
    <row r="67" spans="2:7">
      <c r="B67" s="486">
        <v>66</v>
      </c>
      <c r="C67" s="486" t="s">
        <v>108</v>
      </c>
      <c r="D67" s="487" t="s">
        <v>943</v>
      </c>
      <c r="E67" s="41" t="s">
        <v>1391</v>
      </c>
      <c r="F67" s="42" t="s">
        <v>566</v>
      </c>
      <c r="G67" s="483" t="e">
        <f>COUNTIF(#REF!,B67)</f>
        <v>#REF!</v>
      </c>
    </row>
    <row r="68" spans="2:7">
      <c r="B68" s="486">
        <v>67</v>
      </c>
      <c r="C68" s="486" t="s">
        <v>109</v>
      </c>
      <c r="D68" s="487" t="s">
        <v>943</v>
      </c>
      <c r="E68" s="41" t="s">
        <v>1392</v>
      </c>
      <c r="F68" s="42" t="s">
        <v>567</v>
      </c>
      <c r="G68" s="483" t="e">
        <f>COUNTIF(#REF!,B68)</f>
        <v>#REF!</v>
      </c>
    </row>
    <row r="69" spans="2:7">
      <c r="B69" s="486">
        <v>68</v>
      </c>
      <c r="C69" s="486" t="s">
        <v>110</v>
      </c>
      <c r="D69" s="487" t="s">
        <v>28</v>
      </c>
      <c r="E69" s="41" t="s">
        <v>1393</v>
      </c>
      <c r="F69" s="42" t="s">
        <v>568</v>
      </c>
      <c r="G69" s="483" t="e">
        <f>COUNTIF(#REF!,B69)</f>
        <v>#REF!</v>
      </c>
    </row>
    <row r="70" spans="2:7">
      <c r="B70" s="486">
        <v>69</v>
      </c>
      <c r="C70" s="486" t="s">
        <v>111</v>
      </c>
      <c r="D70" s="487" t="s">
        <v>943</v>
      </c>
      <c r="E70" s="41" t="s">
        <v>1394</v>
      </c>
      <c r="F70" s="42" t="s">
        <v>569</v>
      </c>
      <c r="G70" s="483" t="e">
        <f>COUNTIF(#REF!,B70)</f>
        <v>#REF!</v>
      </c>
    </row>
    <row r="71" spans="2:7">
      <c r="B71" s="486">
        <v>70</v>
      </c>
      <c r="C71" s="486" t="s">
        <v>112</v>
      </c>
      <c r="D71" s="487" t="s">
        <v>28</v>
      </c>
      <c r="E71" s="41" t="s">
        <v>1395</v>
      </c>
      <c r="F71" s="42" t="s">
        <v>570</v>
      </c>
      <c r="G71" s="483" t="e">
        <f>COUNTIF(#REF!,B71)</f>
        <v>#REF!</v>
      </c>
    </row>
    <row r="72" spans="2:7">
      <c r="B72" s="486">
        <v>71</v>
      </c>
      <c r="C72" s="486" t="s">
        <v>113</v>
      </c>
      <c r="D72" s="487" t="s">
        <v>943</v>
      </c>
      <c r="E72" s="41" t="s">
        <v>1396</v>
      </c>
      <c r="F72" s="42" t="s">
        <v>571</v>
      </c>
      <c r="G72" s="483" t="e">
        <f>COUNTIF(#REF!,B72)</f>
        <v>#REF!</v>
      </c>
    </row>
    <row r="73" spans="2:7">
      <c r="B73" s="486">
        <v>72</v>
      </c>
      <c r="C73" s="486" t="s">
        <v>114</v>
      </c>
      <c r="D73" s="487" t="s">
        <v>29</v>
      </c>
      <c r="E73" s="41" t="s">
        <v>1397</v>
      </c>
      <c r="F73" s="42" t="s">
        <v>572</v>
      </c>
      <c r="G73" s="483" t="e">
        <f>COUNTIF(#REF!,B73)</f>
        <v>#REF!</v>
      </c>
    </row>
    <row r="74" spans="2:7">
      <c r="B74" s="486">
        <v>73</v>
      </c>
      <c r="C74" s="486" t="s">
        <v>115</v>
      </c>
      <c r="D74" s="487" t="s">
        <v>28</v>
      </c>
      <c r="E74" s="41" t="s">
        <v>1398</v>
      </c>
      <c r="F74" s="42" t="s">
        <v>573</v>
      </c>
      <c r="G74" s="483" t="e">
        <f>COUNTIF(#REF!,B74)</f>
        <v>#REF!</v>
      </c>
    </row>
    <row r="75" spans="2:7">
      <c r="B75" s="486">
        <v>74</v>
      </c>
      <c r="C75" s="486" t="s">
        <v>116</v>
      </c>
      <c r="D75" s="487" t="s">
        <v>28</v>
      </c>
      <c r="E75" s="41" t="s">
        <v>1399</v>
      </c>
      <c r="F75" s="42" t="s">
        <v>574</v>
      </c>
      <c r="G75" s="483" t="e">
        <f>COUNTIF(#REF!,B75)</f>
        <v>#REF!</v>
      </c>
    </row>
    <row r="76" spans="2:7">
      <c r="B76" s="486">
        <v>75</v>
      </c>
      <c r="C76" s="486" t="s">
        <v>117</v>
      </c>
      <c r="D76" s="487" t="s">
        <v>30</v>
      </c>
      <c r="E76" s="41" t="s">
        <v>1400</v>
      </c>
      <c r="F76" s="42" t="s">
        <v>575</v>
      </c>
      <c r="G76" s="483" t="e">
        <f>COUNTIF(#REF!,B76)</f>
        <v>#REF!</v>
      </c>
    </row>
    <row r="77" spans="2:7">
      <c r="B77" s="486">
        <v>76</v>
      </c>
      <c r="C77" s="486" t="s">
        <v>118</v>
      </c>
      <c r="D77" s="487" t="s">
        <v>28</v>
      </c>
      <c r="E77" s="41" t="s">
        <v>1401</v>
      </c>
      <c r="F77" s="42" t="s">
        <v>749</v>
      </c>
      <c r="G77" s="483" t="e">
        <f>COUNTIF(#REF!,B77)</f>
        <v>#REF!</v>
      </c>
    </row>
    <row r="78" spans="2:7">
      <c r="B78" s="486">
        <v>77</v>
      </c>
      <c r="C78" s="486" t="s">
        <v>119</v>
      </c>
      <c r="D78" s="487" t="s">
        <v>28</v>
      </c>
      <c r="E78" s="41" t="s">
        <v>1402</v>
      </c>
      <c r="F78" s="42" t="s">
        <v>576</v>
      </c>
      <c r="G78" s="483" t="e">
        <f>COUNTIF(#REF!,B78)</f>
        <v>#REF!</v>
      </c>
    </row>
    <row r="79" spans="2:7">
      <c r="B79" s="486">
        <v>78</v>
      </c>
      <c r="C79" s="486" t="s">
        <v>120</v>
      </c>
      <c r="D79" s="487" t="s">
        <v>943</v>
      </c>
      <c r="E79" s="41" t="s">
        <v>1403</v>
      </c>
      <c r="F79" s="42" t="s">
        <v>577</v>
      </c>
      <c r="G79" s="483" t="e">
        <f>COUNTIF(#REF!,B79)</f>
        <v>#REF!</v>
      </c>
    </row>
    <row r="80" spans="2:7">
      <c r="B80" s="486">
        <v>79</v>
      </c>
      <c r="C80" s="486" t="s">
        <v>121</v>
      </c>
      <c r="D80" s="487" t="s">
        <v>28</v>
      </c>
      <c r="E80" s="41" t="s">
        <v>1404</v>
      </c>
      <c r="F80" s="42" t="s">
        <v>578</v>
      </c>
      <c r="G80" s="483" t="e">
        <f>COUNTIF(#REF!,B80)</f>
        <v>#REF!</v>
      </c>
    </row>
    <row r="81" spans="2:7">
      <c r="B81" s="486">
        <v>80</v>
      </c>
      <c r="C81" s="486" t="s">
        <v>122</v>
      </c>
      <c r="D81" s="487" t="s">
        <v>943</v>
      </c>
      <c r="E81" s="41" t="s">
        <v>1405</v>
      </c>
      <c r="F81" s="42" t="s">
        <v>579</v>
      </c>
      <c r="G81" s="483" t="e">
        <f>COUNTIF(#REF!,B81)</f>
        <v>#REF!</v>
      </c>
    </row>
    <row r="82" spans="2:7">
      <c r="B82" s="486">
        <v>81</v>
      </c>
      <c r="C82" s="486" t="s">
        <v>123</v>
      </c>
      <c r="D82" s="487" t="s">
        <v>28</v>
      </c>
      <c r="E82" s="41" t="s">
        <v>1406</v>
      </c>
      <c r="F82" s="42" t="s">
        <v>580</v>
      </c>
      <c r="G82" s="483" t="e">
        <f>COUNTIF(#REF!,B82)</f>
        <v>#REF!</v>
      </c>
    </row>
    <row r="83" spans="2:7">
      <c r="B83" s="486">
        <v>82</v>
      </c>
      <c r="C83" s="486" t="s">
        <v>124</v>
      </c>
      <c r="D83" s="487" t="s">
        <v>28</v>
      </c>
      <c r="E83" s="41" t="s">
        <v>1407</v>
      </c>
      <c r="F83" s="42" t="s">
        <v>581</v>
      </c>
      <c r="G83" s="483" t="e">
        <f>COUNTIF(#REF!,B83)</f>
        <v>#REF!</v>
      </c>
    </row>
    <row r="84" spans="2:7">
      <c r="B84" s="486">
        <v>83</v>
      </c>
      <c r="C84" s="486" t="s">
        <v>125</v>
      </c>
      <c r="D84" s="487" t="s">
        <v>28</v>
      </c>
      <c r="E84" s="41" t="s">
        <v>1408</v>
      </c>
      <c r="F84" s="42" t="s">
        <v>582</v>
      </c>
      <c r="G84" s="483" t="e">
        <f>COUNTIF(#REF!,B84)</f>
        <v>#REF!</v>
      </c>
    </row>
    <row r="85" spans="2:7">
      <c r="B85" s="486">
        <v>84</v>
      </c>
      <c r="C85" s="486" t="s">
        <v>126</v>
      </c>
      <c r="D85" s="487" t="s">
        <v>30</v>
      </c>
      <c r="E85" s="41" t="s">
        <v>1409</v>
      </c>
      <c r="F85" s="42" t="s">
        <v>583</v>
      </c>
      <c r="G85" s="483" t="e">
        <f>COUNTIF(#REF!,B85)</f>
        <v>#REF!</v>
      </c>
    </row>
    <row r="86" spans="2:7">
      <c r="B86" s="486">
        <v>85</v>
      </c>
      <c r="C86" s="486" t="s">
        <v>127</v>
      </c>
      <c r="D86" s="487" t="s">
        <v>943</v>
      </c>
      <c r="E86" s="41" t="s">
        <v>1410</v>
      </c>
      <c r="F86" s="42" t="s">
        <v>1934</v>
      </c>
      <c r="G86" s="483" t="e">
        <f>COUNTIF(#REF!,B86)</f>
        <v>#REF!</v>
      </c>
    </row>
    <row r="87" spans="2:7">
      <c r="B87" s="486">
        <v>86</v>
      </c>
      <c r="C87" s="486" t="s">
        <v>128</v>
      </c>
      <c r="D87" s="487" t="s">
        <v>28</v>
      </c>
      <c r="E87" s="41" t="s">
        <v>1411</v>
      </c>
      <c r="F87" s="42" t="s">
        <v>584</v>
      </c>
      <c r="G87" s="483" t="e">
        <f>COUNTIF(#REF!,B87)</f>
        <v>#REF!</v>
      </c>
    </row>
    <row r="88" spans="2:7">
      <c r="B88" s="486">
        <v>87</v>
      </c>
      <c r="C88" s="486" t="s">
        <v>129</v>
      </c>
      <c r="D88" s="487" t="s">
        <v>943</v>
      </c>
      <c r="E88" s="41" t="s">
        <v>1412</v>
      </c>
      <c r="F88" s="42" t="s">
        <v>585</v>
      </c>
      <c r="G88" s="483" t="e">
        <f>COUNTIF(#REF!,B88)</f>
        <v>#REF!</v>
      </c>
    </row>
    <row r="89" spans="2:7">
      <c r="B89" s="486">
        <v>88</v>
      </c>
      <c r="C89" s="486" t="s">
        <v>130</v>
      </c>
      <c r="D89" s="487" t="s">
        <v>28</v>
      </c>
      <c r="E89" s="41" t="s">
        <v>1413</v>
      </c>
      <c r="F89" s="42" t="s">
        <v>586</v>
      </c>
      <c r="G89" s="483" t="e">
        <f>COUNTIF(#REF!,B89)</f>
        <v>#REF!</v>
      </c>
    </row>
    <row r="90" spans="2:7">
      <c r="B90" s="486">
        <v>89</v>
      </c>
      <c r="C90" s="486" t="s">
        <v>131</v>
      </c>
      <c r="D90" s="487" t="s">
        <v>28</v>
      </c>
      <c r="E90" s="41" t="s">
        <v>1414</v>
      </c>
      <c r="F90" s="42" t="s">
        <v>587</v>
      </c>
      <c r="G90" s="483" t="e">
        <f>COUNTIF(#REF!,B90)</f>
        <v>#REF!</v>
      </c>
    </row>
    <row r="91" spans="2:7">
      <c r="B91" s="486">
        <v>90</v>
      </c>
      <c r="C91" s="486" t="s">
        <v>132</v>
      </c>
      <c r="D91" s="487" t="s">
        <v>28</v>
      </c>
      <c r="E91" s="41" t="s">
        <v>1415</v>
      </c>
      <c r="F91" s="42" t="s">
        <v>588</v>
      </c>
      <c r="G91" s="483" t="e">
        <f>COUNTIF(#REF!,B91)</f>
        <v>#REF!</v>
      </c>
    </row>
    <row r="92" spans="2:7">
      <c r="B92" s="486">
        <v>91</v>
      </c>
      <c r="C92" s="486" t="s">
        <v>133</v>
      </c>
      <c r="D92" s="487" t="e">
        <v>#VALUE!</v>
      </c>
      <c r="E92" s="41" t="s">
        <v>1416</v>
      </c>
      <c r="F92" s="42" t="s">
        <v>1935</v>
      </c>
      <c r="G92" s="483" t="e">
        <f>COUNTIF(#REF!,B92)</f>
        <v>#REF!</v>
      </c>
    </row>
    <row r="93" spans="2:7">
      <c r="B93" s="486">
        <v>92</v>
      </c>
      <c r="C93" s="486" t="s">
        <v>134</v>
      </c>
      <c r="D93" s="487" t="s">
        <v>943</v>
      </c>
      <c r="E93" s="41" t="s">
        <v>1417</v>
      </c>
      <c r="F93" s="42" t="s">
        <v>1936</v>
      </c>
      <c r="G93" s="483" t="e">
        <f>COUNTIF(#REF!,B93)</f>
        <v>#REF!</v>
      </c>
    </row>
    <row r="94" spans="2:7">
      <c r="B94" s="486">
        <v>93</v>
      </c>
      <c r="C94" s="486" t="s">
        <v>135</v>
      </c>
      <c r="D94" s="487" t="s">
        <v>29</v>
      </c>
      <c r="E94" s="41" t="s">
        <v>1418</v>
      </c>
      <c r="F94" s="42" t="s">
        <v>589</v>
      </c>
      <c r="G94" s="483" t="e">
        <f>COUNTIF(#REF!,B94)</f>
        <v>#REF!</v>
      </c>
    </row>
    <row r="95" spans="2:7">
      <c r="B95" s="486">
        <v>94</v>
      </c>
      <c r="C95" s="486" t="s">
        <v>136</v>
      </c>
      <c r="D95" s="487" t="s">
        <v>28</v>
      </c>
      <c r="E95" s="41" t="s">
        <v>1419</v>
      </c>
      <c r="F95" s="42" t="s">
        <v>590</v>
      </c>
      <c r="G95" s="483" t="e">
        <f>COUNTIF(#REF!,B95)</f>
        <v>#REF!</v>
      </c>
    </row>
    <row r="96" spans="2:7">
      <c r="B96" s="486">
        <v>95</v>
      </c>
      <c r="C96" s="486" t="s">
        <v>137</v>
      </c>
      <c r="D96" s="487" t="s">
        <v>28</v>
      </c>
      <c r="E96" s="41" t="s">
        <v>1420</v>
      </c>
      <c r="F96" s="42" t="s">
        <v>591</v>
      </c>
      <c r="G96" s="483" t="e">
        <f>COUNTIF(#REF!,B96)</f>
        <v>#REF!</v>
      </c>
    </row>
    <row r="97" spans="2:7">
      <c r="B97" s="486">
        <v>96</v>
      </c>
      <c r="C97" s="486" t="s">
        <v>138</v>
      </c>
      <c r="D97" s="487" t="s">
        <v>28</v>
      </c>
      <c r="E97" s="41" t="s">
        <v>1421</v>
      </c>
      <c r="F97" s="42" t="s">
        <v>592</v>
      </c>
      <c r="G97" s="483" t="e">
        <f>COUNTIF(#REF!,B97)</f>
        <v>#REF!</v>
      </c>
    </row>
    <row r="98" spans="2:7">
      <c r="B98" s="486">
        <v>97</v>
      </c>
      <c r="C98" s="486" t="s">
        <v>139</v>
      </c>
      <c r="D98" s="487" t="s">
        <v>28</v>
      </c>
      <c r="E98" s="41" t="s">
        <v>1422</v>
      </c>
      <c r="F98" s="42" t="s">
        <v>1937</v>
      </c>
      <c r="G98" s="483" t="e">
        <f>COUNTIF(#REF!,B98)</f>
        <v>#REF!</v>
      </c>
    </row>
    <row r="99" spans="2:7">
      <c r="B99" s="486">
        <v>98</v>
      </c>
      <c r="C99" s="486" t="s">
        <v>140</v>
      </c>
      <c r="D99" s="487" t="s">
        <v>29</v>
      </c>
      <c r="E99" s="41" t="s">
        <v>1423</v>
      </c>
      <c r="F99" s="42" t="s">
        <v>593</v>
      </c>
      <c r="G99" s="483" t="e">
        <f>COUNTIF(#REF!,B99)</f>
        <v>#REF!</v>
      </c>
    </row>
    <row r="100" spans="2:7">
      <c r="B100" s="486">
        <v>99</v>
      </c>
      <c r="C100" s="486" t="s">
        <v>141</v>
      </c>
      <c r="D100" s="487" t="s">
        <v>29</v>
      </c>
      <c r="E100" s="41" t="s">
        <v>1424</v>
      </c>
      <c r="F100" s="42" t="s">
        <v>594</v>
      </c>
      <c r="G100" s="483" t="e">
        <f>COUNTIF(#REF!,B100)</f>
        <v>#REF!</v>
      </c>
    </row>
    <row r="101" spans="2:7">
      <c r="B101" s="486">
        <v>100</v>
      </c>
      <c r="C101" s="486" t="s">
        <v>142</v>
      </c>
      <c r="D101" s="487" t="s">
        <v>943</v>
      </c>
      <c r="E101" s="41" t="s">
        <v>1425</v>
      </c>
      <c r="F101" s="42" t="s">
        <v>595</v>
      </c>
      <c r="G101" s="483" t="e">
        <f>COUNTIF(#REF!,B101)</f>
        <v>#REF!</v>
      </c>
    </row>
    <row r="102" spans="2:7">
      <c r="B102" s="486">
        <v>101</v>
      </c>
      <c r="C102" s="486" t="s">
        <v>143</v>
      </c>
      <c r="D102" s="487" t="s">
        <v>28</v>
      </c>
      <c r="E102" s="41" t="s">
        <v>1426</v>
      </c>
      <c r="F102" s="42" t="s">
        <v>596</v>
      </c>
      <c r="G102" s="483" t="e">
        <f>COUNTIF(#REF!,B102)</f>
        <v>#REF!</v>
      </c>
    </row>
    <row r="103" spans="2:7">
      <c r="B103" s="486">
        <v>102</v>
      </c>
      <c r="C103" s="486" t="s">
        <v>144</v>
      </c>
      <c r="D103" s="487" t="s">
        <v>29</v>
      </c>
      <c r="E103" s="41" t="s">
        <v>1427</v>
      </c>
      <c r="F103" s="42" t="s">
        <v>597</v>
      </c>
      <c r="G103" s="483" t="e">
        <f>COUNTIF(#REF!,B103)</f>
        <v>#REF!</v>
      </c>
    </row>
    <row r="104" spans="2:7">
      <c r="B104" s="486">
        <v>103</v>
      </c>
      <c r="C104" s="486" t="s">
        <v>145</v>
      </c>
      <c r="D104" s="487" t="s">
        <v>30</v>
      </c>
      <c r="E104" s="41" t="s">
        <v>1428</v>
      </c>
      <c r="F104" s="42" t="s">
        <v>598</v>
      </c>
      <c r="G104" s="483" t="e">
        <f>COUNTIF(#REF!,B104)</f>
        <v>#REF!</v>
      </c>
    </row>
    <row r="105" spans="2:7">
      <c r="B105" s="486">
        <v>104</v>
      </c>
      <c r="C105" s="486" t="s">
        <v>146</v>
      </c>
      <c r="D105" s="487" t="s">
        <v>30</v>
      </c>
      <c r="E105" s="41" t="s">
        <v>1429</v>
      </c>
      <c r="F105" s="42" t="s">
        <v>1938</v>
      </c>
      <c r="G105" s="483" t="e">
        <f>COUNTIF(#REF!,B105)</f>
        <v>#REF!</v>
      </c>
    </row>
    <row r="106" spans="2:7">
      <c r="B106" s="486">
        <v>105</v>
      </c>
      <c r="C106" s="486" t="s">
        <v>147</v>
      </c>
      <c r="D106" s="487" t="s">
        <v>30</v>
      </c>
      <c r="E106" s="41" t="s">
        <v>1430</v>
      </c>
      <c r="F106" s="42" t="s">
        <v>599</v>
      </c>
      <c r="G106" s="483" t="e">
        <f>COUNTIF(#REF!,B106)</f>
        <v>#REF!</v>
      </c>
    </row>
    <row r="107" spans="2:7">
      <c r="B107" s="486">
        <v>106</v>
      </c>
      <c r="C107" s="486" t="s">
        <v>148</v>
      </c>
      <c r="D107" s="487" t="s">
        <v>944</v>
      </c>
      <c r="E107" s="41" t="s">
        <v>1431</v>
      </c>
      <c r="F107" s="42" t="s">
        <v>1939</v>
      </c>
      <c r="G107" s="483" t="e">
        <f>COUNTIF(#REF!,B107)</f>
        <v>#REF!</v>
      </c>
    </row>
    <row r="108" spans="2:7">
      <c r="B108" s="486">
        <v>107</v>
      </c>
      <c r="C108" s="486" t="s">
        <v>149</v>
      </c>
      <c r="D108" s="487" t="s">
        <v>943</v>
      </c>
      <c r="E108" s="41" t="s">
        <v>1432</v>
      </c>
      <c r="F108" s="42" t="s">
        <v>600</v>
      </c>
      <c r="G108" s="483" t="e">
        <f>COUNTIF(#REF!,B108)</f>
        <v>#REF!</v>
      </c>
    </row>
    <row r="109" spans="2:7">
      <c r="B109" s="486">
        <v>108</v>
      </c>
      <c r="C109" s="486" t="s">
        <v>150</v>
      </c>
      <c r="D109" s="487" t="s">
        <v>943</v>
      </c>
      <c r="E109" s="41" t="s">
        <v>1433</v>
      </c>
      <c r="F109" s="42" t="s">
        <v>601</v>
      </c>
      <c r="G109" s="483" t="e">
        <f>COUNTIF(#REF!,B109)</f>
        <v>#REF!</v>
      </c>
    </row>
    <row r="110" spans="2:7">
      <c r="B110" s="486">
        <v>109</v>
      </c>
      <c r="C110" s="486" t="s">
        <v>151</v>
      </c>
      <c r="D110" s="487" t="s">
        <v>943</v>
      </c>
      <c r="E110" s="41" t="s">
        <v>1434</v>
      </c>
      <c r="F110" s="42" t="s">
        <v>602</v>
      </c>
      <c r="G110" s="483" t="e">
        <f>COUNTIF(#REF!,B110)</f>
        <v>#REF!</v>
      </c>
    </row>
    <row r="111" spans="2:7">
      <c r="B111" s="486">
        <v>110</v>
      </c>
      <c r="C111" s="486" t="s">
        <v>152</v>
      </c>
      <c r="D111" s="487" t="s">
        <v>943</v>
      </c>
      <c r="E111" s="41" t="s">
        <v>1435</v>
      </c>
      <c r="F111" s="42" t="s">
        <v>603</v>
      </c>
      <c r="G111" s="483" t="e">
        <f>COUNTIF(#REF!,B111)</f>
        <v>#REF!</v>
      </c>
    </row>
    <row r="112" spans="2:7">
      <c r="B112" s="486">
        <v>111</v>
      </c>
      <c r="C112" s="486" t="s">
        <v>153</v>
      </c>
      <c r="D112" s="487" t="s">
        <v>943</v>
      </c>
      <c r="E112" s="41" t="s">
        <v>1436</v>
      </c>
      <c r="F112" s="42" t="s">
        <v>604</v>
      </c>
      <c r="G112" s="483" t="e">
        <f>COUNTIF(#REF!,B112)</f>
        <v>#REF!</v>
      </c>
    </row>
    <row r="113" spans="2:7">
      <c r="B113" s="486">
        <v>112</v>
      </c>
      <c r="C113" s="486" t="s">
        <v>154</v>
      </c>
      <c r="D113" s="487" t="s">
        <v>943</v>
      </c>
      <c r="E113" s="41" t="s">
        <v>1437</v>
      </c>
      <c r="F113" s="42" t="s">
        <v>605</v>
      </c>
      <c r="G113" s="483" t="e">
        <f>COUNTIF(#REF!,B113)</f>
        <v>#REF!</v>
      </c>
    </row>
    <row r="114" spans="2:7">
      <c r="B114" s="486">
        <v>113</v>
      </c>
      <c r="C114" s="486" t="s">
        <v>155</v>
      </c>
      <c r="D114" s="487" t="s">
        <v>945</v>
      </c>
      <c r="E114" s="41" t="s">
        <v>1438</v>
      </c>
      <c r="F114" s="42" t="s">
        <v>606</v>
      </c>
      <c r="G114" s="483" t="e">
        <f>COUNTIF(#REF!,B114)</f>
        <v>#REF!</v>
      </c>
    </row>
    <row r="115" spans="2:7">
      <c r="B115" s="486">
        <v>114</v>
      </c>
      <c r="C115" s="486" t="s">
        <v>156</v>
      </c>
      <c r="D115" s="487" t="s">
        <v>29</v>
      </c>
      <c r="E115" s="41" t="s">
        <v>1439</v>
      </c>
      <c r="F115" s="42" t="s">
        <v>607</v>
      </c>
      <c r="G115" s="483" t="e">
        <f>COUNTIF(#REF!,B115)</f>
        <v>#REF!</v>
      </c>
    </row>
    <row r="116" spans="2:7">
      <c r="B116" s="486">
        <v>115</v>
      </c>
      <c r="C116" s="486" t="s">
        <v>157</v>
      </c>
      <c r="D116" s="487" t="s">
        <v>943</v>
      </c>
      <c r="E116" s="41" t="s">
        <v>1440</v>
      </c>
      <c r="F116" s="42" t="s">
        <v>608</v>
      </c>
      <c r="G116" s="483" t="e">
        <f>COUNTIF(#REF!,B116)</f>
        <v>#REF!</v>
      </c>
    </row>
    <row r="117" spans="2:7">
      <c r="B117" s="486">
        <v>116</v>
      </c>
      <c r="C117" s="486" t="s">
        <v>158</v>
      </c>
      <c r="D117" s="487" t="s">
        <v>943</v>
      </c>
      <c r="E117" s="41" t="s">
        <v>1441</v>
      </c>
      <c r="F117" s="42" t="s">
        <v>609</v>
      </c>
      <c r="G117" s="483" t="e">
        <f>COUNTIF(#REF!,B117)</f>
        <v>#REF!</v>
      </c>
    </row>
    <row r="118" spans="2:7">
      <c r="B118" s="486">
        <v>117</v>
      </c>
      <c r="C118" s="486" t="s">
        <v>159</v>
      </c>
      <c r="D118" s="487" t="s">
        <v>943</v>
      </c>
      <c r="E118" s="41" t="s">
        <v>1442</v>
      </c>
      <c r="F118" s="42" t="s">
        <v>610</v>
      </c>
      <c r="G118" s="483" t="e">
        <f>COUNTIF(#REF!,B118)</f>
        <v>#REF!</v>
      </c>
    </row>
    <row r="119" spans="2:7">
      <c r="B119" s="486">
        <v>118</v>
      </c>
      <c r="C119" s="486" t="s">
        <v>160</v>
      </c>
      <c r="D119" s="487" t="s">
        <v>28</v>
      </c>
      <c r="E119" s="41" t="s">
        <v>1405</v>
      </c>
      <c r="F119" s="42" t="s">
        <v>611</v>
      </c>
      <c r="G119" s="483" t="e">
        <f>COUNTIF(#REF!,B119)</f>
        <v>#REF!</v>
      </c>
    </row>
    <row r="120" spans="2:7">
      <c r="B120" s="486">
        <v>119</v>
      </c>
      <c r="C120" s="486" t="s">
        <v>161</v>
      </c>
      <c r="D120" s="487" t="s">
        <v>28</v>
      </c>
      <c r="E120" s="41" t="s">
        <v>1443</v>
      </c>
      <c r="F120" s="42" t="s">
        <v>612</v>
      </c>
      <c r="G120" s="483" t="e">
        <f>COUNTIF(#REF!,B120)</f>
        <v>#REF!</v>
      </c>
    </row>
    <row r="121" spans="2:7">
      <c r="B121" s="486">
        <v>120</v>
      </c>
      <c r="C121" s="486" t="s">
        <v>162</v>
      </c>
      <c r="D121" s="487" t="s">
        <v>28</v>
      </c>
      <c r="E121" s="41" t="s">
        <v>1444</v>
      </c>
      <c r="F121" s="42" t="s">
        <v>613</v>
      </c>
      <c r="G121" s="483" t="e">
        <f>COUNTIF(#REF!,B121)</f>
        <v>#REF!</v>
      </c>
    </row>
    <row r="122" spans="2:7">
      <c r="B122" s="486">
        <v>121</v>
      </c>
      <c r="C122" s="486" t="s">
        <v>163</v>
      </c>
      <c r="D122" s="487" t="s">
        <v>943</v>
      </c>
      <c r="E122" s="41" t="s">
        <v>1445</v>
      </c>
      <c r="F122" s="42" t="s">
        <v>614</v>
      </c>
      <c r="G122" s="483" t="e">
        <f>COUNTIF(#REF!,B122)</f>
        <v>#REF!</v>
      </c>
    </row>
    <row r="123" spans="2:7">
      <c r="B123" s="486">
        <v>122</v>
      </c>
      <c r="C123" s="486" t="s">
        <v>164</v>
      </c>
      <c r="D123" s="487" t="s">
        <v>945</v>
      </c>
      <c r="E123" s="41" t="s">
        <v>1446</v>
      </c>
      <c r="F123" s="42" t="s">
        <v>615</v>
      </c>
      <c r="G123" s="483" t="e">
        <f>COUNTIF(#REF!,B123)</f>
        <v>#REF!</v>
      </c>
    </row>
    <row r="124" spans="2:7">
      <c r="B124" s="486">
        <v>123</v>
      </c>
      <c r="C124" s="486" t="s">
        <v>165</v>
      </c>
      <c r="D124" s="487" t="s">
        <v>28</v>
      </c>
      <c r="E124" s="41" t="s">
        <v>1447</v>
      </c>
      <c r="F124" s="42" t="s">
        <v>616</v>
      </c>
      <c r="G124" s="483" t="e">
        <f>COUNTIF(#REF!,B124)</f>
        <v>#REF!</v>
      </c>
    </row>
    <row r="125" spans="2:7">
      <c r="B125" s="486">
        <v>124</v>
      </c>
      <c r="C125" s="486" t="s">
        <v>166</v>
      </c>
      <c r="D125" s="487" t="s">
        <v>943</v>
      </c>
      <c r="E125" s="41" t="s">
        <v>1448</v>
      </c>
      <c r="F125" s="42" t="s">
        <v>617</v>
      </c>
      <c r="G125" s="483" t="e">
        <f>COUNTIF(#REF!,B125)</f>
        <v>#REF!</v>
      </c>
    </row>
    <row r="126" spans="2:7">
      <c r="B126" s="486">
        <v>125</v>
      </c>
      <c r="C126" s="486" t="s">
        <v>167</v>
      </c>
      <c r="D126" s="487" t="s">
        <v>943</v>
      </c>
      <c r="E126" s="41" t="s">
        <v>1449</v>
      </c>
      <c r="F126" s="42" t="s">
        <v>618</v>
      </c>
      <c r="G126" s="483" t="e">
        <f>COUNTIF(#REF!,B126)</f>
        <v>#REF!</v>
      </c>
    </row>
    <row r="127" spans="2:7">
      <c r="B127" s="486">
        <v>126</v>
      </c>
      <c r="C127" s="486" t="s">
        <v>168</v>
      </c>
      <c r="D127" s="487" t="s">
        <v>943</v>
      </c>
      <c r="E127" s="41" t="s">
        <v>1450</v>
      </c>
      <c r="F127" s="42" t="s">
        <v>1940</v>
      </c>
      <c r="G127" s="483" t="e">
        <f>COUNTIF(#REF!,B127)</f>
        <v>#REF!</v>
      </c>
    </row>
    <row r="128" spans="2:7">
      <c r="B128" s="486">
        <v>127</v>
      </c>
      <c r="C128" s="486" t="s">
        <v>169</v>
      </c>
      <c r="D128" s="487" t="s">
        <v>28</v>
      </c>
      <c r="E128" s="41" t="s">
        <v>1451</v>
      </c>
      <c r="F128" s="42" t="s">
        <v>619</v>
      </c>
      <c r="G128" s="483" t="e">
        <f>COUNTIF(#REF!,B128)</f>
        <v>#REF!</v>
      </c>
    </row>
    <row r="129" spans="2:7">
      <c r="B129" s="486">
        <v>128</v>
      </c>
      <c r="C129" s="486" t="s">
        <v>170</v>
      </c>
      <c r="D129" s="487" t="s">
        <v>943</v>
      </c>
      <c r="E129" s="41" t="s">
        <v>1452</v>
      </c>
      <c r="F129" s="42" t="s">
        <v>1941</v>
      </c>
      <c r="G129" s="483" t="e">
        <f>COUNTIF(#REF!,B129)</f>
        <v>#REF!</v>
      </c>
    </row>
    <row r="130" spans="2:7">
      <c r="B130" s="486">
        <v>129</v>
      </c>
      <c r="C130" s="486" t="s">
        <v>171</v>
      </c>
      <c r="D130" s="487" t="s">
        <v>943</v>
      </c>
      <c r="E130" s="41" t="s">
        <v>1453</v>
      </c>
      <c r="F130" s="42" t="s">
        <v>1942</v>
      </c>
      <c r="G130" s="483" t="e">
        <f>COUNTIF(#REF!,B130)</f>
        <v>#REF!</v>
      </c>
    </row>
    <row r="131" spans="2:7">
      <c r="B131" s="486">
        <v>130</v>
      </c>
      <c r="C131" s="486" t="s">
        <v>172</v>
      </c>
      <c r="D131" s="487" t="s">
        <v>943</v>
      </c>
      <c r="E131" s="41" t="s">
        <v>1454</v>
      </c>
      <c r="F131" s="42" t="s">
        <v>1943</v>
      </c>
      <c r="G131" s="483" t="e">
        <f>COUNTIF(#REF!,B131)</f>
        <v>#REF!</v>
      </c>
    </row>
    <row r="132" spans="2:7">
      <c r="B132" s="486">
        <v>131</v>
      </c>
      <c r="C132" s="486" t="s">
        <v>173</v>
      </c>
      <c r="D132" s="487" t="s">
        <v>943</v>
      </c>
      <c r="E132" s="41" t="s">
        <v>1455</v>
      </c>
      <c r="F132" s="42" t="s">
        <v>620</v>
      </c>
      <c r="G132" s="483" t="e">
        <f>COUNTIF(#REF!,B132)</f>
        <v>#REF!</v>
      </c>
    </row>
    <row r="133" spans="2:7">
      <c r="B133" s="486">
        <v>132</v>
      </c>
      <c r="C133" s="486" t="s">
        <v>174</v>
      </c>
      <c r="D133" s="487" t="s">
        <v>29</v>
      </c>
      <c r="E133" s="41" t="s">
        <v>1456</v>
      </c>
      <c r="F133" s="42" t="s">
        <v>621</v>
      </c>
      <c r="G133" s="483" t="e">
        <f>COUNTIF(#REF!,B133)</f>
        <v>#REF!</v>
      </c>
    </row>
    <row r="134" spans="2:7">
      <c r="B134" s="486">
        <v>133</v>
      </c>
      <c r="C134" s="486" t="s">
        <v>175</v>
      </c>
      <c r="D134" s="487" t="e">
        <v>#VALUE!</v>
      </c>
      <c r="E134" s="41" t="s">
        <v>1457</v>
      </c>
      <c r="F134" s="42" t="s">
        <v>622</v>
      </c>
      <c r="G134" s="483" t="e">
        <f>COUNTIF(#REF!,B134)</f>
        <v>#REF!</v>
      </c>
    </row>
    <row r="135" spans="2:7">
      <c r="B135" s="486">
        <v>134</v>
      </c>
      <c r="C135" s="486" t="s">
        <v>176</v>
      </c>
      <c r="D135" s="487" t="s">
        <v>943</v>
      </c>
      <c r="E135" s="41" t="s">
        <v>1458</v>
      </c>
      <c r="F135" s="42" t="s">
        <v>623</v>
      </c>
      <c r="G135" s="483" t="e">
        <f>COUNTIF(#REF!,B135)</f>
        <v>#REF!</v>
      </c>
    </row>
    <row r="136" spans="2:7">
      <c r="B136" s="486">
        <v>135</v>
      </c>
      <c r="C136" s="486" t="s">
        <v>177</v>
      </c>
      <c r="D136" s="487" t="s">
        <v>943</v>
      </c>
      <c r="E136" s="41" t="s">
        <v>1459</v>
      </c>
      <c r="F136" s="42" t="s">
        <v>1944</v>
      </c>
      <c r="G136" s="483" t="e">
        <f>COUNTIF(#REF!,B136)</f>
        <v>#REF!</v>
      </c>
    </row>
    <row r="137" spans="2:7">
      <c r="B137" s="486">
        <v>136</v>
      </c>
      <c r="C137" s="486" t="s">
        <v>178</v>
      </c>
      <c r="D137" s="487" t="s">
        <v>943</v>
      </c>
      <c r="E137" s="41" t="s">
        <v>1460</v>
      </c>
      <c r="F137" s="42" t="s">
        <v>624</v>
      </c>
      <c r="G137" s="483" t="e">
        <f>COUNTIF(#REF!,B137)</f>
        <v>#REF!</v>
      </c>
    </row>
    <row r="138" spans="2:7">
      <c r="B138" s="486">
        <v>137</v>
      </c>
      <c r="C138" s="486" t="s">
        <v>179</v>
      </c>
      <c r="D138" s="487" t="s">
        <v>944</v>
      </c>
      <c r="E138" s="41" t="s">
        <v>1461</v>
      </c>
      <c r="F138" s="42" t="s">
        <v>625</v>
      </c>
      <c r="G138" s="483" t="e">
        <f>COUNTIF(#REF!,B138)</f>
        <v>#REF!</v>
      </c>
    </row>
    <row r="139" spans="2:7">
      <c r="B139" s="486">
        <v>138</v>
      </c>
      <c r="C139" s="486" t="s">
        <v>180</v>
      </c>
      <c r="D139" s="487" t="s">
        <v>944</v>
      </c>
      <c r="E139" s="41" t="s">
        <v>1462</v>
      </c>
      <c r="F139" s="42" t="s">
        <v>626</v>
      </c>
      <c r="G139" s="483" t="e">
        <f>COUNTIF(#REF!,B139)</f>
        <v>#REF!</v>
      </c>
    </row>
    <row r="140" spans="2:7">
      <c r="B140" s="486">
        <v>139</v>
      </c>
      <c r="C140" s="486" t="s">
        <v>181</v>
      </c>
      <c r="D140" s="487" t="s">
        <v>944</v>
      </c>
      <c r="E140" s="41" t="s">
        <v>1463</v>
      </c>
      <c r="F140" s="42" t="s">
        <v>627</v>
      </c>
      <c r="G140" s="483" t="e">
        <f>COUNTIF(#REF!,B140)</f>
        <v>#REF!</v>
      </c>
    </row>
    <row r="141" spans="2:7">
      <c r="B141" s="486">
        <v>140</v>
      </c>
      <c r="C141" s="486" t="s">
        <v>182</v>
      </c>
      <c r="D141" s="487" t="s">
        <v>944</v>
      </c>
      <c r="E141" s="41" t="s">
        <v>1464</v>
      </c>
      <c r="F141" s="42" t="s">
        <v>628</v>
      </c>
      <c r="G141" s="483" t="e">
        <f>COUNTIF(#REF!,B141)</f>
        <v>#REF!</v>
      </c>
    </row>
    <row r="142" spans="2:7">
      <c r="B142" s="486">
        <v>141</v>
      </c>
      <c r="C142" s="486" t="s">
        <v>183</v>
      </c>
      <c r="D142" s="487" t="s">
        <v>944</v>
      </c>
      <c r="E142" s="41" t="s">
        <v>1465</v>
      </c>
      <c r="F142" s="42" t="s">
        <v>629</v>
      </c>
      <c r="G142" s="483" t="e">
        <f>COUNTIF(#REF!,B142)</f>
        <v>#REF!</v>
      </c>
    </row>
    <row r="143" spans="2:7">
      <c r="B143" s="486">
        <v>142</v>
      </c>
      <c r="C143" s="486" t="s">
        <v>184</v>
      </c>
      <c r="D143" s="487" t="s">
        <v>944</v>
      </c>
      <c r="E143" s="41" t="s">
        <v>1466</v>
      </c>
      <c r="F143" s="42" t="s">
        <v>630</v>
      </c>
      <c r="G143" s="483" t="e">
        <f>COUNTIF(#REF!,B143)</f>
        <v>#REF!</v>
      </c>
    </row>
    <row r="144" spans="2:7">
      <c r="B144" s="486">
        <v>143</v>
      </c>
      <c r="C144" s="486" t="s">
        <v>185</v>
      </c>
      <c r="D144" s="487" t="s">
        <v>944</v>
      </c>
      <c r="E144" s="41" t="s">
        <v>1467</v>
      </c>
      <c r="F144" s="42" t="s">
        <v>631</v>
      </c>
      <c r="G144" s="483" t="e">
        <f>COUNTIF(#REF!,B144)</f>
        <v>#REF!</v>
      </c>
    </row>
    <row r="145" spans="2:7">
      <c r="B145" s="486">
        <v>144</v>
      </c>
      <c r="C145" s="486" t="s">
        <v>186</v>
      </c>
      <c r="D145" s="487" t="s">
        <v>944</v>
      </c>
      <c r="E145" s="41" t="s">
        <v>1468</v>
      </c>
      <c r="F145" s="42" t="s">
        <v>632</v>
      </c>
      <c r="G145" s="483" t="e">
        <f>COUNTIF(#REF!,B145)</f>
        <v>#REF!</v>
      </c>
    </row>
    <row r="146" spans="2:7">
      <c r="B146" s="486">
        <v>145</v>
      </c>
      <c r="C146" s="486" t="s">
        <v>187</v>
      </c>
      <c r="D146" s="487" t="s">
        <v>944</v>
      </c>
      <c r="E146" s="41" t="s">
        <v>1469</v>
      </c>
      <c r="F146" s="42" t="s">
        <v>633</v>
      </c>
      <c r="G146" s="483" t="e">
        <f>COUNTIF(#REF!,B146)</f>
        <v>#REF!</v>
      </c>
    </row>
    <row r="147" spans="2:7">
      <c r="B147" s="486">
        <v>146</v>
      </c>
      <c r="C147" s="486" t="s">
        <v>188</v>
      </c>
      <c r="D147" s="487" t="s">
        <v>944</v>
      </c>
      <c r="E147" s="41" t="s">
        <v>1470</v>
      </c>
      <c r="F147" s="42" t="s">
        <v>634</v>
      </c>
      <c r="G147" s="483" t="e">
        <f>COUNTIF(#REF!,B147)</f>
        <v>#REF!</v>
      </c>
    </row>
    <row r="148" spans="2:7">
      <c r="B148" s="486">
        <v>147</v>
      </c>
      <c r="C148" s="486" t="s">
        <v>189</v>
      </c>
      <c r="D148" s="487" t="s">
        <v>944</v>
      </c>
      <c r="E148" s="41" t="s">
        <v>1471</v>
      </c>
      <c r="F148" s="42" t="s">
        <v>635</v>
      </c>
      <c r="G148" s="483" t="e">
        <f>COUNTIF(#REF!,B148)</f>
        <v>#REF!</v>
      </c>
    </row>
    <row r="149" spans="2:7">
      <c r="B149" s="486">
        <v>148</v>
      </c>
      <c r="C149" s="486" t="s">
        <v>190</v>
      </c>
      <c r="D149" s="487" t="s">
        <v>944</v>
      </c>
      <c r="E149" s="41" t="s">
        <v>1472</v>
      </c>
      <c r="F149" s="42" t="s">
        <v>636</v>
      </c>
      <c r="G149" s="483" t="e">
        <f>COUNTIF(#REF!,B149)</f>
        <v>#REF!</v>
      </c>
    </row>
    <row r="150" spans="2:7">
      <c r="B150" s="486">
        <v>149</v>
      </c>
      <c r="C150" s="486" t="s">
        <v>191</v>
      </c>
      <c r="D150" s="487" t="s">
        <v>944</v>
      </c>
      <c r="E150" s="41" t="s">
        <v>1473</v>
      </c>
      <c r="F150" s="42" t="s">
        <v>637</v>
      </c>
      <c r="G150" s="483" t="e">
        <f>COUNTIF(#REF!,B150)</f>
        <v>#REF!</v>
      </c>
    </row>
    <row r="151" spans="2:7">
      <c r="B151" s="486">
        <v>150</v>
      </c>
      <c r="C151" s="486" t="s">
        <v>192</v>
      </c>
      <c r="D151" s="487" t="s">
        <v>944</v>
      </c>
      <c r="E151" s="41" t="s">
        <v>1474</v>
      </c>
      <c r="F151" s="42" t="s">
        <v>638</v>
      </c>
      <c r="G151" s="483" t="e">
        <f>COUNTIF(#REF!,B151)</f>
        <v>#REF!</v>
      </c>
    </row>
    <row r="152" spans="2:7">
      <c r="B152" s="486">
        <v>151</v>
      </c>
      <c r="C152" s="486" t="s">
        <v>193</v>
      </c>
      <c r="D152" s="487" t="s">
        <v>944</v>
      </c>
      <c r="E152" s="41" t="s">
        <v>1475</v>
      </c>
      <c r="F152" s="42" t="s">
        <v>639</v>
      </c>
      <c r="G152" s="483" t="e">
        <f>COUNTIF(#REF!,B152)</f>
        <v>#REF!</v>
      </c>
    </row>
    <row r="153" spans="2:7">
      <c r="B153" s="486">
        <v>152</v>
      </c>
      <c r="C153" s="486" t="s">
        <v>194</v>
      </c>
      <c r="D153" s="487" t="s">
        <v>944</v>
      </c>
      <c r="E153" s="41" t="s">
        <v>1476</v>
      </c>
      <c r="F153" s="42" t="s">
        <v>640</v>
      </c>
      <c r="G153" s="483" t="e">
        <f>COUNTIF(#REF!,B153)</f>
        <v>#REF!</v>
      </c>
    </row>
    <row r="154" spans="2:7">
      <c r="B154" s="486">
        <v>153</v>
      </c>
      <c r="C154" s="486" t="s">
        <v>195</v>
      </c>
      <c r="D154" s="487" t="s">
        <v>944</v>
      </c>
      <c r="E154" s="41" t="s">
        <v>1477</v>
      </c>
      <c r="F154" s="42" t="s">
        <v>641</v>
      </c>
      <c r="G154" s="483" t="e">
        <f>COUNTIF(#REF!,B154)</f>
        <v>#REF!</v>
      </c>
    </row>
    <row r="155" spans="2:7">
      <c r="B155" s="486">
        <v>154</v>
      </c>
      <c r="C155" s="486" t="s">
        <v>196</v>
      </c>
      <c r="D155" s="487" t="s">
        <v>944</v>
      </c>
      <c r="E155" s="41" t="s">
        <v>1478</v>
      </c>
      <c r="F155" s="42" t="s">
        <v>642</v>
      </c>
      <c r="G155" s="483" t="e">
        <f>COUNTIF(#REF!,B155)</f>
        <v>#REF!</v>
      </c>
    </row>
    <row r="156" spans="2:7">
      <c r="B156" s="486">
        <v>155</v>
      </c>
      <c r="C156" s="486" t="s">
        <v>197</v>
      </c>
      <c r="D156" s="487" t="s">
        <v>944</v>
      </c>
      <c r="E156" s="41" t="s">
        <v>1479</v>
      </c>
      <c r="F156" s="42" t="s">
        <v>643</v>
      </c>
      <c r="G156" s="483" t="e">
        <f>COUNTIF(#REF!,B156)</f>
        <v>#REF!</v>
      </c>
    </row>
    <row r="157" spans="2:7">
      <c r="B157" s="486">
        <v>156</v>
      </c>
      <c r="C157" s="486" t="s">
        <v>198</v>
      </c>
      <c r="D157" s="487" t="s">
        <v>944</v>
      </c>
      <c r="E157" s="41" t="s">
        <v>1480</v>
      </c>
      <c r="F157" s="42" t="s">
        <v>644</v>
      </c>
      <c r="G157" s="483" t="e">
        <f>COUNTIF(#REF!,B157)</f>
        <v>#REF!</v>
      </c>
    </row>
    <row r="158" spans="2:7">
      <c r="B158" s="486">
        <v>157</v>
      </c>
      <c r="C158" s="486" t="s">
        <v>199</v>
      </c>
      <c r="D158" s="487" t="s">
        <v>30</v>
      </c>
      <c r="E158" s="41" t="s">
        <v>1481</v>
      </c>
      <c r="F158" s="42" t="s">
        <v>645</v>
      </c>
      <c r="G158" s="483" t="e">
        <f>COUNTIF(#REF!,B158)</f>
        <v>#REF!</v>
      </c>
    </row>
    <row r="159" spans="2:7">
      <c r="B159" s="486">
        <v>158</v>
      </c>
      <c r="C159" s="486" t="s">
        <v>200</v>
      </c>
      <c r="D159" s="487" t="s">
        <v>943</v>
      </c>
      <c r="E159" s="41" t="s">
        <v>1482</v>
      </c>
      <c r="F159" s="42" t="s">
        <v>646</v>
      </c>
      <c r="G159" s="483" t="e">
        <f>COUNTIF(#REF!,B159)</f>
        <v>#REF!</v>
      </c>
    </row>
    <row r="160" spans="2:7">
      <c r="B160" s="486">
        <v>159</v>
      </c>
      <c r="C160" s="486" t="s">
        <v>201</v>
      </c>
      <c r="D160" s="487" t="s">
        <v>28</v>
      </c>
      <c r="E160" s="41" t="s">
        <v>1483</v>
      </c>
      <c r="F160" s="42" t="s">
        <v>925</v>
      </c>
      <c r="G160" s="483" t="e">
        <f>COUNTIF(#REF!,B160)</f>
        <v>#REF!</v>
      </c>
    </row>
    <row r="161" spans="2:7">
      <c r="B161" s="486">
        <v>160</v>
      </c>
      <c r="C161" s="486" t="s">
        <v>202</v>
      </c>
      <c r="D161" s="487" t="s">
        <v>944</v>
      </c>
      <c r="E161" s="41" t="s">
        <v>1484</v>
      </c>
      <c r="F161" s="42" t="s">
        <v>647</v>
      </c>
      <c r="G161" s="483" t="e">
        <f>COUNTIF(#REF!,B161)</f>
        <v>#REF!</v>
      </c>
    </row>
    <row r="162" spans="2:7">
      <c r="B162" s="486">
        <v>161</v>
      </c>
      <c r="C162" s="486" t="s">
        <v>203</v>
      </c>
      <c r="D162" s="487" t="s">
        <v>944</v>
      </c>
      <c r="E162" s="41" t="s">
        <v>1485</v>
      </c>
      <c r="F162" s="42" t="s">
        <v>648</v>
      </c>
      <c r="G162" s="483" t="e">
        <f>COUNTIF(#REF!,B162)</f>
        <v>#REF!</v>
      </c>
    </row>
    <row r="163" spans="2:7">
      <c r="B163" s="486">
        <v>162</v>
      </c>
      <c r="C163" s="486" t="s">
        <v>204</v>
      </c>
      <c r="D163" s="487" t="s">
        <v>944</v>
      </c>
      <c r="E163" s="41" t="s">
        <v>1486</v>
      </c>
      <c r="F163" s="42" t="s">
        <v>649</v>
      </c>
      <c r="G163" s="483" t="e">
        <f>COUNTIF(#REF!,B163)</f>
        <v>#REF!</v>
      </c>
    </row>
    <row r="164" spans="2:7">
      <c r="B164" s="486">
        <v>163</v>
      </c>
      <c r="C164" s="486" t="s">
        <v>205</v>
      </c>
      <c r="D164" s="487" t="s">
        <v>944</v>
      </c>
      <c r="E164" s="41" t="s">
        <v>1487</v>
      </c>
      <c r="F164" s="42" t="s">
        <v>650</v>
      </c>
      <c r="G164" s="483" t="e">
        <f>COUNTIF(#REF!,B164)</f>
        <v>#REF!</v>
      </c>
    </row>
    <row r="165" spans="2:7">
      <c r="B165" s="486">
        <v>164</v>
      </c>
      <c r="C165" s="486" t="s">
        <v>206</v>
      </c>
      <c r="D165" s="487" t="s">
        <v>944</v>
      </c>
      <c r="E165" s="41" t="s">
        <v>1488</v>
      </c>
      <c r="F165" s="42" t="s">
        <v>651</v>
      </c>
      <c r="G165" s="483" t="e">
        <f>COUNTIF(#REF!,B165)</f>
        <v>#REF!</v>
      </c>
    </row>
    <row r="166" spans="2:7">
      <c r="B166" s="486">
        <v>165</v>
      </c>
      <c r="C166" s="486" t="s">
        <v>207</v>
      </c>
      <c r="D166" s="487" t="s">
        <v>944</v>
      </c>
      <c r="E166" s="41" t="s">
        <v>1489</v>
      </c>
      <c r="F166" s="42" t="s">
        <v>652</v>
      </c>
      <c r="G166" s="483" t="e">
        <f>COUNTIF(#REF!,B166)</f>
        <v>#REF!</v>
      </c>
    </row>
    <row r="167" spans="2:7">
      <c r="B167" s="486">
        <v>166</v>
      </c>
      <c r="C167" s="486" t="s">
        <v>208</v>
      </c>
      <c r="D167" s="487" t="s">
        <v>944</v>
      </c>
      <c r="E167" s="41" t="s">
        <v>1490</v>
      </c>
      <c r="F167" s="42" t="s">
        <v>653</v>
      </c>
      <c r="G167" s="483" t="e">
        <f>COUNTIF(#REF!,B167)</f>
        <v>#REF!</v>
      </c>
    </row>
    <row r="168" spans="2:7">
      <c r="B168" s="486">
        <v>167</v>
      </c>
      <c r="C168" s="486" t="s">
        <v>209</v>
      </c>
      <c r="D168" s="487" t="s">
        <v>944</v>
      </c>
      <c r="E168" s="41" t="s">
        <v>1491</v>
      </c>
      <c r="F168" s="42" t="s">
        <v>654</v>
      </c>
      <c r="G168" s="483" t="e">
        <f>COUNTIF(#REF!,B168)</f>
        <v>#REF!</v>
      </c>
    </row>
    <row r="169" spans="2:7">
      <c r="B169" s="486">
        <v>168</v>
      </c>
      <c r="C169" s="486" t="s">
        <v>210</v>
      </c>
      <c r="D169" s="487" t="s">
        <v>944</v>
      </c>
      <c r="E169" s="41" t="s">
        <v>1492</v>
      </c>
      <c r="F169" s="42" t="s">
        <v>655</v>
      </c>
      <c r="G169" s="483" t="e">
        <f>COUNTIF(#REF!,B169)</f>
        <v>#REF!</v>
      </c>
    </row>
    <row r="170" spans="2:7">
      <c r="B170" s="486">
        <v>169</v>
      </c>
      <c r="C170" s="486" t="s">
        <v>211</v>
      </c>
      <c r="D170" s="487" t="s">
        <v>944</v>
      </c>
      <c r="E170" s="41" t="s">
        <v>1493</v>
      </c>
      <c r="F170" s="42" t="s">
        <v>656</v>
      </c>
      <c r="G170" s="483" t="e">
        <f>COUNTIF(#REF!,B170)</f>
        <v>#REF!</v>
      </c>
    </row>
    <row r="171" spans="2:7">
      <c r="B171" s="486">
        <v>170</v>
      </c>
      <c r="C171" s="486" t="s">
        <v>212</v>
      </c>
      <c r="D171" s="487" t="s">
        <v>944</v>
      </c>
      <c r="E171" s="41" t="s">
        <v>1494</v>
      </c>
      <c r="F171" s="42" t="s">
        <v>657</v>
      </c>
      <c r="G171" s="483" t="e">
        <f>COUNTIF(#REF!,B171)</f>
        <v>#REF!</v>
      </c>
    </row>
    <row r="172" spans="2:7">
      <c r="B172" s="486">
        <v>171</v>
      </c>
      <c r="C172" s="486" t="s">
        <v>213</v>
      </c>
      <c r="D172" s="487" t="s">
        <v>944</v>
      </c>
      <c r="E172" s="41" t="s">
        <v>1495</v>
      </c>
      <c r="F172" s="42" t="s">
        <v>658</v>
      </c>
      <c r="G172" s="483" t="e">
        <f>COUNTIF(#REF!,B172)</f>
        <v>#REF!</v>
      </c>
    </row>
    <row r="173" spans="2:7">
      <c r="B173" s="486">
        <v>172</v>
      </c>
      <c r="C173" s="486" t="s">
        <v>214</v>
      </c>
      <c r="D173" s="487" t="s">
        <v>944</v>
      </c>
      <c r="E173" s="41" t="s">
        <v>1496</v>
      </c>
      <c r="F173" s="42" t="s">
        <v>659</v>
      </c>
      <c r="G173" s="483" t="e">
        <f>COUNTIF(#REF!,B173)</f>
        <v>#REF!</v>
      </c>
    </row>
    <row r="174" spans="2:7">
      <c r="B174" s="486">
        <v>173</v>
      </c>
      <c r="C174" s="486" t="s">
        <v>215</v>
      </c>
      <c r="D174" s="487" t="s">
        <v>944</v>
      </c>
      <c r="E174" s="41" t="s">
        <v>1497</v>
      </c>
      <c r="F174" s="42" t="s">
        <v>660</v>
      </c>
      <c r="G174" s="483" t="e">
        <f>COUNTIF(#REF!,B174)</f>
        <v>#REF!</v>
      </c>
    </row>
    <row r="175" spans="2:7">
      <c r="B175" s="486">
        <v>174</v>
      </c>
      <c r="C175" s="486" t="s">
        <v>216</v>
      </c>
      <c r="D175" s="487" t="s">
        <v>944</v>
      </c>
      <c r="E175" s="41" t="s">
        <v>1498</v>
      </c>
      <c r="F175" s="42" t="s">
        <v>661</v>
      </c>
      <c r="G175" s="483" t="e">
        <f>COUNTIF(#REF!,B175)</f>
        <v>#REF!</v>
      </c>
    </row>
    <row r="176" spans="2:7">
      <c r="B176" s="486">
        <v>175</v>
      </c>
      <c r="C176" s="486" t="s">
        <v>217</v>
      </c>
      <c r="D176" s="487" t="s">
        <v>944</v>
      </c>
      <c r="E176" s="41" t="s">
        <v>1499</v>
      </c>
      <c r="F176" s="42" t="s">
        <v>662</v>
      </c>
      <c r="G176" s="483" t="e">
        <f>COUNTIF(#REF!,B176)</f>
        <v>#REF!</v>
      </c>
    </row>
    <row r="177" spans="2:7">
      <c r="B177" s="486">
        <v>176</v>
      </c>
      <c r="C177" s="486" t="s">
        <v>218</v>
      </c>
      <c r="D177" s="487" t="s">
        <v>944</v>
      </c>
      <c r="E177" s="41" t="s">
        <v>1500</v>
      </c>
      <c r="F177" s="42" t="s">
        <v>663</v>
      </c>
      <c r="G177" s="483" t="e">
        <f>COUNTIF(#REF!,B177)</f>
        <v>#REF!</v>
      </c>
    </row>
    <row r="178" spans="2:7">
      <c r="B178" s="486">
        <v>177</v>
      </c>
      <c r="C178" s="486" t="s">
        <v>219</v>
      </c>
      <c r="D178" s="487" t="s">
        <v>944</v>
      </c>
      <c r="E178" s="41" t="s">
        <v>1501</v>
      </c>
      <c r="F178" s="42" t="s">
        <v>664</v>
      </c>
      <c r="G178" s="483" t="e">
        <f>COUNTIF(#REF!,B178)</f>
        <v>#REF!</v>
      </c>
    </row>
    <row r="179" spans="2:7">
      <c r="B179" s="486">
        <v>178</v>
      </c>
      <c r="C179" s="486" t="s">
        <v>220</v>
      </c>
      <c r="D179" s="487" t="s">
        <v>944</v>
      </c>
      <c r="E179" s="41" t="s">
        <v>1502</v>
      </c>
      <c r="F179" s="42" t="s">
        <v>665</v>
      </c>
      <c r="G179" s="483" t="e">
        <f>COUNTIF(#REF!,B179)</f>
        <v>#REF!</v>
      </c>
    </row>
    <row r="180" spans="2:7">
      <c r="B180" s="486">
        <v>179</v>
      </c>
      <c r="C180" s="486" t="s">
        <v>221</v>
      </c>
      <c r="D180" s="487" t="s">
        <v>28</v>
      </c>
      <c r="E180" s="41" t="s">
        <v>1503</v>
      </c>
      <c r="F180" s="42" t="s">
        <v>1945</v>
      </c>
      <c r="G180" s="483" t="e">
        <f>COUNTIF(#REF!,B180)</f>
        <v>#REF!</v>
      </c>
    </row>
    <row r="181" spans="2:7">
      <c r="B181" s="486">
        <v>180</v>
      </c>
      <c r="C181" s="486" t="s">
        <v>222</v>
      </c>
      <c r="D181" s="487" t="s">
        <v>28</v>
      </c>
      <c r="E181" s="41" t="s">
        <v>1504</v>
      </c>
      <c r="F181" s="42" t="s">
        <v>1946</v>
      </c>
      <c r="G181" s="483" t="e">
        <f>COUNTIF(#REF!,B181)</f>
        <v>#REF!</v>
      </c>
    </row>
    <row r="182" spans="2:7">
      <c r="B182" s="486">
        <v>181</v>
      </c>
      <c r="C182" s="486" t="s">
        <v>223</v>
      </c>
      <c r="D182" s="487" t="s">
        <v>28</v>
      </c>
      <c r="E182" s="41" t="s">
        <v>1505</v>
      </c>
      <c r="F182" s="42" t="s">
        <v>666</v>
      </c>
      <c r="G182" s="483" t="e">
        <f>COUNTIF(#REF!,B182)</f>
        <v>#REF!</v>
      </c>
    </row>
    <row r="183" spans="2:7">
      <c r="B183" s="486">
        <v>182</v>
      </c>
      <c r="C183" s="486" t="s">
        <v>224</v>
      </c>
      <c r="D183" s="487" t="s">
        <v>944</v>
      </c>
      <c r="E183" s="41" t="s">
        <v>1506</v>
      </c>
      <c r="F183" s="42" t="s">
        <v>667</v>
      </c>
      <c r="G183" s="483" t="e">
        <f>COUNTIF(#REF!,B183)</f>
        <v>#REF!</v>
      </c>
    </row>
    <row r="184" spans="2:7">
      <c r="B184" s="486">
        <v>183</v>
      </c>
      <c r="C184" s="486" t="s">
        <v>225</v>
      </c>
      <c r="D184" s="487" t="s">
        <v>944</v>
      </c>
      <c r="E184" s="41" t="s">
        <v>1507</v>
      </c>
      <c r="F184" s="42" t="s">
        <v>668</v>
      </c>
      <c r="G184" s="483" t="e">
        <f>COUNTIF(#REF!,B184)</f>
        <v>#REF!</v>
      </c>
    </row>
    <row r="185" spans="2:7">
      <c r="B185" s="486">
        <v>184</v>
      </c>
      <c r="C185" s="486" t="s">
        <v>226</v>
      </c>
      <c r="D185" s="487" t="s">
        <v>28</v>
      </c>
      <c r="E185" s="41" t="s">
        <v>1508</v>
      </c>
      <c r="F185" s="42" t="s">
        <v>669</v>
      </c>
      <c r="G185" s="483" t="e">
        <f>COUNTIF(#REF!,B185)</f>
        <v>#REF!</v>
      </c>
    </row>
    <row r="186" spans="2:7">
      <c r="B186" s="486">
        <v>185</v>
      </c>
      <c r="C186" s="486" t="s">
        <v>227</v>
      </c>
      <c r="D186" s="487" t="s">
        <v>944</v>
      </c>
      <c r="E186" s="41" t="s">
        <v>1509</v>
      </c>
      <c r="F186" s="42" t="s">
        <v>670</v>
      </c>
      <c r="G186" s="483" t="e">
        <f>COUNTIF(#REF!,B186)</f>
        <v>#REF!</v>
      </c>
    </row>
    <row r="187" spans="2:7">
      <c r="B187" s="486">
        <v>186</v>
      </c>
      <c r="C187" s="486" t="s">
        <v>228</v>
      </c>
      <c r="D187" s="487" t="s">
        <v>943</v>
      </c>
      <c r="E187" s="41" t="s">
        <v>1510</v>
      </c>
      <c r="F187" s="42" t="s">
        <v>1947</v>
      </c>
      <c r="G187" s="483" t="e">
        <f>COUNTIF(#REF!,B187)</f>
        <v>#REF!</v>
      </c>
    </row>
    <row r="188" spans="2:7">
      <c r="B188" s="486">
        <v>187</v>
      </c>
      <c r="C188" s="486" t="s">
        <v>229</v>
      </c>
      <c r="D188" s="487" t="s">
        <v>944</v>
      </c>
      <c r="E188" s="41" t="s">
        <v>1511</v>
      </c>
      <c r="F188" s="42" t="s">
        <v>1948</v>
      </c>
      <c r="G188" s="483" t="e">
        <f>COUNTIF(#REF!,B188)</f>
        <v>#REF!</v>
      </c>
    </row>
    <row r="189" spans="2:7">
      <c r="B189" s="486">
        <v>188</v>
      </c>
      <c r="C189" s="486" t="s">
        <v>230</v>
      </c>
      <c r="D189" s="487" t="s">
        <v>29</v>
      </c>
      <c r="E189" s="41" t="s">
        <v>1512</v>
      </c>
      <c r="F189" s="42" t="s">
        <v>671</v>
      </c>
      <c r="G189" s="483" t="e">
        <f>COUNTIF(#REF!,B189)</f>
        <v>#REF!</v>
      </c>
    </row>
    <row r="190" spans="2:7">
      <c r="B190" s="486">
        <v>189</v>
      </c>
      <c r="C190" s="486" t="s">
        <v>231</v>
      </c>
      <c r="D190" s="487" t="s">
        <v>943</v>
      </c>
      <c r="E190" s="41" t="s">
        <v>1513</v>
      </c>
      <c r="F190" s="42" t="s">
        <v>672</v>
      </c>
      <c r="G190" s="483" t="e">
        <f>COUNTIF(#REF!,B190)</f>
        <v>#REF!</v>
      </c>
    </row>
    <row r="191" spans="2:7">
      <c r="B191" s="486">
        <v>190</v>
      </c>
      <c r="C191" s="486" t="s">
        <v>232</v>
      </c>
      <c r="D191" s="487" t="s">
        <v>943</v>
      </c>
      <c r="E191" s="41" t="s">
        <v>1514</v>
      </c>
      <c r="F191" s="42" t="s">
        <v>673</v>
      </c>
      <c r="G191" s="483" t="e">
        <f>COUNTIF(#REF!,B191)</f>
        <v>#REF!</v>
      </c>
    </row>
    <row r="192" spans="2:7">
      <c r="B192" s="486">
        <v>191</v>
      </c>
      <c r="C192" s="486" t="s">
        <v>233</v>
      </c>
      <c r="D192" s="487" t="s">
        <v>28</v>
      </c>
      <c r="E192" s="41" t="s">
        <v>1515</v>
      </c>
      <c r="F192" s="42" t="s">
        <v>674</v>
      </c>
      <c r="G192" s="483" t="e">
        <f>COUNTIF(#REF!,B192)</f>
        <v>#REF!</v>
      </c>
    </row>
    <row r="193" spans="2:7">
      <c r="B193" s="486">
        <v>192</v>
      </c>
      <c r="C193" s="486" t="s">
        <v>234</v>
      </c>
      <c r="D193" s="487" t="s">
        <v>28</v>
      </c>
      <c r="E193" s="41" t="s">
        <v>1516</v>
      </c>
      <c r="F193" s="42" t="s">
        <v>675</v>
      </c>
      <c r="G193" s="483" t="e">
        <f>COUNTIF(#REF!,B193)</f>
        <v>#REF!</v>
      </c>
    </row>
    <row r="194" spans="2:7">
      <c r="B194" s="486">
        <v>193</v>
      </c>
      <c r="C194" s="486" t="s">
        <v>235</v>
      </c>
      <c r="D194" s="487" t="s">
        <v>944</v>
      </c>
      <c r="E194" s="41" t="s">
        <v>1517</v>
      </c>
      <c r="F194" s="42" t="s">
        <v>676</v>
      </c>
      <c r="G194" s="483" t="e">
        <f>COUNTIF(#REF!,B194)</f>
        <v>#REF!</v>
      </c>
    </row>
    <row r="195" spans="2:7">
      <c r="B195" s="486">
        <v>194</v>
      </c>
      <c r="C195" s="486" t="s">
        <v>236</v>
      </c>
      <c r="D195" s="487" t="s">
        <v>943</v>
      </c>
      <c r="E195" s="41" t="s">
        <v>1518</v>
      </c>
      <c r="F195" s="42" t="s">
        <v>677</v>
      </c>
      <c r="G195" s="483" t="e">
        <f>COUNTIF(#REF!,B195)</f>
        <v>#REF!</v>
      </c>
    </row>
    <row r="196" spans="2:7">
      <c r="B196" s="486">
        <v>195</v>
      </c>
      <c r="C196" s="486" t="s">
        <v>237</v>
      </c>
      <c r="D196" s="487" t="s">
        <v>943</v>
      </c>
      <c r="E196" s="41" t="s">
        <v>1519</v>
      </c>
      <c r="F196" s="42" t="s">
        <v>678</v>
      </c>
      <c r="G196" s="483" t="e">
        <f>COUNTIF(#REF!,B196)</f>
        <v>#REF!</v>
      </c>
    </row>
    <row r="197" spans="2:7">
      <c r="B197" s="486">
        <v>196</v>
      </c>
      <c r="C197" s="486" t="s">
        <v>238</v>
      </c>
      <c r="D197" s="487" t="s">
        <v>28</v>
      </c>
      <c r="E197" s="41" t="s">
        <v>1520</v>
      </c>
      <c r="F197" s="42" t="s">
        <v>1949</v>
      </c>
      <c r="G197" s="483" t="e">
        <f>COUNTIF(#REF!,B197)</f>
        <v>#REF!</v>
      </c>
    </row>
    <row r="198" spans="2:7">
      <c r="B198" s="486">
        <v>197</v>
      </c>
      <c r="C198" s="486" t="s">
        <v>239</v>
      </c>
      <c r="D198" s="487" t="s">
        <v>28</v>
      </c>
      <c r="E198" s="41" t="s">
        <v>1521</v>
      </c>
      <c r="F198" s="42" t="s">
        <v>679</v>
      </c>
      <c r="G198" s="483" t="e">
        <f>COUNTIF(#REF!,B198)</f>
        <v>#REF!</v>
      </c>
    </row>
    <row r="199" spans="2:7">
      <c r="B199" s="486">
        <v>198</v>
      </c>
      <c r="C199" s="486" t="s">
        <v>240</v>
      </c>
      <c r="D199" s="487" t="s">
        <v>943</v>
      </c>
      <c r="E199" s="41" t="s">
        <v>1522</v>
      </c>
      <c r="F199" s="42" t="s">
        <v>680</v>
      </c>
      <c r="G199" s="483" t="e">
        <f>COUNTIF(#REF!,B199)</f>
        <v>#REF!</v>
      </c>
    </row>
    <row r="200" spans="2:7">
      <c r="B200" s="486">
        <v>199</v>
      </c>
      <c r="C200" s="486" t="s">
        <v>241</v>
      </c>
      <c r="D200" s="487" t="s">
        <v>943</v>
      </c>
      <c r="E200" s="41" t="s">
        <v>1523</v>
      </c>
      <c r="F200" s="42" t="s">
        <v>681</v>
      </c>
      <c r="G200" s="483" t="e">
        <f>COUNTIF(#REF!,B200)</f>
        <v>#REF!</v>
      </c>
    </row>
    <row r="201" spans="2:7">
      <c r="B201" s="486">
        <v>200</v>
      </c>
      <c r="C201" s="486" t="s">
        <v>242</v>
      </c>
      <c r="D201" s="487" t="s">
        <v>28</v>
      </c>
      <c r="E201" s="41" t="s">
        <v>1524</v>
      </c>
      <c r="F201" s="42" t="s">
        <v>682</v>
      </c>
      <c r="G201" s="483" t="e">
        <f>COUNTIF(#REF!,B201)</f>
        <v>#REF!</v>
      </c>
    </row>
    <row r="202" spans="2:7">
      <c r="B202" s="486">
        <v>201</v>
      </c>
      <c r="C202" s="486" t="s">
        <v>243</v>
      </c>
      <c r="D202" s="487" t="s">
        <v>943</v>
      </c>
      <c r="E202" s="41" t="s">
        <v>1525</v>
      </c>
      <c r="F202" s="42" t="s">
        <v>1950</v>
      </c>
      <c r="G202" s="483" t="e">
        <f>COUNTIF(#REF!,B202)</f>
        <v>#REF!</v>
      </c>
    </row>
    <row r="203" spans="2:7">
      <c r="B203" s="486">
        <v>202</v>
      </c>
      <c r="C203" s="486" t="s">
        <v>244</v>
      </c>
      <c r="D203" s="487" t="s">
        <v>943</v>
      </c>
      <c r="E203" s="41" t="s">
        <v>1526</v>
      </c>
      <c r="F203" s="42" t="s">
        <v>1951</v>
      </c>
      <c r="G203" s="483" t="e">
        <f>COUNTIF(#REF!,B203)</f>
        <v>#REF!</v>
      </c>
    </row>
    <row r="204" spans="2:7">
      <c r="B204" s="486">
        <v>203</v>
      </c>
      <c r="C204" s="486" t="s">
        <v>245</v>
      </c>
      <c r="D204" s="487" t="s">
        <v>28</v>
      </c>
      <c r="E204" s="41" t="s">
        <v>1527</v>
      </c>
      <c r="F204" s="42" t="s">
        <v>683</v>
      </c>
      <c r="G204" s="483" t="e">
        <f>COUNTIF(#REF!,B204)</f>
        <v>#REF!</v>
      </c>
    </row>
    <row r="205" spans="2:7">
      <c r="B205" s="486">
        <v>204</v>
      </c>
      <c r="C205" s="486" t="s">
        <v>246</v>
      </c>
      <c r="D205" s="487" t="s">
        <v>943</v>
      </c>
      <c r="E205" s="41" t="s">
        <v>1528</v>
      </c>
      <c r="F205" s="42" t="s">
        <v>684</v>
      </c>
      <c r="G205" s="483" t="e">
        <f>COUNTIF(#REF!,B205)</f>
        <v>#REF!</v>
      </c>
    </row>
    <row r="206" spans="2:7">
      <c r="B206" s="486">
        <v>205</v>
      </c>
      <c r="C206" s="486" t="s">
        <v>247</v>
      </c>
      <c r="D206" s="487" t="s">
        <v>28</v>
      </c>
      <c r="E206" s="41" t="s">
        <v>1529</v>
      </c>
      <c r="F206" s="42" t="s">
        <v>1952</v>
      </c>
      <c r="G206" s="483" t="e">
        <f>COUNTIF(#REF!,B206)</f>
        <v>#REF!</v>
      </c>
    </row>
    <row r="207" spans="2:7">
      <c r="B207" s="486">
        <v>206</v>
      </c>
      <c r="C207" s="486" t="s">
        <v>248</v>
      </c>
      <c r="D207" s="487" t="s">
        <v>28</v>
      </c>
      <c r="E207" s="41" t="s">
        <v>1530</v>
      </c>
      <c r="F207" s="42" t="s">
        <v>685</v>
      </c>
      <c r="G207" s="483" t="e">
        <f>COUNTIF(#REF!,B207)</f>
        <v>#REF!</v>
      </c>
    </row>
    <row r="208" spans="2:7">
      <c r="B208" s="486">
        <v>207</v>
      </c>
      <c r="C208" s="486" t="s">
        <v>249</v>
      </c>
      <c r="D208" s="487" t="s">
        <v>943</v>
      </c>
      <c r="E208" s="41" t="s">
        <v>1531</v>
      </c>
      <c r="F208" s="42" t="s">
        <v>686</v>
      </c>
      <c r="G208" s="483" t="e">
        <f>COUNTIF(#REF!,B208)</f>
        <v>#REF!</v>
      </c>
    </row>
    <row r="209" spans="2:7">
      <c r="B209" s="486">
        <v>208</v>
      </c>
      <c r="C209" s="486" t="s">
        <v>250</v>
      </c>
      <c r="D209" s="487" t="s">
        <v>944</v>
      </c>
      <c r="E209" s="41" t="s">
        <v>1532</v>
      </c>
      <c r="F209" s="42" t="s">
        <v>687</v>
      </c>
      <c r="G209" s="483" t="e">
        <f>COUNTIF(#REF!,B209)</f>
        <v>#REF!</v>
      </c>
    </row>
    <row r="210" spans="2:7">
      <c r="B210" s="486">
        <v>209</v>
      </c>
      <c r="C210" s="486" t="s">
        <v>251</v>
      </c>
      <c r="D210" s="487" t="s">
        <v>944</v>
      </c>
      <c r="E210" s="41" t="s">
        <v>1533</v>
      </c>
      <c r="F210" s="42" t="s">
        <v>688</v>
      </c>
      <c r="G210" s="483" t="e">
        <f>COUNTIF(#REF!,B210)</f>
        <v>#REF!</v>
      </c>
    </row>
    <row r="211" spans="2:7">
      <c r="B211" s="486">
        <v>210</v>
      </c>
      <c r="C211" s="486" t="s">
        <v>252</v>
      </c>
      <c r="D211" s="487" t="s">
        <v>944</v>
      </c>
      <c r="E211" s="41" t="s">
        <v>1534</v>
      </c>
      <c r="F211" s="42" t="s">
        <v>689</v>
      </c>
      <c r="G211" s="483" t="e">
        <f>COUNTIF(#REF!,B211)</f>
        <v>#REF!</v>
      </c>
    </row>
    <row r="212" spans="2:7">
      <c r="B212" s="486">
        <v>211</v>
      </c>
      <c r="C212" s="486" t="s">
        <v>253</v>
      </c>
      <c r="D212" s="487" t="s">
        <v>944</v>
      </c>
      <c r="E212" s="41" t="s">
        <v>1535</v>
      </c>
      <c r="F212" s="42" t="s">
        <v>690</v>
      </c>
      <c r="G212" s="483" t="e">
        <f>COUNTIF(#REF!,B212)</f>
        <v>#REF!</v>
      </c>
    </row>
    <row r="213" spans="2:7">
      <c r="B213" s="486">
        <v>212</v>
      </c>
      <c r="C213" s="486" t="s">
        <v>254</v>
      </c>
      <c r="D213" s="487" t="s">
        <v>944</v>
      </c>
      <c r="E213" s="41" t="s">
        <v>1536</v>
      </c>
      <c r="F213" s="42" t="s">
        <v>691</v>
      </c>
      <c r="G213" s="483" t="e">
        <f>COUNTIF(#REF!,B213)</f>
        <v>#REF!</v>
      </c>
    </row>
    <row r="214" spans="2:7">
      <c r="B214" s="486">
        <v>213</v>
      </c>
      <c r="C214" s="486" t="s">
        <v>255</v>
      </c>
      <c r="D214" s="487" t="s">
        <v>944</v>
      </c>
      <c r="E214" s="41" t="s">
        <v>1537</v>
      </c>
      <c r="F214" s="42" t="s">
        <v>692</v>
      </c>
      <c r="G214" s="483" t="e">
        <f>COUNTIF(#REF!,B214)</f>
        <v>#REF!</v>
      </c>
    </row>
    <row r="215" spans="2:7">
      <c r="B215" s="486">
        <v>214</v>
      </c>
      <c r="C215" s="486" t="s">
        <v>256</v>
      </c>
      <c r="D215" s="487" t="s">
        <v>944</v>
      </c>
      <c r="E215" s="41" t="s">
        <v>1538</v>
      </c>
      <c r="F215" s="42" t="s">
        <v>693</v>
      </c>
      <c r="G215" s="483" t="e">
        <f>COUNTIF(#REF!,B215)</f>
        <v>#REF!</v>
      </c>
    </row>
    <row r="216" spans="2:7">
      <c r="B216" s="486">
        <v>215</v>
      </c>
      <c r="C216" s="486" t="s">
        <v>257</v>
      </c>
      <c r="D216" s="487" t="s">
        <v>944</v>
      </c>
      <c r="E216" s="41" t="s">
        <v>1539</v>
      </c>
      <c r="F216" s="42" t="s">
        <v>694</v>
      </c>
      <c r="G216" s="483" t="e">
        <f>COUNTIF(#REF!,B216)</f>
        <v>#REF!</v>
      </c>
    </row>
    <row r="217" spans="2:7">
      <c r="B217" s="486">
        <v>216</v>
      </c>
      <c r="C217" s="486" t="s">
        <v>258</v>
      </c>
      <c r="D217" s="487" t="s">
        <v>943</v>
      </c>
      <c r="E217" s="41" t="s">
        <v>1540</v>
      </c>
      <c r="F217" s="42" t="s">
        <v>695</v>
      </c>
      <c r="G217" s="483" t="e">
        <f>COUNTIF(#REF!,B217)</f>
        <v>#REF!</v>
      </c>
    </row>
    <row r="218" spans="2:7">
      <c r="B218" s="486">
        <v>217</v>
      </c>
      <c r="C218" s="486" t="s">
        <v>259</v>
      </c>
      <c r="D218" s="487" t="s">
        <v>29</v>
      </c>
      <c r="E218" s="41" t="s">
        <v>1541</v>
      </c>
      <c r="F218" s="42" t="s">
        <v>696</v>
      </c>
      <c r="G218" s="483" t="e">
        <f>COUNTIF(#REF!,B218)</f>
        <v>#REF!</v>
      </c>
    </row>
    <row r="219" spans="2:7">
      <c r="B219" s="486">
        <v>218</v>
      </c>
      <c r="C219" s="486" t="s">
        <v>260</v>
      </c>
      <c r="D219" s="487" t="s">
        <v>944</v>
      </c>
      <c r="E219" s="41" t="s">
        <v>1542</v>
      </c>
      <c r="F219" s="42" t="s">
        <v>697</v>
      </c>
      <c r="G219" s="483" t="e">
        <f>COUNTIF(#REF!,B219)</f>
        <v>#REF!</v>
      </c>
    </row>
    <row r="220" spans="2:7">
      <c r="B220" s="486">
        <v>219</v>
      </c>
      <c r="C220" s="486" t="s">
        <v>261</v>
      </c>
      <c r="D220" s="487" t="s">
        <v>944</v>
      </c>
      <c r="E220" s="41" t="s">
        <v>1543</v>
      </c>
      <c r="F220" s="42" t="s">
        <v>698</v>
      </c>
      <c r="G220" s="483" t="e">
        <f>COUNTIF(#REF!,B220)</f>
        <v>#REF!</v>
      </c>
    </row>
    <row r="221" spans="2:7">
      <c r="B221" s="486">
        <v>220</v>
      </c>
      <c r="C221" s="486" t="s">
        <v>262</v>
      </c>
      <c r="D221" s="487" t="s">
        <v>944</v>
      </c>
      <c r="E221" s="41" t="s">
        <v>1544</v>
      </c>
      <c r="F221" s="42" t="s">
        <v>699</v>
      </c>
      <c r="G221" s="483" t="e">
        <f>COUNTIF(#REF!,B221)</f>
        <v>#REF!</v>
      </c>
    </row>
    <row r="222" spans="2:7">
      <c r="B222" s="486">
        <v>221</v>
      </c>
      <c r="C222" s="486" t="s">
        <v>263</v>
      </c>
      <c r="D222" s="487" t="s">
        <v>944</v>
      </c>
      <c r="E222" s="41" t="s">
        <v>1545</v>
      </c>
      <c r="F222" s="42" t="s">
        <v>700</v>
      </c>
      <c r="G222" s="483" t="e">
        <f>COUNTIF(#REF!,B222)</f>
        <v>#REF!</v>
      </c>
    </row>
    <row r="223" spans="2:7">
      <c r="B223" s="486">
        <v>222</v>
      </c>
      <c r="C223" s="486" t="s">
        <v>264</v>
      </c>
      <c r="D223" s="487" t="s">
        <v>944</v>
      </c>
      <c r="E223" s="41" t="s">
        <v>1546</v>
      </c>
      <c r="F223" s="42" t="s">
        <v>701</v>
      </c>
      <c r="G223" s="483" t="e">
        <f>COUNTIF(#REF!,B223)</f>
        <v>#REF!</v>
      </c>
    </row>
    <row r="224" spans="2:7">
      <c r="B224" s="486">
        <v>223</v>
      </c>
      <c r="C224" s="486" t="s">
        <v>265</v>
      </c>
      <c r="D224" s="487" t="s">
        <v>944</v>
      </c>
      <c r="E224" s="41" t="s">
        <v>1547</v>
      </c>
      <c r="F224" s="42" t="s">
        <v>702</v>
      </c>
      <c r="G224" s="483" t="e">
        <f>COUNTIF(#REF!,B224)</f>
        <v>#REF!</v>
      </c>
    </row>
    <row r="225" spans="2:7">
      <c r="B225" s="486">
        <v>224</v>
      </c>
      <c r="C225" s="486" t="s">
        <v>266</v>
      </c>
      <c r="D225" s="487" t="s">
        <v>943</v>
      </c>
      <c r="E225" s="41" t="s">
        <v>1548</v>
      </c>
      <c r="F225" s="42" t="s">
        <v>703</v>
      </c>
      <c r="G225" s="483" t="e">
        <f>COUNTIF(#REF!,B225)</f>
        <v>#REF!</v>
      </c>
    </row>
    <row r="226" spans="2:7">
      <c r="B226" s="486">
        <v>225</v>
      </c>
      <c r="C226" s="486" t="s">
        <v>267</v>
      </c>
      <c r="D226" s="487" t="s">
        <v>943</v>
      </c>
      <c r="E226" s="41" t="s">
        <v>1549</v>
      </c>
      <c r="F226" s="42" t="s">
        <v>704</v>
      </c>
      <c r="G226" s="483" t="e">
        <f>COUNTIF(#REF!,B226)</f>
        <v>#REF!</v>
      </c>
    </row>
    <row r="227" spans="2:7">
      <c r="B227" s="486">
        <v>226</v>
      </c>
      <c r="C227" s="486" t="s">
        <v>268</v>
      </c>
      <c r="D227" s="487" t="s">
        <v>944</v>
      </c>
      <c r="E227" s="41" t="s">
        <v>1550</v>
      </c>
      <c r="F227" s="42" t="s">
        <v>705</v>
      </c>
      <c r="G227" s="483" t="e">
        <f>COUNTIF(#REF!,B227)</f>
        <v>#REF!</v>
      </c>
    </row>
    <row r="228" spans="2:7">
      <c r="B228" s="486">
        <v>227</v>
      </c>
      <c r="C228" s="486" t="s">
        <v>269</v>
      </c>
      <c r="D228" s="487" t="s">
        <v>943</v>
      </c>
      <c r="E228" s="41" t="s">
        <v>1551</v>
      </c>
      <c r="F228" s="42" t="s">
        <v>706</v>
      </c>
      <c r="G228" s="483" t="e">
        <f>COUNTIF(#REF!,B228)</f>
        <v>#REF!</v>
      </c>
    </row>
    <row r="229" spans="2:7">
      <c r="B229" s="486">
        <v>228</v>
      </c>
      <c r="C229" s="486" t="s">
        <v>270</v>
      </c>
      <c r="D229" s="487" t="s">
        <v>943</v>
      </c>
      <c r="E229" s="41" t="s">
        <v>1552</v>
      </c>
      <c r="F229" s="42" t="s">
        <v>1953</v>
      </c>
      <c r="G229" s="483" t="e">
        <f>COUNTIF(#REF!,B229)</f>
        <v>#REF!</v>
      </c>
    </row>
    <row r="230" spans="2:7">
      <c r="B230" s="486">
        <v>229</v>
      </c>
      <c r="C230" s="486" t="s">
        <v>271</v>
      </c>
      <c r="D230" s="487" t="s">
        <v>943</v>
      </c>
      <c r="E230" s="41" t="s">
        <v>1553</v>
      </c>
      <c r="F230" s="42" t="s">
        <v>707</v>
      </c>
      <c r="G230" s="483" t="e">
        <f>COUNTIF(#REF!,B230)</f>
        <v>#REF!</v>
      </c>
    </row>
    <row r="231" spans="2:7">
      <c r="B231" s="486">
        <v>230</v>
      </c>
      <c r="C231" s="486" t="s">
        <v>272</v>
      </c>
      <c r="D231" s="487" t="s">
        <v>28</v>
      </c>
      <c r="E231" s="41" t="s">
        <v>1554</v>
      </c>
      <c r="F231" s="42" t="s">
        <v>708</v>
      </c>
      <c r="G231" s="483" t="e">
        <f>COUNTIF(#REF!,B231)</f>
        <v>#REF!</v>
      </c>
    </row>
    <row r="232" spans="2:7">
      <c r="B232" s="486">
        <v>231</v>
      </c>
      <c r="C232" s="486" t="s">
        <v>273</v>
      </c>
      <c r="D232" s="487" t="s">
        <v>944</v>
      </c>
      <c r="E232" s="41" t="s">
        <v>1555</v>
      </c>
      <c r="F232" s="42" t="s">
        <v>709</v>
      </c>
      <c r="G232" s="483" t="e">
        <f>COUNTIF(#REF!,B232)</f>
        <v>#REF!</v>
      </c>
    </row>
    <row r="233" spans="2:7">
      <c r="B233" s="486">
        <v>232</v>
      </c>
      <c r="C233" s="486" t="s">
        <v>274</v>
      </c>
      <c r="D233" s="487" t="s">
        <v>944</v>
      </c>
      <c r="E233" s="41" t="s">
        <v>1556</v>
      </c>
      <c r="F233" s="42" t="s">
        <v>710</v>
      </c>
      <c r="G233" s="483" t="e">
        <f>COUNTIF(#REF!,B233)</f>
        <v>#REF!</v>
      </c>
    </row>
    <row r="234" spans="2:7">
      <c r="B234" s="486">
        <v>233</v>
      </c>
      <c r="C234" s="486" t="s">
        <v>275</v>
      </c>
      <c r="D234" s="487" t="s">
        <v>29</v>
      </c>
      <c r="E234" s="41" t="s">
        <v>1557</v>
      </c>
      <c r="F234" s="42" t="s">
        <v>711</v>
      </c>
      <c r="G234" s="483" t="e">
        <f>COUNTIF(#REF!,B234)</f>
        <v>#REF!</v>
      </c>
    </row>
    <row r="235" spans="2:7">
      <c r="B235" s="486">
        <v>234</v>
      </c>
      <c r="C235" s="486" t="s">
        <v>276</v>
      </c>
      <c r="D235" s="487" t="s">
        <v>28</v>
      </c>
      <c r="E235" s="41" t="s">
        <v>1558</v>
      </c>
      <c r="F235" s="42" t="s">
        <v>712</v>
      </c>
      <c r="G235" s="483" t="e">
        <f>COUNTIF(#REF!,B235)</f>
        <v>#REF!</v>
      </c>
    </row>
    <row r="236" spans="2:7">
      <c r="B236" s="486">
        <v>235</v>
      </c>
      <c r="C236" s="486" t="s">
        <v>277</v>
      </c>
      <c r="D236" s="487" t="s">
        <v>943</v>
      </c>
      <c r="E236" s="41" t="s">
        <v>1559</v>
      </c>
      <c r="F236" s="42" t="s">
        <v>713</v>
      </c>
      <c r="G236" s="483" t="e">
        <f>COUNTIF(#REF!,B236)</f>
        <v>#REF!</v>
      </c>
    </row>
    <row r="237" spans="2:7">
      <c r="B237" s="486">
        <v>236</v>
      </c>
      <c r="C237" s="486" t="s">
        <v>278</v>
      </c>
      <c r="D237" s="487" t="s">
        <v>943</v>
      </c>
      <c r="E237" s="41" t="s">
        <v>1560</v>
      </c>
      <c r="F237" s="42" t="s">
        <v>714</v>
      </c>
      <c r="G237" s="483" t="e">
        <f>COUNTIF(#REF!,B237)</f>
        <v>#REF!</v>
      </c>
    </row>
    <row r="238" spans="2:7">
      <c r="B238" s="486">
        <v>237</v>
      </c>
      <c r="C238" s="486" t="s">
        <v>279</v>
      </c>
      <c r="D238" s="487" t="s">
        <v>29</v>
      </c>
      <c r="E238" s="41" t="s">
        <v>1561</v>
      </c>
      <c r="F238" s="42" t="s">
        <v>715</v>
      </c>
      <c r="G238" s="483" t="e">
        <f>COUNTIF(#REF!,B238)</f>
        <v>#REF!</v>
      </c>
    </row>
    <row r="239" spans="2:7">
      <c r="B239" s="486">
        <v>238</v>
      </c>
      <c r="C239" s="486" t="s">
        <v>280</v>
      </c>
      <c r="D239" s="487" t="s">
        <v>28</v>
      </c>
      <c r="E239" s="41" t="s">
        <v>1562</v>
      </c>
      <c r="F239" s="42" t="s">
        <v>716</v>
      </c>
      <c r="G239" s="483" t="e">
        <f>COUNTIF(#REF!,B239)</f>
        <v>#REF!</v>
      </c>
    </row>
    <row r="240" spans="2:7">
      <c r="B240" s="486">
        <v>239</v>
      </c>
      <c r="C240" s="486" t="s">
        <v>281</v>
      </c>
      <c r="D240" s="487" t="s">
        <v>28</v>
      </c>
      <c r="E240" s="41" t="s">
        <v>1563</v>
      </c>
      <c r="F240" s="42" t="s">
        <v>717</v>
      </c>
      <c r="G240" s="483" t="e">
        <f>COUNTIF(#REF!,B240)</f>
        <v>#REF!</v>
      </c>
    </row>
    <row r="241" spans="2:7">
      <c r="B241" s="486">
        <v>240</v>
      </c>
      <c r="C241" s="486" t="s">
        <v>282</v>
      </c>
      <c r="D241" s="487" t="s">
        <v>28</v>
      </c>
      <c r="E241" s="41" t="s">
        <v>1564</v>
      </c>
      <c r="F241" s="42" t="s">
        <v>718</v>
      </c>
      <c r="G241" s="483" t="e">
        <f>COUNTIF(#REF!,B241)</f>
        <v>#REF!</v>
      </c>
    </row>
    <row r="242" spans="2:7">
      <c r="B242" s="486">
        <v>241</v>
      </c>
      <c r="C242" s="486" t="s">
        <v>283</v>
      </c>
      <c r="D242" s="487" t="s">
        <v>28</v>
      </c>
      <c r="E242" s="41" t="s">
        <v>1565</v>
      </c>
      <c r="F242" s="42" t="s">
        <v>719</v>
      </c>
      <c r="G242" s="483" t="e">
        <f>COUNTIF(#REF!,B242)</f>
        <v>#REF!</v>
      </c>
    </row>
    <row r="243" spans="2:7">
      <c r="B243" s="486">
        <v>242</v>
      </c>
      <c r="C243" s="486" t="s">
        <v>284</v>
      </c>
      <c r="D243" s="487" t="s">
        <v>28</v>
      </c>
      <c r="E243" s="41" t="s">
        <v>1566</v>
      </c>
      <c r="F243" s="42" t="s">
        <v>720</v>
      </c>
      <c r="G243" s="483" t="e">
        <f>COUNTIF(#REF!,B243)</f>
        <v>#REF!</v>
      </c>
    </row>
    <row r="244" spans="2:7">
      <c r="B244" s="486">
        <v>243</v>
      </c>
      <c r="C244" s="486" t="s">
        <v>285</v>
      </c>
      <c r="D244" s="487" t="s">
        <v>28</v>
      </c>
      <c r="E244" s="41" t="s">
        <v>1567</v>
      </c>
      <c r="F244" s="42" t="s">
        <v>721</v>
      </c>
      <c r="G244" s="483" t="e">
        <f>COUNTIF(#REF!,B244)</f>
        <v>#REF!</v>
      </c>
    </row>
    <row r="245" spans="2:7">
      <c r="B245" s="486">
        <v>244</v>
      </c>
      <c r="C245" s="486" t="s">
        <v>286</v>
      </c>
      <c r="D245" s="487" t="s">
        <v>28</v>
      </c>
      <c r="E245" s="41" t="s">
        <v>1568</v>
      </c>
      <c r="F245" s="42" t="s">
        <v>722</v>
      </c>
      <c r="G245" s="483" t="e">
        <f>COUNTIF(#REF!,B245)</f>
        <v>#REF!</v>
      </c>
    </row>
    <row r="246" spans="2:7">
      <c r="B246" s="486">
        <v>245</v>
      </c>
      <c r="C246" s="486" t="s">
        <v>287</v>
      </c>
      <c r="D246" s="487" t="s">
        <v>28</v>
      </c>
      <c r="E246" s="41" t="s">
        <v>1569</v>
      </c>
      <c r="F246" s="42" t="s">
        <v>723</v>
      </c>
      <c r="G246" s="483" t="e">
        <f>COUNTIF(#REF!,B246)</f>
        <v>#REF!</v>
      </c>
    </row>
    <row r="247" spans="2:7">
      <c r="B247" s="486">
        <v>246</v>
      </c>
      <c r="C247" s="486" t="s">
        <v>288</v>
      </c>
      <c r="D247" s="487" t="s">
        <v>28</v>
      </c>
      <c r="E247" s="41" t="s">
        <v>1570</v>
      </c>
      <c r="F247" s="42" t="s">
        <v>724</v>
      </c>
      <c r="G247" s="483" t="e">
        <f>COUNTIF(#REF!,B247)</f>
        <v>#REF!</v>
      </c>
    </row>
    <row r="248" spans="2:7">
      <c r="B248" s="486">
        <v>247</v>
      </c>
      <c r="C248" s="486" t="s">
        <v>289</v>
      </c>
      <c r="D248" s="487" t="s">
        <v>943</v>
      </c>
      <c r="E248" s="41" t="s">
        <v>1571</v>
      </c>
      <c r="F248" s="42" t="s">
        <v>725</v>
      </c>
      <c r="G248" s="483" t="e">
        <f>COUNTIF(#REF!,B248)</f>
        <v>#REF!</v>
      </c>
    </row>
    <row r="249" spans="2:7">
      <c r="B249" s="486">
        <v>248</v>
      </c>
      <c r="C249" s="486" t="s">
        <v>290</v>
      </c>
      <c r="D249" s="487" t="s">
        <v>28</v>
      </c>
      <c r="E249" s="41" t="s">
        <v>1572</v>
      </c>
      <c r="F249" s="42" t="s">
        <v>726</v>
      </c>
      <c r="G249" s="483" t="e">
        <f>COUNTIF(#REF!,B249)</f>
        <v>#REF!</v>
      </c>
    </row>
    <row r="250" spans="2:7">
      <c r="B250" s="486">
        <v>249</v>
      </c>
      <c r="C250" s="486" t="s">
        <v>291</v>
      </c>
      <c r="D250" s="487" t="s">
        <v>943</v>
      </c>
      <c r="E250" s="41" t="s">
        <v>1573</v>
      </c>
      <c r="F250" s="42" t="s">
        <v>727</v>
      </c>
      <c r="G250" s="483" t="e">
        <f>COUNTIF(#REF!,B250)</f>
        <v>#REF!</v>
      </c>
    </row>
    <row r="251" spans="2:7">
      <c r="B251" s="486">
        <v>250</v>
      </c>
      <c r="C251" s="486" t="s">
        <v>292</v>
      </c>
      <c r="D251" s="487" t="s">
        <v>943</v>
      </c>
      <c r="E251" s="41" t="s">
        <v>1574</v>
      </c>
      <c r="F251" s="42" t="s">
        <v>728</v>
      </c>
      <c r="G251" s="483" t="e">
        <f>COUNTIF(#REF!,B251)</f>
        <v>#REF!</v>
      </c>
    </row>
    <row r="252" spans="2:7">
      <c r="B252" s="486">
        <v>251</v>
      </c>
      <c r="C252" s="486" t="s">
        <v>293</v>
      </c>
      <c r="D252" s="487" t="s">
        <v>28</v>
      </c>
      <c r="E252" s="41" t="s">
        <v>1575</v>
      </c>
      <c r="F252" s="42" t="s">
        <v>729</v>
      </c>
      <c r="G252" s="483" t="e">
        <f>COUNTIF(#REF!,B252)</f>
        <v>#REF!</v>
      </c>
    </row>
    <row r="253" spans="2:7">
      <c r="B253" s="486">
        <v>252</v>
      </c>
      <c r="C253" s="486" t="s">
        <v>294</v>
      </c>
      <c r="D253" s="487" t="s">
        <v>943</v>
      </c>
      <c r="E253" s="41" t="s">
        <v>1576</v>
      </c>
      <c r="F253" s="42" t="s">
        <v>730</v>
      </c>
      <c r="G253" s="483" t="e">
        <f>COUNTIF(#REF!,B253)</f>
        <v>#REF!</v>
      </c>
    </row>
    <row r="254" spans="2:7">
      <c r="B254" s="486">
        <v>253</v>
      </c>
      <c r="C254" s="486" t="s">
        <v>295</v>
      </c>
      <c r="D254" s="487" t="s">
        <v>943</v>
      </c>
      <c r="E254" s="41" t="s">
        <v>1577</v>
      </c>
      <c r="F254" s="42" t="s">
        <v>731</v>
      </c>
      <c r="G254" s="483" t="e">
        <f>COUNTIF(#REF!,B254)</f>
        <v>#REF!</v>
      </c>
    </row>
    <row r="255" spans="2:7">
      <c r="B255" s="486">
        <v>254</v>
      </c>
      <c r="C255" s="486" t="s">
        <v>296</v>
      </c>
      <c r="D255" s="487" t="s">
        <v>943</v>
      </c>
      <c r="E255" s="41" t="s">
        <v>1578</v>
      </c>
      <c r="F255" s="42" t="s">
        <v>732</v>
      </c>
      <c r="G255" s="483" t="e">
        <f>COUNTIF(#REF!,B255)</f>
        <v>#REF!</v>
      </c>
    </row>
    <row r="256" spans="2:7">
      <c r="B256" s="486">
        <v>255</v>
      </c>
      <c r="C256" s="486" t="s">
        <v>297</v>
      </c>
      <c r="D256" s="487" t="s">
        <v>28</v>
      </c>
      <c r="E256" s="41" t="s">
        <v>1579</v>
      </c>
      <c r="F256" s="42" t="s">
        <v>733</v>
      </c>
      <c r="G256" s="483" t="e">
        <f>COUNTIF(#REF!,B256)</f>
        <v>#REF!</v>
      </c>
    </row>
    <row r="257" spans="2:7">
      <c r="B257" s="486">
        <v>256</v>
      </c>
      <c r="C257" s="486" t="s">
        <v>298</v>
      </c>
      <c r="D257" s="487" t="s">
        <v>943</v>
      </c>
      <c r="E257" s="41" t="s">
        <v>1580</v>
      </c>
      <c r="F257" s="42" t="s">
        <v>734</v>
      </c>
      <c r="G257" s="483" t="e">
        <f>COUNTIF(#REF!,B257)</f>
        <v>#REF!</v>
      </c>
    </row>
    <row r="258" spans="2:7">
      <c r="B258" s="486">
        <v>257</v>
      </c>
      <c r="C258" s="486" t="s">
        <v>299</v>
      </c>
      <c r="D258" s="487" t="s">
        <v>943</v>
      </c>
      <c r="E258" s="41" t="s">
        <v>1581</v>
      </c>
      <c r="F258" s="42" t="s">
        <v>735</v>
      </c>
      <c r="G258" s="483" t="e">
        <f>COUNTIF(#REF!,B258)</f>
        <v>#REF!</v>
      </c>
    </row>
    <row r="259" spans="2:7">
      <c r="B259" s="486">
        <v>258</v>
      </c>
      <c r="C259" s="486" t="s">
        <v>300</v>
      </c>
      <c r="D259" s="487" t="s">
        <v>945</v>
      </c>
      <c r="E259" s="41" t="s">
        <v>1582</v>
      </c>
      <c r="F259" s="42" t="s">
        <v>736</v>
      </c>
      <c r="G259" s="483" t="e">
        <f>COUNTIF(#REF!,B259)</f>
        <v>#REF!</v>
      </c>
    </row>
    <row r="260" spans="2:7">
      <c r="B260" s="486">
        <v>259</v>
      </c>
      <c r="C260" s="486" t="s">
        <v>301</v>
      </c>
      <c r="D260" s="487" t="s">
        <v>28</v>
      </c>
      <c r="E260" s="41" t="s">
        <v>1583</v>
      </c>
      <c r="F260" s="42" t="s">
        <v>737</v>
      </c>
      <c r="G260" s="483" t="e">
        <f>COUNTIF(#REF!,B260)</f>
        <v>#REF!</v>
      </c>
    </row>
    <row r="261" spans="2:7">
      <c r="B261" s="486">
        <v>260</v>
      </c>
      <c r="C261" s="486" t="s">
        <v>302</v>
      </c>
      <c r="D261" s="487" t="s">
        <v>28</v>
      </c>
      <c r="E261" s="41" t="s">
        <v>1584</v>
      </c>
      <c r="F261" s="42" t="s">
        <v>738</v>
      </c>
      <c r="G261" s="483" t="e">
        <f>COUNTIF(#REF!,B261)</f>
        <v>#REF!</v>
      </c>
    </row>
    <row r="262" spans="2:7">
      <c r="B262" s="486">
        <v>261</v>
      </c>
      <c r="C262" s="486" t="s">
        <v>303</v>
      </c>
      <c r="D262" s="487" t="s">
        <v>29</v>
      </c>
      <c r="E262" s="41" t="s">
        <v>1585</v>
      </c>
      <c r="F262" s="42" t="s">
        <v>739</v>
      </c>
      <c r="G262" s="483" t="e">
        <f>COUNTIF(#REF!,B262)</f>
        <v>#REF!</v>
      </c>
    </row>
    <row r="263" spans="2:7">
      <c r="B263" s="486">
        <v>262</v>
      </c>
      <c r="C263" s="486" t="s">
        <v>304</v>
      </c>
      <c r="D263" s="487" t="s">
        <v>943</v>
      </c>
      <c r="E263" s="41" t="s">
        <v>1586</v>
      </c>
      <c r="F263" s="42" t="s">
        <v>740</v>
      </c>
      <c r="G263" s="483" t="e">
        <f>COUNTIF(#REF!,B263)</f>
        <v>#REF!</v>
      </c>
    </row>
    <row r="264" spans="2:7">
      <c r="B264" s="486">
        <v>263</v>
      </c>
      <c r="C264" s="486" t="s">
        <v>305</v>
      </c>
      <c r="D264" s="487" t="s">
        <v>28</v>
      </c>
      <c r="E264" s="41" t="s">
        <v>1587</v>
      </c>
      <c r="F264" s="42" t="s">
        <v>741</v>
      </c>
      <c r="G264" s="483" t="e">
        <f>COUNTIF(#REF!,B264)</f>
        <v>#REF!</v>
      </c>
    </row>
    <row r="265" spans="2:7">
      <c r="B265" s="486">
        <v>264</v>
      </c>
      <c r="C265" s="486" t="s">
        <v>306</v>
      </c>
      <c r="D265" s="487" t="s">
        <v>943</v>
      </c>
      <c r="E265" s="41" t="s">
        <v>1588</v>
      </c>
      <c r="F265" s="42" t="s">
        <v>742</v>
      </c>
      <c r="G265" s="483" t="e">
        <f>COUNTIF(#REF!,B265)</f>
        <v>#REF!</v>
      </c>
    </row>
    <row r="266" spans="2:7">
      <c r="B266" s="486">
        <v>265</v>
      </c>
      <c r="C266" s="486" t="s">
        <v>307</v>
      </c>
      <c r="D266" s="487" t="s">
        <v>28</v>
      </c>
      <c r="E266" s="41" t="s">
        <v>1589</v>
      </c>
      <c r="F266" s="42" t="s">
        <v>743</v>
      </c>
      <c r="G266" s="483" t="e">
        <f>COUNTIF(#REF!,B266)</f>
        <v>#REF!</v>
      </c>
    </row>
    <row r="267" spans="2:7">
      <c r="B267" s="486">
        <v>266</v>
      </c>
      <c r="C267" s="486" t="s">
        <v>308</v>
      </c>
      <c r="D267" s="487" t="s">
        <v>943</v>
      </c>
      <c r="E267" s="41" t="s">
        <v>1590</v>
      </c>
      <c r="F267" s="42" t="s">
        <v>744</v>
      </c>
      <c r="G267" s="483" t="e">
        <f>COUNTIF(#REF!,B267)</f>
        <v>#REF!</v>
      </c>
    </row>
    <row r="268" spans="2:7">
      <c r="B268" s="486">
        <v>267</v>
      </c>
      <c r="C268" s="486" t="s">
        <v>309</v>
      </c>
      <c r="D268" s="487" t="s">
        <v>28</v>
      </c>
      <c r="E268" s="41" t="s">
        <v>1456</v>
      </c>
      <c r="F268" s="42" t="s">
        <v>621</v>
      </c>
      <c r="G268" s="483" t="e">
        <f>COUNTIF(#REF!,B268)</f>
        <v>#REF!</v>
      </c>
    </row>
    <row r="269" spans="2:7">
      <c r="B269" s="486">
        <v>268</v>
      </c>
      <c r="C269" s="486" t="s">
        <v>310</v>
      </c>
      <c r="D269" s="487" t="s">
        <v>28</v>
      </c>
      <c r="E269" s="41" t="s">
        <v>1591</v>
      </c>
      <c r="F269" s="42" t="s">
        <v>745</v>
      </c>
      <c r="G269" s="483" t="e">
        <f>COUNTIF(#REF!,B269)</f>
        <v>#REF!</v>
      </c>
    </row>
    <row r="270" spans="2:7">
      <c r="B270" s="486">
        <v>269</v>
      </c>
      <c r="C270" s="486" t="s">
        <v>311</v>
      </c>
      <c r="D270" s="487" t="s">
        <v>28</v>
      </c>
      <c r="E270" s="41" t="s">
        <v>1592</v>
      </c>
      <c r="F270" s="42" t="s">
        <v>746</v>
      </c>
      <c r="G270" s="483" t="e">
        <f>COUNTIF(#REF!,B270)</f>
        <v>#REF!</v>
      </c>
    </row>
    <row r="271" spans="2:7">
      <c r="B271" s="486">
        <v>270</v>
      </c>
      <c r="C271" s="486" t="s">
        <v>312</v>
      </c>
      <c r="D271" s="487" t="s">
        <v>943</v>
      </c>
      <c r="E271" s="41" t="s">
        <v>1593</v>
      </c>
      <c r="F271" s="42" t="s">
        <v>747</v>
      </c>
      <c r="G271" s="483" t="e">
        <f>COUNTIF(#REF!,B271)</f>
        <v>#REF!</v>
      </c>
    </row>
    <row r="272" spans="2:7">
      <c r="B272" s="486">
        <v>271</v>
      </c>
      <c r="C272" s="486" t="s">
        <v>313</v>
      </c>
      <c r="D272" s="487" t="s">
        <v>28</v>
      </c>
      <c r="E272" s="41" t="s">
        <v>1594</v>
      </c>
      <c r="F272" s="42" t="s">
        <v>748</v>
      </c>
      <c r="G272" s="483" t="e">
        <f>COUNTIF(#REF!,B272)</f>
        <v>#REF!</v>
      </c>
    </row>
    <row r="273" spans="2:7">
      <c r="B273" s="486">
        <v>272</v>
      </c>
      <c r="C273" s="486" t="s">
        <v>314</v>
      </c>
      <c r="D273" s="487" t="s">
        <v>943</v>
      </c>
      <c r="E273" s="41" t="s">
        <v>1347</v>
      </c>
      <c r="F273" s="42" t="s">
        <v>523</v>
      </c>
      <c r="G273" s="483" t="e">
        <f>COUNTIF(#REF!,B273)</f>
        <v>#REF!</v>
      </c>
    </row>
    <row r="274" spans="2:7">
      <c r="B274" s="486">
        <v>273</v>
      </c>
      <c r="C274" s="486" t="s">
        <v>315</v>
      </c>
      <c r="D274" s="487" t="s">
        <v>28</v>
      </c>
      <c r="E274" s="41" t="s">
        <v>1401</v>
      </c>
      <c r="F274" s="42" t="s">
        <v>749</v>
      </c>
      <c r="G274" s="483" t="e">
        <f>COUNTIF(#REF!,B274)</f>
        <v>#REF!</v>
      </c>
    </row>
    <row r="275" spans="2:7">
      <c r="B275" s="487">
        <v>274</v>
      </c>
      <c r="C275" s="486" t="s">
        <v>316</v>
      </c>
      <c r="D275" s="487" t="s">
        <v>29</v>
      </c>
      <c r="E275" s="41" t="s">
        <v>1595</v>
      </c>
      <c r="F275" s="42" t="s">
        <v>750</v>
      </c>
      <c r="G275" s="483" t="e">
        <f>COUNTIF(#REF!,B275)</f>
        <v>#REF!</v>
      </c>
    </row>
    <row r="276" spans="2:7">
      <c r="B276" s="487">
        <v>275</v>
      </c>
      <c r="C276" s="486" t="s">
        <v>317</v>
      </c>
      <c r="D276" s="487" t="s">
        <v>28</v>
      </c>
      <c r="E276" s="41" t="s">
        <v>1596</v>
      </c>
      <c r="F276" s="42" t="s">
        <v>751</v>
      </c>
      <c r="G276" s="483" t="e">
        <f>COUNTIF(#REF!,B276)</f>
        <v>#REF!</v>
      </c>
    </row>
    <row r="277" spans="2:7">
      <c r="B277" s="487">
        <v>276</v>
      </c>
      <c r="C277" s="486" t="s">
        <v>318</v>
      </c>
      <c r="D277" s="487" t="s">
        <v>29</v>
      </c>
      <c r="E277" s="41" t="s">
        <v>1597</v>
      </c>
      <c r="F277" s="42" t="s">
        <v>752</v>
      </c>
      <c r="G277" s="483" t="e">
        <f>COUNTIF(#REF!,B277)</f>
        <v>#REF!</v>
      </c>
    </row>
    <row r="278" spans="2:7">
      <c r="B278" s="487">
        <v>277</v>
      </c>
      <c r="C278" s="486" t="s">
        <v>319</v>
      </c>
      <c r="D278" s="487" t="s">
        <v>30</v>
      </c>
      <c r="E278" s="41" t="s">
        <v>1428</v>
      </c>
      <c r="F278" s="42" t="s">
        <v>753</v>
      </c>
      <c r="G278" s="483" t="e">
        <f>COUNTIF(#REF!,B278)</f>
        <v>#REF!</v>
      </c>
    </row>
    <row r="279" spans="2:7">
      <c r="B279" s="487">
        <v>278</v>
      </c>
      <c r="C279" s="486" t="s">
        <v>320</v>
      </c>
      <c r="D279" s="487" t="s">
        <v>29</v>
      </c>
      <c r="E279" s="41" t="s">
        <v>1598</v>
      </c>
      <c r="F279" s="42" t="s">
        <v>754</v>
      </c>
      <c r="G279" s="483" t="e">
        <f>COUNTIF(#REF!,B279)</f>
        <v>#REF!</v>
      </c>
    </row>
    <row r="280" spans="2:7">
      <c r="B280" s="487">
        <v>279</v>
      </c>
      <c r="C280" s="486" t="s">
        <v>321</v>
      </c>
      <c r="D280" s="487" t="s">
        <v>30</v>
      </c>
      <c r="E280" s="41" t="s">
        <v>1599</v>
      </c>
      <c r="F280" s="42" t="s">
        <v>755</v>
      </c>
      <c r="G280" s="483" t="e">
        <f>COUNTIF(#REF!,B280)</f>
        <v>#REF!</v>
      </c>
    </row>
    <row r="281" spans="2:7">
      <c r="B281" s="487">
        <v>280</v>
      </c>
      <c r="C281" s="486" t="s">
        <v>322</v>
      </c>
      <c r="D281" s="487" t="s">
        <v>29</v>
      </c>
      <c r="E281" s="41" t="s">
        <v>1600</v>
      </c>
      <c r="F281" s="42" t="s">
        <v>756</v>
      </c>
      <c r="G281" s="483" t="e">
        <f>COUNTIF(#REF!,B281)</f>
        <v>#REF!</v>
      </c>
    </row>
    <row r="282" spans="2:7">
      <c r="B282" s="487">
        <v>281</v>
      </c>
      <c r="C282" s="486" t="s">
        <v>323</v>
      </c>
      <c r="D282" s="487" t="s">
        <v>30</v>
      </c>
      <c r="E282" s="41" t="s">
        <v>1601</v>
      </c>
      <c r="F282" s="42" t="s">
        <v>757</v>
      </c>
      <c r="G282" s="483" t="e">
        <f>COUNTIF(#REF!,B282)</f>
        <v>#REF!</v>
      </c>
    </row>
    <row r="283" spans="2:7">
      <c r="B283" s="487">
        <v>282</v>
      </c>
      <c r="C283" s="486" t="s">
        <v>324</v>
      </c>
      <c r="D283" s="487" t="s">
        <v>29</v>
      </c>
      <c r="E283" s="41" t="s">
        <v>1602</v>
      </c>
      <c r="F283" s="42" t="s">
        <v>758</v>
      </c>
      <c r="G283" s="483" t="e">
        <f>COUNTIF(#REF!,B283)</f>
        <v>#REF!</v>
      </c>
    </row>
    <row r="284" spans="2:7">
      <c r="B284" s="487">
        <v>283</v>
      </c>
      <c r="C284" s="486" t="s">
        <v>325</v>
      </c>
      <c r="D284" s="487" t="s">
        <v>30</v>
      </c>
      <c r="E284" s="41" t="s">
        <v>1603</v>
      </c>
      <c r="F284" s="42" t="s">
        <v>759</v>
      </c>
      <c r="G284" s="483" t="e">
        <f>COUNTIF(#REF!,B284)</f>
        <v>#REF!</v>
      </c>
    </row>
    <row r="285" spans="2:7">
      <c r="B285" s="487">
        <v>284</v>
      </c>
      <c r="C285" s="486" t="s">
        <v>326</v>
      </c>
      <c r="D285" s="487" t="s">
        <v>29</v>
      </c>
      <c r="E285" s="41" t="s">
        <v>1604</v>
      </c>
      <c r="F285" s="42" t="s">
        <v>760</v>
      </c>
      <c r="G285" s="483" t="e">
        <f>COUNTIF(#REF!,B285)</f>
        <v>#REF!</v>
      </c>
    </row>
    <row r="286" spans="2:7">
      <c r="B286" s="487">
        <v>285</v>
      </c>
      <c r="C286" s="486" t="s">
        <v>327</v>
      </c>
      <c r="D286" s="487" t="s">
        <v>945</v>
      </c>
      <c r="E286" s="41" t="s">
        <v>1605</v>
      </c>
      <c r="F286" s="42" t="s">
        <v>761</v>
      </c>
      <c r="G286" s="483" t="e">
        <f>COUNTIF(#REF!,B286)</f>
        <v>#REF!</v>
      </c>
    </row>
    <row r="287" spans="2:7">
      <c r="B287" s="487">
        <v>286</v>
      </c>
      <c r="C287" s="486" t="s">
        <v>328</v>
      </c>
      <c r="D287" s="487" t="s">
        <v>29</v>
      </c>
      <c r="E287" s="41" t="s">
        <v>1604</v>
      </c>
      <c r="F287" s="42" t="s">
        <v>762</v>
      </c>
      <c r="G287" s="483" t="e">
        <f>COUNTIF(#REF!,B287)</f>
        <v>#REF!</v>
      </c>
    </row>
    <row r="288" spans="2:7">
      <c r="B288" s="487">
        <v>287</v>
      </c>
      <c r="C288" s="486" t="s">
        <v>329</v>
      </c>
      <c r="D288" s="487" t="s">
        <v>943</v>
      </c>
      <c r="E288" s="41" t="s">
        <v>1606</v>
      </c>
      <c r="F288" s="42" t="s">
        <v>763</v>
      </c>
      <c r="G288" s="483" t="e">
        <f>COUNTIF(#REF!,B288)</f>
        <v>#REF!</v>
      </c>
    </row>
    <row r="289" spans="2:7">
      <c r="B289" s="487">
        <v>288</v>
      </c>
      <c r="C289" s="486" t="s">
        <v>330</v>
      </c>
      <c r="D289" s="487" t="s">
        <v>943</v>
      </c>
      <c r="E289" s="41" t="s">
        <v>1607</v>
      </c>
      <c r="F289" s="42" t="s">
        <v>764</v>
      </c>
      <c r="G289" s="483" t="e">
        <f>COUNTIF(#REF!,B289)</f>
        <v>#REF!</v>
      </c>
    </row>
    <row r="290" spans="2:7">
      <c r="B290" s="487">
        <v>289</v>
      </c>
      <c r="C290" s="486" t="s">
        <v>331</v>
      </c>
      <c r="D290" s="487" t="s">
        <v>945</v>
      </c>
      <c r="E290" s="41" t="s">
        <v>1608</v>
      </c>
      <c r="F290" s="42" t="s">
        <v>1954</v>
      </c>
      <c r="G290" s="483" t="e">
        <f>COUNTIF(#REF!,B290)</f>
        <v>#REF!</v>
      </c>
    </row>
    <row r="291" spans="2:7">
      <c r="B291" s="487">
        <v>290</v>
      </c>
      <c r="C291" s="486" t="s">
        <v>332</v>
      </c>
      <c r="D291" s="487" t="s">
        <v>30</v>
      </c>
      <c r="E291" s="41" t="s">
        <v>1609</v>
      </c>
      <c r="F291" s="42" t="s">
        <v>765</v>
      </c>
      <c r="G291" s="483" t="e">
        <f>COUNTIF(#REF!,B291)</f>
        <v>#REF!</v>
      </c>
    </row>
    <row r="292" spans="2:7">
      <c r="B292" s="487">
        <v>291</v>
      </c>
      <c r="C292" s="486" t="s">
        <v>333</v>
      </c>
      <c r="D292" s="487" t="s">
        <v>30</v>
      </c>
      <c r="E292" s="41" t="s">
        <v>1610</v>
      </c>
      <c r="F292" s="42" t="s">
        <v>766</v>
      </c>
      <c r="G292" s="483" t="e">
        <f>COUNTIF(#REF!,B292)</f>
        <v>#REF!</v>
      </c>
    </row>
    <row r="293" spans="2:7">
      <c r="B293" s="487">
        <v>292</v>
      </c>
      <c r="C293" s="486" t="s">
        <v>334</v>
      </c>
      <c r="D293" s="487" t="s">
        <v>28</v>
      </c>
      <c r="E293" s="41" t="s">
        <v>1611</v>
      </c>
      <c r="F293" s="42" t="s">
        <v>767</v>
      </c>
      <c r="G293" s="483" t="e">
        <f>COUNTIF(#REF!,B293)</f>
        <v>#REF!</v>
      </c>
    </row>
    <row r="294" spans="2:7">
      <c r="B294" s="487">
        <v>293</v>
      </c>
      <c r="C294" s="486" t="s">
        <v>335</v>
      </c>
      <c r="D294" s="487" t="s">
        <v>28</v>
      </c>
      <c r="E294" s="41" t="s">
        <v>1612</v>
      </c>
      <c r="F294" s="42" t="s">
        <v>1955</v>
      </c>
      <c r="G294" s="483" t="e">
        <f>COUNTIF(#REF!,B294)</f>
        <v>#REF!</v>
      </c>
    </row>
    <row r="295" spans="2:7">
      <c r="B295" s="487">
        <v>294</v>
      </c>
      <c r="C295" s="486" t="s">
        <v>336</v>
      </c>
      <c r="D295" s="487" t="s">
        <v>28</v>
      </c>
      <c r="E295" s="41" t="s">
        <v>1613</v>
      </c>
      <c r="F295" s="42" t="s">
        <v>768</v>
      </c>
      <c r="G295" s="483" t="e">
        <f>COUNTIF(#REF!,B295)</f>
        <v>#REF!</v>
      </c>
    </row>
    <row r="296" spans="2:7">
      <c r="B296" s="487">
        <v>295</v>
      </c>
      <c r="C296" s="486" t="s">
        <v>337</v>
      </c>
      <c r="D296" s="487" t="s">
        <v>29</v>
      </c>
      <c r="E296" s="41" t="s">
        <v>1614</v>
      </c>
      <c r="F296" s="42" t="s">
        <v>769</v>
      </c>
      <c r="G296" s="483" t="e">
        <f>COUNTIF(#REF!,B296)</f>
        <v>#REF!</v>
      </c>
    </row>
    <row r="297" spans="2:7">
      <c r="B297" s="487">
        <v>296</v>
      </c>
      <c r="C297" s="486" t="s">
        <v>338</v>
      </c>
      <c r="D297" s="487" t="s">
        <v>29</v>
      </c>
      <c r="E297" s="41" t="s">
        <v>1615</v>
      </c>
      <c r="F297" s="42" t="s">
        <v>770</v>
      </c>
      <c r="G297" s="483" t="e">
        <f>COUNTIF(#REF!,B297)</f>
        <v>#REF!</v>
      </c>
    </row>
    <row r="298" spans="2:7">
      <c r="B298" s="487">
        <v>297</v>
      </c>
      <c r="C298" s="486" t="s">
        <v>339</v>
      </c>
      <c r="D298" s="487" t="s">
        <v>30</v>
      </c>
      <c r="E298" s="41" t="s">
        <v>1616</v>
      </c>
      <c r="F298" s="42" t="s">
        <v>771</v>
      </c>
      <c r="G298" s="483" t="e">
        <f>COUNTIF(#REF!,B298)</f>
        <v>#REF!</v>
      </c>
    </row>
    <row r="299" spans="2:7">
      <c r="B299" s="487">
        <v>298</v>
      </c>
      <c r="C299" s="486" t="s">
        <v>340</v>
      </c>
      <c r="D299" s="487" t="s">
        <v>945</v>
      </c>
      <c r="E299" s="41" t="s">
        <v>1617</v>
      </c>
      <c r="F299" s="42" t="s">
        <v>772</v>
      </c>
      <c r="G299" s="483" t="e">
        <f>COUNTIF(#REF!,B299)</f>
        <v>#REF!</v>
      </c>
    </row>
    <row r="300" spans="2:7">
      <c r="B300" s="487">
        <v>299</v>
      </c>
      <c r="C300" s="486" t="s">
        <v>341</v>
      </c>
      <c r="D300" s="487" t="s">
        <v>945</v>
      </c>
      <c r="E300" s="41" t="s">
        <v>1618</v>
      </c>
      <c r="F300" s="42" t="s">
        <v>773</v>
      </c>
      <c r="G300" s="483" t="e">
        <f>COUNTIF(#REF!,B300)</f>
        <v>#REF!</v>
      </c>
    </row>
    <row r="301" spans="2:7">
      <c r="B301" s="487">
        <v>300</v>
      </c>
      <c r="C301" s="486" t="s">
        <v>342</v>
      </c>
      <c r="D301" s="487" t="s">
        <v>29</v>
      </c>
      <c r="E301" s="41" t="s">
        <v>1619</v>
      </c>
      <c r="F301" s="42" t="s">
        <v>774</v>
      </c>
      <c r="G301" s="483" t="e">
        <f>COUNTIF(#REF!,B301)</f>
        <v>#REF!</v>
      </c>
    </row>
    <row r="302" spans="2:7">
      <c r="B302" s="487">
        <v>301</v>
      </c>
      <c r="C302" s="486" t="s">
        <v>343</v>
      </c>
      <c r="D302" s="487" t="s">
        <v>30</v>
      </c>
      <c r="E302" s="41" t="s">
        <v>1620</v>
      </c>
      <c r="F302" s="42" t="s">
        <v>1956</v>
      </c>
      <c r="G302" s="483" t="e">
        <f>COUNTIF(#REF!,B302)</f>
        <v>#REF!</v>
      </c>
    </row>
    <row r="303" spans="2:7">
      <c r="B303" s="487">
        <v>302</v>
      </c>
      <c r="C303" s="486" t="s">
        <v>344</v>
      </c>
      <c r="D303" s="487" t="s">
        <v>30</v>
      </c>
      <c r="E303" s="41" t="s">
        <v>1621</v>
      </c>
      <c r="F303" s="42" t="s">
        <v>1957</v>
      </c>
      <c r="G303" s="483" t="e">
        <f>COUNTIF(#REF!,B303)</f>
        <v>#REF!</v>
      </c>
    </row>
    <row r="304" spans="2:7">
      <c r="B304" s="487">
        <v>303</v>
      </c>
      <c r="C304" s="486" t="s">
        <v>345</v>
      </c>
      <c r="D304" s="487" t="s">
        <v>30</v>
      </c>
      <c r="E304" s="41" t="s">
        <v>1622</v>
      </c>
      <c r="F304" s="42" t="s">
        <v>1958</v>
      </c>
      <c r="G304" s="483" t="e">
        <f>COUNTIF(#REF!,B304)</f>
        <v>#REF!</v>
      </c>
    </row>
    <row r="305" spans="2:7">
      <c r="B305" s="487">
        <v>304</v>
      </c>
      <c r="C305" s="486" t="s">
        <v>346</v>
      </c>
      <c r="D305" s="487" t="s">
        <v>30</v>
      </c>
      <c r="E305" s="41" t="s">
        <v>1623</v>
      </c>
      <c r="F305" s="42" t="s">
        <v>1959</v>
      </c>
      <c r="G305" s="483" t="e">
        <f>COUNTIF(#REF!,B305)</f>
        <v>#REF!</v>
      </c>
    </row>
    <row r="306" spans="2:7">
      <c r="B306" s="487">
        <v>305</v>
      </c>
      <c r="C306" s="486" t="s">
        <v>347</v>
      </c>
      <c r="D306" s="487" t="s">
        <v>29</v>
      </c>
      <c r="E306" s="41" t="s">
        <v>1624</v>
      </c>
      <c r="F306" s="42" t="s">
        <v>1960</v>
      </c>
      <c r="G306" s="483" t="e">
        <f>COUNTIF(#REF!,B306)</f>
        <v>#REF!</v>
      </c>
    </row>
    <row r="307" spans="2:7">
      <c r="B307" s="487">
        <v>306</v>
      </c>
      <c r="C307" s="486" t="s">
        <v>348</v>
      </c>
      <c r="D307" s="487" t="s">
        <v>29</v>
      </c>
      <c r="E307" s="41" t="s">
        <v>1625</v>
      </c>
      <c r="F307" s="42" t="s">
        <v>1961</v>
      </c>
      <c r="G307" s="483" t="e">
        <f>COUNTIF(#REF!,B307)</f>
        <v>#REF!</v>
      </c>
    </row>
    <row r="308" spans="2:7">
      <c r="B308" s="487">
        <v>307</v>
      </c>
      <c r="C308" s="486" t="s">
        <v>349</v>
      </c>
      <c r="D308" s="487" t="s">
        <v>29</v>
      </c>
      <c r="E308" s="41" t="s">
        <v>1626</v>
      </c>
      <c r="F308" s="42" t="s">
        <v>1962</v>
      </c>
      <c r="G308" s="483" t="e">
        <f>COUNTIF(#REF!,B308)</f>
        <v>#REF!</v>
      </c>
    </row>
    <row r="309" spans="2:7">
      <c r="B309" s="487">
        <v>308</v>
      </c>
      <c r="C309" s="486" t="s">
        <v>350</v>
      </c>
      <c r="D309" s="487" t="s">
        <v>29</v>
      </c>
      <c r="E309" s="41" t="s">
        <v>1627</v>
      </c>
      <c r="F309" s="42" t="s">
        <v>1963</v>
      </c>
      <c r="G309" s="483" t="e">
        <f>COUNTIF(#REF!,B309)</f>
        <v>#REF!</v>
      </c>
    </row>
    <row r="310" spans="2:7">
      <c r="B310" s="487">
        <v>309</v>
      </c>
      <c r="C310" s="486" t="s">
        <v>351</v>
      </c>
      <c r="D310" s="487" t="s">
        <v>30</v>
      </c>
      <c r="E310" s="41" t="s">
        <v>1628</v>
      </c>
      <c r="F310" s="42" t="s">
        <v>1964</v>
      </c>
      <c r="G310" s="483" t="e">
        <f>COUNTIF(#REF!,B310)</f>
        <v>#REF!</v>
      </c>
    </row>
    <row r="311" spans="2:7">
      <c r="B311" s="487">
        <v>310</v>
      </c>
      <c r="C311" s="486" t="s">
        <v>352</v>
      </c>
      <c r="D311" s="487" t="s">
        <v>29</v>
      </c>
      <c r="E311" s="41" t="s">
        <v>1629</v>
      </c>
      <c r="F311" s="42" t="s">
        <v>1965</v>
      </c>
      <c r="G311" s="483" t="e">
        <f>COUNTIF(#REF!,B311)</f>
        <v>#REF!</v>
      </c>
    </row>
    <row r="312" spans="2:7">
      <c r="B312" s="487">
        <v>311</v>
      </c>
      <c r="C312" s="486" t="s">
        <v>353</v>
      </c>
      <c r="D312" s="487" t="s">
        <v>30</v>
      </c>
      <c r="E312" s="41" t="s">
        <v>1630</v>
      </c>
      <c r="F312" s="42" t="s">
        <v>1966</v>
      </c>
      <c r="G312" s="483" t="e">
        <f>COUNTIF(#REF!,B312)</f>
        <v>#REF!</v>
      </c>
    </row>
    <row r="313" spans="2:7">
      <c r="B313" s="487">
        <v>312</v>
      </c>
      <c r="C313" s="486" t="s">
        <v>354</v>
      </c>
      <c r="D313" s="487" t="s">
        <v>30</v>
      </c>
      <c r="E313" s="41" t="s">
        <v>1631</v>
      </c>
      <c r="F313" s="42" t="s">
        <v>1967</v>
      </c>
      <c r="G313" s="483" t="e">
        <f>COUNTIF(#REF!,B313)</f>
        <v>#REF!</v>
      </c>
    </row>
    <row r="314" spans="2:7">
      <c r="B314" s="487">
        <v>313</v>
      </c>
      <c r="C314" s="486" t="s">
        <v>355</v>
      </c>
      <c r="D314" s="487" t="s">
        <v>945</v>
      </c>
      <c r="E314" s="41" t="s">
        <v>1632</v>
      </c>
      <c r="F314" s="42" t="s">
        <v>775</v>
      </c>
      <c r="G314" s="483" t="e">
        <f>COUNTIF(#REF!,B314)</f>
        <v>#REF!</v>
      </c>
    </row>
    <row r="315" spans="2:7">
      <c r="B315" s="487">
        <v>314</v>
      </c>
      <c r="C315" s="486" t="s">
        <v>356</v>
      </c>
      <c r="D315" s="487" t="s">
        <v>30</v>
      </c>
      <c r="E315" s="41" t="s">
        <v>1633</v>
      </c>
      <c r="F315" s="42" t="s">
        <v>776</v>
      </c>
      <c r="G315" s="483" t="e">
        <f>COUNTIF(#REF!,B315)</f>
        <v>#REF!</v>
      </c>
    </row>
    <row r="316" spans="2:7">
      <c r="B316" s="487">
        <v>315</v>
      </c>
      <c r="C316" s="486" t="s">
        <v>357</v>
      </c>
      <c r="D316" s="487" t="s">
        <v>30</v>
      </c>
      <c r="E316" s="41" t="s">
        <v>1634</v>
      </c>
      <c r="F316" s="42" t="s">
        <v>777</v>
      </c>
      <c r="G316" s="483" t="e">
        <f>COUNTIF(#REF!,B316)</f>
        <v>#REF!</v>
      </c>
    </row>
    <row r="317" spans="2:7">
      <c r="B317" s="487">
        <v>316</v>
      </c>
      <c r="C317" s="486" t="s">
        <v>358</v>
      </c>
      <c r="D317" s="487" t="s">
        <v>29</v>
      </c>
      <c r="E317" s="41" t="s">
        <v>1408</v>
      </c>
      <c r="F317" s="42" t="s">
        <v>778</v>
      </c>
      <c r="G317" s="483" t="e">
        <f>COUNTIF(#REF!,B317)</f>
        <v>#REF!</v>
      </c>
    </row>
    <row r="318" spans="2:7">
      <c r="B318" s="487">
        <v>317</v>
      </c>
      <c r="C318" s="486" t="s">
        <v>359</v>
      </c>
      <c r="D318" s="487" t="s">
        <v>29</v>
      </c>
      <c r="E318" s="41" t="s">
        <v>1635</v>
      </c>
      <c r="F318" s="42" t="s">
        <v>779</v>
      </c>
      <c r="G318" s="483" t="e">
        <f>COUNTIF(#REF!,B318)</f>
        <v>#REF!</v>
      </c>
    </row>
    <row r="319" spans="2:7">
      <c r="B319" s="487">
        <v>318</v>
      </c>
      <c r="C319" s="486" t="s">
        <v>360</v>
      </c>
      <c r="D319" s="487" t="s">
        <v>29</v>
      </c>
      <c r="E319" s="41" t="s">
        <v>1636</v>
      </c>
      <c r="F319" s="42" t="s">
        <v>780</v>
      </c>
      <c r="G319" s="483" t="e">
        <f>COUNTIF(#REF!,B319)</f>
        <v>#REF!</v>
      </c>
    </row>
    <row r="320" spans="2:7">
      <c r="B320" s="487">
        <v>319</v>
      </c>
      <c r="C320" s="486" t="s">
        <v>361</v>
      </c>
      <c r="D320" s="487" t="s">
        <v>30</v>
      </c>
      <c r="E320" s="41" t="s">
        <v>1637</v>
      </c>
      <c r="F320" s="42" t="s">
        <v>781</v>
      </c>
      <c r="G320" s="483" t="e">
        <f>COUNTIF(#REF!,B320)</f>
        <v>#REF!</v>
      </c>
    </row>
    <row r="321" spans="2:7">
      <c r="B321" s="487">
        <v>320</v>
      </c>
      <c r="C321" s="486" t="s">
        <v>362</v>
      </c>
      <c r="D321" s="487" t="s">
        <v>29</v>
      </c>
      <c r="E321" s="41" t="s">
        <v>1638</v>
      </c>
      <c r="F321" s="42" t="s">
        <v>782</v>
      </c>
      <c r="G321" s="483" t="e">
        <f>COUNTIF(#REF!,B321)</f>
        <v>#REF!</v>
      </c>
    </row>
    <row r="322" spans="2:7">
      <c r="B322" s="487">
        <v>321</v>
      </c>
      <c r="C322" s="486" t="s">
        <v>363</v>
      </c>
      <c r="D322" s="487" t="s">
        <v>28</v>
      </c>
      <c r="E322" s="41" t="s">
        <v>1639</v>
      </c>
      <c r="F322" s="42" t="s">
        <v>783</v>
      </c>
      <c r="G322" s="483" t="e">
        <f>COUNTIF(#REF!,B322)</f>
        <v>#REF!</v>
      </c>
    </row>
    <row r="323" spans="2:7">
      <c r="B323" s="487">
        <v>322</v>
      </c>
      <c r="C323" s="486" t="s">
        <v>364</v>
      </c>
      <c r="D323" s="487" t="s">
        <v>30</v>
      </c>
      <c r="E323" s="41" t="s">
        <v>1640</v>
      </c>
      <c r="F323" s="42" t="s">
        <v>784</v>
      </c>
      <c r="G323" s="483" t="e">
        <f>COUNTIF(#REF!,B323)</f>
        <v>#REF!</v>
      </c>
    </row>
    <row r="324" spans="2:7">
      <c r="B324" s="487">
        <v>323</v>
      </c>
      <c r="C324" s="486" t="s">
        <v>365</v>
      </c>
      <c r="D324" s="487" t="s">
        <v>30</v>
      </c>
      <c r="E324" s="41" t="s">
        <v>1641</v>
      </c>
      <c r="F324" s="42" t="s">
        <v>785</v>
      </c>
      <c r="G324" s="483" t="e">
        <f>COUNTIF(#REF!,B324)</f>
        <v>#REF!</v>
      </c>
    </row>
    <row r="325" spans="2:7">
      <c r="B325" s="487">
        <v>324</v>
      </c>
      <c r="C325" s="486" t="s">
        <v>366</v>
      </c>
      <c r="D325" s="487" t="s">
        <v>30</v>
      </c>
      <c r="E325" s="41" t="s">
        <v>1642</v>
      </c>
      <c r="F325" s="42" t="s">
        <v>786</v>
      </c>
      <c r="G325" s="483" t="e">
        <f>COUNTIF(#REF!,B325)</f>
        <v>#REF!</v>
      </c>
    </row>
    <row r="326" spans="2:7">
      <c r="B326" s="487">
        <v>325</v>
      </c>
      <c r="C326" s="486" t="s">
        <v>367</v>
      </c>
      <c r="D326" s="487" t="s">
        <v>30</v>
      </c>
      <c r="E326" s="41" t="s">
        <v>1643</v>
      </c>
      <c r="F326" s="42" t="s">
        <v>787</v>
      </c>
      <c r="G326" s="483" t="e">
        <f>COUNTIF(#REF!,B326)</f>
        <v>#REF!</v>
      </c>
    </row>
    <row r="327" spans="2:7">
      <c r="B327" s="487">
        <v>326</v>
      </c>
      <c r="C327" s="486" t="s">
        <v>368</v>
      </c>
      <c r="D327" s="487" t="s">
        <v>945</v>
      </c>
      <c r="E327" s="41" t="s">
        <v>1644</v>
      </c>
      <c r="F327" s="42" t="s">
        <v>788</v>
      </c>
      <c r="G327" s="483" t="e">
        <f>COUNTIF(#REF!,B327)</f>
        <v>#REF!</v>
      </c>
    </row>
    <row r="328" spans="2:7">
      <c r="B328" s="487">
        <v>327</v>
      </c>
      <c r="C328" s="486" t="s">
        <v>369</v>
      </c>
      <c r="D328" s="487" t="s">
        <v>945</v>
      </c>
      <c r="E328" s="41" t="s">
        <v>1645</v>
      </c>
      <c r="F328" s="42" t="s">
        <v>789</v>
      </c>
      <c r="G328" s="483" t="e">
        <f>COUNTIF(#REF!,B328)</f>
        <v>#REF!</v>
      </c>
    </row>
    <row r="329" spans="2:7">
      <c r="B329" s="487">
        <v>328</v>
      </c>
      <c r="C329" s="486" t="s">
        <v>370</v>
      </c>
      <c r="D329" s="487" t="s">
        <v>30</v>
      </c>
      <c r="E329" s="41" t="s">
        <v>1646</v>
      </c>
      <c r="F329" s="42" t="s">
        <v>790</v>
      </c>
      <c r="G329" s="483" t="e">
        <f>COUNTIF(#REF!,B329)</f>
        <v>#REF!</v>
      </c>
    </row>
    <row r="330" spans="2:7">
      <c r="B330" s="487">
        <v>329</v>
      </c>
      <c r="C330" s="486" t="s">
        <v>371</v>
      </c>
      <c r="D330" s="487" t="s">
        <v>30</v>
      </c>
      <c r="E330" s="41" t="s">
        <v>1647</v>
      </c>
      <c r="F330" s="42" t="s">
        <v>791</v>
      </c>
      <c r="G330" s="483" t="e">
        <f>COUNTIF(#REF!,B330)</f>
        <v>#REF!</v>
      </c>
    </row>
    <row r="331" spans="2:7">
      <c r="B331" s="487">
        <v>330</v>
      </c>
      <c r="C331" s="486" t="s">
        <v>372</v>
      </c>
      <c r="D331" s="487" t="s">
        <v>29</v>
      </c>
      <c r="E331" s="41" t="s">
        <v>1648</v>
      </c>
      <c r="F331" s="42" t="s">
        <v>792</v>
      </c>
      <c r="G331" s="483" t="e">
        <f>COUNTIF(#REF!,B331)</f>
        <v>#REF!</v>
      </c>
    </row>
    <row r="332" spans="2:7">
      <c r="B332" s="487">
        <v>331</v>
      </c>
      <c r="C332" s="486" t="s">
        <v>373</v>
      </c>
      <c r="D332" s="487" t="s">
        <v>29</v>
      </c>
      <c r="E332" s="41" t="s">
        <v>1649</v>
      </c>
      <c r="F332" s="42" t="s">
        <v>793</v>
      </c>
      <c r="G332" s="483" t="e">
        <f>COUNTIF(#REF!,B332)</f>
        <v>#REF!</v>
      </c>
    </row>
    <row r="333" spans="2:7">
      <c r="B333" s="487">
        <v>332</v>
      </c>
      <c r="C333" s="486" t="s">
        <v>374</v>
      </c>
      <c r="D333" s="487" t="s">
        <v>30</v>
      </c>
      <c r="E333" s="41" t="s">
        <v>1650</v>
      </c>
      <c r="F333" s="42" t="s">
        <v>794</v>
      </c>
      <c r="G333" s="483" t="e">
        <f>COUNTIF(#REF!,B333)</f>
        <v>#REF!</v>
      </c>
    </row>
    <row r="334" spans="2:7">
      <c r="B334" s="487">
        <v>333</v>
      </c>
      <c r="C334" s="486" t="s">
        <v>375</v>
      </c>
      <c r="D334" s="487" t="s">
        <v>28</v>
      </c>
      <c r="E334" s="41" t="s">
        <v>1651</v>
      </c>
      <c r="F334" s="42" t="s">
        <v>795</v>
      </c>
      <c r="G334" s="483" t="e">
        <f>COUNTIF(#REF!,B334)</f>
        <v>#REF!</v>
      </c>
    </row>
    <row r="335" spans="2:7">
      <c r="B335" s="487">
        <v>334</v>
      </c>
      <c r="C335" s="486" t="s">
        <v>376</v>
      </c>
      <c r="D335" s="487" t="s">
        <v>28</v>
      </c>
      <c r="E335" s="41" t="s">
        <v>1652</v>
      </c>
      <c r="F335" s="42" t="s">
        <v>796</v>
      </c>
      <c r="G335" s="483" t="e">
        <f>COUNTIF(#REF!,B335)</f>
        <v>#REF!</v>
      </c>
    </row>
    <row r="336" spans="2:7">
      <c r="B336" s="487">
        <v>335</v>
      </c>
      <c r="C336" s="486" t="s">
        <v>377</v>
      </c>
      <c r="D336" s="487" t="s">
        <v>28</v>
      </c>
      <c r="E336" s="41" t="s">
        <v>1653</v>
      </c>
      <c r="F336" s="42" t="s">
        <v>797</v>
      </c>
      <c r="G336" s="483" t="e">
        <f>COUNTIF(#REF!,B336)</f>
        <v>#REF!</v>
      </c>
    </row>
    <row r="337" spans="2:7">
      <c r="B337" s="487">
        <v>336</v>
      </c>
      <c r="C337" s="486" t="s">
        <v>378</v>
      </c>
      <c r="D337" s="487" t="s">
        <v>28</v>
      </c>
      <c r="E337" s="41" t="s">
        <v>1654</v>
      </c>
      <c r="F337" s="42" t="s">
        <v>798</v>
      </c>
      <c r="G337" s="483" t="e">
        <f>COUNTIF(#REF!,B337)</f>
        <v>#REF!</v>
      </c>
    </row>
    <row r="338" spans="2:7">
      <c r="B338" s="487">
        <v>337</v>
      </c>
      <c r="C338" s="486" t="s">
        <v>379</v>
      </c>
      <c r="D338" s="487" t="s">
        <v>29</v>
      </c>
      <c r="E338" s="41" t="s">
        <v>1655</v>
      </c>
      <c r="F338" s="42" t="s">
        <v>799</v>
      </c>
      <c r="G338" s="483" t="e">
        <f>COUNTIF(#REF!,B338)</f>
        <v>#REF!</v>
      </c>
    </row>
    <row r="339" spans="2:7">
      <c r="B339" s="487">
        <v>338</v>
      </c>
      <c r="C339" s="486" t="s">
        <v>380</v>
      </c>
      <c r="D339" s="487" t="s">
        <v>29</v>
      </c>
      <c r="E339" s="41" t="s">
        <v>1656</v>
      </c>
      <c r="F339" s="42" t="s">
        <v>800</v>
      </c>
      <c r="G339" s="483" t="e">
        <f>COUNTIF(#REF!,B339)</f>
        <v>#REF!</v>
      </c>
    </row>
    <row r="340" spans="2:7">
      <c r="B340" s="487">
        <v>339</v>
      </c>
      <c r="C340" s="486" t="s">
        <v>381</v>
      </c>
      <c r="D340" s="487" t="s">
        <v>28</v>
      </c>
      <c r="E340" s="41" t="s">
        <v>1657</v>
      </c>
      <c r="F340" s="42" t="s">
        <v>801</v>
      </c>
      <c r="G340" s="483" t="e">
        <f>COUNTIF(#REF!,B340)</f>
        <v>#REF!</v>
      </c>
    </row>
    <row r="341" spans="2:7">
      <c r="B341" s="487">
        <v>340</v>
      </c>
      <c r="C341" s="486" t="s">
        <v>382</v>
      </c>
      <c r="D341" s="487" t="s">
        <v>29</v>
      </c>
      <c r="E341" s="41" t="s">
        <v>1658</v>
      </c>
      <c r="F341" s="42" t="s">
        <v>802</v>
      </c>
      <c r="G341" s="483" t="e">
        <f>COUNTIF(#REF!,B341)</f>
        <v>#REF!</v>
      </c>
    </row>
    <row r="342" spans="2:7">
      <c r="B342" s="487">
        <v>341</v>
      </c>
      <c r="C342" s="486" t="s">
        <v>383</v>
      </c>
      <c r="D342" s="487" t="s">
        <v>28</v>
      </c>
      <c r="E342" s="41" t="s">
        <v>1659</v>
      </c>
      <c r="F342" s="42" t="s">
        <v>803</v>
      </c>
      <c r="G342" s="483" t="e">
        <f>COUNTIF(#REF!,B342)</f>
        <v>#REF!</v>
      </c>
    </row>
    <row r="343" spans="2:7">
      <c r="B343" s="487">
        <v>342</v>
      </c>
      <c r="C343" s="486" t="s">
        <v>384</v>
      </c>
      <c r="D343" s="487" t="s">
        <v>28</v>
      </c>
      <c r="E343" s="41" t="s">
        <v>1660</v>
      </c>
      <c r="F343" s="42" t="s">
        <v>804</v>
      </c>
      <c r="G343" s="483" t="e">
        <f>COUNTIF(#REF!,B343)</f>
        <v>#REF!</v>
      </c>
    </row>
    <row r="344" spans="2:7">
      <c r="B344" s="487">
        <v>343</v>
      </c>
      <c r="C344" s="486" t="s">
        <v>385</v>
      </c>
      <c r="D344" s="487" t="s">
        <v>29</v>
      </c>
      <c r="E344" s="41" t="s">
        <v>1661</v>
      </c>
      <c r="F344" s="42" t="s">
        <v>1968</v>
      </c>
      <c r="G344" s="483" t="e">
        <f>COUNTIF(#REF!,B344)</f>
        <v>#REF!</v>
      </c>
    </row>
    <row r="345" spans="2:7">
      <c r="B345" s="487">
        <v>344</v>
      </c>
      <c r="C345" s="486" t="s">
        <v>386</v>
      </c>
      <c r="D345" s="487" t="s">
        <v>30</v>
      </c>
      <c r="E345" s="41" t="s">
        <v>1662</v>
      </c>
      <c r="F345" s="42" t="s">
        <v>1969</v>
      </c>
      <c r="G345" s="483" t="e">
        <f>COUNTIF(#REF!,B345)</f>
        <v>#REF!</v>
      </c>
    </row>
    <row r="346" spans="2:7">
      <c r="B346" s="487">
        <v>345</v>
      </c>
      <c r="C346" s="486" t="s">
        <v>387</v>
      </c>
      <c r="D346" s="487" t="s">
        <v>30</v>
      </c>
      <c r="E346" s="41" t="s">
        <v>1663</v>
      </c>
      <c r="F346" s="42" t="s">
        <v>1970</v>
      </c>
      <c r="G346" s="483" t="e">
        <f>COUNTIF(#REF!,B346)</f>
        <v>#REF!</v>
      </c>
    </row>
    <row r="347" spans="2:7">
      <c r="B347" s="487">
        <v>346</v>
      </c>
      <c r="C347" s="486" t="s">
        <v>388</v>
      </c>
      <c r="D347" s="487" t="s">
        <v>29</v>
      </c>
      <c r="E347" s="41" t="s">
        <v>1664</v>
      </c>
      <c r="F347" s="42" t="s">
        <v>805</v>
      </c>
      <c r="G347" s="483" t="e">
        <f>COUNTIF(#REF!,B347)</f>
        <v>#REF!</v>
      </c>
    </row>
    <row r="348" spans="2:7">
      <c r="B348" s="487">
        <v>347</v>
      </c>
      <c r="C348" s="486" t="s">
        <v>389</v>
      </c>
      <c r="D348" s="487" t="s">
        <v>29</v>
      </c>
      <c r="E348" s="41" t="s">
        <v>1409</v>
      </c>
      <c r="F348" s="42" t="s">
        <v>806</v>
      </c>
      <c r="G348" s="483" t="e">
        <f>COUNTIF(#REF!,B348)</f>
        <v>#REF!</v>
      </c>
    </row>
    <row r="349" spans="2:7">
      <c r="B349" s="487">
        <v>348</v>
      </c>
      <c r="C349" s="486" t="s">
        <v>390</v>
      </c>
      <c r="D349" s="487" t="s">
        <v>943</v>
      </c>
      <c r="E349" s="41" t="s">
        <v>1665</v>
      </c>
      <c r="F349" s="42" t="s">
        <v>807</v>
      </c>
      <c r="G349" s="483" t="e">
        <f>COUNTIF(#REF!,B349)</f>
        <v>#REF!</v>
      </c>
    </row>
    <row r="350" spans="2:7">
      <c r="B350" s="487">
        <v>349</v>
      </c>
      <c r="C350" s="486" t="s">
        <v>391</v>
      </c>
      <c r="D350" s="487" t="s">
        <v>943</v>
      </c>
      <c r="E350" s="41" t="s">
        <v>1666</v>
      </c>
      <c r="F350" s="42" t="s">
        <v>1971</v>
      </c>
      <c r="G350" s="483" t="e">
        <f>COUNTIF(#REF!,B350)</f>
        <v>#REF!</v>
      </c>
    </row>
    <row r="351" spans="2:7">
      <c r="B351" s="487">
        <v>350</v>
      </c>
      <c r="C351" s="486" t="s">
        <v>392</v>
      </c>
      <c r="D351" s="487" t="s">
        <v>944</v>
      </c>
      <c r="E351" s="41" t="s">
        <v>1667</v>
      </c>
      <c r="F351" s="42" t="s">
        <v>1972</v>
      </c>
      <c r="G351" s="483" t="e">
        <f>COUNTIF(#REF!,B351)</f>
        <v>#REF!</v>
      </c>
    </row>
    <row r="352" spans="2:7">
      <c r="B352" s="487">
        <v>351</v>
      </c>
      <c r="C352" s="486" t="s">
        <v>393</v>
      </c>
      <c r="D352" s="487" t="s">
        <v>943</v>
      </c>
      <c r="E352" s="41" t="s">
        <v>1668</v>
      </c>
      <c r="F352" s="42" t="s">
        <v>808</v>
      </c>
      <c r="G352" s="483" t="e">
        <f>COUNTIF(#REF!,B352)</f>
        <v>#REF!</v>
      </c>
    </row>
    <row r="353" spans="2:7">
      <c r="B353" s="487">
        <v>352</v>
      </c>
      <c r="C353" s="486" t="s">
        <v>394</v>
      </c>
      <c r="D353" s="487" t="s">
        <v>944</v>
      </c>
      <c r="E353" s="41" t="s">
        <v>1669</v>
      </c>
      <c r="F353" s="42" t="s">
        <v>809</v>
      </c>
      <c r="G353" s="483" t="e">
        <f>COUNTIF(#REF!,B353)</f>
        <v>#REF!</v>
      </c>
    </row>
    <row r="354" spans="2:7">
      <c r="B354" s="487">
        <v>353</v>
      </c>
      <c r="C354" s="486" t="s">
        <v>395</v>
      </c>
      <c r="D354" s="487" t="s">
        <v>943</v>
      </c>
      <c r="E354" s="41" t="s">
        <v>1670</v>
      </c>
      <c r="F354" s="42" t="s">
        <v>810</v>
      </c>
      <c r="G354" s="483" t="e">
        <f>COUNTIF(#REF!,B354)</f>
        <v>#REF!</v>
      </c>
    </row>
    <row r="355" spans="2:7">
      <c r="B355" s="487">
        <v>354</v>
      </c>
      <c r="C355" s="486" t="s">
        <v>396</v>
      </c>
      <c r="D355" s="487" t="s">
        <v>944</v>
      </c>
      <c r="E355" s="41" t="s">
        <v>1671</v>
      </c>
      <c r="F355" s="42" t="s">
        <v>811</v>
      </c>
      <c r="G355" s="483" t="e">
        <f>COUNTIF(#REF!,B355)</f>
        <v>#REF!</v>
      </c>
    </row>
    <row r="356" spans="2:7">
      <c r="B356" s="487">
        <v>355</v>
      </c>
      <c r="C356" s="486" t="s">
        <v>397</v>
      </c>
      <c r="D356" s="487" t="s">
        <v>29</v>
      </c>
      <c r="E356" s="41" t="s">
        <v>1672</v>
      </c>
      <c r="F356" s="42" t="s">
        <v>812</v>
      </c>
      <c r="G356" s="483" t="e">
        <f>COUNTIF(#REF!,B356)</f>
        <v>#REF!</v>
      </c>
    </row>
    <row r="357" spans="2:7">
      <c r="B357" s="487">
        <v>356</v>
      </c>
      <c r="C357" s="486" t="s">
        <v>398</v>
      </c>
      <c r="D357" s="487" t="s">
        <v>29</v>
      </c>
      <c r="E357" s="41" t="s">
        <v>1673</v>
      </c>
      <c r="F357" s="42" t="s">
        <v>813</v>
      </c>
      <c r="G357" s="483" t="e">
        <f>COUNTIF(#REF!,B357)</f>
        <v>#REF!</v>
      </c>
    </row>
    <row r="358" spans="2:7">
      <c r="B358" s="487">
        <v>357</v>
      </c>
      <c r="C358" s="486" t="s">
        <v>399</v>
      </c>
      <c r="D358" s="487" t="s">
        <v>28</v>
      </c>
      <c r="E358" s="41" t="s">
        <v>1674</v>
      </c>
      <c r="F358" s="42" t="s">
        <v>814</v>
      </c>
      <c r="G358" s="483" t="e">
        <f>COUNTIF(#REF!,B358)</f>
        <v>#REF!</v>
      </c>
    </row>
    <row r="359" spans="2:7">
      <c r="B359" s="487">
        <v>358</v>
      </c>
      <c r="C359" s="486" t="s">
        <v>400</v>
      </c>
      <c r="D359" s="487" t="s">
        <v>943</v>
      </c>
      <c r="E359" s="41" t="s">
        <v>1668</v>
      </c>
      <c r="F359" s="42" t="s">
        <v>815</v>
      </c>
      <c r="G359" s="483" t="e">
        <f>COUNTIF(#REF!,B359)</f>
        <v>#REF!</v>
      </c>
    </row>
    <row r="360" spans="2:7">
      <c r="B360" s="487">
        <v>359</v>
      </c>
      <c r="C360" s="486" t="s">
        <v>401</v>
      </c>
      <c r="D360" s="487" t="s">
        <v>943</v>
      </c>
      <c r="E360" s="41" t="s">
        <v>1675</v>
      </c>
      <c r="F360" s="42" t="s">
        <v>816</v>
      </c>
      <c r="G360" s="483" t="e">
        <f>COUNTIF(#REF!,B360)</f>
        <v>#REF!</v>
      </c>
    </row>
    <row r="361" spans="2:7">
      <c r="B361" s="487">
        <v>360</v>
      </c>
      <c r="C361" s="486" t="s">
        <v>402</v>
      </c>
      <c r="D361" s="487" t="s">
        <v>28</v>
      </c>
      <c r="E361" s="41" t="s">
        <v>1676</v>
      </c>
      <c r="F361" s="42" t="s">
        <v>1973</v>
      </c>
      <c r="G361" s="483" t="e">
        <f>COUNTIF(#REF!,B361)</f>
        <v>#REF!</v>
      </c>
    </row>
    <row r="362" spans="2:7">
      <c r="B362" s="487">
        <v>361</v>
      </c>
      <c r="C362" s="486" t="s">
        <v>403</v>
      </c>
      <c r="D362" s="487" t="s">
        <v>28</v>
      </c>
      <c r="E362" s="41" t="s">
        <v>1677</v>
      </c>
      <c r="F362" s="42" t="s">
        <v>817</v>
      </c>
      <c r="G362" s="483" t="e">
        <f>COUNTIF(#REF!,B362)</f>
        <v>#REF!</v>
      </c>
    </row>
    <row r="363" spans="2:7">
      <c r="B363" s="487">
        <v>362</v>
      </c>
      <c r="C363" s="486" t="s">
        <v>404</v>
      </c>
      <c r="D363" s="487" t="s">
        <v>28</v>
      </c>
      <c r="E363" s="41" t="s">
        <v>1678</v>
      </c>
      <c r="F363" s="42" t="s">
        <v>1974</v>
      </c>
      <c r="G363" s="483" t="e">
        <f>COUNTIF(#REF!,B363)</f>
        <v>#REF!</v>
      </c>
    </row>
    <row r="364" spans="2:7">
      <c r="B364" s="487">
        <v>363</v>
      </c>
      <c r="C364" s="486" t="s">
        <v>405</v>
      </c>
      <c r="D364" s="487" t="s">
        <v>29</v>
      </c>
      <c r="E364" s="41" t="s">
        <v>1679</v>
      </c>
      <c r="F364" s="42" t="s">
        <v>818</v>
      </c>
      <c r="G364" s="483" t="e">
        <f>COUNTIF(#REF!,B364)</f>
        <v>#REF!</v>
      </c>
    </row>
    <row r="365" spans="2:7">
      <c r="B365" s="487">
        <v>364</v>
      </c>
      <c r="C365" s="486" t="s">
        <v>406</v>
      </c>
      <c r="D365" s="487" t="s">
        <v>28</v>
      </c>
      <c r="E365" s="41" t="s">
        <v>1680</v>
      </c>
      <c r="F365" s="42" t="s">
        <v>819</v>
      </c>
      <c r="G365" s="483" t="e">
        <f>COUNTIF(#REF!,B365)</f>
        <v>#REF!</v>
      </c>
    </row>
    <row r="366" spans="2:7">
      <c r="B366" s="487">
        <v>365</v>
      </c>
      <c r="C366" s="486" t="s">
        <v>407</v>
      </c>
      <c r="D366" s="487" t="s">
        <v>943</v>
      </c>
      <c r="E366" s="41" t="s">
        <v>1681</v>
      </c>
      <c r="F366" s="42" t="s">
        <v>820</v>
      </c>
      <c r="G366" s="483" t="e">
        <f>COUNTIF(#REF!,B366)</f>
        <v>#REF!</v>
      </c>
    </row>
    <row r="367" spans="2:7">
      <c r="B367" s="487">
        <v>366</v>
      </c>
      <c r="C367" s="486" t="s">
        <v>408</v>
      </c>
      <c r="D367" s="487" t="s">
        <v>943</v>
      </c>
      <c r="E367" s="41" t="s">
        <v>1682</v>
      </c>
      <c r="F367" s="42" t="s">
        <v>821</v>
      </c>
      <c r="G367" s="483" t="e">
        <f>COUNTIF(#REF!,B367)</f>
        <v>#REF!</v>
      </c>
    </row>
    <row r="368" spans="2:7">
      <c r="B368" s="487">
        <v>367</v>
      </c>
      <c r="C368" s="486" t="s">
        <v>409</v>
      </c>
      <c r="D368" s="487" t="s">
        <v>28</v>
      </c>
      <c r="E368" s="41" t="s">
        <v>1683</v>
      </c>
      <c r="F368" s="42" t="s">
        <v>822</v>
      </c>
      <c r="G368" s="483" t="e">
        <f>COUNTIF(#REF!,B368)</f>
        <v>#REF!</v>
      </c>
    </row>
    <row r="369" spans="2:7">
      <c r="B369" s="487">
        <v>368</v>
      </c>
      <c r="C369" s="486" t="s">
        <v>410</v>
      </c>
      <c r="D369" s="487" t="s">
        <v>29</v>
      </c>
      <c r="E369" s="41" t="s">
        <v>1684</v>
      </c>
      <c r="F369" s="42" t="s">
        <v>823</v>
      </c>
      <c r="G369" s="483" t="e">
        <f>COUNTIF(#REF!,B369)</f>
        <v>#REF!</v>
      </c>
    </row>
    <row r="370" spans="2:7">
      <c r="B370" s="487">
        <v>369</v>
      </c>
      <c r="C370" s="486" t="s">
        <v>411</v>
      </c>
      <c r="D370" s="487" t="s">
        <v>28</v>
      </c>
      <c r="E370" s="41" t="s">
        <v>1685</v>
      </c>
      <c r="F370" s="42" t="s">
        <v>824</v>
      </c>
      <c r="G370" s="483" t="e">
        <f>COUNTIF(#REF!,B370)</f>
        <v>#REF!</v>
      </c>
    </row>
    <row r="371" spans="2:7">
      <c r="B371" s="487">
        <v>370</v>
      </c>
      <c r="C371" s="486" t="s">
        <v>412</v>
      </c>
      <c r="D371" s="487" t="s">
        <v>28</v>
      </c>
      <c r="E371" s="41" t="s">
        <v>1686</v>
      </c>
      <c r="F371" s="42" t="s">
        <v>825</v>
      </c>
      <c r="G371" s="483" t="e">
        <f>COUNTIF(#REF!,B371)</f>
        <v>#REF!</v>
      </c>
    </row>
    <row r="372" spans="2:7">
      <c r="B372" s="487">
        <v>371</v>
      </c>
      <c r="C372" s="486" t="s">
        <v>413</v>
      </c>
      <c r="D372" s="487" t="s">
        <v>28</v>
      </c>
      <c r="E372" s="41" t="s">
        <v>1687</v>
      </c>
      <c r="F372" s="42" t="s">
        <v>826</v>
      </c>
      <c r="G372" s="483" t="e">
        <f>COUNTIF(#REF!,B372)</f>
        <v>#REF!</v>
      </c>
    </row>
    <row r="373" spans="2:7">
      <c r="B373" s="487">
        <v>372</v>
      </c>
      <c r="C373" s="486" t="s">
        <v>414</v>
      </c>
      <c r="D373" s="487" t="s">
        <v>28</v>
      </c>
      <c r="E373" s="41" t="s">
        <v>1688</v>
      </c>
      <c r="F373" s="42" t="s">
        <v>827</v>
      </c>
      <c r="G373" s="483" t="e">
        <f>COUNTIF(#REF!,B373)</f>
        <v>#REF!</v>
      </c>
    </row>
    <row r="374" spans="2:7">
      <c r="B374" s="487">
        <v>373</v>
      </c>
      <c r="C374" s="486" t="s">
        <v>415</v>
      </c>
      <c r="D374" s="487" t="s">
        <v>28</v>
      </c>
      <c r="E374" s="41" t="s">
        <v>1689</v>
      </c>
      <c r="F374" s="42" t="s">
        <v>828</v>
      </c>
      <c r="G374" s="483" t="e">
        <f>COUNTIF(#REF!,B374)</f>
        <v>#REF!</v>
      </c>
    </row>
    <row r="375" spans="2:7">
      <c r="B375" s="487">
        <v>374</v>
      </c>
      <c r="C375" s="486" t="s">
        <v>416</v>
      </c>
      <c r="D375" s="487" t="s">
        <v>28</v>
      </c>
      <c r="E375" s="41" t="s">
        <v>1690</v>
      </c>
      <c r="F375" s="42" t="s">
        <v>829</v>
      </c>
      <c r="G375" s="483" t="e">
        <f>COUNTIF(#REF!,B375)</f>
        <v>#REF!</v>
      </c>
    </row>
    <row r="376" spans="2:7">
      <c r="B376" s="487">
        <v>375</v>
      </c>
      <c r="C376" s="486" t="s">
        <v>417</v>
      </c>
      <c r="D376" s="487" t="s">
        <v>28</v>
      </c>
      <c r="E376" s="41" t="s">
        <v>1691</v>
      </c>
      <c r="F376" s="42" t="s">
        <v>830</v>
      </c>
      <c r="G376" s="483" t="e">
        <f>COUNTIF(#REF!,B376)</f>
        <v>#REF!</v>
      </c>
    </row>
    <row r="377" spans="2:7">
      <c r="B377" s="487">
        <v>376</v>
      </c>
      <c r="C377" s="486" t="s">
        <v>418</v>
      </c>
      <c r="D377" s="487" t="s">
        <v>28</v>
      </c>
      <c r="E377" s="41" t="s">
        <v>1692</v>
      </c>
      <c r="F377" s="42" t="s">
        <v>1975</v>
      </c>
      <c r="G377" s="483" t="e">
        <f>COUNTIF(#REF!,B377)</f>
        <v>#REF!</v>
      </c>
    </row>
    <row r="378" spans="2:7">
      <c r="B378" s="487">
        <v>377</v>
      </c>
      <c r="C378" s="486" t="s">
        <v>419</v>
      </c>
      <c r="D378" s="487" t="s">
        <v>28</v>
      </c>
      <c r="E378" s="41" t="s">
        <v>1693</v>
      </c>
      <c r="F378" s="42" t="s">
        <v>831</v>
      </c>
      <c r="G378" s="483" t="e">
        <f>COUNTIF(#REF!,B378)</f>
        <v>#REF!</v>
      </c>
    </row>
    <row r="379" spans="2:7">
      <c r="B379" s="487">
        <v>378</v>
      </c>
      <c r="C379" s="486" t="s">
        <v>420</v>
      </c>
      <c r="D379" s="487" t="s">
        <v>943</v>
      </c>
      <c r="E379" s="41" t="s">
        <v>1694</v>
      </c>
      <c r="F379" s="42" t="s">
        <v>832</v>
      </c>
      <c r="G379" s="483" t="e">
        <f>COUNTIF(#REF!,B379)</f>
        <v>#REF!</v>
      </c>
    </row>
    <row r="380" spans="2:7">
      <c r="B380" s="487">
        <v>379</v>
      </c>
      <c r="C380" s="486" t="s">
        <v>421</v>
      </c>
      <c r="D380" s="487" t="s">
        <v>28</v>
      </c>
      <c r="E380" s="41" t="s">
        <v>1695</v>
      </c>
      <c r="F380" s="42" t="s">
        <v>1976</v>
      </c>
      <c r="G380" s="483" t="e">
        <f>COUNTIF(#REF!,B380)</f>
        <v>#REF!</v>
      </c>
    </row>
    <row r="381" spans="2:7">
      <c r="B381" s="487">
        <v>380</v>
      </c>
      <c r="C381" s="486" t="s">
        <v>422</v>
      </c>
      <c r="D381" s="487" t="s">
        <v>28</v>
      </c>
      <c r="E381" s="41" t="s">
        <v>1696</v>
      </c>
      <c r="F381" s="42" t="s">
        <v>1977</v>
      </c>
      <c r="G381" s="483" t="e">
        <f>COUNTIF(#REF!,B381)</f>
        <v>#REF!</v>
      </c>
    </row>
    <row r="382" spans="2:7">
      <c r="B382" s="487">
        <v>381</v>
      </c>
      <c r="C382" s="486" t="s">
        <v>423</v>
      </c>
      <c r="D382" s="487" t="s">
        <v>28</v>
      </c>
      <c r="E382" s="41" t="s">
        <v>1697</v>
      </c>
      <c r="F382" s="42" t="s">
        <v>833</v>
      </c>
      <c r="G382" s="483" t="e">
        <f>COUNTIF(#REF!,B382)</f>
        <v>#REF!</v>
      </c>
    </row>
    <row r="383" spans="2:7">
      <c r="B383" s="487">
        <v>382</v>
      </c>
      <c r="C383" s="486" t="s">
        <v>424</v>
      </c>
      <c r="D383" s="487" t="s">
        <v>28</v>
      </c>
      <c r="E383" s="41" t="s">
        <v>1698</v>
      </c>
      <c r="F383" s="42" t="s">
        <v>834</v>
      </c>
      <c r="G383" s="483" t="e">
        <f>COUNTIF(#REF!,B383)</f>
        <v>#REF!</v>
      </c>
    </row>
    <row r="384" spans="2:7">
      <c r="B384" s="487">
        <v>383</v>
      </c>
      <c r="C384" s="486" t="s">
        <v>425</v>
      </c>
      <c r="D384" s="487" t="s">
        <v>28</v>
      </c>
      <c r="E384" s="41" t="s">
        <v>1699</v>
      </c>
      <c r="F384" s="42" t="s">
        <v>835</v>
      </c>
      <c r="G384" s="483" t="e">
        <f>COUNTIF(#REF!,B384)</f>
        <v>#REF!</v>
      </c>
    </row>
    <row r="385" spans="2:7">
      <c r="B385" s="487">
        <v>384</v>
      </c>
      <c r="C385" s="486" t="s">
        <v>426</v>
      </c>
      <c r="D385" s="487" t="s">
        <v>28</v>
      </c>
      <c r="E385" s="41" t="s">
        <v>1700</v>
      </c>
      <c r="F385" s="42" t="s">
        <v>836</v>
      </c>
      <c r="G385" s="483" t="e">
        <f>COUNTIF(#REF!,B385)</f>
        <v>#REF!</v>
      </c>
    </row>
    <row r="386" spans="2:7">
      <c r="B386" s="487">
        <v>385</v>
      </c>
      <c r="C386" s="486" t="s">
        <v>427</v>
      </c>
      <c r="D386" s="487" t="s">
        <v>28</v>
      </c>
      <c r="E386" s="41" t="s">
        <v>1701</v>
      </c>
      <c r="F386" s="42" t="s">
        <v>837</v>
      </c>
      <c r="G386" s="483" t="e">
        <f>COUNTIF(#REF!,B386)</f>
        <v>#REF!</v>
      </c>
    </row>
    <row r="387" spans="2:7">
      <c r="B387" s="487">
        <v>386</v>
      </c>
      <c r="C387" s="486" t="s">
        <v>428</v>
      </c>
      <c r="D387" s="487" t="s">
        <v>28</v>
      </c>
      <c r="E387" s="41" t="s">
        <v>1702</v>
      </c>
      <c r="F387" s="42" t="s">
        <v>838</v>
      </c>
      <c r="G387" s="483" t="e">
        <f>COUNTIF(#REF!,B387)</f>
        <v>#REF!</v>
      </c>
    </row>
    <row r="388" spans="2:7">
      <c r="B388" s="487">
        <v>387</v>
      </c>
      <c r="C388" s="486" t="s">
        <v>429</v>
      </c>
      <c r="D388" s="487" t="s">
        <v>28</v>
      </c>
      <c r="E388" s="41" t="s">
        <v>1703</v>
      </c>
      <c r="F388" s="42" t="s">
        <v>839</v>
      </c>
      <c r="G388" s="483" t="e">
        <f>COUNTIF(#REF!,B388)</f>
        <v>#REF!</v>
      </c>
    </row>
    <row r="389" spans="2:7">
      <c r="B389" s="487">
        <v>388</v>
      </c>
      <c r="C389" s="486" t="s">
        <v>430</v>
      </c>
      <c r="D389" s="487" t="s">
        <v>28</v>
      </c>
      <c r="E389" s="41" t="s">
        <v>1704</v>
      </c>
      <c r="F389" s="42" t="s">
        <v>840</v>
      </c>
      <c r="G389" s="483" t="e">
        <f>COUNTIF(#REF!,B389)</f>
        <v>#REF!</v>
      </c>
    </row>
    <row r="390" spans="2:7">
      <c r="B390" s="487">
        <v>389</v>
      </c>
      <c r="C390" s="486" t="s">
        <v>431</v>
      </c>
      <c r="D390" s="487" t="s">
        <v>28</v>
      </c>
      <c r="E390" s="41" t="s">
        <v>1705</v>
      </c>
      <c r="F390" s="42" t="s">
        <v>841</v>
      </c>
      <c r="G390" s="483" t="e">
        <f>COUNTIF(#REF!,B390)</f>
        <v>#REF!</v>
      </c>
    </row>
    <row r="391" spans="2:7">
      <c r="B391" s="487">
        <v>390</v>
      </c>
      <c r="C391" s="486" t="s">
        <v>432</v>
      </c>
      <c r="D391" s="487" t="s">
        <v>28</v>
      </c>
      <c r="E391" s="41" t="s">
        <v>1706</v>
      </c>
      <c r="F391" s="42" t="s">
        <v>842</v>
      </c>
      <c r="G391" s="483" t="e">
        <f>COUNTIF(#REF!,B391)</f>
        <v>#REF!</v>
      </c>
    </row>
    <row r="392" spans="2:7">
      <c r="B392" s="487">
        <v>391</v>
      </c>
      <c r="C392" s="486" t="s">
        <v>433</v>
      </c>
      <c r="D392" s="487" t="s">
        <v>28</v>
      </c>
      <c r="E392" s="41" t="s">
        <v>1707</v>
      </c>
      <c r="F392" s="42" t="s">
        <v>843</v>
      </c>
      <c r="G392" s="483" t="e">
        <f>COUNTIF(#REF!,B392)</f>
        <v>#REF!</v>
      </c>
    </row>
    <row r="393" spans="2:7">
      <c r="B393" s="487">
        <v>392</v>
      </c>
      <c r="C393" s="486" t="s">
        <v>434</v>
      </c>
      <c r="D393" s="487" t="s">
        <v>28</v>
      </c>
      <c r="E393" s="41" t="s">
        <v>1708</v>
      </c>
      <c r="F393" s="42" t="s">
        <v>844</v>
      </c>
      <c r="G393" s="483" t="e">
        <f>COUNTIF(#REF!,B393)</f>
        <v>#REF!</v>
      </c>
    </row>
    <row r="394" spans="2:7">
      <c r="B394" s="487">
        <v>393</v>
      </c>
      <c r="C394" s="486" t="s">
        <v>435</v>
      </c>
      <c r="D394" s="487" t="s">
        <v>28</v>
      </c>
      <c r="E394" s="41" t="s">
        <v>1709</v>
      </c>
      <c r="F394" s="42" t="s">
        <v>845</v>
      </c>
      <c r="G394" s="483" t="e">
        <f>COUNTIF(#REF!,B394)</f>
        <v>#REF!</v>
      </c>
    </row>
    <row r="395" spans="2:7">
      <c r="B395" s="487">
        <v>394</v>
      </c>
      <c r="C395" s="486" t="s">
        <v>436</v>
      </c>
      <c r="D395" s="487" t="s">
        <v>28</v>
      </c>
      <c r="E395" s="41" t="s">
        <v>1710</v>
      </c>
      <c r="F395" s="42" t="s">
        <v>846</v>
      </c>
      <c r="G395" s="483" t="e">
        <f>COUNTIF(#REF!,B395)</f>
        <v>#REF!</v>
      </c>
    </row>
    <row r="396" spans="2:7">
      <c r="B396" s="487">
        <v>395</v>
      </c>
      <c r="C396" s="486" t="s">
        <v>437</v>
      </c>
      <c r="D396" s="487" t="s">
        <v>28</v>
      </c>
      <c r="E396" s="41" t="s">
        <v>1711</v>
      </c>
      <c r="F396" s="42" t="s">
        <v>847</v>
      </c>
      <c r="G396" s="483" t="e">
        <f>COUNTIF(#REF!,B396)</f>
        <v>#REF!</v>
      </c>
    </row>
    <row r="397" spans="2:7">
      <c r="B397" s="487">
        <v>396</v>
      </c>
      <c r="C397" s="486" t="s">
        <v>438</v>
      </c>
      <c r="D397" s="487" t="s">
        <v>28</v>
      </c>
      <c r="E397" s="41" t="s">
        <v>1712</v>
      </c>
      <c r="F397" s="42" t="s">
        <v>848</v>
      </c>
      <c r="G397" s="483" t="e">
        <f>COUNTIF(#REF!,B397)</f>
        <v>#REF!</v>
      </c>
    </row>
    <row r="398" spans="2:7">
      <c r="B398" s="487">
        <v>397</v>
      </c>
      <c r="C398" s="486" t="s">
        <v>439</v>
      </c>
      <c r="D398" s="487" t="s">
        <v>28</v>
      </c>
      <c r="E398" s="41" t="s">
        <v>1713</v>
      </c>
      <c r="F398" s="42" t="s">
        <v>849</v>
      </c>
      <c r="G398" s="483" t="e">
        <f>COUNTIF(#REF!,B398)</f>
        <v>#REF!</v>
      </c>
    </row>
    <row r="399" spans="2:7">
      <c r="B399" s="487">
        <v>398</v>
      </c>
      <c r="C399" s="486" t="s">
        <v>440</v>
      </c>
      <c r="D399" s="487" t="s">
        <v>28</v>
      </c>
      <c r="E399" s="41" t="s">
        <v>1714</v>
      </c>
      <c r="F399" s="42" t="s">
        <v>850</v>
      </c>
      <c r="G399" s="483" t="e">
        <f>COUNTIF(#REF!,B399)</f>
        <v>#REF!</v>
      </c>
    </row>
    <row r="400" spans="2:7">
      <c r="B400" s="487">
        <v>399</v>
      </c>
      <c r="C400" s="486" t="s">
        <v>441</v>
      </c>
      <c r="D400" s="487" t="s">
        <v>28</v>
      </c>
      <c r="E400" s="41" t="s">
        <v>1715</v>
      </c>
      <c r="F400" s="42" t="s">
        <v>851</v>
      </c>
      <c r="G400" s="483" t="e">
        <f>COUNTIF(#REF!,B400)</f>
        <v>#REF!</v>
      </c>
    </row>
    <row r="401" spans="2:7">
      <c r="B401" s="487">
        <v>400</v>
      </c>
      <c r="C401" s="486" t="s">
        <v>442</v>
      </c>
      <c r="D401" s="487" t="s">
        <v>28</v>
      </c>
      <c r="E401" s="41" t="s">
        <v>1716</v>
      </c>
      <c r="F401" s="42" t="s">
        <v>852</v>
      </c>
      <c r="G401" s="483" t="e">
        <f>COUNTIF(#REF!,B401)</f>
        <v>#REF!</v>
      </c>
    </row>
    <row r="402" spans="2:7">
      <c r="B402" s="487">
        <v>401</v>
      </c>
      <c r="C402" s="486" t="s">
        <v>443</v>
      </c>
      <c r="D402" s="487" t="s">
        <v>29</v>
      </c>
      <c r="E402" s="41" t="s">
        <v>1717</v>
      </c>
      <c r="F402" s="42" t="s">
        <v>853</v>
      </c>
      <c r="G402" s="483" t="e">
        <f>COUNTIF(#REF!,B402)</f>
        <v>#REF!</v>
      </c>
    </row>
    <row r="403" spans="2:7">
      <c r="B403" s="487">
        <v>402</v>
      </c>
      <c r="C403" s="486" t="s">
        <v>444</v>
      </c>
      <c r="D403" s="487" t="s">
        <v>28</v>
      </c>
      <c r="E403" s="41" t="s">
        <v>1718</v>
      </c>
      <c r="F403" s="42" t="s">
        <v>854</v>
      </c>
      <c r="G403" s="483" t="e">
        <f>COUNTIF(#REF!,B403)</f>
        <v>#REF!</v>
      </c>
    </row>
    <row r="404" spans="2:7">
      <c r="B404" s="487">
        <v>403</v>
      </c>
      <c r="C404" s="486" t="s">
        <v>445</v>
      </c>
      <c r="D404" s="487" t="s">
        <v>28</v>
      </c>
      <c r="E404" s="41" t="s">
        <v>1719</v>
      </c>
      <c r="F404" s="42" t="s">
        <v>855</v>
      </c>
      <c r="G404" s="483" t="e">
        <f>COUNTIF(#REF!,B404)</f>
        <v>#REF!</v>
      </c>
    </row>
    <row r="405" spans="2:7">
      <c r="B405" s="487">
        <v>404</v>
      </c>
      <c r="C405" s="486" t="s">
        <v>446</v>
      </c>
      <c r="D405" s="487" t="s">
        <v>28</v>
      </c>
      <c r="E405" s="41" t="s">
        <v>1720</v>
      </c>
      <c r="F405" s="42" t="s">
        <v>856</v>
      </c>
      <c r="G405" s="483" t="e">
        <f>COUNTIF(#REF!,B405)</f>
        <v>#REF!</v>
      </c>
    </row>
    <row r="406" spans="2:7">
      <c r="B406" s="487">
        <v>405</v>
      </c>
      <c r="C406" s="486" t="s">
        <v>447</v>
      </c>
      <c r="D406" s="487" t="s">
        <v>28</v>
      </c>
      <c r="E406" s="41" t="s">
        <v>1721</v>
      </c>
      <c r="F406" s="42" t="s">
        <v>857</v>
      </c>
      <c r="G406" s="483" t="e">
        <f>COUNTIF(#REF!,B406)</f>
        <v>#REF!</v>
      </c>
    </row>
    <row r="407" spans="2:7">
      <c r="B407" s="487">
        <v>406</v>
      </c>
      <c r="C407" s="486" t="s">
        <v>448</v>
      </c>
      <c r="D407" s="487" t="s">
        <v>28</v>
      </c>
      <c r="E407" s="41" t="s">
        <v>1722</v>
      </c>
      <c r="F407" s="42" t="s">
        <v>858</v>
      </c>
      <c r="G407" s="483" t="e">
        <f>COUNTIF(#REF!,B407)</f>
        <v>#REF!</v>
      </c>
    </row>
    <row r="408" spans="2:7">
      <c r="B408" s="487">
        <v>407</v>
      </c>
      <c r="C408" s="486" t="s">
        <v>449</v>
      </c>
      <c r="D408" s="487" t="s">
        <v>28</v>
      </c>
      <c r="E408" s="41" t="s">
        <v>1723</v>
      </c>
      <c r="F408" s="42" t="s">
        <v>859</v>
      </c>
      <c r="G408" s="483" t="e">
        <f>COUNTIF(#REF!,B408)</f>
        <v>#REF!</v>
      </c>
    </row>
    <row r="409" spans="2:7">
      <c r="B409" s="487">
        <v>408</v>
      </c>
      <c r="C409" s="486" t="s">
        <v>450</v>
      </c>
      <c r="D409" s="487" t="s">
        <v>29</v>
      </c>
      <c r="E409" s="41" t="s">
        <v>1724</v>
      </c>
      <c r="F409" s="42" t="s">
        <v>860</v>
      </c>
      <c r="G409" s="483" t="e">
        <f>COUNTIF(#REF!,B409)</f>
        <v>#REF!</v>
      </c>
    </row>
    <row r="410" spans="2:7">
      <c r="B410" s="487">
        <v>409</v>
      </c>
      <c r="C410" s="486" t="s">
        <v>451</v>
      </c>
      <c r="D410" s="487" t="s">
        <v>29</v>
      </c>
      <c r="E410" s="41" t="s">
        <v>1725</v>
      </c>
      <c r="F410" s="42" t="s">
        <v>861</v>
      </c>
      <c r="G410" s="483" t="e">
        <f>COUNTIF(#REF!,B410)</f>
        <v>#REF!</v>
      </c>
    </row>
    <row r="411" spans="2:7">
      <c r="B411" s="487">
        <v>410</v>
      </c>
      <c r="C411" s="486" t="s">
        <v>452</v>
      </c>
      <c r="D411" s="487" t="s">
        <v>29</v>
      </c>
      <c r="E411" s="41" t="s">
        <v>1726</v>
      </c>
      <c r="F411" s="42" t="s">
        <v>862</v>
      </c>
      <c r="G411" s="483" t="e">
        <f>COUNTIF(#REF!,B411)</f>
        <v>#REF!</v>
      </c>
    </row>
    <row r="412" spans="2:7">
      <c r="B412" s="487">
        <v>411</v>
      </c>
      <c r="C412" s="486" t="s">
        <v>453</v>
      </c>
      <c r="D412" s="487" t="s">
        <v>28</v>
      </c>
      <c r="E412" s="41" t="s">
        <v>1727</v>
      </c>
      <c r="F412" s="42" t="s">
        <v>863</v>
      </c>
      <c r="G412" s="483" t="e">
        <f>COUNTIF(#REF!,B412)</f>
        <v>#REF!</v>
      </c>
    </row>
    <row r="413" spans="2:7">
      <c r="B413" s="487">
        <v>412</v>
      </c>
      <c r="C413" s="486" t="s">
        <v>454</v>
      </c>
      <c r="D413" s="487" t="s">
        <v>28</v>
      </c>
      <c r="E413" s="41" t="s">
        <v>1728</v>
      </c>
      <c r="F413" s="42" t="s">
        <v>864</v>
      </c>
      <c r="G413" s="483" t="e">
        <f>COUNTIF(#REF!,B413)</f>
        <v>#REF!</v>
      </c>
    </row>
    <row r="414" spans="2:7">
      <c r="B414" s="487">
        <v>413</v>
      </c>
      <c r="C414" s="486" t="s">
        <v>455</v>
      </c>
      <c r="D414" s="487" t="s">
        <v>30</v>
      </c>
      <c r="E414" s="41" t="s">
        <v>1729</v>
      </c>
      <c r="F414" s="42" t="s">
        <v>865</v>
      </c>
      <c r="G414" s="483" t="e">
        <f>COUNTIF(#REF!,B414)</f>
        <v>#REF!</v>
      </c>
    </row>
    <row r="415" spans="2:7">
      <c r="B415" s="487">
        <v>414</v>
      </c>
      <c r="C415" s="486" t="s">
        <v>456</v>
      </c>
      <c r="D415" s="487" t="s">
        <v>28</v>
      </c>
      <c r="E415" s="41" t="s">
        <v>1730</v>
      </c>
      <c r="F415" s="42" t="s">
        <v>866</v>
      </c>
      <c r="G415" s="483" t="e">
        <f>COUNTIF(#REF!,B415)</f>
        <v>#REF!</v>
      </c>
    </row>
    <row r="416" spans="2:7">
      <c r="B416" s="487">
        <v>415</v>
      </c>
      <c r="C416" s="486" t="s">
        <v>457</v>
      </c>
      <c r="D416" s="487" t="s">
        <v>30</v>
      </c>
      <c r="E416" s="41" t="s">
        <v>1731</v>
      </c>
      <c r="F416" s="42" t="s">
        <v>867</v>
      </c>
      <c r="G416" s="483" t="e">
        <f>COUNTIF(#REF!,B416)</f>
        <v>#REF!</v>
      </c>
    </row>
    <row r="417" spans="2:7">
      <c r="B417" s="487">
        <v>416</v>
      </c>
      <c r="C417" s="486" t="s">
        <v>458</v>
      </c>
      <c r="D417" s="487" t="s">
        <v>28</v>
      </c>
      <c r="E417" s="41" t="s">
        <v>1732</v>
      </c>
      <c r="F417" s="42" t="s">
        <v>868</v>
      </c>
      <c r="G417" s="483" t="e">
        <f>COUNTIF(#REF!,B417)</f>
        <v>#REF!</v>
      </c>
    </row>
    <row r="418" spans="2:7">
      <c r="B418" s="487">
        <v>417</v>
      </c>
      <c r="C418" s="486" t="s">
        <v>459</v>
      </c>
      <c r="D418" s="487" t="s">
        <v>29</v>
      </c>
      <c r="E418" s="41" t="s">
        <v>1733</v>
      </c>
      <c r="F418" s="42" t="s">
        <v>869</v>
      </c>
      <c r="G418" s="483" t="e">
        <f>COUNTIF(#REF!,B418)</f>
        <v>#REF!</v>
      </c>
    </row>
    <row r="419" spans="2:7">
      <c r="B419" s="487">
        <v>418</v>
      </c>
      <c r="C419" s="486" t="s">
        <v>460</v>
      </c>
      <c r="D419" s="487" t="s">
        <v>30</v>
      </c>
      <c r="E419" s="41" t="s">
        <v>1734</v>
      </c>
      <c r="F419" s="42" t="s">
        <v>870</v>
      </c>
      <c r="G419" s="483" t="e">
        <f>COUNTIF(#REF!,B419)</f>
        <v>#REF!</v>
      </c>
    </row>
    <row r="420" spans="2:7">
      <c r="B420" s="487">
        <v>419</v>
      </c>
      <c r="C420" s="486" t="s">
        <v>461</v>
      </c>
      <c r="D420" s="487" t="s">
        <v>28</v>
      </c>
      <c r="E420" s="41" t="s">
        <v>1735</v>
      </c>
      <c r="F420" s="42" t="s">
        <v>871</v>
      </c>
      <c r="G420" s="483" t="e">
        <f>COUNTIF(#REF!,B420)</f>
        <v>#REF!</v>
      </c>
    </row>
    <row r="421" spans="2:7">
      <c r="B421" s="487">
        <v>420</v>
      </c>
      <c r="C421" s="486" t="s">
        <v>462</v>
      </c>
      <c r="D421" s="487" t="s">
        <v>28</v>
      </c>
      <c r="E421" s="41" t="s">
        <v>1736</v>
      </c>
      <c r="F421" s="42" t="s">
        <v>872</v>
      </c>
      <c r="G421" s="483" t="e">
        <f>COUNTIF(#REF!,B421)</f>
        <v>#REF!</v>
      </c>
    </row>
    <row r="422" spans="2:7">
      <c r="B422" s="487">
        <v>421</v>
      </c>
      <c r="C422" s="486" t="s">
        <v>463</v>
      </c>
      <c r="D422" s="487" t="s">
        <v>28</v>
      </c>
      <c r="E422" s="41" t="s">
        <v>1737</v>
      </c>
      <c r="F422" s="42" t="s">
        <v>873</v>
      </c>
      <c r="G422" s="483" t="e">
        <f>COUNTIF(#REF!,B422)</f>
        <v>#REF!</v>
      </c>
    </row>
    <row r="423" spans="2:7">
      <c r="B423" s="487">
        <v>422</v>
      </c>
      <c r="C423" s="486" t="s">
        <v>464</v>
      </c>
      <c r="D423" s="487" t="s">
        <v>28</v>
      </c>
      <c r="E423" s="41" t="s">
        <v>1738</v>
      </c>
      <c r="F423" s="42" t="s">
        <v>874</v>
      </c>
      <c r="G423" s="483" t="e">
        <f>COUNTIF(#REF!,B423)</f>
        <v>#REF!</v>
      </c>
    </row>
    <row r="424" spans="2:7">
      <c r="B424" s="487">
        <v>423</v>
      </c>
      <c r="C424" s="486" t="s">
        <v>465</v>
      </c>
      <c r="D424" s="487" t="s">
        <v>943</v>
      </c>
      <c r="E424" s="41" t="s">
        <v>1739</v>
      </c>
      <c r="F424" s="42" t="s">
        <v>875</v>
      </c>
      <c r="G424" s="483" t="e">
        <f>COUNTIF(#REF!,B424)</f>
        <v>#REF!</v>
      </c>
    </row>
    <row r="425" spans="2:7">
      <c r="B425" s="487">
        <v>424</v>
      </c>
      <c r="C425" s="486" t="s">
        <v>466</v>
      </c>
      <c r="D425" s="487" t="s">
        <v>28</v>
      </c>
      <c r="E425" s="41" t="s">
        <v>1740</v>
      </c>
      <c r="F425" s="42" t="s">
        <v>876</v>
      </c>
      <c r="G425" s="483" t="e">
        <f>COUNTIF(#REF!,B425)</f>
        <v>#REF!</v>
      </c>
    </row>
    <row r="426" spans="2:7">
      <c r="B426" s="487">
        <v>425</v>
      </c>
      <c r="C426" s="486" t="s">
        <v>467</v>
      </c>
      <c r="D426" s="487" t="s">
        <v>28</v>
      </c>
      <c r="E426" s="41" t="s">
        <v>1741</v>
      </c>
      <c r="F426" s="42" t="s">
        <v>877</v>
      </c>
      <c r="G426" s="483" t="e">
        <f>COUNTIF(#REF!,B426)</f>
        <v>#REF!</v>
      </c>
    </row>
    <row r="427" spans="2:7">
      <c r="B427" s="487">
        <v>426</v>
      </c>
      <c r="C427" s="486" t="s">
        <v>468</v>
      </c>
      <c r="D427" s="487" t="s">
        <v>28</v>
      </c>
      <c r="E427" s="41" t="s">
        <v>1742</v>
      </c>
      <c r="F427" s="42" t="s">
        <v>878</v>
      </c>
      <c r="G427" s="483" t="e">
        <f>COUNTIF(#REF!,B427)</f>
        <v>#REF!</v>
      </c>
    </row>
    <row r="428" spans="2:7">
      <c r="B428" s="487">
        <v>427</v>
      </c>
      <c r="C428" s="486" t="s">
        <v>469</v>
      </c>
      <c r="D428" s="487" t="s">
        <v>28</v>
      </c>
      <c r="E428" s="41" t="s">
        <v>1743</v>
      </c>
      <c r="F428" s="42" t="s">
        <v>879</v>
      </c>
      <c r="G428" s="483" t="e">
        <f>COUNTIF(#REF!,B428)</f>
        <v>#REF!</v>
      </c>
    </row>
    <row r="429" spans="2:7">
      <c r="B429" s="487">
        <v>428</v>
      </c>
      <c r="C429" s="486" t="s">
        <v>470</v>
      </c>
      <c r="D429" s="487" t="s">
        <v>28</v>
      </c>
      <c r="E429" s="41" t="s">
        <v>1744</v>
      </c>
      <c r="F429" s="42" t="s">
        <v>880</v>
      </c>
      <c r="G429" s="483" t="e">
        <f>COUNTIF(#REF!,B429)</f>
        <v>#REF!</v>
      </c>
    </row>
    <row r="430" spans="2:7">
      <c r="B430" s="487">
        <v>429</v>
      </c>
      <c r="C430" s="486" t="s">
        <v>471</v>
      </c>
      <c r="D430" s="487" t="s">
        <v>28</v>
      </c>
      <c r="E430" s="41" t="s">
        <v>1745</v>
      </c>
      <c r="F430" s="42" t="s">
        <v>881</v>
      </c>
      <c r="G430" s="483" t="e">
        <f>COUNTIF(#REF!,B430)</f>
        <v>#REF!</v>
      </c>
    </row>
    <row r="431" spans="2:7">
      <c r="B431" s="487">
        <v>430</v>
      </c>
      <c r="C431" s="486" t="s">
        <v>472</v>
      </c>
      <c r="D431" s="487" t="s">
        <v>28</v>
      </c>
      <c r="E431" s="41" t="s">
        <v>1746</v>
      </c>
      <c r="F431" s="42" t="s">
        <v>882</v>
      </c>
      <c r="G431" s="483" t="e">
        <f>COUNTIF(#REF!,B431)</f>
        <v>#REF!</v>
      </c>
    </row>
    <row r="432" spans="2:7">
      <c r="B432" s="487">
        <v>431</v>
      </c>
      <c r="C432" s="486" t="s">
        <v>473</v>
      </c>
      <c r="D432" s="487" t="s">
        <v>28</v>
      </c>
      <c r="E432" s="41" t="s">
        <v>1747</v>
      </c>
      <c r="F432" s="42" t="s">
        <v>883</v>
      </c>
      <c r="G432" s="483" t="e">
        <f>COUNTIF(#REF!,B432)</f>
        <v>#REF!</v>
      </c>
    </row>
    <row r="433" spans="2:7">
      <c r="B433" s="487">
        <v>432</v>
      </c>
      <c r="C433" s="486" t="s">
        <v>474</v>
      </c>
      <c r="D433" s="487" t="s">
        <v>944</v>
      </c>
      <c r="E433" s="41" t="s">
        <v>1748</v>
      </c>
      <c r="F433" s="42" t="s">
        <v>884</v>
      </c>
      <c r="G433" s="483" t="e">
        <f>COUNTIF(#REF!,B433)</f>
        <v>#REF!</v>
      </c>
    </row>
    <row r="434" spans="2:7">
      <c r="B434" s="487">
        <v>433</v>
      </c>
      <c r="C434" s="486" t="s">
        <v>475</v>
      </c>
      <c r="D434" s="487" t="s">
        <v>28</v>
      </c>
      <c r="E434" s="41" t="s">
        <v>1748</v>
      </c>
      <c r="F434" s="42" t="s">
        <v>885</v>
      </c>
      <c r="G434" s="483" t="e">
        <f>COUNTIF(#REF!,B434)</f>
        <v>#REF!</v>
      </c>
    </row>
    <row r="435" spans="2:7">
      <c r="B435" s="487">
        <v>434</v>
      </c>
      <c r="C435" s="486" t="s">
        <v>476</v>
      </c>
      <c r="D435" s="487" t="s">
        <v>943</v>
      </c>
      <c r="E435" s="41" t="s">
        <v>1410</v>
      </c>
      <c r="F435" s="42" t="s">
        <v>1978</v>
      </c>
      <c r="G435" s="483" t="e">
        <f>COUNTIF(#REF!,B435)</f>
        <v>#REF!</v>
      </c>
    </row>
    <row r="436" spans="2:7">
      <c r="B436" s="487">
        <v>435</v>
      </c>
      <c r="C436" s="486" t="s">
        <v>477</v>
      </c>
      <c r="D436" s="487" t="s">
        <v>28</v>
      </c>
      <c r="E436" s="41" t="s">
        <v>1749</v>
      </c>
      <c r="F436" s="42" t="s">
        <v>886</v>
      </c>
      <c r="G436" s="483" t="e">
        <f>COUNTIF(#REF!,B436)</f>
        <v>#REF!</v>
      </c>
    </row>
    <row r="437" spans="2:7">
      <c r="B437" s="487">
        <v>436</v>
      </c>
      <c r="C437" s="486" t="s">
        <v>478</v>
      </c>
      <c r="D437" s="487" t="s">
        <v>28</v>
      </c>
      <c r="E437" s="41" t="s">
        <v>1750</v>
      </c>
      <c r="F437" s="42" t="s">
        <v>887</v>
      </c>
      <c r="G437" s="483" t="e">
        <f>COUNTIF(#REF!,B437)</f>
        <v>#REF!</v>
      </c>
    </row>
    <row r="438" spans="2:7">
      <c r="B438" s="487">
        <v>437</v>
      </c>
      <c r="C438" s="486" t="s">
        <v>892</v>
      </c>
      <c r="D438" s="487" t="s">
        <v>943</v>
      </c>
      <c r="E438" s="41" t="s">
        <v>1749</v>
      </c>
      <c r="F438" s="42" t="s">
        <v>926</v>
      </c>
      <c r="G438" s="483" t="e">
        <f>COUNTIF(#REF!,B438)</f>
        <v>#REF!</v>
      </c>
    </row>
    <row r="439" spans="2:7">
      <c r="B439" s="487">
        <v>438</v>
      </c>
      <c r="C439" s="486" t="s">
        <v>893</v>
      </c>
      <c r="D439" s="487" t="s">
        <v>28</v>
      </c>
      <c r="E439" s="41" t="s">
        <v>1751</v>
      </c>
      <c r="F439" s="42" t="s">
        <v>927</v>
      </c>
      <c r="G439" s="483" t="e">
        <f>COUNTIF(#REF!,B439)</f>
        <v>#REF!</v>
      </c>
    </row>
    <row r="440" spans="2:7">
      <c r="B440" s="487">
        <v>439</v>
      </c>
      <c r="C440" s="486" t="s">
        <v>894</v>
      </c>
      <c r="D440" s="487" t="s">
        <v>28</v>
      </c>
      <c r="E440" s="41" t="s">
        <v>1752</v>
      </c>
      <c r="F440" s="42" t="s">
        <v>928</v>
      </c>
      <c r="G440" s="483" t="e">
        <f>COUNTIF(#REF!,B440)</f>
        <v>#REF!</v>
      </c>
    </row>
    <row r="441" spans="2:7">
      <c r="B441" s="487">
        <v>440</v>
      </c>
      <c r="C441" s="486" t="s">
        <v>895</v>
      </c>
      <c r="D441" s="487" t="s">
        <v>28</v>
      </c>
      <c r="E441" s="41" t="s">
        <v>1753</v>
      </c>
      <c r="F441" s="42" t="s">
        <v>929</v>
      </c>
      <c r="G441" s="483" t="e">
        <f>COUNTIF(#REF!,B441)</f>
        <v>#REF!</v>
      </c>
    </row>
    <row r="442" spans="2:7">
      <c r="B442" s="487">
        <v>441</v>
      </c>
      <c r="C442" s="486" t="s">
        <v>896</v>
      </c>
      <c r="D442" s="487" t="s">
        <v>28</v>
      </c>
      <c r="E442" s="41" t="s">
        <v>1754</v>
      </c>
      <c r="F442" s="42" t="s">
        <v>930</v>
      </c>
      <c r="G442" s="483" t="e">
        <f>COUNTIF(#REF!,B442)</f>
        <v>#REF!</v>
      </c>
    </row>
    <row r="443" spans="2:7">
      <c r="B443" s="487">
        <v>442</v>
      </c>
      <c r="C443" s="486" t="s">
        <v>897</v>
      </c>
      <c r="D443" s="487" t="s">
        <v>944</v>
      </c>
      <c r="E443" s="41" t="s">
        <v>1755</v>
      </c>
      <c r="F443" s="42" t="s">
        <v>931</v>
      </c>
      <c r="G443" s="483" t="e">
        <f>COUNTIF(#REF!,B443)</f>
        <v>#REF!</v>
      </c>
    </row>
    <row r="444" spans="2:7">
      <c r="B444" s="487">
        <v>443</v>
      </c>
      <c r="C444" s="486" t="s">
        <v>898</v>
      </c>
      <c r="D444" s="487" t="s">
        <v>944</v>
      </c>
      <c r="E444" s="41" t="s">
        <v>1756</v>
      </c>
      <c r="F444" s="42" t="s">
        <v>932</v>
      </c>
      <c r="G444" s="483" t="e">
        <f>COUNTIF(#REF!,B444)</f>
        <v>#REF!</v>
      </c>
    </row>
    <row r="445" spans="2:7">
      <c r="B445" s="487">
        <v>444</v>
      </c>
      <c r="C445" s="486" t="s">
        <v>899</v>
      </c>
      <c r="D445" s="487" t="s">
        <v>944</v>
      </c>
      <c r="E445" s="41" t="s">
        <v>1757</v>
      </c>
      <c r="F445" s="42" t="s">
        <v>933</v>
      </c>
      <c r="G445" s="483" t="e">
        <f>COUNTIF(#REF!,B445)</f>
        <v>#REF!</v>
      </c>
    </row>
    <row r="446" spans="2:7">
      <c r="B446" s="487">
        <v>445</v>
      </c>
      <c r="C446" s="486" t="s">
        <v>900</v>
      </c>
      <c r="D446" s="487" t="s">
        <v>944</v>
      </c>
      <c r="E446" s="41" t="s">
        <v>1758</v>
      </c>
      <c r="F446" s="42" t="s">
        <v>934</v>
      </c>
      <c r="G446" s="483" t="e">
        <f>COUNTIF(#REF!,B446)</f>
        <v>#REF!</v>
      </c>
    </row>
    <row r="447" spans="2:7">
      <c r="B447" s="487">
        <v>446</v>
      </c>
      <c r="C447" s="486" t="s">
        <v>901</v>
      </c>
      <c r="D447" s="487" t="s">
        <v>944</v>
      </c>
      <c r="E447" s="41" t="s">
        <v>1759</v>
      </c>
      <c r="F447" s="42" t="s">
        <v>935</v>
      </c>
      <c r="G447" s="483" t="e">
        <f>COUNTIF(#REF!,B447)</f>
        <v>#REF!</v>
      </c>
    </row>
    <row r="448" spans="2:7">
      <c r="B448" s="487">
        <v>447</v>
      </c>
      <c r="C448" s="486" t="s">
        <v>902</v>
      </c>
      <c r="D448" s="487" t="s">
        <v>944</v>
      </c>
      <c r="E448" s="41" t="s">
        <v>1760</v>
      </c>
      <c r="F448" s="42" t="s">
        <v>936</v>
      </c>
      <c r="G448" s="483" t="e">
        <f>COUNTIF(#REF!,B448)</f>
        <v>#REF!</v>
      </c>
    </row>
    <row r="449" spans="2:7">
      <c r="B449" s="487">
        <v>448</v>
      </c>
      <c r="C449" s="486" t="s">
        <v>903</v>
      </c>
      <c r="D449" s="487" t="s">
        <v>944</v>
      </c>
      <c r="E449" s="41" t="s">
        <v>1761</v>
      </c>
      <c r="F449" s="42" t="s">
        <v>937</v>
      </c>
      <c r="G449" s="483" t="e">
        <f>COUNTIF(#REF!,B449)</f>
        <v>#REF!</v>
      </c>
    </row>
    <row r="450" spans="2:7">
      <c r="B450" s="487">
        <v>449</v>
      </c>
      <c r="C450" s="486" t="s">
        <v>904</v>
      </c>
      <c r="D450" s="487" t="s">
        <v>944</v>
      </c>
      <c r="E450" s="41" t="s">
        <v>1762</v>
      </c>
      <c r="F450" s="42" t="s">
        <v>938</v>
      </c>
      <c r="G450" s="483" t="e">
        <f>COUNTIF(#REF!,B450)</f>
        <v>#REF!</v>
      </c>
    </row>
    <row r="451" spans="2:7">
      <c r="B451" s="487">
        <v>450</v>
      </c>
      <c r="C451" s="486" t="s">
        <v>905</v>
      </c>
      <c r="D451" s="487" t="s">
        <v>944</v>
      </c>
      <c r="E451" s="41" t="s">
        <v>1763</v>
      </c>
      <c r="F451" s="42" t="s">
        <v>939</v>
      </c>
      <c r="G451" s="483" t="e">
        <f>COUNTIF(#REF!,B451)</f>
        <v>#REF!</v>
      </c>
    </row>
    <row r="452" spans="2:7">
      <c r="B452" s="487">
        <v>451</v>
      </c>
      <c r="C452" s="486" t="s">
        <v>906</v>
      </c>
      <c r="D452" s="487" t="s">
        <v>944</v>
      </c>
      <c r="E452" s="41" t="s">
        <v>1764</v>
      </c>
      <c r="F452" s="42" t="s">
        <v>940</v>
      </c>
      <c r="G452" s="483" t="e">
        <f>COUNTIF(#REF!,B452)</f>
        <v>#REF!</v>
      </c>
    </row>
    <row r="453" spans="2:7">
      <c r="B453" s="487">
        <v>452</v>
      </c>
      <c r="C453" s="486" t="s">
        <v>907</v>
      </c>
      <c r="D453" s="487" t="s">
        <v>944</v>
      </c>
      <c r="E453" s="41" t="s">
        <v>1765</v>
      </c>
      <c r="F453" s="42" t="s">
        <v>941</v>
      </c>
      <c r="G453" s="483" t="e">
        <f>COUNTIF(#REF!,B453)</f>
        <v>#REF!</v>
      </c>
    </row>
    <row r="454" spans="2:7">
      <c r="B454" s="487">
        <v>453</v>
      </c>
      <c r="C454" s="486" t="s">
        <v>908</v>
      </c>
      <c r="D454" s="487" t="s">
        <v>944</v>
      </c>
      <c r="E454" s="41" t="s">
        <v>1766</v>
      </c>
      <c r="F454" s="42" t="s">
        <v>942</v>
      </c>
      <c r="G454" s="483" t="e">
        <f>COUNTIF(#REF!,B454)</f>
        <v>#REF!</v>
      </c>
    </row>
    <row r="455" spans="2:7">
      <c r="B455" s="487">
        <v>454</v>
      </c>
      <c r="C455" s="486" t="s">
        <v>909</v>
      </c>
      <c r="D455" s="487" t="s">
        <v>945</v>
      </c>
      <c r="E455" s="41" t="s">
        <v>1767</v>
      </c>
      <c r="F455" s="41" t="s">
        <v>974</v>
      </c>
      <c r="G455" s="483" t="e">
        <f>COUNTIF(#REF!,B455)</f>
        <v>#REF!</v>
      </c>
    </row>
    <row r="456" spans="2:7">
      <c r="B456" s="487">
        <v>455</v>
      </c>
      <c r="C456" s="486" t="s">
        <v>910</v>
      </c>
      <c r="D456" s="487" t="s">
        <v>29</v>
      </c>
      <c r="E456" s="41" t="s">
        <v>1768</v>
      </c>
      <c r="F456" s="41" t="s">
        <v>975</v>
      </c>
      <c r="G456" s="483" t="e">
        <f>COUNTIF(#REF!,B456)</f>
        <v>#REF!</v>
      </c>
    </row>
    <row r="457" spans="2:7">
      <c r="B457" s="487">
        <v>456</v>
      </c>
      <c r="C457" s="486" t="s">
        <v>911</v>
      </c>
      <c r="D457" s="487" t="s">
        <v>29</v>
      </c>
      <c r="E457" s="41" t="s">
        <v>1769</v>
      </c>
      <c r="F457" s="42" t="s">
        <v>976</v>
      </c>
      <c r="G457" s="483" t="e">
        <f>COUNTIF(#REF!,B457)</f>
        <v>#REF!</v>
      </c>
    </row>
    <row r="458" spans="2:7">
      <c r="B458" s="487">
        <v>457</v>
      </c>
      <c r="C458" s="486" t="s">
        <v>912</v>
      </c>
      <c r="D458" s="487" t="s">
        <v>29</v>
      </c>
      <c r="E458" s="41" t="s">
        <v>1770</v>
      </c>
      <c r="F458" s="42" t="s">
        <v>977</v>
      </c>
      <c r="G458" s="483" t="e">
        <f>COUNTIF(#REF!,B458)</f>
        <v>#REF!</v>
      </c>
    </row>
    <row r="459" spans="2:7">
      <c r="B459" s="487">
        <v>458</v>
      </c>
      <c r="C459" s="486" t="s">
        <v>913</v>
      </c>
      <c r="D459" s="487" t="s">
        <v>943</v>
      </c>
      <c r="E459" s="41" t="s">
        <v>1771</v>
      </c>
      <c r="F459" s="42" t="s">
        <v>978</v>
      </c>
      <c r="G459" s="483" t="e">
        <f>COUNTIF(#REF!,B459)</f>
        <v>#REF!</v>
      </c>
    </row>
    <row r="460" spans="2:7">
      <c r="B460" s="487">
        <v>459</v>
      </c>
      <c r="C460" s="486" t="s">
        <v>914</v>
      </c>
      <c r="D460" s="487" t="s">
        <v>943</v>
      </c>
      <c r="E460" s="41" t="s">
        <v>1772</v>
      </c>
      <c r="F460" s="42" t="s">
        <v>979</v>
      </c>
      <c r="G460" s="483" t="e">
        <f>COUNTIF(#REF!,B460)</f>
        <v>#REF!</v>
      </c>
    </row>
    <row r="461" spans="2:7">
      <c r="B461" s="487">
        <v>460</v>
      </c>
      <c r="C461" s="486" t="s">
        <v>915</v>
      </c>
      <c r="D461" s="487" t="s">
        <v>943</v>
      </c>
      <c r="E461" s="41" t="s">
        <v>1773</v>
      </c>
      <c r="F461" s="42" t="s">
        <v>980</v>
      </c>
      <c r="G461" s="483" t="e">
        <f>COUNTIF(#REF!,B461)</f>
        <v>#REF!</v>
      </c>
    </row>
    <row r="462" spans="2:7">
      <c r="B462" s="487">
        <v>461</v>
      </c>
      <c r="C462" s="486" t="s">
        <v>916</v>
      </c>
      <c r="D462" s="487" t="s">
        <v>28</v>
      </c>
      <c r="E462" s="41" t="s">
        <v>1774</v>
      </c>
      <c r="F462" s="42" t="s">
        <v>981</v>
      </c>
      <c r="G462" s="483" t="e">
        <f>COUNTIF(#REF!,B462)</f>
        <v>#REF!</v>
      </c>
    </row>
    <row r="463" spans="2:7">
      <c r="B463" s="487">
        <v>462</v>
      </c>
      <c r="C463" s="486" t="s">
        <v>917</v>
      </c>
      <c r="D463" s="487" t="s">
        <v>945</v>
      </c>
      <c r="E463" s="41" t="s">
        <v>1775</v>
      </c>
      <c r="F463" s="42" t="s">
        <v>982</v>
      </c>
      <c r="G463" s="483" t="e">
        <f>COUNTIF(#REF!,B463)</f>
        <v>#REF!</v>
      </c>
    </row>
    <row r="464" spans="2:7">
      <c r="B464" s="487">
        <v>463</v>
      </c>
      <c r="C464" s="486" t="s">
        <v>918</v>
      </c>
      <c r="D464" s="487" t="s">
        <v>29</v>
      </c>
      <c r="E464" s="41" t="s">
        <v>1637</v>
      </c>
      <c r="F464" s="42" t="s">
        <v>983</v>
      </c>
      <c r="G464" s="483" t="e">
        <f>COUNTIF(#REF!,B464)</f>
        <v>#REF!</v>
      </c>
    </row>
    <row r="465" spans="2:7">
      <c r="B465" s="487">
        <v>464</v>
      </c>
      <c r="C465" s="486" t="s">
        <v>919</v>
      </c>
      <c r="D465" s="487" t="s">
        <v>30</v>
      </c>
      <c r="E465" s="41" t="s">
        <v>1776</v>
      </c>
      <c r="F465" s="42" t="s">
        <v>984</v>
      </c>
      <c r="G465" s="483" t="e">
        <f>COUNTIF(#REF!,B465)</f>
        <v>#REF!</v>
      </c>
    </row>
    <row r="466" spans="2:7">
      <c r="B466" s="487">
        <v>465</v>
      </c>
      <c r="C466" s="486" t="s">
        <v>920</v>
      </c>
      <c r="D466" s="487" t="s">
        <v>28</v>
      </c>
      <c r="E466" s="41" t="s">
        <v>1777</v>
      </c>
      <c r="F466" s="42" t="s">
        <v>985</v>
      </c>
      <c r="G466" s="483" t="e">
        <f>COUNTIF(#REF!,B466)</f>
        <v>#REF!</v>
      </c>
    </row>
    <row r="467" spans="2:7">
      <c r="B467" s="487">
        <v>466</v>
      </c>
      <c r="C467" s="486" t="s">
        <v>921</v>
      </c>
      <c r="D467" s="487" t="s">
        <v>28</v>
      </c>
      <c r="E467" s="41" t="s">
        <v>1778</v>
      </c>
      <c r="F467" s="42" t="s">
        <v>986</v>
      </c>
      <c r="G467" s="483" t="e">
        <f>COUNTIF(#REF!,B467)</f>
        <v>#REF!</v>
      </c>
    </row>
    <row r="468" spans="2:7">
      <c r="B468" s="487">
        <v>467</v>
      </c>
      <c r="C468" s="486" t="s">
        <v>922</v>
      </c>
      <c r="D468" s="487" t="s">
        <v>943</v>
      </c>
      <c r="E468" s="41" t="s">
        <v>1779</v>
      </c>
      <c r="F468" s="42" t="s">
        <v>987</v>
      </c>
      <c r="G468" s="483" t="e">
        <f>COUNTIF(#REF!,B468)</f>
        <v>#REF!</v>
      </c>
    </row>
    <row r="469" spans="2:7">
      <c r="B469" s="487">
        <v>468</v>
      </c>
      <c r="C469" s="486" t="s">
        <v>923</v>
      </c>
      <c r="D469" s="487" t="s">
        <v>29</v>
      </c>
      <c r="E469" s="41" t="s">
        <v>1780</v>
      </c>
      <c r="F469" s="42" t="s">
        <v>988</v>
      </c>
      <c r="G469" s="483" t="e">
        <f>COUNTIF(#REF!,B469)</f>
        <v>#REF!</v>
      </c>
    </row>
    <row r="470" spans="2:7">
      <c r="B470" s="487">
        <v>469</v>
      </c>
      <c r="C470" s="486" t="s">
        <v>924</v>
      </c>
      <c r="D470" s="487" t="s">
        <v>945</v>
      </c>
      <c r="E470" s="41" t="s">
        <v>1781</v>
      </c>
      <c r="F470" s="42" t="s">
        <v>989</v>
      </c>
      <c r="G470" s="483" t="e">
        <f>COUNTIF(#REF!,B470)</f>
        <v>#REF!</v>
      </c>
    </row>
    <row r="471" spans="2:7">
      <c r="B471" s="487">
        <v>470</v>
      </c>
      <c r="C471" s="486" t="s">
        <v>952</v>
      </c>
      <c r="D471" s="487" t="s">
        <v>30</v>
      </c>
      <c r="E471" s="41" t="s">
        <v>1782</v>
      </c>
      <c r="F471" s="42" t="s">
        <v>990</v>
      </c>
      <c r="G471" s="483" t="e">
        <f>COUNTIF(#REF!,B471)</f>
        <v>#REF!</v>
      </c>
    </row>
    <row r="472" spans="2:7">
      <c r="B472" s="487">
        <v>471</v>
      </c>
      <c r="C472" s="486" t="s">
        <v>953</v>
      </c>
      <c r="D472" s="487" t="s">
        <v>30</v>
      </c>
      <c r="E472" s="41" t="s">
        <v>1662</v>
      </c>
      <c r="F472" s="42" t="s">
        <v>991</v>
      </c>
      <c r="G472" s="483" t="e">
        <f>COUNTIF(#REF!,B472)</f>
        <v>#REF!</v>
      </c>
    </row>
    <row r="473" spans="2:7">
      <c r="B473" s="487">
        <v>472</v>
      </c>
      <c r="C473" s="486" t="s">
        <v>954</v>
      </c>
      <c r="D473" s="487" t="s">
        <v>945</v>
      </c>
      <c r="E473" s="41" t="s">
        <v>1783</v>
      </c>
      <c r="F473" s="42" t="s">
        <v>992</v>
      </c>
      <c r="G473" s="483" t="e">
        <f>COUNTIF(#REF!,B473)</f>
        <v>#REF!</v>
      </c>
    </row>
    <row r="474" spans="2:7">
      <c r="B474" s="487">
        <v>473</v>
      </c>
      <c r="C474" s="486" t="s">
        <v>955</v>
      </c>
      <c r="D474" s="487" t="s">
        <v>28</v>
      </c>
      <c r="E474" s="41" t="s">
        <v>1784</v>
      </c>
      <c r="F474" s="42" t="s">
        <v>993</v>
      </c>
      <c r="G474" s="483" t="e">
        <f>COUNTIF(#REF!,B474)</f>
        <v>#REF!</v>
      </c>
    </row>
    <row r="475" spans="2:7">
      <c r="B475" s="487">
        <v>474</v>
      </c>
      <c r="C475" s="486" t="s">
        <v>956</v>
      </c>
      <c r="D475" s="487" t="s">
        <v>944</v>
      </c>
      <c r="E475" s="41" t="s">
        <v>1785</v>
      </c>
      <c r="F475" s="42" t="s">
        <v>1979</v>
      </c>
      <c r="G475" s="483" t="e">
        <f>COUNTIF(#REF!,B475)</f>
        <v>#REF!</v>
      </c>
    </row>
    <row r="476" spans="2:7">
      <c r="B476" s="487">
        <v>475</v>
      </c>
      <c r="C476" s="486" t="s">
        <v>957</v>
      </c>
      <c r="D476" s="487" t="s">
        <v>945</v>
      </c>
      <c r="E476" s="41" t="s">
        <v>1786</v>
      </c>
      <c r="F476" s="42" t="s">
        <v>994</v>
      </c>
      <c r="G476" s="483" t="e">
        <f>COUNTIF(#REF!,B476)</f>
        <v>#REF!</v>
      </c>
    </row>
    <row r="477" spans="2:7">
      <c r="B477" s="487">
        <v>476</v>
      </c>
      <c r="C477" s="486" t="s">
        <v>958</v>
      </c>
      <c r="D477" s="487" t="s">
        <v>945</v>
      </c>
      <c r="E477" s="41" t="s">
        <v>1787</v>
      </c>
      <c r="F477" s="42" t="s">
        <v>995</v>
      </c>
      <c r="G477" s="483" t="e">
        <f>COUNTIF(#REF!,B477)</f>
        <v>#REF!</v>
      </c>
    </row>
    <row r="478" spans="2:7">
      <c r="B478" s="487">
        <v>477</v>
      </c>
      <c r="C478" s="486" t="s">
        <v>959</v>
      </c>
      <c r="D478" s="487" t="s">
        <v>944</v>
      </c>
      <c r="E478" s="41" t="s">
        <v>1788</v>
      </c>
      <c r="F478" s="42" t="s">
        <v>996</v>
      </c>
      <c r="G478" s="483" t="e">
        <f>COUNTIF(#REF!,B478)</f>
        <v>#REF!</v>
      </c>
    </row>
    <row r="479" spans="2:7">
      <c r="B479" s="487">
        <v>478</v>
      </c>
      <c r="C479" s="486" t="s">
        <v>960</v>
      </c>
      <c r="D479" s="487" t="s">
        <v>944</v>
      </c>
      <c r="E479" s="41" t="s">
        <v>1789</v>
      </c>
      <c r="F479" s="42" t="s">
        <v>997</v>
      </c>
      <c r="G479" s="483" t="e">
        <f>COUNTIF(#REF!,B479)</f>
        <v>#REF!</v>
      </c>
    </row>
    <row r="480" spans="2:7">
      <c r="B480" s="487">
        <v>479</v>
      </c>
      <c r="C480" s="486" t="s">
        <v>961</v>
      </c>
      <c r="D480" s="487" t="s">
        <v>944</v>
      </c>
      <c r="E480" s="41" t="s">
        <v>1790</v>
      </c>
      <c r="F480" s="42" t="s">
        <v>998</v>
      </c>
      <c r="G480" s="483" t="e">
        <f>COUNTIF(#REF!,B480)</f>
        <v>#REF!</v>
      </c>
    </row>
    <row r="481" spans="2:7">
      <c r="B481" s="487">
        <v>480</v>
      </c>
      <c r="C481" s="486" t="s">
        <v>962</v>
      </c>
      <c r="D481" s="487" t="s">
        <v>944</v>
      </c>
      <c r="E481" s="41" t="s">
        <v>1791</v>
      </c>
      <c r="F481" s="42" t="s">
        <v>999</v>
      </c>
      <c r="G481" s="483" t="e">
        <f>COUNTIF(#REF!,B481)</f>
        <v>#REF!</v>
      </c>
    </row>
    <row r="482" spans="2:7">
      <c r="B482" s="487">
        <v>481</v>
      </c>
      <c r="C482" s="486" t="s">
        <v>963</v>
      </c>
      <c r="D482" s="487" t="s">
        <v>944</v>
      </c>
      <c r="E482" s="41" t="s">
        <v>1792</v>
      </c>
      <c r="F482" s="42" t="s">
        <v>1000</v>
      </c>
      <c r="G482" s="483" t="e">
        <f>COUNTIF(#REF!,B482)</f>
        <v>#REF!</v>
      </c>
    </row>
    <row r="483" spans="2:7">
      <c r="B483" s="487">
        <v>482</v>
      </c>
      <c r="C483" s="486" t="s">
        <v>964</v>
      </c>
      <c r="D483" s="487" t="s">
        <v>944</v>
      </c>
      <c r="E483" s="41" t="s">
        <v>1793</v>
      </c>
      <c r="F483" s="42" t="s">
        <v>1001</v>
      </c>
      <c r="G483" s="483" t="e">
        <f>COUNTIF(#REF!,B483)</f>
        <v>#REF!</v>
      </c>
    </row>
    <row r="484" spans="2:7">
      <c r="B484" s="487">
        <v>483</v>
      </c>
      <c r="C484" s="486" t="s">
        <v>965</v>
      </c>
      <c r="D484" s="487" t="s">
        <v>945</v>
      </c>
      <c r="E484" s="41" t="s">
        <v>1794</v>
      </c>
      <c r="F484" s="42" t="s">
        <v>1980</v>
      </c>
      <c r="G484" s="483" t="e">
        <f>COUNTIF(#REF!,B484)</f>
        <v>#REF!</v>
      </c>
    </row>
    <row r="485" spans="2:7">
      <c r="B485" s="487">
        <v>484</v>
      </c>
      <c r="C485" s="486" t="s">
        <v>966</v>
      </c>
      <c r="D485" s="487" t="s">
        <v>944</v>
      </c>
      <c r="E485" s="41" t="s">
        <v>1795</v>
      </c>
      <c r="F485" s="42" t="s">
        <v>1002</v>
      </c>
      <c r="G485" s="483" t="e">
        <f>COUNTIF(#REF!,B485)</f>
        <v>#REF!</v>
      </c>
    </row>
    <row r="486" spans="2:7">
      <c r="B486" s="487">
        <v>485</v>
      </c>
      <c r="C486" s="486" t="s">
        <v>967</v>
      </c>
      <c r="D486" s="487" t="s">
        <v>944</v>
      </c>
      <c r="E486" s="41" t="s">
        <v>1796</v>
      </c>
      <c r="F486" s="42" t="s">
        <v>1003</v>
      </c>
      <c r="G486" s="483" t="e">
        <f>COUNTIF(#REF!,B486)</f>
        <v>#REF!</v>
      </c>
    </row>
    <row r="487" spans="2:7">
      <c r="B487" s="487">
        <v>486</v>
      </c>
      <c r="C487" s="486" t="s">
        <v>968</v>
      </c>
      <c r="D487" s="487" t="s">
        <v>28</v>
      </c>
      <c r="E487" s="41" t="s">
        <v>1797</v>
      </c>
      <c r="F487" s="42" t="s">
        <v>1004</v>
      </c>
      <c r="G487" s="483" t="e">
        <f>COUNTIF(#REF!,B487)</f>
        <v>#REF!</v>
      </c>
    </row>
    <row r="488" spans="2:7">
      <c r="B488" s="487">
        <v>487</v>
      </c>
      <c r="C488" s="486" t="s">
        <v>969</v>
      </c>
      <c r="D488" s="487" t="s">
        <v>29</v>
      </c>
      <c r="E488" s="41" t="s">
        <v>1798</v>
      </c>
      <c r="F488" s="42" t="s">
        <v>1981</v>
      </c>
      <c r="G488" s="483" t="e">
        <f>COUNTIF(#REF!,B488)</f>
        <v>#REF!</v>
      </c>
    </row>
    <row r="489" spans="2:7">
      <c r="B489" s="487">
        <v>488</v>
      </c>
      <c r="C489" s="486" t="s">
        <v>970</v>
      </c>
      <c r="D489" s="487" t="s">
        <v>29</v>
      </c>
      <c r="E489" s="41" t="s">
        <v>1799</v>
      </c>
      <c r="F489" s="42" t="s">
        <v>1982</v>
      </c>
      <c r="G489" s="483" t="e">
        <f>COUNTIF(#REF!,B489)</f>
        <v>#REF!</v>
      </c>
    </row>
    <row r="490" spans="2:7">
      <c r="B490" s="487">
        <v>489</v>
      </c>
      <c r="C490" s="486" t="s">
        <v>971</v>
      </c>
      <c r="D490" s="487" t="s">
        <v>28</v>
      </c>
      <c r="E490" s="41" t="s">
        <v>1800</v>
      </c>
      <c r="F490" s="42" t="s">
        <v>1983</v>
      </c>
      <c r="G490" s="483" t="e">
        <f>COUNTIF(#REF!,B490)</f>
        <v>#REF!</v>
      </c>
    </row>
    <row r="491" spans="2:7">
      <c r="B491" s="487">
        <v>490</v>
      </c>
      <c r="C491" s="486" t="s">
        <v>972</v>
      </c>
      <c r="D491" s="487" t="s">
        <v>944</v>
      </c>
      <c r="E491" s="41" t="s">
        <v>1801</v>
      </c>
      <c r="F491" s="42" t="s">
        <v>1984</v>
      </c>
      <c r="G491" s="483" t="e">
        <f>COUNTIF(#REF!,B491)</f>
        <v>#REF!</v>
      </c>
    </row>
    <row r="492" spans="2:7">
      <c r="B492" s="487">
        <v>491</v>
      </c>
      <c r="C492" s="486" t="s">
        <v>973</v>
      </c>
      <c r="D492" s="487" t="s">
        <v>944</v>
      </c>
      <c r="E492" s="41" t="s">
        <v>1802</v>
      </c>
      <c r="F492" s="42" t="s">
        <v>1985</v>
      </c>
      <c r="G492" s="483" t="e">
        <f>COUNTIF(#REF!,B492)</f>
        <v>#REF!</v>
      </c>
    </row>
    <row r="493" spans="2:7">
      <c r="B493" s="487">
        <v>492</v>
      </c>
      <c r="C493" s="486" t="s">
        <v>1005</v>
      </c>
      <c r="D493" s="487" t="s">
        <v>943</v>
      </c>
      <c r="E493" s="42" t="s">
        <v>1803</v>
      </c>
      <c r="F493" s="42" t="s">
        <v>1006</v>
      </c>
      <c r="G493" s="483" t="e">
        <f>COUNTIF(#REF!,B493)</f>
        <v>#REF!</v>
      </c>
    </row>
    <row r="494" spans="2:7">
      <c r="B494" s="487">
        <v>493</v>
      </c>
      <c r="C494" s="486"/>
      <c r="D494" s="487" t="s">
        <v>28</v>
      </c>
      <c r="E494" s="42" t="s">
        <v>1804</v>
      </c>
      <c r="F494" s="42" t="s">
        <v>1259</v>
      </c>
      <c r="G494" s="483" t="e">
        <f>COUNTIF(#REF!,B494)</f>
        <v>#REF!</v>
      </c>
    </row>
    <row r="495" spans="2:7">
      <c r="B495" s="487">
        <v>494</v>
      </c>
      <c r="C495" s="484"/>
      <c r="D495" s="487" t="s">
        <v>30</v>
      </c>
      <c r="E495" s="42" t="s">
        <v>1805</v>
      </c>
      <c r="F495" s="42" t="s">
        <v>1260</v>
      </c>
      <c r="G495" s="483" t="e">
        <f>COUNTIF(#REF!,B495)</f>
        <v>#REF!</v>
      </c>
    </row>
    <row r="496" spans="2:7">
      <c r="B496" s="487">
        <v>495</v>
      </c>
      <c r="C496" s="484"/>
      <c r="D496" s="487" t="s">
        <v>29</v>
      </c>
      <c r="E496" s="42" t="s">
        <v>1806</v>
      </c>
      <c r="F496" s="42" t="s">
        <v>1261</v>
      </c>
      <c r="G496" s="483" t="e">
        <f>COUNTIF(#REF!,B496)</f>
        <v>#REF!</v>
      </c>
    </row>
    <row r="497" spans="2:7">
      <c r="B497" s="487">
        <v>496</v>
      </c>
      <c r="C497" s="484"/>
      <c r="D497" s="487" t="s">
        <v>29</v>
      </c>
      <c r="E497" s="42" t="s">
        <v>1807</v>
      </c>
      <c r="F497" s="42" t="s">
        <v>1262</v>
      </c>
      <c r="G497" s="483" t="e">
        <f>COUNTIF(#REF!,B497)</f>
        <v>#REF!</v>
      </c>
    </row>
    <row r="498" spans="2:7">
      <c r="B498" s="487">
        <v>497</v>
      </c>
      <c r="C498" s="484"/>
      <c r="D498" s="487" t="s">
        <v>30</v>
      </c>
      <c r="E498" s="42" t="s">
        <v>1808</v>
      </c>
      <c r="F498" s="42" t="s">
        <v>1263</v>
      </c>
      <c r="G498" s="483" t="e">
        <f>COUNTIF(#REF!,B498)</f>
        <v>#REF!</v>
      </c>
    </row>
    <row r="499" spans="2:7">
      <c r="B499" s="487">
        <v>498</v>
      </c>
      <c r="C499" s="484"/>
      <c r="D499" s="487" t="s">
        <v>28</v>
      </c>
      <c r="E499" s="42" t="s">
        <v>1809</v>
      </c>
      <c r="F499" s="42" t="s">
        <v>1264</v>
      </c>
      <c r="G499" s="483" t="e">
        <f>COUNTIF(#REF!,B499)</f>
        <v>#REF!</v>
      </c>
    </row>
    <row r="500" spans="2:7">
      <c r="B500" s="487">
        <v>499</v>
      </c>
      <c r="C500" s="484"/>
      <c r="D500" s="487" t="s">
        <v>28</v>
      </c>
      <c r="E500" s="42" t="s">
        <v>1810</v>
      </c>
      <c r="F500" s="42" t="s">
        <v>1265</v>
      </c>
      <c r="G500" s="483" t="e">
        <f>COUNTIF(#REF!,B500)</f>
        <v>#REF!</v>
      </c>
    </row>
    <row r="501" spans="2:7">
      <c r="B501" s="487">
        <v>500</v>
      </c>
      <c r="C501" s="484"/>
      <c r="D501" s="487" t="s">
        <v>28</v>
      </c>
      <c r="E501" s="42" t="s">
        <v>1811</v>
      </c>
      <c r="F501" s="42" t="s">
        <v>1266</v>
      </c>
      <c r="G501" s="483" t="e">
        <f>COUNTIF(#REF!,B501)</f>
        <v>#REF!</v>
      </c>
    </row>
    <row r="502" spans="2:7">
      <c r="B502" s="487">
        <v>501</v>
      </c>
      <c r="C502" s="484"/>
      <c r="D502" s="487" t="s">
        <v>943</v>
      </c>
      <c r="E502" s="42" t="s">
        <v>1812</v>
      </c>
      <c r="F502" s="42" t="s">
        <v>1267</v>
      </c>
      <c r="G502" s="483" t="e">
        <f>COUNTIF(#REF!,B502)</f>
        <v>#REF!</v>
      </c>
    </row>
    <row r="503" spans="2:7">
      <c r="B503" s="487">
        <v>502</v>
      </c>
      <c r="C503" s="484"/>
      <c r="D503" s="487" t="s">
        <v>943</v>
      </c>
      <c r="E503" s="42" t="s">
        <v>1813</v>
      </c>
      <c r="F503" s="42" t="s">
        <v>1268</v>
      </c>
      <c r="G503" s="483" t="e">
        <f>COUNTIF(#REF!,B503)</f>
        <v>#REF!</v>
      </c>
    </row>
    <row r="504" spans="2:7">
      <c r="B504" s="487">
        <v>503</v>
      </c>
      <c r="C504" s="484"/>
      <c r="D504" s="487" t="s">
        <v>943</v>
      </c>
      <c r="E504" s="42" t="s">
        <v>1814</v>
      </c>
      <c r="F504" s="42" t="s">
        <v>1269</v>
      </c>
      <c r="G504" s="483" t="e">
        <f>COUNTIF(#REF!,B504)</f>
        <v>#REF!</v>
      </c>
    </row>
    <row r="505" spans="2:7">
      <c r="B505" s="487">
        <v>504</v>
      </c>
      <c r="C505" s="484"/>
      <c r="D505" s="487" t="s">
        <v>28</v>
      </c>
      <c r="E505" s="42" t="s">
        <v>1815</v>
      </c>
      <c r="F505" s="42" t="s">
        <v>1824</v>
      </c>
      <c r="G505" s="483" t="e">
        <f>COUNTIF(#REF!,B505)</f>
        <v>#REF!</v>
      </c>
    </row>
    <row r="506" spans="2:7">
      <c r="B506" s="487">
        <v>505</v>
      </c>
      <c r="C506" s="484"/>
      <c r="D506" s="487" t="s">
        <v>28</v>
      </c>
      <c r="E506" s="42" t="s">
        <v>1816</v>
      </c>
      <c r="F506" s="42" t="s">
        <v>1825</v>
      </c>
      <c r="G506" s="483" t="e">
        <f>COUNTIF(#REF!,B506)</f>
        <v>#REF!</v>
      </c>
    </row>
    <row r="507" spans="2:7">
      <c r="B507" s="487">
        <v>506</v>
      </c>
      <c r="C507" s="484"/>
      <c r="D507" s="487" t="s">
        <v>28</v>
      </c>
      <c r="E507" s="42" t="s">
        <v>1817</v>
      </c>
      <c r="F507" s="42" t="s">
        <v>1826</v>
      </c>
      <c r="G507" s="483" t="e">
        <f>COUNTIF(#REF!,B507)</f>
        <v>#REF!</v>
      </c>
    </row>
    <row r="508" spans="2:7">
      <c r="B508" s="487">
        <v>507</v>
      </c>
      <c r="C508" s="484"/>
      <c r="D508" s="487" t="s">
        <v>28</v>
      </c>
      <c r="E508" s="42" t="s">
        <v>1818</v>
      </c>
      <c r="F508" s="42" t="s">
        <v>1827</v>
      </c>
      <c r="G508" s="483" t="e">
        <f>COUNTIF(#REF!,B508)</f>
        <v>#REF!</v>
      </c>
    </row>
    <row r="509" spans="2:7">
      <c r="B509" s="487">
        <v>508</v>
      </c>
      <c r="C509" s="484"/>
      <c r="D509" s="487" t="s">
        <v>28</v>
      </c>
      <c r="E509" s="42" t="s">
        <v>1819</v>
      </c>
      <c r="F509" s="42" t="s">
        <v>1828</v>
      </c>
      <c r="G509" s="483" t="e">
        <f>COUNTIF(#REF!,B509)</f>
        <v>#REF!</v>
      </c>
    </row>
    <row r="510" spans="2:7">
      <c r="B510" s="487">
        <v>509</v>
      </c>
      <c r="C510" s="484"/>
      <c r="D510" s="487" t="s">
        <v>28</v>
      </c>
      <c r="E510" s="42" t="s">
        <v>1820</v>
      </c>
      <c r="F510" s="42" t="s">
        <v>1829</v>
      </c>
      <c r="G510" s="483" t="e">
        <f>COUNTIF(#REF!,B510)</f>
        <v>#REF!</v>
      </c>
    </row>
    <row r="511" spans="2:7">
      <c r="B511" s="487">
        <v>510</v>
      </c>
      <c r="C511" s="484"/>
      <c r="D511" s="487" t="s">
        <v>28</v>
      </c>
      <c r="E511" s="42" t="s">
        <v>1821</v>
      </c>
      <c r="F511" s="42" t="s">
        <v>1830</v>
      </c>
      <c r="G511" s="483" t="e">
        <f>COUNTIF(#REF!,B511)</f>
        <v>#REF!</v>
      </c>
    </row>
    <row r="512" spans="2:7">
      <c r="B512" s="487">
        <v>511</v>
      </c>
      <c r="C512" s="484"/>
      <c r="D512" s="487" t="s">
        <v>945</v>
      </c>
      <c r="E512" s="42" t="s">
        <v>1822</v>
      </c>
      <c r="F512" s="42" t="s">
        <v>1831</v>
      </c>
      <c r="G512" s="483" t="e">
        <f>COUNTIF(#REF!,B512)</f>
        <v>#REF!</v>
      </c>
    </row>
    <row r="513" spans="2:7">
      <c r="B513" s="487">
        <v>512</v>
      </c>
      <c r="C513" s="484"/>
      <c r="D513" s="487" t="s">
        <v>30</v>
      </c>
      <c r="E513" s="42" t="s">
        <v>1823</v>
      </c>
      <c r="F513" s="42" t="s">
        <v>1832</v>
      </c>
      <c r="G513" s="483" t="e">
        <f>COUNTIF(#REF!,B513)</f>
        <v>#REF!</v>
      </c>
    </row>
    <row r="514" spans="2:7">
      <c r="B514" s="487">
        <v>513</v>
      </c>
      <c r="D514" s="487" t="s">
        <v>944</v>
      </c>
      <c r="F514" s="42" t="s">
        <v>1986</v>
      </c>
      <c r="G514" s="483" t="e">
        <f>COUNTIF(#REF!,B514)</f>
        <v>#REF!</v>
      </c>
    </row>
    <row r="515" spans="2:7">
      <c r="B515" s="487">
        <v>514</v>
      </c>
      <c r="D515" s="487" t="s">
        <v>944</v>
      </c>
      <c r="F515" s="42" t="s">
        <v>1987</v>
      </c>
      <c r="G515" s="483" t="e">
        <f>COUNTIF(#REF!,B515)</f>
        <v>#REF!</v>
      </c>
    </row>
    <row r="516" spans="2:7">
      <c r="B516" s="487">
        <v>515</v>
      </c>
      <c r="D516" s="487" t="s">
        <v>944</v>
      </c>
      <c r="F516" s="42" t="s">
        <v>1988</v>
      </c>
      <c r="G516" s="483" t="e">
        <f>COUNTIF(#REF!,B516)</f>
        <v>#REF!</v>
      </c>
    </row>
    <row r="517" spans="2:7">
      <c r="B517" s="487">
        <v>516</v>
      </c>
      <c r="D517" s="487" t="s">
        <v>28</v>
      </c>
      <c r="F517" s="42" t="s">
        <v>1989</v>
      </c>
      <c r="G517" s="483" t="e">
        <f>COUNTIF(#REF!,B517)</f>
        <v>#REF!</v>
      </c>
    </row>
    <row r="518" spans="2:7">
      <c r="B518" s="487">
        <v>517</v>
      </c>
      <c r="D518" s="487" t="s">
        <v>28</v>
      </c>
      <c r="F518" s="42" t="s">
        <v>1990</v>
      </c>
      <c r="G518" s="483" t="e">
        <f>COUNTIF(#REF!,B518)</f>
        <v>#REF!</v>
      </c>
    </row>
    <row r="519" spans="2:7">
      <c r="B519" s="487">
        <v>518</v>
      </c>
      <c r="D519" s="487" t="s">
        <v>28</v>
      </c>
      <c r="F519" s="42" t="s">
        <v>1991</v>
      </c>
      <c r="G519" s="483" t="e">
        <f>COUNTIF(#REF!,B519)</f>
        <v>#REF!</v>
      </c>
    </row>
    <row r="520" spans="2:7">
      <c r="B520" s="487">
        <v>519</v>
      </c>
      <c r="D520" s="487" t="s">
        <v>30</v>
      </c>
      <c r="F520" s="42" t="s">
        <v>1992</v>
      </c>
      <c r="G520" s="483" t="e">
        <f>COUNTIF(#REF!,B520)</f>
        <v>#REF!</v>
      </c>
    </row>
    <row r="521" spans="2:7">
      <c r="B521" s="487">
        <v>520</v>
      </c>
      <c r="D521" s="487" t="s">
        <v>28</v>
      </c>
      <c r="F521" s="42" t="s">
        <v>1993</v>
      </c>
      <c r="G521" s="483" t="e">
        <f>COUNTIF(#REF!,B521)</f>
        <v>#REF!</v>
      </c>
    </row>
    <row r="522" spans="2:7">
      <c r="B522" s="487">
        <v>521</v>
      </c>
      <c r="D522" s="487" t="s">
        <v>28</v>
      </c>
      <c r="F522" s="42" t="s">
        <v>1994</v>
      </c>
      <c r="G522" s="483" t="e">
        <f>COUNTIF(#REF!,B522)</f>
        <v>#REF!</v>
      </c>
    </row>
    <row r="523" spans="2:7">
      <c r="B523" s="487">
        <v>522</v>
      </c>
      <c r="D523" s="487" t="s">
        <v>29</v>
      </c>
      <c r="F523" s="42" t="s">
        <v>1995</v>
      </c>
      <c r="G523" s="483" t="e">
        <f>COUNTIF(#REF!,B523)</f>
        <v>#REF!</v>
      </c>
    </row>
    <row r="524" spans="2:7">
      <c r="B524" s="487">
        <v>523</v>
      </c>
      <c r="D524" s="487" t="s">
        <v>29</v>
      </c>
      <c r="F524" s="42" t="s">
        <v>1996</v>
      </c>
      <c r="G524" s="483" t="e">
        <f>COUNTIF(#REF!,B524)</f>
        <v>#REF!</v>
      </c>
    </row>
    <row r="525" spans="2:7">
      <c r="B525" s="487">
        <v>524</v>
      </c>
      <c r="D525" s="487" t="s">
        <v>29</v>
      </c>
      <c r="F525" s="42" t="s">
        <v>1997</v>
      </c>
      <c r="G525" s="483" t="e">
        <f>COUNTIF(#REF!,B525)</f>
        <v>#REF!</v>
      </c>
    </row>
    <row r="526" spans="2:7">
      <c r="B526" s="487">
        <v>525</v>
      </c>
      <c r="D526" s="487" t="s">
        <v>945</v>
      </c>
      <c r="F526" s="42" t="s">
        <v>1998</v>
      </c>
      <c r="G526" s="483" t="e">
        <f>COUNTIF(#REF!,B526)</f>
        <v>#REF!</v>
      </c>
    </row>
    <row r="527" spans="2:7">
      <c r="B527" s="487">
        <v>526</v>
      </c>
      <c r="D527" s="487" t="s">
        <v>30</v>
      </c>
      <c r="F527" s="42" t="s">
        <v>1999</v>
      </c>
      <c r="G527" s="483" t="e">
        <f>COUNTIF(#REF!,B527)</f>
        <v>#REF!</v>
      </c>
    </row>
    <row r="528" spans="2:7">
      <c r="B528" s="487">
        <v>527</v>
      </c>
      <c r="D528" s="487" t="s">
        <v>945</v>
      </c>
      <c r="F528" s="42" t="s">
        <v>2000</v>
      </c>
      <c r="G528" s="483" t="e">
        <f>COUNTIF(#REF!,B528)</f>
        <v>#REF!</v>
      </c>
    </row>
    <row r="529" spans="2:7">
      <c r="B529" s="487">
        <v>528</v>
      </c>
      <c r="D529" s="487" t="s">
        <v>28</v>
      </c>
      <c r="F529" s="42" t="s">
        <v>2001</v>
      </c>
      <c r="G529" s="483" t="e">
        <f>COUNTIF(#REF!,B529)</f>
        <v>#REF!</v>
      </c>
    </row>
    <row r="530" spans="2:7">
      <c r="B530" s="487">
        <v>529</v>
      </c>
      <c r="D530" s="487" t="s">
        <v>28</v>
      </c>
      <c r="F530" s="42" t="s">
        <v>2002</v>
      </c>
      <c r="G530" s="483" t="e">
        <f>COUNTIF(#REF!,B530)</f>
        <v>#REF!</v>
      </c>
    </row>
    <row r="531" spans="2:7">
      <c r="B531" s="487">
        <v>530</v>
      </c>
      <c r="D531" s="487" t="s">
        <v>943</v>
      </c>
      <c r="F531" s="42" t="s">
        <v>2003</v>
      </c>
      <c r="G531" s="483" t="e">
        <f>COUNTIF(#REF!,B531)</f>
        <v>#REF!</v>
      </c>
    </row>
    <row r="532" spans="2:7">
      <c r="B532" s="487">
        <v>531</v>
      </c>
      <c r="D532" s="487" t="s">
        <v>28</v>
      </c>
      <c r="F532" s="42" t="s">
        <v>2004</v>
      </c>
      <c r="G532" s="483" t="e">
        <f>COUNTIF(#REF!,B532)</f>
        <v>#REF!</v>
      </c>
    </row>
    <row r="533" spans="2:7">
      <c r="B533" s="487">
        <v>532</v>
      </c>
      <c r="D533" s="487" t="s">
        <v>29</v>
      </c>
      <c r="F533" s="42" t="s">
        <v>2005</v>
      </c>
      <c r="G533" s="483" t="e">
        <f>COUNTIF(#REF!,B533)</f>
        <v>#REF!</v>
      </c>
    </row>
    <row r="534" spans="2:7">
      <c r="B534" s="487">
        <v>533</v>
      </c>
      <c r="D534" s="487" t="s">
        <v>945</v>
      </c>
      <c r="F534" s="42" t="s">
        <v>753</v>
      </c>
      <c r="G534" s="483" t="e">
        <f>COUNTIF(#REF!,B534)</f>
        <v>#REF!</v>
      </c>
    </row>
    <row r="535" spans="2:7">
      <c r="B535" s="487">
        <v>534</v>
      </c>
      <c r="D535" s="487" t="s">
        <v>29</v>
      </c>
      <c r="F535" s="42" t="s">
        <v>2006</v>
      </c>
      <c r="G535" s="483" t="e">
        <f>COUNTIF(#REF!,B535)</f>
        <v>#REF!</v>
      </c>
    </row>
    <row r="536" spans="2:7">
      <c r="B536" s="487">
        <v>535</v>
      </c>
      <c r="D536" s="487" t="s">
        <v>29</v>
      </c>
      <c r="F536" s="42" t="s">
        <v>2007</v>
      </c>
      <c r="G536" s="483" t="e">
        <f>COUNTIF(#REF!,B536)</f>
        <v>#REF!</v>
      </c>
    </row>
    <row r="537" spans="2:7">
      <c r="B537" s="487">
        <v>536</v>
      </c>
      <c r="D537" s="487" t="s">
        <v>28</v>
      </c>
      <c r="F537" s="42" t="s">
        <v>2008</v>
      </c>
      <c r="G537" s="483" t="e">
        <f>COUNTIF(#REF!,B537)</f>
        <v>#REF!</v>
      </c>
    </row>
    <row r="538" spans="2:7">
      <c r="B538" s="487">
        <v>537</v>
      </c>
      <c r="D538" s="487" t="s">
        <v>28</v>
      </c>
      <c r="F538" s="42" t="s">
        <v>2009</v>
      </c>
      <c r="G538" s="483" t="e">
        <f>COUNTIF(#REF!,B538)</f>
        <v>#REF!</v>
      </c>
    </row>
    <row r="539" spans="2:7">
      <c r="B539" s="487">
        <v>538</v>
      </c>
      <c r="D539" s="487" t="s">
        <v>29</v>
      </c>
      <c r="F539" s="42" t="s">
        <v>2010</v>
      </c>
      <c r="G539" s="483" t="e">
        <f>COUNTIF(#REF!,B539)</f>
        <v>#REF!</v>
      </c>
    </row>
    <row r="540" spans="2:7">
      <c r="B540" s="487">
        <v>539</v>
      </c>
      <c r="D540" s="487" t="s">
        <v>28</v>
      </c>
      <c r="F540" s="42" t="s">
        <v>2011</v>
      </c>
      <c r="G540" s="483" t="e">
        <f>COUNTIF(#REF!,B540)</f>
        <v>#REF!</v>
      </c>
    </row>
    <row r="541" spans="2:7">
      <c r="B541" s="487">
        <v>540</v>
      </c>
      <c r="D541" s="487" t="s">
        <v>28</v>
      </c>
      <c r="F541" s="42" t="s">
        <v>2012</v>
      </c>
      <c r="G541" s="483" t="e">
        <f>COUNTIF(#REF!,B541)</f>
        <v>#REF!</v>
      </c>
    </row>
    <row r="542" spans="2:7">
      <c r="B542" s="487">
        <v>541</v>
      </c>
      <c r="D542" s="487" t="s">
        <v>28</v>
      </c>
      <c r="F542" s="42" t="s">
        <v>2013</v>
      </c>
      <c r="G542" s="483" t="e">
        <f>COUNTIF(#REF!,B542)</f>
        <v>#REF!</v>
      </c>
    </row>
    <row r="543" spans="2:7">
      <c r="B543" s="487">
        <v>542</v>
      </c>
      <c r="D543" s="487" t="s">
        <v>28</v>
      </c>
      <c r="F543" s="42" t="s">
        <v>2014</v>
      </c>
      <c r="G543" s="483" t="e">
        <f>COUNTIF(#REF!,B543)</f>
        <v>#REF!</v>
      </c>
    </row>
    <row r="544" spans="2:7">
      <c r="B544" s="509">
        <v>543</v>
      </c>
      <c r="C544" s="509"/>
      <c r="D544" s="487" t="s">
        <v>945</v>
      </c>
      <c r="F544" s="42" t="s">
        <v>2016</v>
      </c>
      <c r="G544" s="483" t="e">
        <f>COUNTIF(#REF!,B544)</f>
        <v>#REF!</v>
      </c>
    </row>
    <row r="545" spans="2:7">
      <c r="B545" s="509">
        <v>544</v>
      </c>
      <c r="C545" s="509"/>
      <c r="D545" s="487" t="s">
        <v>945</v>
      </c>
      <c r="F545" s="42" t="s">
        <v>2017</v>
      </c>
      <c r="G545" s="483" t="e">
        <f>COUNTIF(#REF!,B545)</f>
        <v>#REF!</v>
      </c>
    </row>
    <row r="546" spans="2:7">
      <c r="B546" s="509">
        <v>545</v>
      </c>
      <c r="C546" s="509"/>
      <c r="D546" s="487" t="s">
        <v>30</v>
      </c>
      <c r="F546" s="42" t="s">
        <v>2018</v>
      </c>
      <c r="G546" s="483" t="e">
        <f>COUNTIF(#REF!,B546)</f>
        <v>#REF!</v>
      </c>
    </row>
    <row r="547" spans="2:7">
      <c r="B547" s="509">
        <v>546</v>
      </c>
      <c r="C547" s="509"/>
      <c r="D547" s="487" t="s">
        <v>29</v>
      </c>
      <c r="F547" s="42" t="s">
        <v>2019</v>
      </c>
      <c r="G547" s="483" t="e">
        <f>COUNTIF(#REF!,B547)</f>
        <v>#REF!</v>
      </c>
    </row>
    <row r="548" spans="2:7">
      <c r="B548" s="509">
        <v>547</v>
      </c>
      <c r="C548" s="509"/>
      <c r="D548" s="487" t="s">
        <v>29</v>
      </c>
      <c r="F548" s="42" t="s">
        <v>2020</v>
      </c>
      <c r="G548" s="483" t="e">
        <f>COUNTIF(#REF!,B548)</f>
        <v>#REF!</v>
      </c>
    </row>
    <row r="549" spans="2:7">
      <c r="B549" s="509">
        <v>548</v>
      </c>
      <c r="C549" s="509"/>
      <c r="D549" s="487" t="s">
        <v>945</v>
      </c>
      <c r="F549" s="42" t="s">
        <v>2021</v>
      </c>
      <c r="G549" s="483" t="e">
        <f>COUNTIF(#REF!,B549)</f>
        <v>#REF!</v>
      </c>
    </row>
    <row r="550" spans="2:7">
      <c r="B550" s="509">
        <v>549</v>
      </c>
      <c r="C550" s="509"/>
      <c r="D550" s="487" t="s">
        <v>28</v>
      </c>
      <c r="F550" s="42" t="s">
        <v>2022</v>
      </c>
      <c r="G550" s="483" t="e">
        <f>COUNTIF(#REF!,B550)</f>
        <v>#REF!</v>
      </c>
    </row>
    <row r="551" spans="2:7">
      <c r="B551" s="509">
        <v>550</v>
      </c>
      <c r="C551" s="509"/>
      <c r="D551" s="487" t="s">
        <v>29</v>
      </c>
      <c r="F551" s="42" t="s">
        <v>2023</v>
      </c>
      <c r="G551" s="483" t="e">
        <f>COUNTIF(#REF!,B551)</f>
        <v>#REF!</v>
      </c>
    </row>
    <row r="552" spans="2:7">
      <c r="B552" s="509">
        <v>551</v>
      </c>
      <c r="C552" s="509"/>
      <c r="D552" s="487" t="s">
        <v>944</v>
      </c>
      <c r="F552" s="42" t="s">
        <v>2024</v>
      </c>
      <c r="G552" s="483" t="e">
        <f>COUNTIF(#REF!,B552)</f>
        <v>#REF!</v>
      </c>
    </row>
    <row r="553" spans="2:7">
      <c r="B553" s="509">
        <v>552</v>
      </c>
      <c r="C553" s="509"/>
      <c r="D553" s="487" t="s">
        <v>944</v>
      </c>
      <c r="F553" s="42" t="s">
        <v>2025</v>
      </c>
      <c r="G553" s="483" t="e">
        <f>COUNTIF(#REF!,B553)</f>
        <v>#REF!</v>
      </c>
    </row>
    <row r="554" spans="2:7">
      <c r="B554" s="509">
        <v>553</v>
      </c>
      <c r="C554" s="481"/>
      <c r="D554" s="487" t="s">
        <v>944</v>
      </c>
      <c r="F554" s="42" t="s">
        <v>2026</v>
      </c>
      <c r="G554" s="483" t="e">
        <f>COUNTIF(#REF!,B554)</f>
        <v>#REF!</v>
      </c>
    </row>
    <row r="555" spans="2:7">
      <c r="D555" s="487"/>
      <c r="F555" s="42"/>
    </row>
    <row r="556" spans="2:7">
      <c r="D556" s="487"/>
      <c r="F556" s="42"/>
    </row>
    <row r="557" spans="2:7">
      <c r="D557" s="487"/>
      <c r="F557" s="42"/>
    </row>
    <row r="558" spans="2:7">
      <c r="D558" s="487"/>
      <c r="F558" s="42"/>
    </row>
    <row r="559" spans="2:7">
      <c r="D559" s="509"/>
      <c r="F559" s="42"/>
    </row>
    <row r="560" spans="2:7">
      <c r="D560" s="509"/>
      <c r="F560" s="42"/>
    </row>
    <row r="561" spans="4:6">
      <c r="D561" s="509"/>
      <c r="F561" s="42"/>
    </row>
    <row r="562" spans="4:6">
      <c r="D562" s="509"/>
      <c r="F562" s="42"/>
    </row>
    <row r="563" spans="4:6">
      <c r="D563" s="509"/>
      <c r="F563" s="42"/>
    </row>
    <row r="564" spans="4:6">
      <c r="D564" s="509"/>
      <c r="F564" s="42"/>
    </row>
    <row r="565" spans="4:6">
      <c r="D565" s="509"/>
      <c r="F565" s="42"/>
    </row>
    <row r="566" spans="4:6">
      <c r="D566" s="509"/>
      <c r="F566" s="42"/>
    </row>
    <row r="567" spans="4:6">
      <c r="D567" s="509"/>
      <c r="F567" s="42"/>
    </row>
    <row r="568" spans="4:6">
      <c r="D568" s="509"/>
      <c r="F568" s="42"/>
    </row>
    <row r="569" spans="4:6">
      <c r="D569" s="509"/>
      <c r="F569" s="42"/>
    </row>
    <row r="570" spans="4:6">
      <c r="D570" s="509"/>
      <c r="F570" s="42"/>
    </row>
    <row r="571" spans="4:6">
      <c r="D571" s="509"/>
      <c r="F571" s="42"/>
    </row>
    <row r="572" spans="4:6">
      <c r="D572" s="509"/>
      <c r="F572" s="42"/>
    </row>
    <row r="573" spans="4:6">
      <c r="D573" s="509"/>
      <c r="F573" s="42"/>
    </row>
    <row r="574" spans="4:6">
      <c r="D574" s="509"/>
      <c r="F574" s="42"/>
    </row>
    <row r="575" spans="4:6">
      <c r="D575" s="509"/>
      <c r="F575" s="42"/>
    </row>
    <row r="576" spans="4:6">
      <c r="D576" s="509"/>
      <c r="F576" s="42"/>
    </row>
    <row r="577" spans="4:6">
      <c r="D577" s="509"/>
      <c r="F577" s="42"/>
    </row>
    <row r="578" spans="4:6">
      <c r="D578" s="509"/>
      <c r="F578" s="42"/>
    </row>
    <row r="579" spans="4:6">
      <c r="D579" s="509"/>
      <c r="F579" s="42"/>
    </row>
    <row r="580" spans="4:6">
      <c r="D580" s="509"/>
      <c r="F580" s="42"/>
    </row>
    <row r="581" spans="4:6">
      <c r="D581" s="509"/>
      <c r="F581" s="42"/>
    </row>
    <row r="582" spans="4:6">
      <c r="D582" s="509"/>
      <c r="F582" s="42"/>
    </row>
    <row r="583" spans="4:6">
      <c r="D583" s="509"/>
      <c r="F583" s="42"/>
    </row>
    <row r="584" spans="4:6">
      <c r="D584" s="509"/>
      <c r="F584" s="42"/>
    </row>
    <row r="585" spans="4:6">
      <c r="D585" s="509"/>
      <c r="F585" s="42"/>
    </row>
    <row r="586" spans="4:6">
      <c r="D586" s="509"/>
      <c r="F586" s="42"/>
    </row>
    <row r="587" spans="4:6">
      <c r="D587" s="509"/>
      <c r="F587" s="42"/>
    </row>
    <row r="588" spans="4:6">
      <c r="D588" s="509"/>
      <c r="F588" s="42"/>
    </row>
    <row r="589" spans="4:6">
      <c r="D589" s="509"/>
      <c r="F589" s="42"/>
    </row>
    <row r="590" spans="4:6">
      <c r="D590" s="509"/>
      <c r="F590" s="42"/>
    </row>
    <row r="591" spans="4:6">
      <c r="D591" s="509"/>
      <c r="F591" s="42"/>
    </row>
    <row r="592" spans="4:6">
      <c r="D592" s="509"/>
      <c r="F592" s="42"/>
    </row>
    <row r="593" spans="4:6">
      <c r="D593" s="509"/>
      <c r="F593" s="42"/>
    </row>
    <row r="594" spans="4:6">
      <c r="D594" s="509"/>
      <c r="F594" s="42"/>
    </row>
    <row r="595" spans="4:6">
      <c r="D595" s="509"/>
      <c r="F595" s="42"/>
    </row>
    <row r="596" spans="4:6">
      <c r="D596" s="509"/>
      <c r="F596" s="42"/>
    </row>
    <row r="597" spans="4:6">
      <c r="D597" s="509"/>
      <c r="F597" s="42"/>
    </row>
    <row r="598" spans="4:6">
      <c r="D598" s="509"/>
      <c r="F598" s="42"/>
    </row>
    <row r="599" spans="4:6">
      <c r="D599" s="509"/>
      <c r="F599" s="42"/>
    </row>
    <row r="600" spans="4:6">
      <c r="D600" s="509"/>
      <c r="F600" s="42"/>
    </row>
    <row r="601" spans="4:6">
      <c r="D601" s="509"/>
      <c r="F601" s="42"/>
    </row>
    <row r="602" spans="4:6">
      <c r="D602" s="509"/>
      <c r="F602" s="42"/>
    </row>
    <row r="603" spans="4:6">
      <c r="D603" s="509"/>
      <c r="F603" s="42"/>
    </row>
    <row r="604" spans="4:6">
      <c r="D604" s="509"/>
      <c r="F604" s="42"/>
    </row>
    <row r="605" spans="4:6">
      <c r="D605" s="509"/>
      <c r="F605" s="42"/>
    </row>
    <row r="606" spans="4:6">
      <c r="D606" s="509"/>
      <c r="F606" s="42"/>
    </row>
    <row r="607" spans="4:6">
      <c r="D607" s="509"/>
      <c r="F607" s="42"/>
    </row>
    <row r="608" spans="4:6">
      <c r="D608" s="509"/>
      <c r="F608" s="42"/>
    </row>
    <row r="609" spans="4:6">
      <c r="D609" s="509"/>
      <c r="F609" s="42"/>
    </row>
    <row r="610" spans="4:6">
      <c r="D610" s="509"/>
      <c r="F610" s="42"/>
    </row>
    <row r="611" spans="4:6">
      <c r="D611" s="509"/>
      <c r="F611" s="42"/>
    </row>
    <row r="612" spans="4:6">
      <c r="D612" s="509"/>
      <c r="F612" s="42"/>
    </row>
    <row r="613" spans="4:6">
      <c r="D613" s="509"/>
      <c r="F613" s="42"/>
    </row>
    <row r="614" spans="4:6">
      <c r="D614" s="509"/>
      <c r="F614" s="42"/>
    </row>
    <row r="615" spans="4:6">
      <c r="D615" s="509"/>
      <c r="F615" s="42"/>
    </row>
    <row r="616" spans="4:6">
      <c r="D616" s="509"/>
      <c r="F616" s="42"/>
    </row>
    <row r="617" spans="4:6">
      <c r="D617" s="509"/>
      <c r="F617" s="42"/>
    </row>
    <row r="618" spans="4:6">
      <c r="D618" s="509"/>
      <c r="F618" s="42"/>
    </row>
    <row r="619" spans="4:6">
      <c r="D619" s="509"/>
      <c r="F619" s="42"/>
    </row>
    <row r="620" spans="4:6">
      <c r="D620" s="509"/>
      <c r="F620" s="42"/>
    </row>
    <row r="621" spans="4:6">
      <c r="D621" s="509"/>
      <c r="F621" s="42"/>
    </row>
    <row r="622" spans="4:6">
      <c r="D622" s="509"/>
      <c r="F622" s="42"/>
    </row>
    <row r="623" spans="4:6">
      <c r="D623" s="509"/>
      <c r="F623" s="42"/>
    </row>
    <row r="624" spans="4:6">
      <c r="D624" s="509"/>
      <c r="F624" s="42"/>
    </row>
    <row r="625" spans="4:6">
      <c r="D625" s="509"/>
      <c r="F625" s="42"/>
    </row>
    <row r="626" spans="4:6">
      <c r="D626" s="509"/>
      <c r="F626" s="42"/>
    </row>
    <row r="627" spans="4:6">
      <c r="D627" s="509"/>
      <c r="F627" s="42"/>
    </row>
    <row r="628" spans="4:6">
      <c r="D628" s="509"/>
      <c r="F628" s="42"/>
    </row>
    <row r="629" spans="4:6">
      <c r="D629" s="509"/>
      <c r="F629" s="42"/>
    </row>
    <row r="630" spans="4:6">
      <c r="D630" s="509"/>
      <c r="F630" s="42"/>
    </row>
    <row r="631" spans="4:6">
      <c r="D631" s="509"/>
      <c r="F631" s="42"/>
    </row>
    <row r="632" spans="4:6">
      <c r="D632" s="509"/>
      <c r="F632" s="42"/>
    </row>
    <row r="633" spans="4:6">
      <c r="D633" s="509"/>
      <c r="F633" s="42"/>
    </row>
    <row r="634" spans="4:6">
      <c r="D634" s="509"/>
      <c r="F634" s="42"/>
    </row>
    <row r="635" spans="4:6">
      <c r="D635" s="509"/>
      <c r="F635" s="42"/>
    </row>
    <row r="636" spans="4:6">
      <c r="D636" s="509"/>
      <c r="F636" s="42"/>
    </row>
    <row r="637" spans="4:6">
      <c r="D637" s="509"/>
      <c r="F637" s="42"/>
    </row>
    <row r="638" spans="4:6">
      <c r="D638" s="509"/>
      <c r="F638" s="42"/>
    </row>
    <row r="639" spans="4:6">
      <c r="D639" s="509"/>
      <c r="F639" s="42"/>
    </row>
    <row r="640" spans="4:6">
      <c r="D640" s="509"/>
      <c r="F640" s="42"/>
    </row>
    <row r="641" spans="4:6">
      <c r="D641" s="509"/>
      <c r="F641" s="42"/>
    </row>
    <row r="642" spans="4:6">
      <c r="D642" s="509"/>
      <c r="F642" s="42"/>
    </row>
    <row r="643" spans="4:6">
      <c r="D643" s="509"/>
      <c r="F643" s="42"/>
    </row>
    <row r="644" spans="4:6">
      <c r="D644" s="509"/>
      <c r="F644" s="42"/>
    </row>
    <row r="645" spans="4:6">
      <c r="D645" s="509"/>
      <c r="F645" s="42"/>
    </row>
    <row r="646" spans="4:6">
      <c r="D646" s="509"/>
      <c r="F646" s="42"/>
    </row>
    <row r="647" spans="4:6">
      <c r="D647" s="509"/>
      <c r="F647" s="42"/>
    </row>
    <row r="648" spans="4:6">
      <c r="D648" s="509"/>
      <c r="F648" s="42"/>
    </row>
    <row r="649" spans="4:6">
      <c r="D649" s="509"/>
      <c r="F649" s="42"/>
    </row>
    <row r="650" spans="4:6">
      <c r="D650" s="509"/>
      <c r="F650" s="42"/>
    </row>
    <row r="651" spans="4:6">
      <c r="D651" s="509"/>
      <c r="F651" s="42"/>
    </row>
    <row r="652" spans="4:6">
      <c r="D652" s="509"/>
      <c r="F652" s="42"/>
    </row>
    <row r="653" spans="4:6">
      <c r="D653" s="509"/>
      <c r="F653" s="42"/>
    </row>
    <row r="654" spans="4:6">
      <c r="D654" s="509"/>
      <c r="F654" s="42"/>
    </row>
    <row r="655" spans="4:6">
      <c r="D655" s="509"/>
      <c r="F655" s="42"/>
    </row>
    <row r="656" spans="4:6">
      <c r="D656" s="509"/>
      <c r="F656" s="42"/>
    </row>
    <row r="657" spans="4:6">
      <c r="D657" s="509"/>
      <c r="F657" s="42"/>
    </row>
    <row r="658" spans="4:6">
      <c r="D658" s="509"/>
      <c r="F658" s="42"/>
    </row>
    <row r="659" spans="4:6">
      <c r="D659" s="509"/>
      <c r="F659" s="42"/>
    </row>
    <row r="660" spans="4:6">
      <c r="D660" s="509"/>
      <c r="F660" s="42"/>
    </row>
    <row r="661" spans="4:6">
      <c r="D661" s="509"/>
      <c r="F661" s="42"/>
    </row>
    <row r="662" spans="4:6">
      <c r="D662" s="509"/>
      <c r="F662" s="42"/>
    </row>
    <row r="663" spans="4:6">
      <c r="D663" s="509"/>
      <c r="F663" s="42"/>
    </row>
    <row r="664" spans="4:6">
      <c r="D664" s="509"/>
      <c r="F664" s="42"/>
    </row>
    <row r="665" spans="4:6">
      <c r="D665" s="509"/>
      <c r="F665" s="42"/>
    </row>
    <row r="666" spans="4:6">
      <c r="D666" s="509"/>
      <c r="F666" s="42"/>
    </row>
    <row r="667" spans="4:6">
      <c r="D667" s="509"/>
      <c r="F667" s="42"/>
    </row>
    <row r="668" spans="4:6">
      <c r="D668" s="509"/>
      <c r="F668" s="42"/>
    </row>
    <row r="669" spans="4:6">
      <c r="D669" s="509"/>
      <c r="F669" s="42"/>
    </row>
    <row r="670" spans="4:6">
      <c r="D670" s="509"/>
      <c r="F670" s="42"/>
    </row>
    <row r="671" spans="4:6">
      <c r="D671" s="509"/>
      <c r="F671" s="42"/>
    </row>
    <row r="672" spans="4:6">
      <c r="D672" s="509"/>
      <c r="F672" s="42"/>
    </row>
    <row r="673" spans="4:6">
      <c r="D673" s="509"/>
      <c r="F673" s="42"/>
    </row>
    <row r="674" spans="4:6">
      <c r="D674" s="509"/>
      <c r="F674" s="42"/>
    </row>
    <row r="675" spans="4:6">
      <c r="D675" s="509"/>
      <c r="F675" s="42"/>
    </row>
    <row r="676" spans="4:6">
      <c r="D676" s="509"/>
      <c r="F676" s="42"/>
    </row>
    <row r="677" spans="4:6">
      <c r="D677" s="509"/>
      <c r="F677" s="42"/>
    </row>
    <row r="678" spans="4:6">
      <c r="D678" s="509"/>
      <c r="F678" s="42"/>
    </row>
    <row r="679" spans="4:6">
      <c r="D679" s="509"/>
      <c r="F679" s="42"/>
    </row>
    <row r="680" spans="4:6">
      <c r="D680" s="509"/>
      <c r="F680" s="42"/>
    </row>
    <row r="681" spans="4:6">
      <c r="D681" s="509"/>
      <c r="F681" s="42"/>
    </row>
    <row r="682" spans="4:6">
      <c r="D682" s="509"/>
      <c r="F682" s="42"/>
    </row>
    <row r="683" spans="4:6">
      <c r="D683" s="509"/>
      <c r="F683" s="42"/>
    </row>
    <row r="684" spans="4:6">
      <c r="D684" s="509"/>
      <c r="F684" s="42"/>
    </row>
    <row r="685" spans="4:6">
      <c r="D685" s="509"/>
      <c r="F685" s="42"/>
    </row>
    <row r="686" spans="4:6">
      <c r="D686" s="509"/>
      <c r="F686" s="42"/>
    </row>
    <row r="687" spans="4:6">
      <c r="D687" s="509"/>
      <c r="F687" s="42"/>
    </row>
    <row r="688" spans="4:6">
      <c r="D688" s="509"/>
      <c r="F688" s="42"/>
    </row>
    <row r="689" spans="4:6">
      <c r="D689" s="509"/>
      <c r="F689" s="42"/>
    </row>
    <row r="690" spans="4:6">
      <c r="D690" s="509"/>
      <c r="F690" s="42"/>
    </row>
    <row r="691" spans="4:6">
      <c r="D691" s="509"/>
      <c r="F691" s="42"/>
    </row>
    <row r="692" spans="4:6">
      <c r="D692" s="509"/>
      <c r="F692" s="42"/>
    </row>
    <row r="693" spans="4:6">
      <c r="D693" s="509"/>
      <c r="F693" s="42"/>
    </row>
    <row r="694" spans="4:6">
      <c r="D694" s="509"/>
      <c r="F694" s="42"/>
    </row>
    <row r="695" spans="4:6">
      <c r="D695" s="509"/>
      <c r="F695" s="42"/>
    </row>
    <row r="696" spans="4:6">
      <c r="D696" s="509"/>
      <c r="F696" s="42"/>
    </row>
    <row r="697" spans="4:6">
      <c r="D697" s="509"/>
      <c r="F697" s="42"/>
    </row>
    <row r="698" spans="4:6">
      <c r="D698" s="509"/>
      <c r="F698" s="42"/>
    </row>
    <row r="699" spans="4:6">
      <c r="D699" s="509"/>
      <c r="F699" s="42"/>
    </row>
    <row r="700" spans="4:6">
      <c r="D700" s="509"/>
      <c r="F700" s="42"/>
    </row>
    <row r="701" spans="4:6">
      <c r="D701" s="509"/>
      <c r="F701" s="42"/>
    </row>
    <row r="702" spans="4:6">
      <c r="D702" s="509"/>
      <c r="F702" s="42"/>
    </row>
    <row r="703" spans="4:6">
      <c r="D703" s="509"/>
      <c r="F703" s="42"/>
    </row>
    <row r="704" spans="4:6">
      <c r="D704" s="509"/>
      <c r="F704" s="42"/>
    </row>
    <row r="705" spans="4:6">
      <c r="D705" s="509"/>
      <c r="F705" s="42"/>
    </row>
    <row r="706" spans="4:6">
      <c r="D706" s="509"/>
      <c r="F706" s="42"/>
    </row>
    <row r="707" spans="4:6">
      <c r="D707" s="509"/>
      <c r="F707" s="42"/>
    </row>
    <row r="708" spans="4:6">
      <c r="D708" s="509"/>
      <c r="F708" s="42"/>
    </row>
    <row r="709" spans="4:6">
      <c r="D709" s="509"/>
      <c r="F709" s="42"/>
    </row>
    <row r="710" spans="4:6">
      <c r="D710" s="509"/>
      <c r="F710" s="42"/>
    </row>
    <row r="711" spans="4:6">
      <c r="D711" s="509"/>
      <c r="F711" s="42"/>
    </row>
    <row r="712" spans="4:6">
      <c r="D712" s="509"/>
      <c r="F712" s="42"/>
    </row>
    <row r="713" spans="4:6">
      <c r="D713" s="509"/>
      <c r="F713" s="42"/>
    </row>
    <row r="714" spans="4:6">
      <c r="D714" s="509"/>
      <c r="F714" s="42"/>
    </row>
    <row r="715" spans="4:6">
      <c r="D715" s="509"/>
      <c r="F715" s="42"/>
    </row>
    <row r="716" spans="4:6">
      <c r="D716" s="509"/>
      <c r="F716" s="42"/>
    </row>
    <row r="717" spans="4:6">
      <c r="D717" s="509"/>
      <c r="F717" s="42"/>
    </row>
    <row r="718" spans="4:6">
      <c r="D718" s="509"/>
      <c r="F718" s="42"/>
    </row>
    <row r="719" spans="4:6">
      <c r="D719" s="509"/>
      <c r="F719" s="42"/>
    </row>
    <row r="720" spans="4:6">
      <c r="D720" s="509"/>
      <c r="F720" s="42"/>
    </row>
    <row r="721" spans="4:6">
      <c r="D721" s="509"/>
      <c r="F721" s="42"/>
    </row>
    <row r="722" spans="4:6">
      <c r="D722" s="509"/>
      <c r="F722" s="42"/>
    </row>
    <row r="723" spans="4:6">
      <c r="D723" s="509"/>
      <c r="F723" s="42"/>
    </row>
    <row r="724" spans="4:6">
      <c r="D724" s="509"/>
      <c r="F724" s="42"/>
    </row>
    <row r="725" spans="4:6">
      <c r="D725" s="509"/>
      <c r="F725" s="42"/>
    </row>
    <row r="726" spans="4:6">
      <c r="D726" s="509"/>
      <c r="F726" s="42"/>
    </row>
    <row r="727" spans="4:6">
      <c r="D727" s="509"/>
      <c r="F727" s="42"/>
    </row>
    <row r="728" spans="4:6">
      <c r="D728" s="509"/>
      <c r="F728" s="42"/>
    </row>
    <row r="729" spans="4:6">
      <c r="D729" s="509"/>
      <c r="F729" s="42"/>
    </row>
    <row r="730" spans="4:6">
      <c r="D730" s="509"/>
      <c r="F730" s="42"/>
    </row>
    <row r="731" spans="4:6">
      <c r="D731" s="509"/>
      <c r="F731" s="42"/>
    </row>
    <row r="732" spans="4:6">
      <c r="D732" s="509"/>
      <c r="F732" s="42"/>
    </row>
    <row r="733" spans="4:6">
      <c r="D733" s="509"/>
      <c r="F733" s="42"/>
    </row>
    <row r="734" spans="4:6">
      <c r="D734" s="509"/>
      <c r="F734" s="42"/>
    </row>
    <row r="735" spans="4:6">
      <c r="D735" s="509"/>
      <c r="F735" s="42"/>
    </row>
    <row r="736" spans="4:6">
      <c r="D736" s="509"/>
      <c r="F736" s="42"/>
    </row>
    <row r="737" spans="4:6">
      <c r="D737" s="509"/>
      <c r="F737" s="42"/>
    </row>
    <row r="738" spans="4:6">
      <c r="D738" s="509"/>
      <c r="F738" s="42"/>
    </row>
    <row r="739" spans="4:6">
      <c r="D739" s="509"/>
      <c r="F739" s="42"/>
    </row>
    <row r="740" spans="4:6">
      <c r="D740" s="509"/>
      <c r="F740" s="42"/>
    </row>
    <row r="741" spans="4:6">
      <c r="D741" s="509"/>
      <c r="F741" s="42"/>
    </row>
    <row r="742" spans="4:6">
      <c r="D742" s="509"/>
      <c r="F742" s="42"/>
    </row>
    <row r="743" spans="4:6">
      <c r="D743" s="509"/>
      <c r="F743" s="42"/>
    </row>
    <row r="744" spans="4:6">
      <c r="D744" s="509"/>
      <c r="F744" s="42"/>
    </row>
    <row r="745" spans="4:6">
      <c r="D745" s="509"/>
      <c r="F745" s="42"/>
    </row>
    <row r="746" spans="4:6">
      <c r="D746" s="509"/>
      <c r="F746" s="42"/>
    </row>
    <row r="747" spans="4:6">
      <c r="D747" s="509"/>
      <c r="F747" s="42"/>
    </row>
    <row r="748" spans="4:6">
      <c r="D748" s="509"/>
      <c r="F748" s="42"/>
    </row>
    <row r="749" spans="4:6">
      <c r="D749" s="509"/>
      <c r="F749" s="42"/>
    </row>
    <row r="750" spans="4:6">
      <c r="D750" s="509"/>
      <c r="F750" s="42"/>
    </row>
    <row r="751" spans="4:6">
      <c r="D751" s="509"/>
      <c r="F751" s="42"/>
    </row>
    <row r="752" spans="4:6">
      <c r="D752" s="509"/>
      <c r="F752" s="42"/>
    </row>
    <row r="753" spans="4:6">
      <c r="D753" s="509"/>
      <c r="F753" s="42"/>
    </row>
    <row r="754" spans="4:6">
      <c r="D754" s="509"/>
      <c r="F754" s="42"/>
    </row>
    <row r="755" spans="4:6">
      <c r="D755" s="509"/>
      <c r="F755" s="42"/>
    </row>
    <row r="756" spans="4:6">
      <c r="D756" s="509"/>
      <c r="F756" s="42"/>
    </row>
    <row r="757" spans="4:6">
      <c r="D757" s="509"/>
      <c r="F757" s="42"/>
    </row>
    <row r="758" spans="4:6">
      <c r="D758" s="509"/>
      <c r="F758" s="42"/>
    </row>
    <row r="759" spans="4:6">
      <c r="D759" s="509"/>
      <c r="F759" s="42"/>
    </row>
    <row r="760" spans="4:6">
      <c r="D760" s="509"/>
      <c r="F760" s="42"/>
    </row>
    <row r="761" spans="4:6">
      <c r="D761" s="509"/>
      <c r="F761" s="42"/>
    </row>
    <row r="762" spans="4:6">
      <c r="D762" s="509"/>
      <c r="F762" s="42"/>
    </row>
    <row r="763" spans="4:6">
      <c r="D763" s="509"/>
      <c r="F763" s="42"/>
    </row>
    <row r="764" spans="4:6">
      <c r="D764" s="509"/>
      <c r="F764" s="42"/>
    </row>
    <row r="765" spans="4:6">
      <c r="D765" s="509"/>
      <c r="F765" s="42"/>
    </row>
    <row r="766" spans="4:6">
      <c r="D766" s="509"/>
      <c r="F766" s="42"/>
    </row>
    <row r="767" spans="4:6">
      <c r="D767" s="509"/>
      <c r="F767" s="42"/>
    </row>
    <row r="768" spans="4:6">
      <c r="D768" s="509"/>
      <c r="F768" s="42"/>
    </row>
    <row r="769" spans="4:6">
      <c r="D769" s="509"/>
      <c r="F769" s="42"/>
    </row>
    <row r="770" spans="4:6">
      <c r="D770" s="509"/>
      <c r="F770" s="42"/>
    </row>
    <row r="771" spans="4:6">
      <c r="D771" s="509"/>
      <c r="F771" s="42"/>
    </row>
    <row r="772" spans="4:6">
      <c r="D772" s="509"/>
      <c r="F772" s="42"/>
    </row>
    <row r="773" spans="4:6">
      <c r="D773" s="509"/>
      <c r="F773" s="42"/>
    </row>
    <row r="774" spans="4:6">
      <c r="D774" s="509"/>
      <c r="F774" s="42"/>
    </row>
    <row r="775" spans="4:6">
      <c r="D775" s="509"/>
      <c r="F775" s="42"/>
    </row>
    <row r="776" spans="4:6">
      <c r="D776" s="509"/>
      <c r="F776" s="42"/>
    </row>
    <row r="777" spans="4:6">
      <c r="D777" s="509"/>
      <c r="F777" s="42"/>
    </row>
    <row r="778" spans="4:6">
      <c r="D778" s="509"/>
      <c r="F778" s="42"/>
    </row>
    <row r="779" spans="4:6">
      <c r="D779" s="509"/>
      <c r="F779" s="42"/>
    </row>
    <row r="780" spans="4:6">
      <c r="D780" s="509"/>
      <c r="F780" s="42"/>
    </row>
    <row r="781" spans="4:6">
      <c r="D781" s="509"/>
      <c r="F781" s="42"/>
    </row>
    <row r="782" spans="4:6">
      <c r="D782" s="509"/>
      <c r="F782" s="42"/>
    </row>
    <row r="783" spans="4:6">
      <c r="D783" s="509"/>
      <c r="F783" s="42"/>
    </row>
    <row r="784" spans="4:6">
      <c r="D784" s="509"/>
      <c r="F784" s="42"/>
    </row>
    <row r="785" spans="4:6">
      <c r="D785" s="509"/>
      <c r="F785" s="42"/>
    </row>
    <row r="786" spans="4:6">
      <c r="D786" s="509"/>
      <c r="F786" s="42"/>
    </row>
    <row r="787" spans="4:6">
      <c r="D787" s="509"/>
      <c r="F787" s="42"/>
    </row>
    <row r="788" spans="4:6">
      <c r="D788" s="509"/>
      <c r="F788" s="42"/>
    </row>
    <row r="789" spans="4:6">
      <c r="D789" s="509"/>
      <c r="F789" s="42"/>
    </row>
    <row r="790" spans="4:6">
      <c r="D790" s="509"/>
      <c r="F790" s="42"/>
    </row>
    <row r="791" spans="4:6">
      <c r="D791" s="509"/>
      <c r="F791" s="42"/>
    </row>
    <row r="792" spans="4:6">
      <c r="D792" s="509"/>
      <c r="F792" s="42"/>
    </row>
    <row r="793" spans="4:6">
      <c r="D793" s="509"/>
      <c r="F793" s="42"/>
    </row>
    <row r="794" spans="4:6">
      <c r="D794" s="509"/>
      <c r="F794" s="42"/>
    </row>
    <row r="795" spans="4:6">
      <c r="D795" s="509"/>
      <c r="F795" s="42"/>
    </row>
    <row r="796" spans="4:6">
      <c r="D796" s="509"/>
      <c r="F796" s="42"/>
    </row>
    <row r="797" spans="4:6">
      <c r="D797" s="509"/>
      <c r="F797" s="42"/>
    </row>
    <row r="798" spans="4:6">
      <c r="D798" s="509"/>
      <c r="F798" s="42"/>
    </row>
    <row r="799" spans="4:6">
      <c r="D799" s="509"/>
      <c r="F799" s="42"/>
    </row>
    <row r="800" spans="4:6">
      <c r="D800" s="509"/>
      <c r="F800" s="42"/>
    </row>
    <row r="801" spans="4:6">
      <c r="D801" s="509"/>
      <c r="F801" s="42"/>
    </row>
    <row r="802" spans="4:6">
      <c r="D802" s="509"/>
      <c r="F802" s="42"/>
    </row>
    <row r="803" spans="4:6">
      <c r="D803" s="509"/>
      <c r="F803" s="42"/>
    </row>
    <row r="804" spans="4:6">
      <c r="D804" s="509"/>
      <c r="F804" s="42"/>
    </row>
    <row r="805" spans="4:6">
      <c r="D805" s="509"/>
      <c r="F805" s="42"/>
    </row>
    <row r="806" spans="4:6">
      <c r="D806" s="509"/>
      <c r="F806" s="42"/>
    </row>
    <row r="807" spans="4:6">
      <c r="D807" s="509"/>
      <c r="F807" s="42"/>
    </row>
    <row r="808" spans="4:6">
      <c r="D808" s="509"/>
      <c r="F808" s="42"/>
    </row>
    <row r="809" spans="4:6">
      <c r="D809" s="509"/>
      <c r="F809" s="42"/>
    </row>
    <row r="810" spans="4:6">
      <c r="D810" s="509"/>
      <c r="F810" s="42"/>
    </row>
    <row r="811" spans="4:6">
      <c r="D811" s="509"/>
      <c r="F811" s="42"/>
    </row>
    <row r="812" spans="4:6">
      <c r="D812" s="509"/>
      <c r="F812" s="42"/>
    </row>
    <row r="813" spans="4:6">
      <c r="D813" s="509"/>
      <c r="F813" s="42"/>
    </row>
    <row r="814" spans="4:6">
      <c r="D814" s="509"/>
      <c r="F814" s="42"/>
    </row>
    <row r="815" spans="4:6">
      <c r="D815" s="509"/>
      <c r="F815" s="42"/>
    </row>
    <row r="816" spans="4:6">
      <c r="D816" s="509"/>
      <c r="F816" s="42"/>
    </row>
    <row r="817" spans="4:6">
      <c r="D817" s="509"/>
      <c r="F817" s="42"/>
    </row>
    <row r="818" spans="4:6">
      <c r="D818" s="509"/>
      <c r="F818" s="42"/>
    </row>
    <row r="819" spans="4:6">
      <c r="D819" s="509"/>
      <c r="F819" s="42"/>
    </row>
    <row r="820" spans="4:6">
      <c r="D820" s="509"/>
      <c r="F820" s="42"/>
    </row>
    <row r="821" spans="4:6">
      <c r="D821" s="509"/>
      <c r="F821" s="42"/>
    </row>
    <row r="822" spans="4:6">
      <c r="D822" s="509"/>
      <c r="F822" s="42"/>
    </row>
    <row r="823" spans="4:6">
      <c r="D823" s="509"/>
      <c r="F823" s="42"/>
    </row>
    <row r="824" spans="4:6">
      <c r="D824" s="509"/>
      <c r="F824" s="42"/>
    </row>
    <row r="825" spans="4:6">
      <c r="D825" s="509"/>
      <c r="F825" s="42"/>
    </row>
    <row r="826" spans="4:6">
      <c r="D826" s="509"/>
      <c r="F826" s="42"/>
    </row>
    <row r="827" spans="4:6">
      <c r="D827" s="509"/>
      <c r="F827" s="42"/>
    </row>
    <row r="828" spans="4:6">
      <c r="D828" s="509"/>
      <c r="F828" s="42"/>
    </row>
    <row r="829" spans="4:6">
      <c r="D829" s="509"/>
      <c r="F829" s="42"/>
    </row>
    <row r="830" spans="4:6">
      <c r="D830" s="509"/>
      <c r="F830" s="42"/>
    </row>
    <row r="831" spans="4:6">
      <c r="D831" s="509"/>
      <c r="F831" s="42"/>
    </row>
    <row r="832" spans="4:6">
      <c r="D832" s="509"/>
      <c r="F832" s="42"/>
    </row>
    <row r="833" spans="4:6">
      <c r="D833" s="509"/>
      <c r="F833" s="42"/>
    </row>
    <row r="834" spans="4:6">
      <c r="D834" s="509"/>
      <c r="F834" s="42"/>
    </row>
    <row r="835" spans="4:6">
      <c r="D835" s="509"/>
      <c r="F835" s="42"/>
    </row>
    <row r="836" spans="4:6">
      <c r="D836" s="509"/>
      <c r="F836" s="42"/>
    </row>
    <row r="837" spans="4:6">
      <c r="D837" s="509"/>
      <c r="F837" s="42"/>
    </row>
    <row r="838" spans="4:6">
      <c r="D838" s="509"/>
      <c r="F838" s="42"/>
    </row>
    <row r="839" spans="4:6">
      <c r="D839" s="509"/>
      <c r="F839" s="42"/>
    </row>
    <row r="840" spans="4:6">
      <c r="D840" s="509"/>
      <c r="F840" s="42"/>
    </row>
    <row r="841" spans="4:6">
      <c r="D841" s="509"/>
      <c r="F841" s="42"/>
    </row>
    <row r="842" spans="4:6">
      <c r="D842" s="509"/>
      <c r="F842" s="42"/>
    </row>
    <row r="843" spans="4:6">
      <c r="D843" s="509"/>
      <c r="F843" s="42"/>
    </row>
    <row r="844" spans="4:6">
      <c r="D844" s="509"/>
      <c r="F844" s="42"/>
    </row>
    <row r="845" spans="4:6">
      <c r="D845" s="509"/>
      <c r="F845" s="42"/>
    </row>
    <row r="846" spans="4:6">
      <c r="D846" s="509"/>
      <c r="F846" s="42"/>
    </row>
    <row r="847" spans="4:6">
      <c r="D847" s="509"/>
      <c r="F847" s="42"/>
    </row>
    <row r="848" spans="4:6">
      <c r="D848" s="509"/>
      <c r="F848" s="42"/>
    </row>
    <row r="849" spans="4:6">
      <c r="D849" s="509"/>
      <c r="F849" s="42"/>
    </row>
    <row r="850" spans="4:6">
      <c r="D850" s="509"/>
      <c r="F850" s="42"/>
    </row>
    <row r="851" spans="4:6">
      <c r="D851" s="509"/>
      <c r="F851" s="42"/>
    </row>
    <row r="852" spans="4:6">
      <c r="D852" s="509"/>
      <c r="F852" s="42"/>
    </row>
    <row r="853" spans="4:6">
      <c r="D853" s="509"/>
      <c r="F853" s="42"/>
    </row>
    <row r="854" spans="4:6">
      <c r="D854" s="509"/>
      <c r="F854" s="42"/>
    </row>
    <row r="855" spans="4:6">
      <c r="D855" s="509"/>
      <c r="F855" s="42"/>
    </row>
    <row r="856" spans="4:6">
      <c r="D856" s="509"/>
      <c r="F856" s="42"/>
    </row>
    <row r="857" spans="4:6">
      <c r="D857" s="509"/>
      <c r="F857" s="42"/>
    </row>
    <row r="858" spans="4:6">
      <c r="D858" s="509"/>
      <c r="F858" s="42"/>
    </row>
    <row r="859" spans="4:6">
      <c r="D859" s="509"/>
      <c r="F859" s="42"/>
    </row>
    <row r="860" spans="4:6">
      <c r="D860" s="509"/>
      <c r="F860" s="42"/>
    </row>
    <row r="861" spans="4:6">
      <c r="D861" s="509"/>
      <c r="F861" s="42"/>
    </row>
    <row r="862" spans="4:6">
      <c r="D862" s="509"/>
      <c r="F862" s="42"/>
    </row>
    <row r="863" spans="4:6">
      <c r="D863" s="509"/>
      <c r="F863" s="42"/>
    </row>
    <row r="864" spans="4:6">
      <c r="D864" s="509"/>
      <c r="F864" s="42"/>
    </row>
    <row r="865" spans="4:6">
      <c r="D865" s="509"/>
      <c r="F865" s="42"/>
    </row>
    <row r="866" spans="4:6">
      <c r="D866" s="509"/>
      <c r="F866" s="42"/>
    </row>
    <row r="867" spans="4:6">
      <c r="D867" s="509"/>
      <c r="F867" s="42"/>
    </row>
    <row r="868" spans="4:6">
      <c r="D868" s="509"/>
      <c r="F868" s="42"/>
    </row>
    <row r="869" spans="4:6">
      <c r="D869" s="509"/>
      <c r="F869" s="42"/>
    </row>
    <row r="870" spans="4:6">
      <c r="D870" s="509"/>
      <c r="F870" s="42"/>
    </row>
    <row r="871" spans="4:6">
      <c r="D871" s="509"/>
      <c r="F871" s="42"/>
    </row>
    <row r="872" spans="4:6">
      <c r="D872" s="509"/>
      <c r="F872" s="42"/>
    </row>
    <row r="873" spans="4:6">
      <c r="D873" s="509"/>
      <c r="F873" s="42"/>
    </row>
    <row r="874" spans="4:6">
      <c r="D874" s="509"/>
      <c r="F874" s="42"/>
    </row>
    <row r="875" spans="4:6">
      <c r="D875" s="509"/>
      <c r="F875" s="42"/>
    </row>
    <row r="876" spans="4:6">
      <c r="D876" s="509"/>
      <c r="F876" s="42"/>
    </row>
    <row r="877" spans="4:6">
      <c r="D877" s="509"/>
      <c r="F877" s="42"/>
    </row>
    <row r="878" spans="4:6">
      <c r="D878" s="509"/>
      <c r="F878" s="42"/>
    </row>
    <row r="879" spans="4:6">
      <c r="D879" s="509"/>
      <c r="F879" s="42"/>
    </row>
    <row r="880" spans="4:6">
      <c r="D880" s="509"/>
      <c r="F880" s="42"/>
    </row>
    <row r="881" spans="4:6">
      <c r="D881" s="509"/>
      <c r="F881" s="42"/>
    </row>
    <row r="882" spans="4:6">
      <c r="D882" s="509"/>
      <c r="F882" s="42"/>
    </row>
    <row r="883" spans="4:6">
      <c r="D883" s="509"/>
      <c r="F883" s="42"/>
    </row>
    <row r="884" spans="4:6">
      <c r="D884" s="509"/>
      <c r="F884" s="42"/>
    </row>
    <row r="885" spans="4:6">
      <c r="D885" s="509"/>
      <c r="F885" s="42"/>
    </row>
    <row r="886" spans="4:6">
      <c r="D886" s="509"/>
      <c r="F886" s="42"/>
    </row>
    <row r="887" spans="4:6">
      <c r="D887" s="509"/>
      <c r="F887" s="42"/>
    </row>
    <row r="888" spans="4:6">
      <c r="D888" s="509"/>
      <c r="F888" s="42"/>
    </row>
    <row r="889" spans="4:6">
      <c r="D889" s="509"/>
      <c r="F889" s="42"/>
    </row>
    <row r="890" spans="4:6">
      <c r="D890" s="509"/>
      <c r="F890" s="42"/>
    </row>
    <row r="891" spans="4:6">
      <c r="D891" s="509"/>
      <c r="F891" s="42"/>
    </row>
    <row r="892" spans="4:6">
      <c r="D892" s="509"/>
      <c r="F892" s="42"/>
    </row>
    <row r="893" spans="4:6">
      <c r="D893" s="509"/>
      <c r="F893" s="42"/>
    </row>
    <row r="894" spans="4:6">
      <c r="D894" s="509"/>
      <c r="F894" s="42"/>
    </row>
    <row r="895" spans="4:6">
      <c r="D895" s="509"/>
      <c r="F895" s="42"/>
    </row>
    <row r="896" spans="4:6">
      <c r="D896" s="509"/>
      <c r="F896" s="42"/>
    </row>
    <row r="897" spans="4:6">
      <c r="D897" s="509"/>
      <c r="F897" s="42"/>
    </row>
    <row r="898" spans="4:6">
      <c r="D898" s="509"/>
      <c r="F898" s="42"/>
    </row>
    <row r="899" spans="4:6">
      <c r="D899" s="509"/>
      <c r="F899" s="42"/>
    </row>
    <row r="900" spans="4:6">
      <c r="D900" s="509"/>
      <c r="F900" s="42"/>
    </row>
    <row r="901" spans="4:6">
      <c r="D901" s="509"/>
      <c r="F901" s="42"/>
    </row>
    <row r="902" spans="4:6">
      <c r="D902" s="509"/>
      <c r="F902" s="42"/>
    </row>
    <row r="903" spans="4:6">
      <c r="D903" s="509"/>
      <c r="F903" s="42"/>
    </row>
    <row r="904" spans="4:6">
      <c r="D904" s="509"/>
      <c r="F904" s="42"/>
    </row>
    <row r="905" spans="4:6">
      <c r="D905" s="509"/>
      <c r="F905" s="42"/>
    </row>
    <row r="906" spans="4:6">
      <c r="D906" s="509"/>
      <c r="F906" s="42"/>
    </row>
    <row r="907" spans="4:6">
      <c r="D907" s="509"/>
      <c r="F907" s="42"/>
    </row>
    <row r="908" spans="4:6">
      <c r="D908" s="509"/>
      <c r="F908" s="42"/>
    </row>
    <row r="909" spans="4:6">
      <c r="D909" s="509"/>
      <c r="F909" s="42"/>
    </row>
    <row r="910" spans="4:6">
      <c r="D910" s="509"/>
      <c r="F910" s="42"/>
    </row>
    <row r="911" spans="4:6">
      <c r="D911" s="509"/>
      <c r="F911" s="42"/>
    </row>
    <row r="912" spans="4:6">
      <c r="D912" s="509"/>
      <c r="F912" s="42"/>
    </row>
    <row r="913" spans="4:6">
      <c r="D913" s="509"/>
      <c r="F913" s="42"/>
    </row>
    <row r="914" spans="4:6">
      <c r="D914" s="509"/>
      <c r="F914" s="42"/>
    </row>
    <row r="915" spans="4:6">
      <c r="D915" s="509"/>
      <c r="F915" s="42"/>
    </row>
    <row r="916" spans="4:6">
      <c r="D916" s="509"/>
      <c r="F916" s="42"/>
    </row>
    <row r="917" spans="4:6">
      <c r="D917" s="509"/>
      <c r="F917" s="42"/>
    </row>
    <row r="918" spans="4:6">
      <c r="D918" s="509"/>
      <c r="F918" s="42"/>
    </row>
    <row r="919" spans="4:6">
      <c r="D919" s="509"/>
      <c r="F919" s="42"/>
    </row>
    <row r="920" spans="4:6">
      <c r="D920" s="509"/>
      <c r="F920" s="42"/>
    </row>
    <row r="921" spans="4:6">
      <c r="D921" s="509"/>
      <c r="F921" s="42"/>
    </row>
    <row r="922" spans="4:6">
      <c r="D922" s="509"/>
      <c r="F922" s="42"/>
    </row>
    <row r="923" spans="4:6">
      <c r="D923" s="509"/>
      <c r="F923" s="42"/>
    </row>
    <row r="924" spans="4:6">
      <c r="D924" s="509"/>
      <c r="F924" s="42"/>
    </row>
    <row r="925" spans="4:6">
      <c r="D925" s="509"/>
      <c r="F925" s="42"/>
    </row>
    <row r="926" spans="4:6">
      <c r="D926" s="509"/>
      <c r="F926" s="42"/>
    </row>
    <row r="927" spans="4:6">
      <c r="D927" s="509"/>
      <c r="F927" s="42"/>
    </row>
    <row r="928" spans="4:6">
      <c r="D928" s="509"/>
      <c r="F928" s="42"/>
    </row>
    <row r="929" spans="4:6">
      <c r="D929" s="509"/>
      <c r="F929" s="42"/>
    </row>
    <row r="930" spans="4:6">
      <c r="D930" s="509"/>
      <c r="F930" s="42"/>
    </row>
    <row r="931" spans="4:6">
      <c r="D931" s="509"/>
      <c r="F931" s="42"/>
    </row>
    <row r="932" spans="4:6">
      <c r="D932" s="509"/>
      <c r="F932" s="42"/>
    </row>
    <row r="933" spans="4:6">
      <c r="D933" s="509"/>
      <c r="F933" s="42"/>
    </row>
    <row r="934" spans="4:6">
      <c r="D934" s="509"/>
      <c r="F934" s="42"/>
    </row>
    <row r="935" spans="4:6">
      <c r="D935" s="509"/>
      <c r="F935" s="42"/>
    </row>
    <row r="936" spans="4:6">
      <c r="D936" s="509"/>
      <c r="F936" s="42"/>
    </row>
    <row r="937" spans="4:6">
      <c r="D937" s="509"/>
      <c r="F937" s="42"/>
    </row>
    <row r="938" spans="4:6">
      <c r="D938" s="509"/>
      <c r="F938" s="42"/>
    </row>
    <row r="939" spans="4:6">
      <c r="D939" s="509"/>
      <c r="F939" s="42"/>
    </row>
    <row r="940" spans="4:6">
      <c r="D940" s="509"/>
      <c r="F940" s="42"/>
    </row>
    <row r="941" spans="4:6">
      <c r="D941" s="509"/>
      <c r="F941" s="42"/>
    </row>
    <row r="942" spans="4:6">
      <c r="D942" s="509"/>
      <c r="F942" s="42"/>
    </row>
    <row r="943" spans="4:6">
      <c r="D943" s="509"/>
      <c r="F943" s="42"/>
    </row>
    <row r="944" spans="4:6">
      <c r="D944" s="509"/>
      <c r="F944" s="42"/>
    </row>
    <row r="945" spans="4:6">
      <c r="D945" s="509"/>
      <c r="F945" s="42"/>
    </row>
    <row r="946" spans="4:6">
      <c r="D946" s="509"/>
      <c r="F946" s="42"/>
    </row>
    <row r="947" spans="4:6">
      <c r="D947" s="509"/>
      <c r="F947" s="42"/>
    </row>
    <row r="948" spans="4:6">
      <c r="D948" s="509"/>
      <c r="F948" s="42"/>
    </row>
    <row r="949" spans="4:6">
      <c r="D949" s="509"/>
      <c r="F949" s="42"/>
    </row>
    <row r="950" spans="4:6">
      <c r="D950" s="509"/>
      <c r="F950" s="42"/>
    </row>
    <row r="951" spans="4:6">
      <c r="D951" s="509"/>
      <c r="F951" s="42"/>
    </row>
    <row r="952" spans="4:6">
      <c r="D952" s="509"/>
      <c r="F952" s="42"/>
    </row>
    <row r="953" spans="4:6">
      <c r="D953" s="509"/>
      <c r="F953" s="42"/>
    </row>
    <row r="954" spans="4:6">
      <c r="D954" s="509"/>
      <c r="F954" s="42"/>
    </row>
    <row r="955" spans="4:6">
      <c r="D955" s="509"/>
      <c r="F955" s="42"/>
    </row>
    <row r="956" spans="4:6">
      <c r="D956" s="509"/>
      <c r="F956" s="42"/>
    </row>
    <row r="957" spans="4:6">
      <c r="D957" s="509"/>
      <c r="F957" s="42"/>
    </row>
    <row r="958" spans="4:6">
      <c r="D958" s="509"/>
      <c r="F958" s="42"/>
    </row>
    <row r="959" spans="4:6">
      <c r="D959" s="509"/>
      <c r="F959" s="42"/>
    </row>
    <row r="960" spans="4:6">
      <c r="D960" s="509"/>
      <c r="F960" s="42"/>
    </row>
    <row r="961" spans="4:6">
      <c r="D961" s="509"/>
      <c r="F961" s="42"/>
    </row>
    <row r="962" spans="4:6">
      <c r="D962" s="509"/>
      <c r="F962" s="42"/>
    </row>
    <row r="963" spans="4:6">
      <c r="D963" s="509"/>
      <c r="F963" s="42"/>
    </row>
    <row r="964" spans="4:6">
      <c r="D964" s="509"/>
      <c r="F964" s="42"/>
    </row>
    <row r="965" spans="4:6">
      <c r="D965" s="509"/>
      <c r="F965" s="42"/>
    </row>
    <row r="966" spans="4:6">
      <c r="D966" s="509"/>
      <c r="F966" s="42"/>
    </row>
    <row r="967" spans="4:6">
      <c r="D967" s="509"/>
      <c r="F967" s="42"/>
    </row>
    <row r="968" spans="4:6">
      <c r="D968" s="509"/>
      <c r="F968" s="42"/>
    </row>
    <row r="969" spans="4:6">
      <c r="D969" s="509"/>
      <c r="F969" s="42"/>
    </row>
    <row r="970" spans="4:6">
      <c r="D970" s="509"/>
      <c r="F970" s="42"/>
    </row>
    <row r="971" spans="4:6">
      <c r="D971" s="509"/>
      <c r="F971" s="42"/>
    </row>
    <row r="972" spans="4:6">
      <c r="D972" s="509"/>
      <c r="F972" s="42"/>
    </row>
    <row r="973" spans="4:6">
      <c r="D973" s="509"/>
      <c r="F973" s="42"/>
    </row>
    <row r="974" spans="4:6">
      <c r="D974" s="509"/>
      <c r="F974" s="42"/>
    </row>
    <row r="975" spans="4:6">
      <c r="D975" s="509"/>
      <c r="F975" s="42"/>
    </row>
    <row r="976" spans="4:6">
      <c r="D976" s="509"/>
      <c r="F976" s="42"/>
    </row>
    <row r="977" spans="4:6">
      <c r="D977" s="509"/>
      <c r="F977" s="42"/>
    </row>
    <row r="978" spans="4:6">
      <c r="D978" s="509"/>
      <c r="F978" s="42"/>
    </row>
    <row r="979" spans="4:6">
      <c r="D979" s="509"/>
      <c r="F979" s="42"/>
    </row>
    <row r="980" spans="4:6">
      <c r="D980" s="509"/>
      <c r="F980" s="42"/>
    </row>
    <row r="981" spans="4:6">
      <c r="D981" s="509"/>
      <c r="F981" s="42"/>
    </row>
    <row r="982" spans="4:6">
      <c r="D982" s="509"/>
      <c r="F982" s="42"/>
    </row>
    <row r="983" spans="4:6">
      <c r="D983" s="509"/>
      <c r="F983" s="42"/>
    </row>
    <row r="984" spans="4:6">
      <c r="D984" s="509"/>
      <c r="F984" s="42"/>
    </row>
    <row r="985" spans="4:6">
      <c r="D985" s="509"/>
      <c r="F985" s="42"/>
    </row>
    <row r="986" spans="4:6">
      <c r="D986" s="509"/>
      <c r="F986" s="42"/>
    </row>
    <row r="987" spans="4:6">
      <c r="D987" s="509"/>
      <c r="F987" s="42"/>
    </row>
    <row r="988" spans="4:6">
      <c r="D988" s="509"/>
      <c r="F988" s="42"/>
    </row>
    <row r="989" spans="4:6">
      <c r="D989" s="509"/>
      <c r="F989" s="42"/>
    </row>
    <row r="990" spans="4:6">
      <c r="D990" s="509"/>
      <c r="F990" s="42"/>
    </row>
    <row r="991" spans="4:6">
      <c r="D991" s="509"/>
      <c r="F991" s="42"/>
    </row>
    <row r="992" spans="4:6">
      <c r="D992" s="509"/>
      <c r="F992" s="42"/>
    </row>
    <row r="993" spans="4:6">
      <c r="D993" s="509"/>
      <c r="F993" s="42"/>
    </row>
    <row r="994" spans="4:6">
      <c r="D994" s="509"/>
      <c r="F994" s="42"/>
    </row>
    <row r="995" spans="4:6">
      <c r="D995" s="509"/>
      <c r="F995" s="42"/>
    </row>
    <row r="996" spans="4:6">
      <c r="D996" s="509"/>
      <c r="F996" s="42"/>
    </row>
    <row r="997" spans="4:6">
      <c r="D997" s="509"/>
      <c r="F997" s="42"/>
    </row>
    <row r="998" spans="4:6">
      <c r="D998" s="509"/>
      <c r="F998" s="42"/>
    </row>
    <row r="999" spans="4:6">
      <c r="D999" s="509"/>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Central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2023-09-22T16:33:41Z</dcterms:modified>
  <cp:category/>
</cp:coreProperties>
</file>