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CF219308-43FA-8440-B19C-30E0705A15F4}" xr6:coauthVersionLast="47" xr6:coauthVersionMax="47" xr10:uidLastSave="{00000000-0000-0000-0000-000000000000}"/>
  <bookViews>
    <workbookView xWindow="13720" yWindow="1540" windowWidth="2418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41" i="2"/>
  <c r="C40" i="2"/>
  <c r="C39" i="2"/>
  <c r="C38" i="2"/>
  <c r="C37" i="2"/>
  <c r="C36" i="2"/>
  <c r="C35" i="2"/>
  <c r="C34" i="2"/>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4" i="5" l="1"/>
  <c r="P15" i="5"/>
  <c r="P11" i="5"/>
  <c r="P7" i="5"/>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8217385-1BCC-2643-AB05-B2E22B4E1B46}">
      <text>
        <r>
          <rPr>
            <sz val="10"/>
            <color rgb="FF000000"/>
            <rFont val="Calibri"/>
            <family val="2"/>
            <scheme val="minor"/>
          </rPr>
          <t>This includes product, side products, starting materials, anything you want to quantify after the reaction</t>
        </r>
      </text>
    </comment>
    <comment ref="J20" authorId="0" shapeId="0" xr:uid="{C718610D-2040-8544-A128-455C5A51F14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<sst xmlns="http://schemas.openxmlformats.org/spreadsheetml/2006/main" count="3750" uniqueCount="2641">
  <si>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</si>
  <si>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</si>
  <si>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</si>
  <si>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</si>
  <si>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</si>
  <si>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</si>
  <si>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</si>
  <si>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</si>
  <si>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</si>
  <si>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</si>
  <si>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</si>
  <si>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</si>
  <si>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</si>
  <si>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</si>
  <si>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</si>
  <si>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</si>
  <si>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</si>
  <si>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</si>
  <si>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</si>
  <si>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</si>
  <si>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</si>
  <si>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</si>
  <si>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</si>
  <si>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</si>
  <si>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</si>
  <si>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</si>
  <si>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</si>
  <si>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</si>
  <si>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</si>
  <si>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</si>
  <si>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</si>
  <si>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</si>
  <si>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</si>
  <si>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</si>
  <si>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</si>
  <si>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</si>
  <si>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</si>
  <si>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</si>
  <si>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</si>
  <si>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</si>
  <si>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</si>
  <si>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</si>
  <si>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</si>
  <si>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</si>
  <si>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</si>
  <si>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</si>
  <si>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</si>
  <si>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</si>
  <si>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</si>
  <si>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</si>
  <si>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</si>
  <si>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</si>
  <si>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</si>
  <si>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</si>
  <si>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</si>
  <si>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</si>
  <si>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</si>
  <si>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</si>
  <si>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</si>
  <si>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</si>
  <si>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</si>
  <si>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</si>
  <si>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</si>
  <si>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</si>
  <si>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</si>
  <si>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</si>
  <si>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</si>
  <si>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</si>
  <si>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</si>
  <si>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</si>
  <si>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</si>
  <si>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</si>
  <si>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</si>
  <si>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</si>
  <si>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</si>
  <si>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</si>
  <si>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</si>
  <si>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</si>
  <si>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</si>
  <si>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</si>
  <si>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</si>
  <si>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</si>
  <si>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</si>
  <si>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</si>
  <si>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</si>
  <si>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</si>
  <si>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</si>
  <si>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</si>
  <si>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</si>
  <si>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</si>
  <si>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</si>
  <si>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</si>
  <si>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</si>
  <si>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</si>
  <si>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</si>
  <si>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</si>
  <si>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</si>
  <si>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</si>
  <si>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</si>
  <si>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</si>
  <si>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</si>
  <si>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</si>
  <si>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</si>
  <si>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</si>
  <si>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</si>
  <si>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</si>
  <si>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</si>
  <si>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</si>
  <si>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</si>
  <si>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</si>
  <si>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</si>
  <si>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</si>
  <si>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</si>
  <si>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</si>
  <si>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</si>
  <si>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</si>
  <si>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</si>
  <si>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</si>
  <si>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</si>
  <si>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</si>
  <si>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</si>
  <si>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</si>
  <si>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</si>
  <si>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</si>
  <si>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</si>
  <si>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</si>
  <si>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</si>
  <si>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</si>
  <si>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</si>
  <si>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</si>
  <si>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</si>
  <si>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</si>
  <si>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</si>
  <si>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</si>
  <si>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</si>
  <si>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</si>
  <si>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</si>
  <si>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</si>
  <si>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</si>
  <si>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</si>
  <si>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</si>
  <si>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</si>
  <si>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</si>
  <si>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</si>
  <si>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</si>
  <si>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</si>
  <si>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</si>
  <si>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</si>
  <si>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</si>
  <si>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</si>
  <si>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</si>
  <si>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</si>
  <si>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</si>
  <si>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</si>
  <si>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</si>
  <si>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</si>
  <si>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</si>
  <si>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</si>
  <si>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</si>
  <si>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</si>
  <si>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</si>
  <si>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</si>
  <si>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</si>
  <si>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</si>
  <si>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</si>
  <si>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</si>
  <si>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</si>
  <si>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</si>
  <si>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</si>
  <si>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</si>
  <si>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</si>
  <si>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</si>
  <si>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</si>
  <si>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</si>
  <si>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</si>
  <si>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</si>
  <si>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</si>
  <si>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</si>
  <si>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</si>
  <si>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</si>
  <si>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</si>
  <si>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</si>
  <si>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</si>
  <si>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</si>
  <si>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</si>
  <si>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</si>
  <si>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</si>
  <si>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</si>
  <si>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</si>
  <si>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</si>
  <si>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</si>
  <si>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</si>
  <si>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</si>
  <si>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</si>
  <si>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</si>
  <si>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</si>
  <si>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</si>
  <si>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</si>
  <si>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</si>
  <si>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</si>
  <si>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</si>
  <si>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</si>
  <si>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</si>
  <si>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</si>
  <si>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</si>
  <si>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</si>
  <si>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</si>
  <si>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</si>
  <si>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</si>
  <si>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</si>
  <si>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</si>
  <si>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</si>
  <si>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</si>
  <si>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</si>
  <si>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</si>
  <si>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</si>
  <si>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</si>
  <si>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</si>
  <si>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</si>
  <si>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</si>
  <si>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</si>
  <si>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</si>
  <si>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</si>
  <si>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</si>
  <si>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</si>
  <si>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</si>
  <si>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</si>
  <si>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</si>
  <si>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</si>
  <si>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</si>
  <si>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</si>
  <si>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</si>
  <si>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</si>
  <si>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</si>
  <si>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</si>
  <si>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</si>
  <si>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</si>
  <si>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</si>
  <si>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</si>
  <si>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</si>
  <si>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</si>
  <si>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</si>
  <si>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</si>
  <si>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</si>
  <si>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</si>
  <si>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</si>
  <si>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</si>
  <si>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</si>
  <si>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</si>
  <si>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</si>
  <si>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</si>
  <si>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</si>
  <si>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</si>
  <si>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</si>
  <si>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</si>
  <si>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</si>
  <si>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</si>
  <si>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</si>
  <si>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</si>
  <si>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</si>
  <si>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</si>
  <si>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</si>
  <si>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</si>
  <si>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</si>
  <si>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</si>
  <si>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</si>
  <si>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</si>
  <si>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</si>
  <si>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</si>
  <si>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</si>
  <si>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</si>
  <si>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</si>
  <si>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</si>
  <si>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</si>
  <si>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</si>
  <si>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</si>
  <si>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</si>
  <si>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</si>
  <si>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</si>
  <si>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</si>
  <si>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</si>
  <si>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</si>
  <si>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</si>
  <si>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</si>
  <si>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</si>
  <si>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</si>
  <si>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</si>
  <si>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</si>
  <si>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</si>
  <si>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</si>
  <si>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</si>
  <si>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</si>
  <si>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</si>
  <si>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</si>
  <si>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</si>
  <si>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</si>
  <si>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</si>
  <si>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</si>
  <si>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</si>
  <si>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</si>
  <si>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</si>
  <si>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</si>
  <si>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</si>
  <si>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</si>
  <si>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</si>
  <si>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</si>
  <si>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</si>
  <si>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</si>
  <si>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</si>
  <si>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</si>
  <si>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</si>
  <si>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</si>
  <si>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</si>
  <si>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</si>
  <si>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</si>
  <si>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</si>
  <si>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</si>
  <si>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</si>
  <si>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</si>
  <si>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</si>
  <si>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</si>
  <si>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</si>
  <si>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</si>
  <si>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</si>
  <si>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</si>
  <si>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</si>
  <si>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</si>
  <si>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</si>
  <si>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</si>
  <si>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</si>
  <si>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</si>
  <si>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</si>
  <si>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</si>
  <si>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</si>
  <si>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</si>
  <si>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</si>
  <si>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</si>
  <si>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</si>
  <si>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</si>
  <si>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</si>
  <si>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</si>
  <si>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</si>
  <si>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</si>
  <si>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</si>
  <si>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</si>
  <si>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</si>
  <si>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</si>
  <si>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</si>
  <si>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</si>
  <si>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</si>
  <si>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</si>
  <si>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</si>
  <si>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</si>
  <si>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</si>
  <si>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</si>
  <si>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</si>
  <si>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</si>
  <si>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</si>
  <si>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</si>
  <si>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</si>
  <si>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</si>
  <si>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</si>
  <si>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</si>
  <si>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</si>
  <si>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</si>
  <si>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</si>
  <si>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</si>
  <si>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</si>
  <si>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</si>
  <si>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</si>
  <si>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</si>
  <si>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</si>
  <si>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</si>
  <si>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</si>
  <si>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</si>
  <si>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</si>
  <si>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</si>
  <si>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</si>
  <si>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</si>
  <si>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</si>
  <si>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</si>
  <si>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</si>
  <si>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</si>
  <si>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</si>
  <si>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</si>
  <si>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</si>
  <si>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</si>
  <si>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</si>
  <si>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</si>
  <si>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</si>
  <si>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</si>
  <si>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</si>
  <si>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</si>
  <si>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</si>
  <si>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</si>
  <si>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</si>
  <si>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</si>
  <si>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</si>
  <si>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</si>
  <si>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</si>
  <si>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</si>
  <si>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</si>
  <si>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</si>
  <si>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</si>
  <si>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</si>
  <si>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</si>
  <si>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</si>
  <si>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</si>
  <si>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</si>
  <si>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</si>
  <si>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</si>
  <si>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</si>
  <si>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</si>
  <si>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</si>
  <si>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</si>
  <si>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</si>
  <si>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</si>
  <si>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</si>
  <si>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</si>
  <si>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</si>
  <si>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</si>
  <si>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</si>
  <si>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</si>
  <si>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</si>
  <si>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</si>
  <si>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</si>
  <si>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</si>
  <si>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</si>
  <si>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</si>
  <si>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</si>
  <si>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</si>
  <si>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</si>
  <si>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</si>
  <si>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</si>
  <si>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</si>
  <si>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</si>
  <si>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</si>
  <si>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</si>
  <si>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</si>
  <si>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</si>
  <si>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</si>
  <si>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</si>
  <si>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</si>
  <si>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</si>
  <si>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</si>
  <si>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</si>
  <si>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</si>
  <si>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</si>
  <si>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</si>
  <si>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</si>
  <si>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</si>
  <si>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</si>
  <si>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</si>
  <si>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</si>
  <si>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</si>
  <si>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</si>
  <si>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</si>
  <si>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</si>
  <si>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</si>
  <si>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</si>
  <si>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</si>
  <si>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</si>
  <si>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</si>
  <si>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</si>
  <si>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</si>
  <si>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</si>
  <si>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</si>
  <si>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</si>
  <si>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</si>
  <si>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</si>
  <si>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</si>
  <si>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</si>
  <si>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</si>
  <si>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</si>
  <si>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</si>
  <si>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</si>
  <si>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</si>
  <si>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</si>
  <si>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</si>
  <si>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</si>
  <si>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</si>
  <si>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</si>
  <si>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</si>
  <si>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</si>
  <si>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</si>
  <si>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</si>
  <si>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</si>
  <si>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</si>
  <si>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</si>
  <si>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</si>
  <si>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</si>
  <si>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</si>
  <si>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</si>
  <si>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</si>
  <si>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</si>
  <si>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</si>
  <si>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</si>
  <si>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</si>
  <si>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</si>
  <si>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</si>
  <si>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</si>
  <si>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</si>
  <si>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</si>
  <si>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</si>
  <si>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</si>
  <si>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</si>
  <si>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</si>
  <si>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</si>
  <si>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</si>
  <si>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</si>
  <si>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</si>
  <si>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</si>
  <si>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</si>
  <si>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</si>
  <si>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</si>
  <si>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</si>
  <si>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</si>
  <si>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</si>
  <si>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</si>
  <si>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</si>
  <si>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</si>
  <si>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</si>
  <si>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</si>
  <si>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</si>
  <si>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</si>
  <si>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</si>
  <si>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</si>
  <si>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</si>
  <si>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</si>
  <si>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</si>
  <si>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</si>
  <si>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</si>
  <si>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</si>
  <si>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</si>
  <si>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</si>
  <si>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</si>
  <si>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</si>
  <si>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</si>
  <si>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</si>
  <si>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</si>
  <si>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</si>
  <si>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</si>
  <si>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</si>
  <si>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</si>
  <si>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</si>
  <si>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</si>
  <si>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</si>
  <si>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</si>
  <si>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</si>
  <si>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</si>
  <si>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</si>
  <si>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</si>
  <si>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</si>
  <si>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</si>
  <si>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</si>
  <si>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</si>
  <si>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</si>
  <si>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</si>
  <si>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</si>
  <si>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</si>
  <si>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</si>
  <si>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</si>
  <si>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</si>
  <si>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</si>
  <si>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</si>
  <si>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</si>
  <si>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</si>
  <si>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</si>
  <si>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</si>
  <si>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</si>
  <si>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</si>
  <si>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</si>
  <si>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</si>
  <si>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</si>
  <si>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</si>
  <si>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</si>
  <si>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</si>
  <si>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</si>
  <si>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</si>
  <si>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</si>
  <si>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</si>
  <si>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</si>
  <si>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</si>
  <si>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</si>
  <si>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</si>
  <si>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</si>
  <si>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</si>
  <si>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</si>
  <si>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</si>
  <si>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</si>
  <si>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</si>
  <si>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</si>
  <si>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</si>
  <si>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</si>
  <si>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</si>
  <si>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</si>
  <si>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</si>
  <si>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</si>
  <si>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</si>
  <si>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</si>
  <si>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</si>
  <si>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</si>
  <si>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</si>
  <si>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</si>
  <si>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</si>
  <si>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</si>
  <si>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</si>
  <si>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</si>
  <si>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</si>
  <si>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</si>
  <si>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</si>
  <si>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</si>
  <si>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</si>
  <si>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</si>
  <si>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</si>
  <si>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</si>
  <si>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</si>
  <si>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</si>
  <si>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</si>
  <si>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</si>
  <si>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</si>
  <si>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</si>
  <si>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</si>
  <si>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</si>
  <si>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</si>
  <si>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</si>
  <si>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</si>
  <si>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</si>
  <si>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</si>
  <si>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</si>
  <si>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</si>
  <si>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</si>
  <si>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</si>
  <si>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</si>
  <si>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</si>
  <si>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</si>
  <si>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</si>
  <si>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</si>
  <si>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</si>
  <si>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</si>
  <si>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</si>
  <si>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</si>
  <si>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</si>
  <si>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</si>
  <si>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</si>
  <si>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</si>
  <si>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</si>
  <si>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</si>
  <si>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</si>
  <si>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</si>
  <si>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</si>
  <si>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</si>
  <si>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</si>
  <si>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</si>
  <si>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</si>
  <si>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</si>
  <si>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</si>
  <si>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</si>
  <si>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</si>
  <si>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</si>
  <si>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</si>
  <si>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</si>
  <si>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</si>
  <si>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</si>
  <si>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</si>
  <si>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</si>
  <si>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</si>
  <si>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</si>
  <si>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</si>
  <si>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</si>
  <si>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</si>
  <si>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</si>
  <si>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</si>
  <si>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</si>
  <si>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</si>
  <si>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</si>
  <si>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</si>
  <si>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</si>
  <si>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</si>
  <si>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</si>
  <si>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</si>
  <si>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</si>
  <si>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</si>
  <si>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</si>
  <si>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</si>
  <si>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</si>
  <si>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</si>
  <si>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</si>
  <si>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</si>
  <si>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</si>
  <si>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</si>
  <si>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</si>
  <si>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</si>
  <si>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</si>
  <si>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</si>
  <si>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</si>
  <si>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</si>
  <si>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</si>
  <si>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</si>
  <si>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</si>
  <si>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</si>
  <si>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</si>
  <si>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</si>
  <si>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</si>
  <si>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</si>
  <si>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</si>
  <si>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</si>
  <si>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</si>
  <si>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</si>
  <si>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</si>
  <si>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</si>
  <si>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</si>
  <si>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</si>
  <si>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</si>
  <si>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</si>
  <si>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</si>
  <si>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</si>
  <si>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</si>
  <si>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</si>
  <si>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</si>
  <si>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</si>
  <si>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</si>
  <si>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</si>
  <si>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</si>
  <si>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</si>
  <si>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</si>
  <si>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</si>
  <si>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</si>
  <si>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</si>
  <si>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</si>
  <si>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</si>
  <si>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</si>
  <si>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</si>
  <si>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</si>
  <si>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</si>
  <si>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</si>
  <si>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</si>
  <si>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</si>
  <si>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</si>
  <si>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</si>
  <si>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</si>
  <si>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</si>
  <si>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</si>
  <si>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</si>
  <si>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</si>
  <si>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</si>
  <si>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</si>
  <si>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</si>
  <si>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</si>
  <si>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</si>
  <si>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</si>
  <si>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</si>
  <si>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</si>
  <si>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</si>
  <si>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</si>
  <si>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</si>
  <si>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</si>
  <si>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</si>
  <si>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</si>
  <si>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</si>
  <si>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</si>
  <si>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</si>
  <si>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</si>
  <si>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</si>
  <si>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</si>
  <si>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</si>
  <si>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</si>
  <si>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</si>
  <si>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</si>
  <si>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</si>
  <si>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</si>
  <si>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</si>
  <si>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</si>
  <si>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</si>
  <si>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</si>
  <si>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</si>
  <si>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</si>
  <si>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</si>
  <si>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</si>
  <si>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</si>
  <si>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</si>
  <si>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</si>
  <si>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</si>
  <si>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</si>
  <si>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</si>
  <si>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</si>
  <si>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</si>
  <si>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</si>
  <si>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</si>
  <si>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</si>
  <si>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</si>
  <si>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</si>
  <si>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</si>
  <si>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</si>
  <si>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</si>
  <si>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</si>
  <si>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</si>
  <si>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</si>
  <si>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</si>
  <si>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</si>
  <si>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</si>
  <si>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</si>
  <si>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</si>
  <si>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</si>
  <si>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</si>
  <si>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</si>
  <si>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</si>
  <si>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</si>
  <si>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</si>
  <si>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</si>
  <si>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</si>
  <si>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</si>
  <si>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</si>
  <si>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</si>
  <si>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</si>
  <si>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</si>
  <si>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</si>
  <si>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</si>
  <si>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</si>
  <si>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</si>
  <si>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</si>
  <si>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</si>
  <si>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</si>
  <si>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</si>
  <si>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</si>
  <si>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</si>
  <si>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</si>
  <si>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</si>
  <si>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</si>
  <si>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</si>
  <si>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</si>
  <si>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</si>
  <si>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</si>
  <si>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</si>
  <si>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</si>
  <si>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</si>
  <si>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</si>
  <si>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</si>
  <si>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</si>
  <si>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</si>
  <si>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</si>
  <si>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</si>
  <si>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</si>
  <si>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</si>
  <si>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</si>
  <si>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</si>
  <si>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</si>
  <si>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</si>
  <si>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</si>
  <si>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</si>
  <si>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</si>
  <si>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</si>
  <si>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</si>
  <si>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</si>
  <si>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</si>
  <si>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</si>
  <si>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</si>
  <si>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</si>
  <si>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</si>
  <si>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</si>
  <si>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</si>
  <si>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</si>
  <si>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</si>
  <si>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</si>
  <si>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</si>
  <si>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</si>
  <si>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</si>
  <si>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</si>
  <si>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</si>
  <si>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</si>
  <si>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</si>
  <si>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</si>
  <si>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</si>
  <si>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</si>
  <si>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</si>
  <si>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</si>
  <si>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</si>
  <si>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</si>
  <si>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</si>
  <si>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</si>
  <si>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</si>
  <si>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</si>
  <si>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</si>
  <si>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</si>
  <si>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</si>
  <si>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</si>
  <si>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</si>
  <si>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</si>
  <si>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</si>
  <si>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</si>
  <si>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</si>
  <si>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</si>
  <si>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</si>
  <si>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</si>
  <si>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</si>
  <si>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</si>
  <si>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</si>
  <si>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</si>
  <si>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</si>
  <si>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</si>
  <si>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</si>
  <si>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</si>
  <si>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</si>
  <si>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</si>
  <si>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</si>
  <si>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</si>
  <si>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</si>
  <si>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</si>
  <si>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</si>
  <si>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</si>
  <si>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</si>
  <si>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</si>
  <si>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</si>
  <si>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</si>
  <si>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</si>
  <si>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</si>
  <si>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</si>
  <si>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</si>
  <si>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</si>
  <si>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</si>
  <si>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</si>
  <si>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</si>
  <si>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</si>
  <si>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</si>
  <si>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</si>
  <si>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</si>
  <si>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</si>
  <si>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</si>
  <si>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</si>
  <si>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</si>
  <si>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</si>
  <si>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</si>
  <si>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</si>
  <si>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</si>
  <si>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</si>
  <si>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</si>
  <si>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</si>
  <si>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</si>
  <si>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</si>
  <si>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</si>
  <si>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</si>
  <si>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</si>
  <si>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</si>
  <si>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</si>
  <si>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</si>
  <si>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</si>
  <si>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</si>
  <si>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</si>
  <si>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</si>
  <si>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</si>
  <si>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</si>
  <si>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</si>
  <si>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</si>
  <si>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</si>
  <si>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</si>
  <si>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</si>
  <si>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</si>
  <si>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</si>
  <si>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</si>
  <si>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</si>
  <si>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</si>
  <si>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</si>
  <si>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</si>
  <si>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</si>
  <si>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</si>
  <si>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</si>
  <si>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</si>
  <si>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</si>
  <si>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</si>
  <si>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</si>
  <si>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</si>
  <si>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</si>
  <si>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</si>
  <si>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</si>
  <si>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</si>
  <si>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</si>
  <si>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</si>
  <si>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</si>
  <si>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</si>
  <si>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</si>
  <si>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</si>
  <si>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</si>
  <si>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</si>
  <si>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</si>
  <si>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</si>
  <si>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</si>
  <si>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</si>
  <si>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</si>
  <si>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</si>
  <si>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</si>
  <si>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</si>
  <si>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</si>
  <si>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</si>
  <si>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</si>
  <si>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</si>
  <si>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</si>
  <si>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</si>
  <si>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</si>
  <si>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</si>
  <si>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</si>
  <si>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</si>
  <si>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</si>
  <si>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</si>
  <si>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</si>
  <si>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</si>
  <si>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</si>
  <si>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</si>
  <si>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</si>
  <si>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</si>
  <si>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</si>
  <si>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</si>
  <si>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</si>
  <si>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</si>
  <si>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</si>
  <si>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</si>
  <si>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</si>
  <si>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</si>
  <si>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</si>
  <si>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</si>
  <si>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</si>
  <si>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</si>
  <si>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</si>
  <si>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</si>
  <si>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</si>
  <si>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</si>
  <si>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</si>
  <si>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</si>
  <si>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</si>
  <si>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</si>
  <si>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</si>
  <si>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</si>
  <si>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</si>
  <si>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</si>
  <si>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</si>
  <si>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</si>
  <si>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</si>
  <si>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</si>
  <si>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</si>
  <si>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</si>
  <si>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</si>
  <si>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</si>
  <si>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</si>
  <si>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</si>
  <si>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</si>
  <si>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</si>
  <si>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</si>
  <si>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</si>
  <si>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</si>
  <si>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</si>
  <si>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</si>
  <si>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</si>
  <si>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</si>
  <si>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</si>
  <si>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</si>
  <si>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</si>
  <si>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</si>
  <si>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</si>
  <si>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</si>
  <si>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</si>
  <si>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</si>
  <si>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</si>
  <si>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</si>
  <si>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</si>
  <si>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</si>
  <si>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</si>
  <si>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</si>
  <si>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</si>
  <si>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</si>
  <si>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</si>
  <si>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</si>
  <si>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</si>
  <si>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</si>
  <si>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</si>
  <si>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</si>
  <si>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</si>
  <si>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</si>
  <si>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</si>
  <si>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</si>
  <si>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</si>
  <si>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</si>
  <si>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</si>
  <si>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</si>
  <si>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</si>
  <si>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</si>
  <si>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</si>
  <si>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</si>
  <si>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</si>
  <si>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</si>
  <si>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</si>
  <si>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</si>
  <si>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</si>
  <si>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</si>
  <si>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</si>
  <si>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</si>
  <si>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</si>
  <si>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</si>
  <si>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</si>
  <si>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</si>
  <si>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</si>
  <si>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</si>
  <si>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</si>
  <si>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</si>
  <si>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</si>
  <si>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</si>
  <si>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</si>
  <si>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</si>
  <si>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</si>
  <si>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</si>
  <si>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</si>
  <si>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</si>
  <si>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</si>
  <si>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</si>
  <si>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</si>
  <si>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</si>
  <si>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</si>
  <si>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</si>
  <si>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</si>
  <si>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</si>
  <si>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</si>
  <si>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</si>
  <si>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</si>
  <si>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</si>
  <si>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</si>
  <si>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</si>
  <si>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</si>
  <si>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</si>
  <si>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</si>
  <si>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</si>
  <si>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</si>
  <si>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</si>
  <si>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</si>
  <si>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</si>
  <si>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</si>
  <si>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</si>
  <si>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</si>
  <si>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</si>
  <si>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</si>
  <si>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</si>
  <si>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</si>
  <si>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</si>
  <si>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</si>
  <si>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</si>
  <si>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</si>
  <si>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</si>
  <si>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</si>
  <si>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</si>
  <si>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</si>
  <si>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</si>
  <si>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</si>
  <si>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</si>
  <si>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</si>
  <si>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</si>
  <si>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</si>
  <si>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</si>
  <si>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</si>
  <si>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</si>
  <si>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</si>
  <si>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</si>
  <si>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</si>
  <si>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</si>
  <si>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</si>
  <si>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</si>
  <si>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</si>
  <si>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</si>
  <si>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</si>
  <si>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</si>
  <si>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</si>
  <si>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</si>
  <si>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</si>
  <si>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</si>
  <si>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</si>
  <si>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</si>
  <si>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</si>
  <si>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</si>
  <si>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</si>
  <si>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</si>
  <si>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</si>
  <si>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</si>
  <si>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</si>
  <si>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</si>
  <si>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</si>
  <si>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</si>
  <si>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</si>
  <si>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</si>
  <si>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</si>
  <si>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</si>
  <si>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</si>
  <si>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</si>
  <si>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</si>
  <si>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</si>
  <si>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</si>
  <si>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</si>
  <si>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</si>
  <si>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</si>
  <si>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</si>
  <si>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</si>
  <si>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</si>
  <si>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</si>
  <si>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</si>
  <si>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</si>
  <si>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</si>
  <si>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</si>
  <si>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</si>
  <si>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</si>
  <si>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</si>
  <si>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</si>
  <si>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</si>
  <si>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</si>
  <si>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</si>
  <si>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</si>
  <si>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</si>
  <si>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</si>
  <si>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</si>
  <si>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</si>
  <si>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</si>
  <si>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</si>
  <si>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</si>
  <si>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</si>
  <si>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</si>
  <si>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</si>
  <si>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</si>
  <si>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</si>
  <si>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</si>
  <si>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</si>
  <si>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</si>
  <si>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</si>
  <si>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</si>
  <si>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</si>
  <si>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</si>
  <si>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</si>
  <si>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</si>
  <si>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</si>
  <si>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</si>
  <si>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</si>
  <si>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</si>
  <si>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</si>
  <si>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</si>
  <si>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</si>
  <si>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</si>
  <si>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</si>
  <si>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</si>
  <si>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</si>
  <si>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</si>
  <si>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</si>
  <si>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</si>
  <si>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</si>
  <si>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</si>
  <si>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</si>
  <si>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</si>
  <si>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</si>
  <si>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</si>
  <si>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</si>
  <si>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</si>
  <si>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</si>
  <si>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</si>
  <si>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</si>
  <si>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</si>
  <si>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</si>
  <si>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</si>
  <si>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</si>
  <si>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</si>
  <si>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</si>
  <si>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</si>
  <si>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</si>
  <si>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</si>
  <si>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</si>
  <si>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</si>
  <si>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</si>
  <si>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</si>
  <si>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</si>
  <si>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</si>
  <si>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</si>
  <si>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</si>
  <si>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</si>
  <si>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</si>
  <si>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</si>
  <si>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</si>
  <si>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</si>
  <si>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</si>
  <si>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</si>
  <si>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</si>
  <si>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</si>
  <si>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</si>
  <si>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</si>
  <si>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</si>
  <si>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</si>
  <si>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</si>
  <si>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</si>
  <si>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</si>
  <si>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</si>
  <si>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</si>
  <si>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</si>
  <si>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</si>
  <si>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</si>
  <si>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</si>
  <si>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</si>
  <si>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</si>
  <si>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</si>
  <si>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</si>
  <si>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</si>
  <si>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</si>
  <si>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</si>
  <si>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</si>
  <si>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</si>
  <si>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</si>
  <si>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</si>
  <si>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</si>
  <si>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</si>
  <si>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</si>
  <si>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</si>
  <si>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</si>
  <si>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</si>
  <si>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</si>
  <si>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</si>
  <si>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</si>
  <si>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</si>
  <si>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</si>
  <si>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</si>
  <si>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</si>
  <si>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</si>
  <si>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</si>
  <si>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</si>
  <si>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</si>
  <si>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</si>
  <si>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</si>
  <si>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</si>
  <si>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</si>
  <si>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</si>
  <si>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</si>
  <si>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</si>
  <si>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</si>
  <si>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</si>
  <si>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</si>
  <si>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</si>
  <si>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</si>
  <si>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</si>
  <si>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</si>
  <si>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</si>
  <si>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</si>
  <si>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</si>
  <si>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</si>
  <si>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</si>
  <si>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</si>
  <si>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</si>
  <si>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</si>
  <si>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</si>
  <si>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</si>
  <si>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</si>
  <si>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</si>
  <si>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</si>
  <si>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</si>
  <si>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</si>
  <si>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</si>
  <si>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</si>
  <si>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</si>
  <si>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</si>
  <si>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</si>
  <si>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</si>
  <si>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</si>
  <si>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</si>
  <si>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</si>
  <si>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</si>
  <si>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</si>
  <si>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</si>
  <si>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</si>
  <si>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</si>
  <si>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</si>
  <si>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</si>
  <si>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</si>
  <si>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</si>
  <si>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</si>
  <si>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</si>
  <si>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</si>
  <si>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</si>
  <si>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</si>
  <si>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</si>
  <si>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</si>
  <si>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</si>
  <si>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</si>
  <si>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</si>
  <si>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</si>
  <si>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</si>
  <si>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</si>
  <si>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</si>
  <si>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</si>
  <si>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</si>
  <si>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</si>
  <si>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</si>
  <si>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</si>
  <si>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</si>
  <si>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</si>
  <si>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</si>
  <si>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</si>
  <si>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</si>
  <si>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</si>
  <si>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</si>
  <si>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</si>
  <si>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</si>
  <si>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</si>
  <si>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</si>
  <si>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</si>
  <si>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</si>
  <si>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</si>
  <si>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</si>
  <si>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</si>
  <si>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</si>
  <si>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</si>
  <si>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</si>
  <si>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</si>
  <si>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</si>
  <si>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</si>
  <si>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</si>
  <si>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</si>
  <si>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</si>
  <si>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</si>
  <si>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</si>
  <si>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</si>
  <si>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</si>
  <si>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</si>
  <si>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</si>
  <si>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</si>
  <si>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</si>
  <si>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</si>
  <si>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</si>
  <si>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</si>
  <si>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</si>
  <si>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</si>
  <si>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</si>
  <si>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</si>
  <si>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</si>
  <si>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</si>
  <si>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</si>
  <si>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</si>
  <si>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</si>
  <si>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</si>
  <si>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</si>
  <si>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</si>
  <si>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</si>
  <si>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</si>
  <si>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</si>
  <si>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</si>
  <si>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</si>
  <si>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</si>
  <si>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</si>
  <si>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</si>
  <si>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</si>
  <si>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</si>
  <si>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</si>
  <si>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</si>
  <si>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</si>
  <si>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</si>
  <si>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</si>
  <si>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</si>
  <si>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</si>
  <si>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</si>
  <si>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</si>
  <si>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</si>
  <si>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</si>
  <si>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</si>
  <si>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</si>
  <si>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</si>
  <si>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</si>
  <si>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</si>
  <si>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</si>
  <si>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</si>
  <si>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</si>
  <si>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</si>
  <si>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</si>
  <si>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</si>
  <si>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</si>
  <si>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</si>
  <si>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</si>
  <si>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</si>
  <si>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</si>
  <si>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</si>
  <si>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</si>
  <si>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</si>
  <si>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</si>
  <si>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</si>
  <si>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</si>
  <si>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</si>
  <si>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</si>
  <si>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</si>
  <si>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</si>
  <si>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</si>
  <si>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</si>
  <si>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</si>
  <si>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</si>
  <si>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</si>
  <si>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</si>
  <si>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</si>
  <si>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</si>
  <si>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</si>
  <si>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</si>
  <si>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</si>
  <si>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</si>
  <si>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</si>
  <si>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</si>
  <si>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</si>
  <si>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</si>
  <si>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</si>
  <si>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</si>
  <si>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</si>
  <si>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</si>
  <si>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</si>
  <si>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</si>
  <si>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</si>
  <si>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</si>
  <si>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</si>
  <si>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</si>
  <si>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</si>
  <si>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</si>
  <si>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</si>
  <si>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</si>
  <si>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</si>
  <si>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</si>
  <si>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</si>
  <si>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</si>
  <si>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</si>
  <si>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</si>
  <si>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</si>
  <si>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</si>
  <si>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</si>
  <si>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</si>
  <si>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</si>
  <si>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</si>
  <si>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</si>
  <si>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</si>
  <si>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</si>
  <si>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</si>
  <si>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</si>
  <si>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</si>
  <si>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</si>
  <si>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</si>
  <si>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</si>
  <si>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</si>
  <si>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</si>
  <si>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</si>
  <si>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</si>
  <si>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</si>
  <si>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</si>
  <si>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</si>
  <si>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</si>
  <si>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</si>
  <si>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</si>
  <si>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</si>
  <si>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</si>
  <si>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</si>
  <si>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</si>
  <si>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</si>
  <si>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</si>
  <si>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</si>
  <si>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</si>
  <si>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</si>
  <si>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</si>
  <si>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</si>
  <si>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</si>
  <si>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</si>
  <si>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</si>
  <si>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</si>
  <si>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</si>
  <si>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</si>
  <si>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</si>
  <si>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</si>
  <si>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</si>
  <si>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</si>
  <si>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</si>
  <si>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</si>
  <si>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</si>
  <si>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</si>
  <si>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</si>
  <si>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</si>
  <si>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</si>
  <si>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</si>
  <si>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</si>
  <si>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</si>
  <si>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</si>
  <si>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</si>
  <si>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</si>
  <si>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</si>
  <si>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</si>
  <si>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</si>
  <si>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</si>
  <si>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</si>
  <si>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</si>
  <si>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</si>
  <si>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</si>
  <si>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</si>
  <si>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</si>
  <si>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</si>
  <si>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</si>
  <si>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</si>
  <si>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</si>
  <si>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</si>
  <si>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</si>
  <si>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</si>
  <si>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</si>
  <si>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</si>
  <si>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</si>
  <si>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</si>
  <si>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</si>
  <si>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</si>
  <si>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</si>
  <si>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</si>
  <si>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</si>
  <si>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</si>
  <si>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</si>
  <si>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</si>
  <si>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</si>
  <si>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</si>
  <si>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</si>
  <si>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</si>
  <si>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</si>
  <si>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</si>
  <si>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</si>
  <si>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</si>
  <si>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</si>
  <si>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</si>
  <si>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</si>
  <si>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</si>
  <si>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</si>
  <si>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</si>
  <si>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</si>
  <si>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</si>
  <si>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</si>
  <si>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</si>
  <si>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</si>
  <si>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</si>
  <si>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</si>
  <si>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</si>
  <si>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</si>
  <si>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</si>
  <si>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</si>
  <si>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</si>
  <si>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</si>
  <si>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</si>
  <si>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</si>
  <si>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</si>
  <si>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</si>
  <si>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</si>
  <si>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</si>
  <si>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</si>
  <si>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</si>
  <si>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</si>
  <si>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</si>
  <si>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</si>
  <si>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</si>
  <si>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</si>
  <si>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</si>
  <si>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</si>
  <si>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</si>
  <si>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</si>
  <si>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</si>
  <si>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</si>
  <si>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</si>
  <si>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</si>
  <si>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</si>
  <si>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</si>
  <si>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</si>
  <si>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</si>
  <si>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</si>
  <si>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</si>
  <si>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</si>
  <si>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</si>
  <si>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</si>
  <si>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</si>
  <si>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</si>
  <si>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</si>
  <si>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</si>
  <si>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</si>
  <si>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</si>
  <si>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</si>
  <si>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</si>
  <si>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</si>
  <si>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</si>
  <si>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</si>
  <si>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</si>
  <si>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</si>
  <si>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</si>
  <si>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</si>
  <si>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</si>
  <si>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</si>
  <si>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</si>
  <si>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</si>
  <si>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</si>
  <si>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</si>
  <si>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</si>
  <si>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</si>
  <si>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</si>
  <si>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</si>
  <si>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</si>
  <si>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</si>
  <si>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</si>
  <si>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</si>
  <si>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</si>
  <si>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</si>
  <si>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</si>
  <si>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</si>
  <si>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</si>
  <si>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</si>
  <si>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</si>
  <si>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</si>
  <si>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</si>
  <si>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</si>
  <si>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</si>
  <si>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</si>
  <si>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</si>
  <si>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</si>
  <si>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</si>
  <si>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</si>
  <si>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</si>
  <si>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</si>
  <si>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</si>
  <si>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</si>
  <si>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</si>
  <si>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</si>
  <si>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</si>
  <si>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</si>
  <si>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</si>
  <si>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</si>
  <si>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</si>
  <si>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</si>
  <si>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</si>
  <si>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</si>
  <si>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</si>
  <si>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</si>
  <si>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</si>
  <si>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</si>
  <si>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</si>
  <si>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</si>
  <si>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</si>
  <si>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</si>
  <si>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</si>
  <si>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</si>
  <si>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</si>
  <si>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</si>
  <si>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</si>
  <si>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</si>
  <si>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</si>
  <si>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</si>
  <si>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</si>
  <si>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</si>
  <si>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</si>
  <si>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</si>
  <si>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</si>
  <si>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</si>
  <si>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</si>
  <si>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</si>
  <si>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</si>
  <si>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</si>
  <si>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</si>
  <si>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</si>
  <si>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</si>
  <si>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</si>
  <si>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</si>
  <si>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</si>
  <si>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</si>
  <si>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</si>
  <si>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</si>
  <si>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</si>
  <si>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</si>
  <si>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</si>
  <si>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</si>
  <si>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</si>
  <si>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</si>
  <si>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</si>
  <si>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</si>
  <si>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</si>
  <si>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</si>
  <si>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</si>
  <si>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</si>
  <si>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</si>
  <si>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</si>
  <si>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</si>
  <si>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</si>
  <si>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</si>
  <si>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</si>
  <si>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</si>
  <si>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</si>
  <si>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</si>
  <si>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</si>
  <si>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</si>
  <si>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</si>
  <si>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</si>
  <si>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</si>
  <si>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</si>
  <si>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</si>
  <si>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</si>
  <si>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</si>
  <si>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</si>
  <si>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</si>
  <si>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</si>
  <si>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</si>
  <si>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</si>
  <si>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</si>
  <si>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</si>
  <si>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</si>
  <si>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</si>
  <si>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</si>
  <si>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</si>
  <si>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</si>
  <si>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</si>
  <si>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</si>
  <si>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</si>
  <si>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</si>
  <si>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</si>
  <si>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</si>
  <si>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</si>
  <si>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</si>
  <si>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</si>
  <si>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</si>
  <si>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</si>
  <si>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</si>
  <si>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</si>
  <si>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</si>
  <si>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</si>
  <si>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</si>
  <si>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</si>
  <si>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</si>
  <si>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</si>
  <si>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</si>
  <si>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</si>
  <si>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</si>
  <si>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</si>
  <si>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</si>
  <si>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</si>
  <si>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</si>
  <si>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</si>
  <si>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</si>
  <si>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</si>
  <si>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</si>
  <si>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</si>
  <si>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</si>
  <si>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</si>
  <si>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</si>
  <si>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</si>
  <si>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</si>
  <si>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</si>
  <si>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</si>
  <si>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</si>
  <si>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</si>
  <si>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</si>
  <si>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</si>
  <si>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</si>
  <si>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</si>
  <si>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</si>
  <si>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</si>
  <si>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</si>
  <si>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</si>
  <si>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</si>
  <si>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</si>
  <si>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</si>
  <si>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</si>
  <si>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</si>
  <si>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</si>
  <si>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</si>
  <si>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</si>
  <si>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</si>
  <si>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</si>
  <si>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</si>
  <si>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</si>
  <si>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</si>
  <si>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</si>
  <si>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</si>
  <si>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</si>
  <si>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</si>
  <si>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</si>
  <si>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</si>
  <si>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</si>
  <si>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</si>
  <si>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</si>
  <si>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</si>
  <si>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</si>
  <si>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</si>
  <si>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</si>
  <si>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</si>
  <si>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</si>
  <si>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</si>
  <si>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</si>
  <si>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</si>
  <si>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</si>
  <si>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</si>
  <si>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</si>
  <si>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</si>
  <si>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</si>
  <si>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</si>
  <si>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</si>
  <si>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</si>
  <si>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</si>
  <si>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</si>
  <si>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</si>
  <si>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</si>
  <si>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</si>
  <si>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</si>
  <si>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</si>
  <si>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</si>
  <si>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</si>
  <si>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</si>
  <si>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</si>
  <si>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</si>
  <si>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</si>
  <si>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</si>
  <si>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</si>
  <si>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</si>
  <si>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</si>
  <si>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</si>
  <si>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</si>
  <si>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</si>
  <si>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</si>
  <si>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</si>
  <si>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</si>
  <si>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</si>
  <si>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</si>
  <si>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</si>
  <si>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</si>
  <si>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</si>
  <si>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</si>
  <si>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</si>
  <si>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</si>
  <si>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</si>
  <si>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</si>
  <si>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</si>
  <si>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</si>
  <si>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</si>
  <si>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</si>
  <si>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</si>
  <si>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</si>
  <si>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</si>
  <si>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</si>
  <si>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</si>
  <si>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</si>
  <si>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</si>
  <si>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</si>
  <si>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</si>
  <si>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</si>
  <si>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</si>
  <si>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</si>
  <si>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</si>
  <si>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</si>
  <si>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</si>
  <si>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</si>
  <si>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</si>
  <si>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</si>
  <si>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</si>
  <si>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</si>
  <si>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</si>
  <si>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</si>
  <si>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</si>
  <si>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</si>
  <si>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</si>
  <si>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</si>
  <si>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</si>
  <si>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</si>
  <si>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</si>
  <si>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</si>
  <si>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</si>
  <si>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</si>
  <si>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</si>
  <si>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</si>
  <si>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</si>
  <si>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</si>
  <si>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</si>
  <si>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</si>
  <si>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</si>
  <si>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</si>
  <si>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</si>
  <si>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</si>
  <si>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</si>
  <si>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</si>
  <si>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</si>
  <si>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</si>
  <si>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</si>
  <si>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</si>
  <si>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</si>
  <si>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</si>
  <si>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</si>
  <si>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</si>
  <si>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</si>
  <si>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</si>
  <si>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</si>
  <si>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</si>
  <si>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</si>
  <si>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</si>
  <si>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</si>
  <si>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</si>
  <si>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</si>
  <si>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</si>
  <si>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</si>
  <si>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</si>
  <si>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</si>
  <si>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</si>
  <si>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</si>
  <si>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</si>
  <si>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</si>
  <si>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</si>
  <si>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</si>
  <si>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</si>
  <si>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</si>
  <si>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</si>
  <si>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</si>
  <si>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</si>
  <si>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</si>
  <si>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</si>
  <si>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</si>
  <si>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</si>
  <si>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</si>
  <si>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</si>
  <si>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</si>
  <si>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</si>
  <si>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</si>
  <si>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</si>
  <si>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</si>
  <si>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</si>
  <si>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</si>
  <si>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</si>
  <si>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</si>
  <si>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</si>
  <si>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</si>
  <si>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</si>
  <si>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</si>
  <si>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</si>
  <si>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</si>
  <si>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</si>
  <si>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</si>
  <si>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</si>
  <si>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</si>
  <si>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</si>
  <si>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</si>
  <si>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</si>
  <si>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</si>
  <si>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</si>
  <si>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</si>
  <si>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</si>
  <si>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</si>
  <si>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</si>
  <si>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</si>
  <si>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</si>
  <si>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</si>
  <si>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</si>
  <si>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</si>
  <si>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</si>
  <si>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</si>
  <si>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</si>
  <si>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</si>
  <si>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</si>
  <si>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</si>
  <si>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</si>
  <si>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</si>
  <si>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</si>
  <si>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</si>
  <si>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</si>
  <si>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</si>
  <si>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</si>
  <si>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</si>
  <si>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</si>
  <si>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</si>
  <si>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</si>
  <si>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</si>
  <si>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</si>
  <si>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</si>
  <si>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</si>
  <si>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</si>
  <si>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</si>
  <si>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</si>
  <si>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</si>
  <si>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</si>
  <si>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</si>
  <si>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</si>
  <si>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</si>
  <si>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</si>
  <si>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</si>
  <si>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</si>
  <si>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</si>
  <si>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</si>
  <si>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</si>
  <si>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</si>
  <si>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</si>
  <si>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</si>
  <si>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</si>
  <si>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</si>
  <si>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</si>
  <si>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</si>
  <si>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</si>
  <si>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</si>
  <si>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</si>
  <si>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</si>
  <si>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</si>
  <si>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</si>
  <si>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</si>
  <si>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</si>
  <si>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</si>
  <si>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</si>
  <si>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</si>
  <si>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</si>
  <si>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</si>
  <si>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</si>
  <si>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</si>
  <si>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</si>
  <si>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</si>
  <si>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</si>
  <si>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</si>
  <si>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</si>
  <si>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</si>
  <si>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</si>
  <si>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</si>
  <si>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</si>
  <si>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</si>
  <si>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</si>
  <si>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</si>
  <si>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</si>
  <si>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</si>
  <si>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</si>
  <si>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</si>
  <si>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</si>
  <si>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</si>
  <si>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</si>
  <si>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</si>
  <si>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</si>
  <si>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</si>
  <si>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</si>
  <si>
    <t>product_2_lcap</t>
  </si>
  <si>
    <t>product_3_lcap</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</si>
  <si>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</si>
  <si>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</si>
  <si>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</si>
  <si>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</si>
  <si>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</si>
  <si>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</si>
  <si>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</si>
  <si>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</si>
  <si>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</si>
  <si>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</si>
  <si>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</si>
  <si>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</si>
  <si>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</si>
  <si>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</si>
  <si>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</si>
  <si>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</si>
  <si>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</si>
  <si>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</si>
  <si>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</si>
  <si>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</si>
  <si>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</si>
  <si>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</si>
  <si>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</si>
  <si>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</si>
  <si>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</si>
  <si>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</si>
  <si>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</si>
  <si>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</si>
  <si>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</si>
  <si>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</si>
  <si>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</si>
  <si>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</si>
  <si>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</si>
  <si>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</si>
  <si>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</si>
  <si>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</si>
  <si>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</si>
  <si>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</si>
  <si>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</si>
  <si>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</si>
  <si>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</si>
  <si>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</si>
  <si>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</si>
  <si>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</si>
  <si>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</si>
  <si>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</si>
  <si>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</si>
  <si>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</si>
  <si>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</si>
  <si>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</si>
  <si>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</si>
  <si>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</si>
  <si>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</si>
  <si>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</si>
  <si>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</si>
  <si>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</si>
  <si>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</si>
  <si>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</si>
  <si>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</si>
  <si>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</si>
  <si>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</si>
  <si>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</si>
  <si>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</si>
  <si>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</si>
  <si>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</si>
  <si>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</si>
  <si>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</si>
  <si>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</si>
  <si>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</si>
  <si>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</si>
  <si>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</si>
  <si>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</si>
  <si>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</si>
  <si>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</si>
  <si>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</si>
  <si>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</si>
  <si>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</si>
  <si>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</si>
  <si>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</si>
  <si>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</si>
  <si>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</si>
  <si>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</si>
  <si>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</si>
  <si>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</si>
  <si>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</si>
  <si>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</si>
  <si>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</si>
  <si>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</si>
  <si>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</si>
  <si>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</si>
  <si>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</si>
  <si>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</si>
  <si>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</si>
  <si>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</si>
  <si>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</si>
  <si>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</si>
  <si>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</si>
  <si>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</si>
  <si>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</si>
  <si>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</si>
  <si>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</si>
  <si>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</si>
  <si>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</si>
  <si>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</si>
  <si>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</si>
  <si>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</si>
  <si>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</si>
  <si>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</si>
  <si>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</si>
  <si>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</si>
  <si>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</si>
  <si>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</si>
  <si>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</si>
  <si>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</si>
  <si>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</si>
  <si>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</si>
  <si>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</si>
  <si>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</si>
  <si>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</si>
  <si>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</si>
  <si>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</si>
  <si>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</si>
  <si>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</si>
  <si>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</si>
  <si>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</si>
  <si>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</si>
  <si>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</si>
  <si>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</si>
  <si>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</si>
  <si>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</si>
  <si>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</si>
  <si>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</si>
  <si>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</si>
  <si>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</si>
  <si>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</si>
  <si>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</si>
  <si>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</si>
  <si>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</si>
  <si>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</si>
  <si>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</si>
  <si>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</si>
  <si>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</si>
  <si>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</si>
  <si>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</si>
  <si>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</si>
  <si>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</si>
  <si>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</si>
  <si>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</si>
  <si>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</si>
  <si>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</si>
  <si>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</si>
  <si>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</si>
  <si>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</si>
  <si>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</si>
  <si>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</si>
  <si>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</si>
  <si>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</si>
  <si>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</si>
  <si>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</si>
  <si>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</si>
  <si>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</si>
  <si>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</si>
  <si>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</si>
  <si>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</si>
  <si>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</si>
  <si>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</si>
  <si>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</si>
  <si>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</si>
  <si>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</si>
  <si>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</si>
  <si>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</si>
  <si>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</si>
  <si>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</si>
  <si>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</si>
  <si>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</si>
  <si>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</si>
  <si>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</si>
  <si>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</si>
  <si>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</si>
  <si>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</si>
  <si>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</si>
  <si>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</si>
  <si>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</si>
  <si>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</si>
  <si>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</si>
  <si>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</si>
  <si>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</si>
  <si>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</si>
  <si>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</si>
  <si>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</si>
  <si>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</si>
  <si>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</si>
  <si>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</si>
  <si>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</si>
  <si>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</si>
  <si>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</si>
  <si>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</si>
  <si>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</si>
  <si>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</si>
  <si>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</si>
  <si>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</si>
  <si>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</si>
  <si>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</si>
  <si>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</si>
  <si>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</si>
  <si>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</si>
  <si>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</si>
  <si>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</si>
  <si>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</si>
  <si>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</si>
  <si>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</si>
  <si>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</si>
  <si>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</si>
  <si>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</si>
  <si>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</si>
  <si>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</si>
  <si>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</si>
  <si>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</si>
  <si>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</si>
  <si>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</si>
  <si>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</si>
  <si>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</si>
  <si>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</si>
  <si>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</si>
  <si>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</si>
  <si>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</si>
  <si>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</si>
  <si>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</si>
  <si>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</si>
  <si>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</si>
  <si>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</si>
  <si>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</si>
  <si>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</si>
  <si>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</si>
  <si>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</si>
  <si>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</si>
  <si>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</si>
  <si>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</si>
  <si>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</si>
  <si>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</si>
  <si>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</si>
  <si>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</si>
  <si>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</si>
  <si>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</si>
  <si>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</si>
  <si>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</si>
  <si>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</si>
  <si>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</si>
  <si>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</si>
  <si>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</si>
  <si>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</si>
  <si>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</si>
  <si>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</si>
  <si>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</si>
  <si>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</si>
  <si>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</si>
  <si>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</si>
  <si>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</si>
  <si>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</si>
  <si>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</si>
  <si>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</si>
  <si>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</si>
  <si>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</si>
  <si>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</si>
  <si>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</si>
  <si>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</si>
  <si>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</si>
  <si>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</si>
  <si>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</si>
  <si>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</si>
  <si>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</si>
  <si>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</si>
  <si>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</si>
  <si>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</si>
  <si>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</si>
  <si>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</si>
  <si>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</si>
  <si>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</si>
  <si>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</si>
  <si>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</si>
  <si>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</si>
  <si>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</si>
  <si>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</si>
  <si>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</si>
  <si>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</si>
  <si>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</si>
  <si>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</si>
  <si>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</si>
  <si>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</si>
  <si>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</si>
  <si>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</si>
  <si>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</si>
  <si>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</si>
  <si>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</si>
  <si>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</si>
  <si>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</si>
  <si>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</si>
  <si>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</si>
  <si>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</si>
  <si>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</si>
  <si>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</si>
  <si>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</si>
  <si>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</si>
  <si>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</si>
  <si>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</si>
  <si>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</si>
  <si>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</si>
  <si>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</si>
  <si>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</si>
  <si>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</si>
  <si>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</si>
  <si>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</si>
  <si>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</si>
  <si>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</si>
  <si>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</si>
  <si>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</si>
  <si>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</si>
  <si>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</si>
  <si>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</si>
  <si>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</si>
  <si>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</si>
  <si>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</si>
  <si>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</si>
  <si>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</si>
  <si>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</si>
  <si>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</si>
  <si>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</si>
  <si>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</si>
  <si>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</si>
  <si>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</si>
  <si>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HTE001162</t>
  </si>
  <si>
    <t>HTE001156</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</si>
  <si>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</si>
  <si>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</si>
  <si>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</si>
  <si>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</si>
  <si>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</si>
  <si>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</si>
  <si>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</si>
  <si>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</si>
  <si>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</si>
  <si>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</si>
  <si>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</si>
  <si>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</si>
  <si>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</si>
  <si>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</si>
  <si>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</si>
  <si>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</si>
  <si>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</si>
  <si>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</si>
  <si>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</si>
  <si>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</si>
  <si>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</si>
  <si>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</si>
  <si>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</si>
  <si>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</si>
  <si>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</si>
  <si>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</si>
  <si>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</si>
  <si>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</si>
  <si>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</si>
  <si>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</si>
  <si>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</si>
  <si>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</si>
  <si>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</si>
  <si>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</si>
  <si>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</si>
  <si>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</si>
  <si>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</si>
  <si>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</si>
  <si>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</si>
  <si>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</si>
  <si>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</si>
  <si>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</si>
  <si>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</si>
  <si>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</si>
  <si>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</si>
  <si>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</si>
  <si>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</si>
  <si>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</si>
  <si>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</si>
  <si>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</si>
  <si>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</si>
  <si>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</si>
  <si>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</si>
  <si>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</si>
  <si>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</si>
  <si>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</si>
  <si>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</si>
  <si>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</si>
  <si>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</si>
  <si>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</si>
  <si>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</si>
  <si>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</si>
  <si>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</si>
  <si>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</si>
  <si>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</si>
  <si>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</si>
  <si>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</si>
  <si>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</si>
  <si>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</si>
  <si>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</si>
  <si>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</si>
  <si>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</si>
  <si>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</si>
  <si>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</si>
  <si>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</si>
  <si>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</si>
  <si>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</si>
  <si>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</si>
  <si>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</si>
  <si>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</si>
  <si>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</si>
  <si>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</si>
  <si>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</si>
  <si>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</si>
  <si>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</si>
  <si>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</si>
  <si>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</si>
  <si>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</si>
  <si>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</si>
  <si>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</si>
  <si>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</si>
  <si>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</si>
  <si>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</si>
  <si>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</si>
  <si>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</si>
  <si>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</si>
  <si>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</si>
  <si>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</si>
  <si>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</si>
  <si>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</si>
  <si>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</si>
  <si>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</si>
  <si>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</si>
  <si>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</si>
  <si>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</si>
  <si>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</si>
  <si>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</si>
  <si>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</si>
  <si>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</si>
  <si>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</si>
  <si>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</si>
  <si>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</si>
  <si>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</si>
  <si>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</si>
  <si>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</si>
  <si>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</si>
  <si>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</si>
  <si>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</si>
  <si>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</si>
  <si>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</si>
  <si>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HTE001287</t>
  </si>
  <si>
    <t>HTE000605</t>
  </si>
  <si>
    <t>HTE000606</t>
  </si>
  <si>
    <t>HTE001294</t>
  </si>
  <si>
    <t>HTE001293</t>
  </si>
  <si>
    <t>HTE000607</t>
  </si>
  <si>
    <t>HTE000608</t>
  </si>
  <si>
    <t>HTE000609</t>
  </si>
  <si>
    <t>HTE000610</t>
  </si>
  <si>
    <t>HTE000611</t>
  </si>
  <si>
    <t>HTE000612</t>
  </si>
  <si>
    <t>HTE000613</t>
  </si>
  <si>
    <t>HTE000614</t>
  </si>
  <si>
    <t>HTE000615</t>
  </si>
  <si>
    <t>HTE000616</t>
  </si>
  <si>
    <t>HTE000618</t>
  </si>
  <si>
    <t>HTE000617</t>
  </si>
  <si>
    <t>HTE000619</t>
  </si>
  <si>
    <t>HTE000620</t>
  </si>
  <si>
    <t>HTE001043</t>
  </si>
  <si>
    <t>HTE001160</t>
  </si>
  <si>
    <t>HTE001045</t>
  </si>
  <si>
    <t>HTE001310</t>
  </si>
  <si>
    <t>HTE000621</t>
  </si>
  <si>
    <t>HTE000622</t>
  </si>
  <si>
    <t>HTE001041</t>
  </si>
  <si>
    <t>HTE001044</t>
  </si>
  <si>
    <t>HTE000623</t>
  </si>
  <si>
    <t>HTE001046</t>
  </si>
  <si>
    <t>HTE000624</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</si>
  <si>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</si>
  <si>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</si>
  <si>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</si>
  <si>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</si>
  <si>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</si>
  <si>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</si>
  <si>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</si>
  <si>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</si>
  <si>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</si>
  <si>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</si>
  <si>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</si>
  <si>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</si>
  <si>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</si>
  <si>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</si>
  <si>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</si>
  <si>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</si>
  <si>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</si>
  <si>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</si>
  <si>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</si>
  <si>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</si>
  <si>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</si>
  <si>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</si>
  <si>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HTE001309</t>
  </si>
  <si>
    <t>HTE001288</t>
  </si>
  <si>
    <t>HTE000639</t>
  </si>
  <si>
    <t>HTE000631</t>
  </si>
  <si>
    <t>HTE000630</t>
  </si>
  <si>
    <t>HTE001155</t>
  </si>
  <si>
    <t>HTE001302</t>
  </si>
  <si>
    <t>HTE001301</t>
  </si>
  <si>
    <t>HTE001300</t>
  </si>
  <si>
    <t>HTE001299</t>
  </si>
  <si>
    <t>HTE001306</t>
  </si>
  <si>
    <t>HTE001305</t>
  </si>
  <si>
    <t>HTE001304</t>
  </si>
  <si>
    <t>HTE001303</t>
  </si>
  <si>
    <t>Tier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</si>
</sst>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4">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1" fillId="0" borderId="0"/>
  </cellStyleXfs>
  <cellXfs count="709">
    <xf numFmtId="0" fontId="0" fillId="0" borderId="0" xfId="0"/>
    <xf numFmtId="0" fontId="27" fillId="0" borderId="0" xfId="0" applyFont="1"/>
    <xf numFmtId="0" fontId="27" fillId="0" borderId="0" xfId="0" applyFont="1" applyAlignment="1">
      <alignment horizontal="center"/>
    </xf>
    <xf numFmtId="0" fontId="27" fillId="0" borderId="4" xfId="0" applyFont="1" applyBorder="1"/>
    <xf numFmtId="0" fontId="27" fillId="0" borderId="6" xfId="0" applyFont="1" applyBorder="1"/>
    <xf numFmtId="0" fontId="27" fillId="0" borderId="5" xfId="0" applyFont="1" applyBorder="1"/>
    <xf numFmtId="0" fontId="27" fillId="0" borderId="11" xfId="0" applyFont="1" applyBorder="1"/>
    <xf numFmtId="0" fontId="27" fillId="0" borderId="12" xfId="0" applyFont="1" applyBorder="1"/>
    <xf numFmtId="0" fontId="28" fillId="0" borderId="0" xfId="0" applyFont="1"/>
    <xf numFmtId="0" fontId="28" fillId="0" borderId="12" xfId="0" applyFont="1" applyBorder="1"/>
    <xf numFmtId="0" fontId="27" fillId="0" borderId="6" xfId="0" applyFont="1" applyBorder="1" applyAlignment="1">
      <alignment horizontal="center"/>
    </xf>
    <xf numFmtId="0" fontId="27" fillId="0" borderId="3" xfId="0" applyFont="1" applyBorder="1"/>
    <xf numFmtId="0" fontId="27" fillId="0" borderId="10" xfId="0" applyFont="1" applyBorder="1"/>
    <xf numFmtId="0" fontId="27" fillId="0" borderId="21" xfId="0" applyFont="1" applyBorder="1"/>
    <xf numFmtId="0" fontId="30" fillId="0" borderId="0" xfId="0" applyFont="1"/>
    <xf numFmtId="0" fontId="28" fillId="0" borderId="8" xfId="0" applyFont="1" applyBorder="1" applyAlignment="1">
      <alignment horizontal="center"/>
    </xf>
    <xf numFmtId="0" fontId="28" fillId="0" borderId="23" xfId="0" applyFont="1" applyBorder="1"/>
    <xf numFmtId="0" fontId="27" fillId="0" borderId="3" xfId="0" applyFont="1" applyBorder="1" applyAlignment="1">
      <alignment horizontal="center"/>
    </xf>
    <xf numFmtId="0" fontId="28" fillId="0" borderId="23" xfId="0" applyFont="1" applyBorder="1" applyAlignment="1">
      <alignment horizontal="center"/>
    </xf>
    <xf numFmtId="0" fontId="28" fillId="0" borderId="28" xfId="0" applyFont="1" applyBorder="1"/>
    <xf numFmtId="0" fontId="28" fillId="2" borderId="0" xfId="0" applyFont="1" applyFill="1"/>
    <xf numFmtId="0" fontId="27" fillId="2" borderId="0" xfId="0" applyFont="1" applyFill="1"/>
    <xf numFmtId="0" fontId="27" fillId="2" borderId="0" xfId="0" applyFont="1" applyFill="1" applyAlignment="1">
      <alignment horizontal="center"/>
    </xf>
    <xf numFmtId="164" fontId="27" fillId="2" borderId="0" xfId="0" applyNumberFormat="1" applyFont="1" applyFill="1" applyAlignment="1">
      <alignment horizontal="center"/>
    </xf>
    <xf numFmtId="0" fontId="27" fillId="2" borderId="48" xfId="0" applyFont="1" applyFill="1" applyBorder="1"/>
    <xf numFmtId="0" fontId="27" fillId="0" borderId="50" xfId="0" applyFont="1" applyBorder="1" applyAlignment="1">
      <alignment horizontal="center"/>
    </xf>
    <xf numFmtId="0" fontId="27" fillId="0" borderId="50" xfId="0" applyFont="1" applyBorder="1"/>
    <xf numFmtId="0" fontId="27" fillId="2" borderId="58" xfId="0" applyFont="1" applyFill="1" applyBorder="1"/>
    <xf numFmtId="0" fontId="32" fillId="0" borderId="47" xfId="1" applyFont="1" applyBorder="1" applyAlignment="1">
      <alignment horizontal="center"/>
    </xf>
    <xf numFmtId="0" fontId="27" fillId="0" borderId="73" xfId="0" applyFont="1" applyBorder="1"/>
    <xf numFmtId="0" fontId="27" fillId="2" borderId="67" xfId="0" applyFont="1" applyFill="1" applyBorder="1" applyAlignment="1">
      <alignment horizontal="center"/>
    </xf>
    <xf numFmtId="0" fontId="28" fillId="2" borderId="0" xfId="0" applyFont="1" applyFill="1" applyAlignment="1">
      <alignment horizontal="left"/>
    </xf>
    <xf numFmtId="0" fontId="34" fillId="0" borderId="1" xfId="1" applyFont="1" applyBorder="1" applyAlignment="1">
      <alignment horizontal="center"/>
    </xf>
    <xf numFmtId="0" fontId="27" fillId="2" borderId="92" xfId="0" applyFont="1" applyFill="1" applyBorder="1" applyAlignment="1">
      <alignment horizontal="left"/>
    </xf>
    <xf numFmtId="0" fontId="27" fillId="2" borderId="93" xfId="0" applyFont="1" applyFill="1" applyBorder="1" applyAlignment="1">
      <alignment horizontal="center"/>
    </xf>
    <xf numFmtId="0" fontId="27" fillId="2" borderId="93" xfId="0" applyFont="1" applyFill="1" applyBorder="1"/>
    <xf numFmtId="0" fontId="27" fillId="2" borderId="94" xfId="0" applyFont="1" applyFill="1" applyBorder="1" applyAlignment="1">
      <alignment horizontal="left"/>
    </xf>
    <xf numFmtId="0" fontId="27" fillId="2" borderId="96" xfId="0" applyFont="1" applyFill="1" applyBorder="1"/>
    <xf numFmtId="0" fontId="27" fillId="2" borderId="97" xfId="0" applyFont="1" applyFill="1" applyBorder="1" applyAlignment="1">
      <alignment horizontal="left"/>
    </xf>
    <xf numFmtId="0" fontId="27" fillId="2" borderId="98" xfId="0" applyFont="1" applyFill="1" applyBorder="1" applyAlignment="1">
      <alignment horizontal="center"/>
    </xf>
    <xf numFmtId="0" fontId="27" fillId="2" borderId="99" xfId="0" applyFont="1" applyFill="1" applyBorder="1"/>
    <xf numFmtId="0" fontId="37" fillId="0" borderId="0" xfId="0" applyFont="1"/>
    <xf numFmtId="0" fontId="38" fillId="0" borderId="0" xfId="0" applyFont="1"/>
    <xf numFmtId="0" fontId="33" fillId="2" borderId="0" xfId="0" applyFont="1" applyFill="1"/>
    <xf numFmtId="0" fontId="27" fillId="2" borderId="0" xfId="0" applyFont="1" applyFill="1" applyProtection="1">
      <protection locked="0"/>
    </xf>
    <xf numFmtId="0" fontId="27" fillId="0" borderId="0" xfId="0" applyFont="1" applyProtection="1">
      <protection locked="0"/>
    </xf>
    <xf numFmtId="0" fontId="27" fillId="2" borderId="0" xfId="0" applyFont="1" applyFill="1" applyAlignment="1" applyProtection="1">
      <alignment horizontal="center"/>
      <protection locked="0"/>
    </xf>
    <xf numFmtId="0" fontId="28" fillId="2" borderId="0" xfId="0" applyFont="1" applyFill="1" applyProtection="1">
      <protection locked="0"/>
    </xf>
    <xf numFmtId="0" fontId="27" fillId="0" borderId="1" xfId="0" applyFont="1" applyBorder="1" applyProtection="1">
      <protection locked="0"/>
    </xf>
    <xf numFmtId="0" fontId="27" fillId="0" borderId="91" xfId="0" applyFont="1" applyBorder="1" applyProtection="1">
      <protection locked="0"/>
    </xf>
    <xf numFmtId="0" fontId="28" fillId="0" borderId="37" xfId="0" applyFont="1" applyBorder="1" applyProtection="1">
      <protection locked="0"/>
    </xf>
    <xf numFmtId="0" fontId="33" fillId="0" borderId="157" xfId="0" applyFont="1" applyBorder="1" applyProtection="1">
      <protection locked="0"/>
    </xf>
    <xf numFmtId="0" fontId="33" fillId="0" borderId="41" xfId="0" applyFont="1" applyBorder="1" applyProtection="1">
      <protection locked="0"/>
    </xf>
    <xf numFmtId="0" fontId="33" fillId="0" borderId="37" xfId="0" applyFont="1" applyBorder="1" applyAlignment="1" applyProtection="1">
      <alignment horizontal="center"/>
      <protection locked="0"/>
    </xf>
    <xf numFmtId="0" fontId="33" fillId="0" borderId="40" xfId="0" applyFont="1" applyBorder="1" applyAlignment="1" applyProtection="1">
      <alignment horizontal="center"/>
      <protection locked="0"/>
    </xf>
    <xf numFmtId="0" fontId="28" fillId="0" borderId="0" xfId="0" applyFont="1" applyProtection="1">
      <protection locked="0"/>
    </xf>
    <xf numFmtId="0" fontId="27" fillId="0" borderId="37" xfId="0" applyFont="1" applyBorder="1" applyAlignment="1" applyProtection="1">
      <alignment horizontal="center"/>
      <protection locked="0"/>
    </xf>
    <xf numFmtId="0" fontId="27" fillId="0" borderId="40" xfId="0" applyFont="1" applyBorder="1" applyAlignment="1" applyProtection="1">
      <alignment horizontal="center"/>
      <protection locked="0"/>
    </xf>
    <xf numFmtId="0" fontId="27" fillId="0" borderId="37" xfId="0" applyFont="1" applyBorder="1" applyProtection="1">
      <protection locked="0"/>
    </xf>
    <xf numFmtId="0" fontId="27" fillId="0" borderId="45" xfId="0" applyFont="1" applyBorder="1" applyAlignment="1" applyProtection="1">
      <alignment horizontal="center"/>
      <protection locked="0"/>
    </xf>
    <xf numFmtId="0" fontId="27" fillId="0" borderId="0" xfId="0" applyFont="1" applyAlignment="1" applyProtection="1">
      <alignment horizontal="center"/>
      <protection locked="0"/>
    </xf>
    <xf numFmtId="0" fontId="28" fillId="0" borderId="37" xfId="0" applyFont="1" applyBorder="1"/>
    <xf numFmtId="0" fontId="28" fillId="0" borderId="38" xfId="0" applyFont="1" applyBorder="1"/>
    <xf numFmtId="0" fontId="28" fillId="0" borderId="39" xfId="0" applyFont="1" applyBorder="1"/>
    <xf numFmtId="0" fontId="28" fillId="0" borderId="136" xfId="0" applyFont="1" applyBorder="1"/>
    <xf numFmtId="0" fontId="28" fillId="0" borderId="127" xfId="0" applyFont="1" applyBorder="1"/>
    <xf numFmtId="0" fontId="28" fillId="0" borderId="140" xfId="0" applyFont="1" applyBorder="1"/>
    <xf numFmtId="0" fontId="27" fillId="0" borderId="37" xfId="0" applyFont="1" applyBorder="1" applyAlignment="1">
      <alignment horizontal="center"/>
    </xf>
    <xf numFmtId="0" fontId="27" fillId="0" borderId="38" xfId="0" applyFont="1" applyBorder="1" applyAlignment="1">
      <alignment horizontal="center"/>
    </xf>
    <xf numFmtId="0" fontId="27" fillId="0" borderId="37" xfId="0" applyFont="1" applyBorder="1"/>
    <xf numFmtId="0" fontId="28" fillId="0" borderId="79" xfId="0" applyFont="1" applyBorder="1" applyAlignment="1">
      <alignment horizontal="center"/>
    </xf>
    <xf numFmtId="164" fontId="28" fillId="0" borderId="41" xfId="0" applyNumberFormat="1" applyFont="1" applyBorder="1" applyAlignment="1">
      <alignment horizontal="center"/>
    </xf>
    <xf numFmtId="0" fontId="27" fillId="0" borderId="79" xfId="0" applyFont="1" applyBorder="1" applyAlignment="1">
      <alignment horizontal="center"/>
    </xf>
    <xf numFmtId="164" fontId="27" fillId="0" borderId="41" xfId="0" applyNumberFormat="1" applyFont="1" applyBorder="1" applyAlignment="1">
      <alignment horizontal="center"/>
    </xf>
    <xf numFmtId="0" fontId="27" fillId="0" borderId="106" xfId="0" applyFont="1" applyBorder="1" applyAlignment="1">
      <alignment horizontal="center"/>
    </xf>
    <xf numFmtId="0" fontId="27" fillId="0" borderId="81" xfId="0" applyFont="1" applyBorder="1" applyAlignment="1">
      <alignment horizontal="center"/>
    </xf>
    <xf numFmtId="164" fontId="27" fillId="0" borderId="43" xfId="0" applyNumberFormat="1" applyFont="1" applyBorder="1" applyAlignment="1">
      <alignment horizontal="center"/>
    </xf>
    <xf numFmtId="0" fontId="27" fillId="0" borderId="145" xfId="0" applyFont="1" applyBorder="1" applyAlignment="1">
      <alignment horizontal="center"/>
    </xf>
    <xf numFmtId="164" fontId="27" fillId="0" borderId="0" xfId="0" applyNumberFormat="1" applyFont="1" applyAlignment="1">
      <alignment horizontal="center"/>
    </xf>
    <xf numFmtId="164" fontId="27" fillId="0" borderId="37" xfId="0" applyNumberFormat="1" applyFont="1" applyBorder="1" applyAlignment="1">
      <alignment horizontal="center"/>
    </xf>
    <xf numFmtId="0" fontId="28" fillId="0" borderId="40" xfId="0" applyFont="1" applyBorder="1" applyAlignment="1">
      <alignment horizontal="center"/>
    </xf>
    <xf numFmtId="0" fontId="27" fillId="0" borderId="46" xfId="0" applyFont="1" applyBorder="1" applyAlignment="1">
      <alignment horizontal="center"/>
    </xf>
    <xf numFmtId="0" fontId="27" fillId="10" borderId="64" xfId="0" applyFont="1" applyFill="1" applyBorder="1" applyProtection="1">
      <protection locked="0"/>
    </xf>
    <xf numFmtId="0" fontId="27" fillId="10" borderId="18" xfId="0" applyFont="1" applyFill="1" applyBorder="1" applyProtection="1">
      <protection locked="0"/>
    </xf>
    <xf numFmtId="0" fontId="27" fillId="10" borderId="14" xfId="0" applyFont="1" applyFill="1" applyBorder="1" applyProtection="1">
      <protection locked="0"/>
    </xf>
    <xf numFmtId="0" fontId="27" fillId="10" borderId="19" xfId="0" applyFont="1" applyFill="1" applyBorder="1" applyProtection="1">
      <protection locked="0"/>
    </xf>
    <xf numFmtId="0" fontId="27" fillId="10" borderId="26" xfId="0" applyFont="1" applyFill="1" applyBorder="1" applyProtection="1">
      <protection locked="0"/>
    </xf>
    <xf numFmtId="0" fontId="27" fillId="10" borderId="2" xfId="0" applyFont="1" applyFill="1" applyBorder="1" applyProtection="1">
      <protection locked="0"/>
    </xf>
    <xf numFmtId="0" fontId="19" fillId="10" borderId="26" xfId="0" applyFont="1" applyFill="1" applyBorder="1" applyProtection="1">
      <protection locked="0"/>
    </xf>
    <xf numFmtId="0" fontId="27" fillId="10" borderId="156" xfId="0" applyFont="1" applyFill="1" applyBorder="1" applyProtection="1">
      <protection locked="0"/>
    </xf>
    <xf numFmtId="0" fontId="27" fillId="10" borderId="110" xfId="0" applyFont="1" applyFill="1" applyBorder="1" applyProtection="1">
      <protection locked="0"/>
    </xf>
    <xf numFmtId="0" fontId="27" fillId="10" borderId="105" xfId="0" applyFont="1" applyFill="1" applyBorder="1" applyProtection="1">
      <protection locked="0"/>
    </xf>
    <xf numFmtId="0" fontId="27" fillId="10" borderId="155" xfId="0" applyFont="1" applyFill="1" applyBorder="1" applyProtection="1">
      <protection locked="0"/>
    </xf>
    <xf numFmtId="0" fontId="27" fillId="10" borderId="3" xfId="0" applyFont="1" applyFill="1" applyBorder="1" applyAlignment="1" applyProtection="1">
      <alignment horizontal="center"/>
      <protection locked="0"/>
    </xf>
    <xf numFmtId="0" fontId="27" fillId="10" borderId="1" xfId="0" applyFont="1" applyFill="1" applyBorder="1" applyAlignment="1" applyProtection="1">
      <alignment horizontal="center"/>
      <protection locked="0"/>
    </xf>
    <xf numFmtId="0" fontId="27" fillId="11" borderId="64" xfId="0" applyFont="1" applyFill="1" applyBorder="1" applyProtection="1">
      <protection locked="0"/>
    </xf>
    <xf numFmtId="0" fontId="27" fillId="11" borderId="76" xfId="0" applyFont="1" applyFill="1" applyBorder="1" applyProtection="1">
      <protection locked="0"/>
    </xf>
    <xf numFmtId="0" fontId="23" fillId="5" borderId="3" xfId="0" applyFont="1" applyFill="1" applyBorder="1" applyAlignment="1" applyProtection="1">
      <alignment horizontal="center"/>
      <protection locked="0"/>
    </xf>
    <xf numFmtId="0" fontId="28" fillId="0" borderId="37" xfId="0" applyFont="1" applyBorder="1" applyAlignment="1">
      <alignment horizontal="left"/>
    </xf>
    <xf numFmtId="0" fontId="41" fillId="0" borderId="160" xfId="0" applyFont="1" applyBorder="1"/>
    <xf numFmtId="0" fontId="41" fillId="0" borderId="160" xfId="0" applyFont="1" applyBorder="1" applyAlignment="1">
      <alignment horizontal="left"/>
    </xf>
    <xf numFmtId="0" fontId="28" fillId="0" borderId="30" xfId="0" applyFont="1" applyBorder="1" applyAlignment="1">
      <alignment horizontal="center"/>
    </xf>
    <xf numFmtId="0" fontId="28" fillId="0" borderId="31" xfId="0" applyFont="1" applyBorder="1" applyAlignment="1">
      <alignment horizontal="center"/>
    </xf>
    <xf numFmtId="0" fontId="28" fillId="0" borderId="12" xfId="0" applyFont="1" applyBorder="1" applyAlignment="1">
      <alignment horizontal="center"/>
    </xf>
    <xf numFmtId="0" fontId="28" fillId="0" borderId="54" xfId="0" applyFont="1" applyBorder="1" applyAlignment="1">
      <alignment horizontal="center"/>
    </xf>
    <xf numFmtId="0" fontId="28" fillId="0" borderId="34" xfId="0" applyFont="1" applyBorder="1" applyAlignment="1">
      <alignment horizontal="center"/>
    </xf>
    <xf numFmtId="0" fontId="28" fillId="0" borderId="86" xfId="0" applyFont="1" applyBorder="1" applyAlignment="1">
      <alignment horizontal="center"/>
    </xf>
    <xf numFmtId="164" fontId="27" fillId="0" borderId="35" xfId="0" applyNumberFormat="1" applyFont="1" applyBorder="1" applyAlignment="1">
      <alignment horizontal="center"/>
    </xf>
    <xf numFmtId="164" fontId="27" fillId="0" borderId="87" xfId="0" applyNumberFormat="1" applyFont="1" applyBorder="1" applyAlignment="1">
      <alignment horizontal="center"/>
    </xf>
    <xf numFmtId="164" fontId="27" fillId="0" borderId="36" xfId="0" applyNumberFormat="1" applyFont="1" applyBorder="1" applyAlignment="1">
      <alignment horizontal="center"/>
    </xf>
    <xf numFmtId="164" fontId="27" fillId="0" borderId="83" xfId="0" applyNumberFormat="1" applyFont="1" applyBorder="1" applyAlignment="1">
      <alignment horizontal="center"/>
    </xf>
    <xf numFmtId="164" fontId="27" fillId="0" borderId="48" xfId="0" applyNumberFormat="1" applyFont="1" applyBorder="1" applyAlignment="1">
      <alignment horizontal="center"/>
    </xf>
    <xf numFmtId="164" fontId="27" fillId="0" borderId="82" xfId="0" applyNumberFormat="1" applyFont="1" applyBorder="1" applyAlignment="1">
      <alignment horizontal="center"/>
    </xf>
    <xf numFmtId="164" fontId="27" fillId="0" borderId="116" xfId="0" applyNumberFormat="1" applyFont="1" applyBorder="1" applyAlignment="1">
      <alignment horizontal="center"/>
    </xf>
    <xf numFmtId="164" fontId="27" fillId="0" borderId="84" xfId="0" applyNumberFormat="1" applyFont="1" applyBorder="1" applyAlignment="1">
      <alignment horizontal="center"/>
    </xf>
    <xf numFmtId="164" fontId="27" fillId="0" borderId="91" xfId="0" applyNumberFormat="1" applyFont="1" applyBorder="1" applyAlignment="1">
      <alignment horizontal="center"/>
    </xf>
    <xf numFmtId="164" fontId="27" fillId="0" borderId="117" xfId="0" applyNumberFormat="1" applyFont="1" applyBorder="1" applyAlignment="1">
      <alignment horizontal="center"/>
    </xf>
    <xf numFmtId="164" fontId="27" fillId="0" borderId="57" xfId="0" applyNumberFormat="1" applyFont="1" applyBorder="1" applyAlignment="1">
      <alignment horizontal="center"/>
    </xf>
    <xf numFmtId="164" fontId="27" fillId="0" borderId="55" xfId="0" applyNumberFormat="1" applyFont="1" applyBorder="1" applyAlignment="1">
      <alignment horizontal="center"/>
    </xf>
    <xf numFmtId="164" fontId="28" fillId="0" borderId="119" xfId="0" applyNumberFormat="1" applyFont="1" applyBorder="1" applyAlignment="1">
      <alignment horizontal="center"/>
    </xf>
    <xf numFmtId="164" fontId="28" fillId="0" borderId="34" xfId="0" applyNumberFormat="1" applyFont="1" applyBorder="1" applyAlignment="1">
      <alignment horizontal="center"/>
    </xf>
    <xf numFmtId="164" fontId="28" fillId="0" borderId="120" xfId="0" applyNumberFormat="1" applyFont="1" applyBorder="1" applyAlignment="1">
      <alignment horizontal="center"/>
    </xf>
    <xf numFmtId="164" fontId="27" fillId="0" borderId="121" xfId="0" applyNumberFormat="1" applyFont="1" applyBorder="1" applyAlignment="1">
      <alignment horizontal="center"/>
    </xf>
    <xf numFmtId="164" fontId="27" fillId="0" borderId="122" xfId="0" applyNumberFormat="1" applyFont="1" applyBorder="1" applyAlignment="1">
      <alignment horizontal="center"/>
    </xf>
    <xf numFmtId="164" fontId="27" fillId="0" borderId="123" xfId="0" applyNumberFormat="1" applyFont="1" applyBorder="1" applyAlignment="1">
      <alignment horizontal="center"/>
    </xf>
    <xf numFmtId="164" fontId="27" fillId="0" borderId="124" xfId="0" applyNumberFormat="1" applyFont="1" applyBorder="1" applyAlignment="1">
      <alignment horizontal="center"/>
    </xf>
    <xf numFmtId="164" fontId="27" fillId="0" borderId="125" xfId="0" applyNumberFormat="1" applyFont="1" applyBorder="1" applyAlignment="1">
      <alignment horizontal="center"/>
    </xf>
    <xf numFmtId="164" fontId="27" fillId="0" borderId="118" xfId="0" applyNumberFormat="1" applyFont="1" applyBorder="1" applyAlignment="1">
      <alignment horizontal="center"/>
    </xf>
    <xf numFmtId="164" fontId="27" fillId="0" borderId="126" xfId="0" applyNumberFormat="1" applyFont="1" applyBorder="1" applyAlignment="1">
      <alignment horizontal="center"/>
    </xf>
    <xf numFmtId="164" fontId="27" fillId="0" borderId="115" xfId="0" applyNumberFormat="1" applyFont="1" applyBorder="1" applyAlignment="1">
      <alignment horizontal="center"/>
    </xf>
    <xf numFmtId="164" fontId="27" fillId="0" borderId="85" xfId="0" applyNumberFormat="1" applyFont="1" applyBorder="1" applyAlignment="1">
      <alignment horizontal="center"/>
    </xf>
    <xf numFmtId="0" fontId="33" fillId="0" borderId="162" xfId="0" applyFont="1" applyBorder="1"/>
    <xf numFmtId="0" fontId="33" fillId="0" borderId="163" xfId="0" applyFont="1" applyBorder="1"/>
    <xf numFmtId="0" fontId="33" fillId="0" borderId="152" xfId="0" applyFont="1" applyBorder="1" applyAlignment="1">
      <alignment horizontal="center"/>
    </xf>
    <xf numFmtId="0" fontId="33" fillId="0" borderId="166" xfId="0" applyFont="1" applyBorder="1" applyAlignment="1">
      <alignment horizontal="center"/>
    </xf>
    <xf numFmtId="0" fontId="28" fillId="0" borderId="170" xfId="0" applyFont="1" applyBorder="1"/>
    <xf numFmtId="0" fontId="33" fillId="0" borderId="174" xfId="0" applyFont="1" applyBorder="1"/>
    <xf numFmtId="0" fontId="33" fillId="0" borderId="175" xfId="0" applyFont="1" applyBorder="1"/>
    <xf numFmtId="0" fontId="40" fillId="0" borderId="0" xfId="0" applyFont="1"/>
    <xf numFmtId="0" fontId="27" fillId="2" borderId="95" xfId="0" applyFont="1" applyFill="1" applyBorder="1"/>
    <xf numFmtId="0" fontId="27" fillId="2" borderId="100" xfId="0" applyFont="1" applyFill="1" applyBorder="1"/>
    <xf numFmtId="164" fontId="27" fillId="0" borderId="181" xfId="0" applyNumberFormat="1" applyFont="1" applyBorder="1" applyAlignment="1">
      <alignment horizontal="center"/>
    </xf>
    <xf numFmtId="0" fontId="19" fillId="0" borderId="0" xfId="0" applyFont="1" applyProtection="1">
      <protection locked="0"/>
    </xf>
    <xf numFmtId="0" fontId="0" fillId="0" borderId="0" xfId="0" applyProtection="1">
      <protection locked="0"/>
    </xf>
    <xf numFmtId="0" fontId="23" fillId="0" borderId="0" xfId="0" applyFont="1"/>
    <xf numFmtId="0" fontId="28" fillId="2" borderId="0" xfId="0" applyFont="1" applyFill="1" applyAlignment="1">
      <alignment horizontal="center"/>
    </xf>
    <xf numFmtId="0" fontId="28" fillId="7" borderId="1" xfId="0" applyFont="1" applyFill="1" applyBorder="1" applyAlignment="1">
      <alignment horizontal="center" vertical="center"/>
    </xf>
    <xf numFmtId="0" fontId="27" fillId="2" borderId="8" xfId="0" applyFont="1" applyFill="1" applyBorder="1"/>
    <xf numFmtId="0" fontId="28" fillId="0" borderId="0" xfId="0" applyFont="1" applyAlignment="1">
      <alignment horizontal="center"/>
    </xf>
    <xf numFmtId="0" fontId="28" fillId="4" borderId="1" xfId="0" applyFont="1" applyFill="1" applyBorder="1" applyAlignment="1">
      <alignment horizontal="center" vertical="center"/>
    </xf>
    <xf numFmtId="0" fontId="28" fillId="5" borderId="2" xfId="0" applyFont="1" applyFill="1" applyBorder="1" applyAlignment="1">
      <alignment horizontal="center"/>
    </xf>
    <xf numFmtId="0" fontId="28" fillId="6" borderId="1" xfId="0" applyFont="1" applyFill="1" applyBorder="1" applyAlignment="1">
      <alignment horizontal="center"/>
    </xf>
    <xf numFmtId="0" fontId="28" fillId="2" borderId="0" xfId="0" applyFont="1" applyFill="1" applyAlignment="1">
      <alignment horizontal="center" vertical="center"/>
    </xf>
    <xf numFmtId="0" fontId="28" fillId="8" borderId="107" xfId="0" applyFont="1" applyFill="1" applyBorder="1" applyAlignment="1">
      <alignment horizontal="center"/>
    </xf>
    <xf numFmtId="0" fontId="28" fillId="9" borderId="1" xfId="0" applyFont="1" applyFill="1" applyBorder="1" applyAlignment="1">
      <alignment horizontal="center"/>
    </xf>
    <xf numFmtId="0" fontId="27" fillId="2" borderId="62" xfId="0" applyFont="1" applyFill="1" applyBorder="1"/>
    <xf numFmtId="0" fontId="27" fillId="2" borderId="14" xfId="0" applyFont="1" applyFill="1" applyBorder="1"/>
    <xf numFmtId="0" fontId="27" fillId="0" borderId="17" xfId="0" applyFont="1" applyBorder="1"/>
    <xf numFmtId="0" fontId="27" fillId="0" borderId="16" xfId="0" applyFont="1" applyBorder="1"/>
    <xf numFmtId="0" fontId="27" fillId="2" borderId="22" xfId="0" applyFont="1" applyFill="1" applyBorder="1"/>
    <xf numFmtId="0" fontId="19" fillId="0" borderId="24" xfId="0" applyFont="1" applyBorder="1"/>
    <xf numFmtId="0" fontId="27" fillId="0" borderId="27" xfId="0" applyFont="1" applyBorder="1" applyAlignment="1">
      <alignment horizontal="center"/>
    </xf>
    <xf numFmtId="0" fontId="27" fillId="0" borderId="112" xfId="0" applyFont="1" applyBorder="1"/>
    <xf numFmtId="0" fontId="21" fillId="0" borderId="103" xfId="0" applyFont="1" applyBorder="1"/>
    <xf numFmtId="0" fontId="24" fillId="0" borderId="89" xfId="0" applyFont="1" applyBorder="1" applyAlignment="1">
      <alignment horizontal="center"/>
    </xf>
    <xf numFmtId="0" fontId="27" fillId="0" borderId="88" xfId="0" applyFont="1" applyBorder="1"/>
    <xf numFmtId="0" fontId="20" fillId="0" borderId="29" xfId="0" applyFont="1" applyBorder="1" applyAlignment="1">
      <alignment horizontal="center"/>
    </xf>
    <xf numFmtId="0" fontId="27" fillId="0" borderId="29" xfId="0" applyFont="1" applyBorder="1"/>
    <xf numFmtId="0" fontId="27" fillId="2" borderId="90" xfId="0" applyFont="1" applyFill="1" applyBorder="1"/>
    <xf numFmtId="0" fontId="19" fillId="0" borderId="25" xfId="0" applyFont="1" applyBorder="1"/>
    <xf numFmtId="0" fontId="27" fillId="0" borderId="12" xfId="0" applyFont="1" applyBorder="1" applyAlignment="1">
      <alignment horizontal="center"/>
    </xf>
    <xf numFmtId="0" fontId="21" fillId="0" borderId="25" xfId="0" applyFont="1" applyBorder="1"/>
    <xf numFmtId="0" fontId="21" fillId="2" borderId="101" xfId="0" applyFont="1" applyFill="1" applyBorder="1"/>
    <xf numFmtId="0" fontId="27" fillId="2" borderId="60" xfId="0" applyFont="1" applyFill="1" applyBorder="1"/>
    <xf numFmtId="0" fontId="21" fillId="2" borderId="0" xfId="0" applyFont="1" applyFill="1"/>
    <xf numFmtId="0" fontId="27" fillId="2" borderId="102" xfId="0" applyFont="1" applyFill="1" applyBorder="1"/>
    <xf numFmtId="0" fontId="21" fillId="0" borderId="93" xfId="0" applyFont="1" applyBorder="1"/>
    <xf numFmtId="0" fontId="27" fillId="0" borderId="102" xfId="0" applyFont="1" applyBorder="1"/>
    <xf numFmtId="0" fontId="27" fillId="2" borderId="66" xfId="0" applyFont="1" applyFill="1" applyBorder="1"/>
    <xf numFmtId="0" fontId="19" fillId="0" borderId="33" xfId="0" applyFont="1" applyBorder="1"/>
    <xf numFmtId="0" fontId="27" fillId="2" borderId="77" xfId="0" applyFont="1" applyFill="1" applyBorder="1"/>
    <xf numFmtId="0" fontId="27" fillId="2" borderId="49" xfId="0" applyFont="1" applyFill="1" applyBorder="1"/>
    <xf numFmtId="0" fontId="19" fillId="0" borderId="101" xfId="0" applyFont="1" applyBorder="1"/>
    <xf numFmtId="0" fontId="27" fillId="0" borderId="60" xfId="0" applyFont="1" applyBorder="1"/>
    <xf numFmtId="0" fontId="21" fillId="0" borderId="12" xfId="0" applyFont="1" applyBorder="1"/>
    <xf numFmtId="0" fontId="21" fillId="0" borderId="0" xfId="0" applyFont="1"/>
    <xf numFmtId="0" fontId="27" fillId="0" borderId="108" xfId="0" applyFont="1" applyBorder="1"/>
    <xf numFmtId="0" fontId="20" fillId="0" borderId="27" xfId="0" applyFont="1" applyBorder="1"/>
    <xf numFmtId="0" fontId="27" fillId="0" borderId="103" xfId="0" applyFont="1" applyBorder="1"/>
    <xf numFmtId="0" fontId="27" fillId="2" borderId="111" xfId="0" applyFont="1" applyFill="1" applyBorder="1"/>
    <xf numFmtId="0" fontId="27" fillId="2" borderId="65" xfId="0" applyFont="1" applyFill="1" applyBorder="1"/>
    <xf numFmtId="0" fontId="27" fillId="2" borderId="109" xfId="0" applyFont="1" applyFill="1" applyBorder="1"/>
    <xf numFmtId="0" fontId="27" fillId="0" borderId="180" xfId="0" applyFont="1" applyBorder="1" applyAlignment="1" applyProtection="1">
      <alignment horizontal="center"/>
      <protection locked="0"/>
    </xf>
    <xf numFmtId="0" fontId="27" fillId="10" borderId="161" xfId="0" applyFont="1" applyFill="1" applyBorder="1" applyProtection="1">
      <protection locked="0"/>
    </xf>
    <xf numFmtId="0" fontId="27" fillId="10" borderId="167" xfId="0" applyFont="1" applyFill="1" applyBorder="1" applyAlignment="1" applyProtection="1">
      <alignment horizontal="center"/>
      <protection locked="0"/>
    </xf>
    <xf numFmtId="0" fontId="27" fillId="10" borderId="164" xfId="0" applyFont="1" applyFill="1" applyBorder="1" applyProtection="1">
      <protection locked="0"/>
    </xf>
    <xf numFmtId="0" fontId="27" fillId="10" borderId="168" xfId="0" applyFont="1" applyFill="1" applyBorder="1" applyAlignment="1" applyProtection="1">
      <alignment horizontal="center"/>
      <protection locked="0"/>
    </xf>
    <xf numFmtId="0" fontId="27" fillId="10" borderId="165" xfId="0" applyFont="1" applyFill="1" applyBorder="1" applyProtection="1">
      <protection locked="0"/>
    </xf>
    <xf numFmtId="0" fontId="27" fillId="10" borderId="169" xfId="0" applyFont="1" applyFill="1" applyBorder="1" applyAlignment="1" applyProtection="1">
      <alignment horizontal="center"/>
      <protection locked="0"/>
    </xf>
    <xf numFmtId="0" fontId="27" fillId="10" borderId="173" xfId="0" applyFont="1" applyFill="1" applyBorder="1" applyProtection="1">
      <protection locked="0"/>
    </xf>
    <xf numFmtId="0" fontId="27" fillId="10" borderId="172" xfId="0" applyFont="1" applyFill="1" applyBorder="1" applyProtection="1">
      <protection locked="0"/>
    </xf>
    <xf numFmtId="0" fontId="27" fillId="10" borderId="171" xfId="0" applyFont="1" applyFill="1" applyBorder="1" applyProtection="1">
      <protection locked="0"/>
    </xf>
    <xf numFmtId="0" fontId="27" fillId="10" borderId="176" xfId="0" applyFont="1" applyFill="1" applyBorder="1" applyProtection="1">
      <protection locked="0"/>
    </xf>
    <xf numFmtId="0" fontId="27" fillId="10" borderId="177" xfId="0" applyFont="1" applyFill="1" applyBorder="1" applyProtection="1">
      <protection locked="0"/>
    </xf>
    <xf numFmtId="0" fontId="27" fillId="10" borderId="178" xfId="0" applyFont="1" applyFill="1" applyBorder="1" applyProtection="1">
      <protection locked="0"/>
    </xf>
    <xf numFmtId="0" fontId="27" fillId="10" borderId="179" xfId="0" applyFont="1" applyFill="1" applyBorder="1" applyProtection="1">
      <protection locked="0"/>
    </xf>
    <xf numFmtId="0" fontId="27" fillId="2" borderId="63" xfId="0" applyFont="1" applyFill="1" applyBorder="1" applyProtection="1">
      <protection locked="0"/>
    </xf>
    <xf numFmtId="0" fontId="27" fillId="2" borderId="81" xfId="0" applyFont="1" applyFill="1" applyBorder="1" applyAlignment="1" applyProtection="1">
      <alignment horizontal="center"/>
      <protection locked="0"/>
    </xf>
    <xf numFmtId="0" fontId="27" fillId="0" borderId="8" xfId="0" applyFont="1" applyBorder="1" applyProtection="1">
      <protection locked="0"/>
    </xf>
    <xf numFmtId="0" fontId="27" fillId="0" borderId="21" xfId="0" applyFont="1" applyBorder="1" applyProtection="1">
      <protection locked="0"/>
    </xf>
    <xf numFmtId="0" fontId="17" fillId="0" borderId="0" xfId="0" applyFont="1" applyProtection="1">
      <protection locked="0"/>
    </xf>
    <xf numFmtId="0" fontId="16" fillId="0" borderId="8" xfId="0" applyFont="1" applyBorder="1"/>
    <xf numFmtId="0" fontId="27" fillId="0" borderId="182" xfId="0" applyFont="1" applyBorder="1"/>
    <xf numFmtId="0" fontId="15" fillId="2" borderId="0" xfId="0" applyFont="1" applyFill="1"/>
    <xf numFmtId="0" fontId="15" fillId="0" borderId="0" xfId="0" applyFont="1"/>
    <xf numFmtId="0" fontId="15" fillId="0" borderId="12" xfId="0" applyFont="1" applyBorder="1"/>
    <xf numFmtId="0" fontId="15" fillId="0" borderId="8" xfId="0" applyFont="1" applyBorder="1"/>
    <xf numFmtId="0" fontId="15" fillId="6" borderId="1" xfId="0" applyFont="1" applyFill="1" applyBorder="1" applyAlignment="1" applyProtection="1">
      <alignment horizontal="center"/>
      <protection locked="0"/>
    </xf>
    <xf numFmtId="0" fontId="27" fillId="12" borderId="60" xfId="0" applyFont="1" applyFill="1" applyBorder="1" applyProtection="1">
      <protection locked="0"/>
    </xf>
    <xf numFmtId="0" fontId="27" fillId="12" borderId="59" xfId="0" applyFont="1" applyFill="1" applyBorder="1" applyProtection="1">
      <protection locked="0"/>
    </xf>
    <xf numFmtId="0" fontId="27" fillId="12" borderId="61" xfId="0" applyFont="1" applyFill="1" applyBorder="1" applyProtection="1">
      <protection locked="0"/>
    </xf>
    <xf numFmtId="0" fontId="27" fillId="12" borderId="6" xfId="0" applyFont="1" applyFill="1" applyBorder="1" applyProtection="1">
      <protection locked="0"/>
    </xf>
    <xf numFmtId="0" fontId="27" fillId="12" borderId="4" xfId="0" applyFont="1" applyFill="1" applyBorder="1" applyProtection="1">
      <protection locked="0"/>
    </xf>
    <xf numFmtId="0" fontId="27" fillId="12" borderId="69" xfId="0" applyFont="1" applyFill="1" applyBorder="1" applyProtection="1">
      <protection locked="0"/>
    </xf>
    <xf numFmtId="0" fontId="27" fillId="12" borderId="70" xfId="0" applyFont="1" applyFill="1" applyBorder="1" applyProtection="1">
      <protection locked="0"/>
    </xf>
    <xf numFmtId="0" fontId="27" fillId="12" borderId="71" xfId="0" applyFont="1" applyFill="1" applyBorder="1" applyProtection="1">
      <protection locked="0"/>
    </xf>
    <xf numFmtId="0" fontId="27" fillId="12" borderId="72" xfId="0" applyFont="1" applyFill="1" applyBorder="1" applyProtection="1">
      <protection locked="0"/>
    </xf>
    <xf numFmtId="0" fontId="27" fillId="12" borderId="157" xfId="0" applyFont="1" applyFill="1" applyBorder="1" applyProtection="1">
      <protection locked="0"/>
    </xf>
    <xf numFmtId="0" fontId="15" fillId="12" borderId="41" xfId="0" applyFont="1" applyFill="1" applyBorder="1" applyProtection="1">
      <protection locked="0"/>
    </xf>
    <xf numFmtId="0" fontId="27" fillId="12" borderId="37" xfId="0" applyFont="1" applyFill="1" applyBorder="1" applyAlignment="1" applyProtection="1">
      <alignment horizontal="center"/>
      <protection locked="0"/>
    </xf>
    <xf numFmtId="0" fontId="27" fillId="12" borderId="40" xfId="0" applyFont="1" applyFill="1" applyBorder="1" applyAlignment="1" applyProtection="1">
      <alignment horizontal="center"/>
      <protection locked="0"/>
    </xf>
    <xf numFmtId="0" fontId="27" fillId="12" borderId="158" xfId="0" applyFont="1" applyFill="1" applyBorder="1" applyProtection="1">
      <protection locked="0"/>
    </xf>
    <xf numFmtId="0" fontId="15" fillId="12" borderId="42" xfId="0" applyFont="1" applyFill="1" applyBorder="1" applyProtection="1">
      <protection locked="0"/>
    </xf>
    <xf numFmtId="0" fontId="27" fillId="12" borderId="38" xfId="0" applyFont="1" applyFill="1" applyBorder="1" applyAlignment="1" applyProtection="1">
      <alignment horizontal="center"/>
      <protection locked="0"/>
    </xf>
    <xf numFmtId="0" fontId="27" fillId="12" borderId="44" xfId="0" applyFont="1" applyFill="1" applyBorder="1" applyAlignment="1" applyProtection="1">
      <alignment horizontal="center"/>
      <protection locked="0"/>
    </xf>
    <xf numFmtId="0" fontId="27" fillId="12" borderId="159" xfId="0" applyFont="1" applyFill="1" applyBorder="1"/>
    <xf numFmtId="0" fontId="15" fillId="12" borderId="43" xfId="0" applyFont="1" applyFill="1" applyBorder="1" applyProtection="1">
      <protection locked="0"/>
    </xf>
    <xf numFmtId="0" fontId="27" fillId="12" borderId="39" xfId="0" applyFont="1" applyFill="1" applyBorder="1" applyAlignment="1" applyProtection="1">
      <alignment horizontal="center"/>
      <protection locked="0"/>
    </xf>
    <xf numFmtId="0" fontId="27" fillId="12" borderId="45" xfId="0" applyFont="1" applyFill="1" applyBorder="1" applyAlignment="1" applyProtection="1">
      <alignment horizontal="center"/>
      <protection locked="0"/>
    </xf>
    <xf numFmtId="0" fontId="27" fillId="12" borderId="41" xfId="0" applyFont="1" applyFill="1" applyBorder="1" applyProtection="1">
      <protection locked="0"/>
    </xf>
    <xf numFmtId="0" fontId="18" fillId="12" borderId="40" xfId="0" applyFont="1" applyFill="1" applyBorder="1" applyAlignment="1" applyProtection="1">
      <alignment horizontal="center"/>
      <protection locked="0"/>
    </xf>
    <xf numFmtId="0" fontId="27" fillId="12" borderId="42" xfId="0" applyFont="1" applyFill="1" applyBorder="1" applyProtection="1">
      <protection locked="0"/>
    </xf>
    <xf numFmtId="0" fontId="27" fillId="12" borderId="79" xfId="0" applyFont="1" applyFill="1" applyBorder="1" applyAlignment="1" applyProtection="1">
      <alignment horizontal="center"/>
      <protection locked="0"/>
    </xf>
    <xf numFmtId="0" fontId="27" fillId="12" borderId="80" xfId="0" applyFont="1" applyFill="1" applyBorder="1" applyAlignment="1" applyProtection="1">
      <alignment horizontal="center"/>
      <protection locked="0"/>
    </xf>
    <xf numFmtId="0" fontId="27" fillId="12" borderId="133" xfId="0" applyFont="1" applyFill="1" applyBorder="1" applyProtection="1">
      <protection locked="0"/>
    </xf>
    <xf numFmtId="0" fontId="27" fillId="12" borderId="130" xfId="0" applyFont="1" applyFill="1" applyBorder="1" applyAlignment="1" applyProtection="1">
      <alignment horizontal="center"/>
      <protection locked="0"/>
    </xf>
    <xf numFmtId="0" fontId="27" fillId="12" borderId="132" xfId="0" applyFont="1" applyFill="1" applyBorder="1" applyAlignment="1" applyProtection="1">
      <alignment horizontal="center"/>
      <protection locked="0"/>
    </xf>
    <xf numFmtId="0" fontId="27" fillId="12" borderId="134" xfId="0" applyFont="1" applyFill="1" applyBorder="1" applyAlignment="1" applyProtection="1">
      <alignment horizontal="center"/>
      <protection locked="0"/>
    </xf>
    <xf numFmtId="0" fontId="27" fillId="12" borderId="135" xfId="0" applyFont="1" applyFill="1" applyBorder="1" applyProtection="1">
      <protection locked="0"/>
    </xf>
    <xf numFmtId="0" fontId="27" fillId="12" borderId="136" xfId="0" applyFont="1" applyFill="1" applyBorder="1" applyAlignment="1" applyProtection="1">
      <alignment horizontal="center"/>
      <protection locked="0"/>
    </xf>
    <xf numFmtId="0" fontId="27" fillId="12" borderId="139" xfId="0" applyFont="1" applyFill="1" applyBorder="1" applyAlignment="1" applyProtection="1">
      <alignment horizontal="center"/>
      <protection locked="0"/>
    </xf>
    <xf numFmtId="0" fontId="27" fillId="12" borderId="137" xfId="0" applyFont="1" applyFill="1" applyBorder="1" applyAlignment="1" applyProtection="1">
      <alignment horizontal="center"/>
      <protection locked="0"/>
    </xf>
    <xf numFmtId="0" fontId="27" fillId="12" borderId="129" xfId="0" applyFont="1" applyFill="1" applyBorder="1" applyProtection="1">
      <protection locked="0"/>
    </xf>
    <xf numFmtId="0" fontId="27" fillId="12" borderId="127" xfId="0" applyFont="1" applyFill="1" applyBorder="1" applyAlignment="1" applyProtection="1">
      <alignment horizontal="center"/>
      <protection locked="0"/>
    </xf>
    <xf numFmtId="0" fontId="27" fillId="12" borderId="128" xfId="0" applyFont="1" applyFill="1" applyBorder="1" applyAlignment="1" applyProtection="1">
      <alignment horizontal="center"/>
      <protection locked="0"/>
    </xf>
    <xf numFmtId="0" fontId="27" fillId="12" borderId="48" xfId="0" applyFont="1" applyFill="1" applyBorder="1" applyAlignment="1" applyProtection="1">
      <alignment horizontal="center"/>
      <protection locked="0"/>
    </xf>
    <xf numFmtId="0" fontId="27" fillId="12" borderId="143" xfId="0" applyFont="1" applyFill="1" applyBorder="1" applyProtection="1">
      <protection locked="0"/>
    </xf>
    <xf numFmtId="0" fontId="27" fillId="12" borderId="141" xfId="0" applyFont="1" applyFill="1" applyBorder="1" applyAlignment="1" applyProtection="1">
      <alignment horizontal="center"/>
      <protection locked="0"/>
    </xf>
    <xf numFmtId="0" fontId="27" fillId="12" borderId="142" xfId="0" applyFont="1" applyFill="1" applyBorder="1" applyAlignment="1" applyProtection="1">
      <alignment horizontal="center"/>
      <protection locked="0"/>
    </xf>
    <xf numFmtId="0" fontId="27" fillId="12" borderId="144" xfId="0" applyFont="1" applyFill="1" applyBorder="1" applyAlignment="1" applyProtection="1">
      <alignment horizontal="center"/>
      <protection locked="0"/>
    </xf>
    <xf numFmtId="0" fontId="27" fillId="12" borderId="43" xfId="0" applyFont="1" applyFill="1" applyBorder="1" applyProtection="1">
      <protection locked="0"/>
    </xf>
    <xf numFmtId="0" fontId="27" fillId="12" borderId="81" xfId="0" applyFont="1" applyFill="1" applyBorder="1" applyAlignment="1" applyProtection="1">
      <alignment horizontal="center"/>
      <protection locked="0"/>
    </xf>
    <xf numFmtId="0" fontId="27" fillId="12" borderId="149" xfId="0" applyFont="1" applyFill="1" applyBorder="1" applyProtection="1">
      <protection locked="0"/>
    </xf>
    <xf numFmtId="0" fontId="27" fillId="12" borderId="151" xfId="0" applyFont="1" applyFill="1" applyBorder="1" applyAlignment="1" applyProtection="1">
      <alignment horizontal="center"/>
      <protection locked="0"/>
    </xf>
    <xf numFmtId="0" fontId="27" fillId="12" borderId="147" xfId="0" applyFont="1" applyFill="1" applyBorder="1" applyAlignment="1" applyProtection="1">
      <alignment horizontal="center"/>
      <protection locked="0"/>
    </xf>
    <xf numFmtId="0" fontId="27" fillId="12" borderId="148" xfId="0" applyFont="1" applyFill="1" applyBorder="1" applyProtection="1">
      <protection locked="0"/>
    </xf>
    <xf numFmtId="0" fontId="27" fillId="12" borderId="138" xfId="0" applyFont="1" applyFill="1" applyBorder="1" applyAlignment="1" applyProtection="1">
      <alignment horizontal="center"/>
      <protection locked="0"/>
    </xf>
    <xf numFmtId="0" fontId="27" fillId="12" borderId="183" xfId="0" applyFont="1" applyFill="1" applyBorder="1" applyProtection="1">
      <protection locked="0"/>
    </xf>
    <xf numFmtId="0" fontId="27" fillId="12" borderId="154" xfId="0" applyFont="1" applyFill="1" applyBorder="1" applyProtection="1">
      <protection locked="0"/>
    </xf>
    <xf numFmtId="0" fontId="27" fillId="12" borderId="138" xfId="0" applyFont="1" applyFill="1" applyBorder="1" applyProtection="1">
      <protection locked="0"/>
    </xf>
    <xf numFmtId="0" fontId="27" fillId="0" borderId="11" xfId="0" applyFont="1" applyBorder="1" applyProtection="1">
      <protection locked="0"/>
    </xf>
    <xf numFmtId="0" fontId="27" fillId="0" borderId="9" xfId="0" applyFont="1" applyBorder="1" applyProtection="1">
      <protection locked="0"/>
    </xf>
    <xf numFmtId="0" fontId="28" fillId="0" borderId="8" xfId="0" applyFont="1" applyBorder="1"/>
    <xf numFmtId="0" fontId="29" fillId="2" borderId="0" xfId="0" applyFont="1" applyFill="1"/>
    <xf numFmtId="0" fontId="29" fillId="0" borderId="0" xfId="0" applyFont="1"/>
    <xf numFmtId="0" fontId="0" fillId="2" borderId="0" xfId="0" applyFill="1"/>
    <xf numFmtId="0" fontId="30" fillId="0" borderId="11" xfId="0" applyFont="1" applyBorder="1"/>
    <xf numFmtId="0" fontId="0" fillId="0" borderId="8" xfId="0" applyBorder="1"/>
    <xf numFmtId="0" fontId="30" fillId="6" borderId="0" xfId="0" applyFont="1" applyFill="1"/>
    <xf numFmtId="0" fontId="15" fillId="5" borderId="0" xfId="0" applyFont="1" applyFill="1"/>
    <xf numFmtId="0" fontId="15" fillId="4" borderId="0" xfId="0" applyFont="1" applyFill="1"/>
    <xf numFmtId="0" fontId="15" fillId="9" borderId="0" xfId="0" applyFont="1" applyFill="1"/>
    <xf numFmtId="0" fontId="15" fillId="8" borderId="0" xfId="0" applyFont="1" applyFill="1"/>
    <xf numFmtId="0" fontId="15" fillId="7" borderId="0" xfId="0" applyFont="1" applyFill="1"/>
    <xf numFmtId="0" fontId="15" fillId="0" borderId="186" xfId="0" applyFont="1" applyBorder="1"/>
    <xf numFmtId="0" fontId="0" fillId="0" borderId="186" xfId="0" applyBorder="1"/>
    <xf numFmtId="0" fontId="30" fillId="7" borderId="186" xfId="0" applyFont="1" applyFill="1" applyBorder="1"/>
    <xf numFmtId="0" fontId="15" fillId="8" borderId="186" xfId="0" applyFont="1" applyFill="1" applyBorder="1"/>
    <xf numFmtId="0" fontId="15" fillId="9" borderId="186" xfId="0" applyFont="1" applyFill="1" applyBorder="1"/>
    <xf numFmtId="0" fontId="15" fillId="4" borderId="186" xfId="0" applyFont="1" applyFill="1" applyBorder="1"/>
    <xf numFmtId="0" fontId="15" fillId="5" borderId="186" xfId="0" applyFont="1" applyFill="1" applyBorder="1"/>
    <xf numFmtId="0" fontId="30" fillId="6" borderId="186" xfId="0" applyFont="1" applyFill="1" applyBorder="1"/>
    <xf numFmtId="0" fontId="27" fillId="0" borderId="187" xfId="0" applyFont="1" applyBorder="1"/>
    <xf numFmtId="0" fontId="30" fillId="2" borderId="0" xfId="0" applyFont="1" applyFill="1"/>
    <xf numFmtId="0" fontId="0" fillId="2" borderId="8" xfId="0" applyFill="1" applyBorder="1"/>
    <xf numFmtId="0" fontId="30" fillId="0" borderId="186" xfId="0" applyFont="1" applyBorder="1"/>
    <xf numFmtId="0" fontId="15" fillId="0" borderId="185" xfId="0" applyFont="1" applyBorder="1"/>
    <xf numFmtId="0" fontId="0" fillId="2" borderId="0" xfId="0" applyFill="1" applyProtection="1">
      <protection locked="0"/>
    </xf>
    <xf numFmtId="0" fontId="14" fillId="0" borderId="0" xfId="0" applyFont="1"/>
    <xf numFmtId="0" fontId="19" fillId="7" borderId="39"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0" fontId="27" fillId="8" borderId="39" xfId="0" applyFont="1" applyFill="1" applyBorder="1" applyAlignment="1">
      <alignment horizontal="center"/>
    </xf>
    <xf numFmtId="0" fontId="27" fillId="8" borderId="37" xfId="0" applyFont="1" applyFill="1" applyBorder="1" applyAlignment="1">
      <alignment horizontal="center"/>
    </xf>
    <xf numFmtId="0" fontId="27" fillId="8" borderId="38" xfId="0" applyFont="1" applyFill="1" applyBorder="1" applyAlignment="1">
      <alignment horizontal="center"/>
    </xf>
    <xf numFmtId="0" fontId="27" fillId="9" borderId="136" xfId="0" applyFont="1" applyFill="1" applyBorder="1" applyAlignment="1">
      <alignment horizontal="center"/>
    </xf>
    <xf numFmtId="0" fontId="27" fillId="9" borderId="127" xfId="0" applyFont="1" applyFill="1" applyBorder="1" applyAlignment="1">
      <alignment horizontal="center"/>
    </xf>
    <xf numFmtId="0" fontId="27" fillId="9" borderId="141" xfId="0" applyFont="1" applyFill="1" applyBorder="1" applyAlignment="1">
      <alignment horizontal="center"/>
    </xf>
    <xf numFmtId="0" fontId="27" fillId="4" borderId="39" xfId="0" applyFont="1" applyFill="1" applyBorder="1" applyAlignment="1">
      <alignment horizontal="center"/>
    </xf>
    <xf numFmtId="0" fontId="27" fillId="4" borderId="131" xfId="0" applyFont="1" applyFill="1" applyBorder="1" applyAlignment="1">
      <alignment horizontal="center"/>
    </xf>
    <xf numFmtId="0" fontId="27" fillId="4" borderId="136" xfId="0" applyFont="1" applyFill="1" applyBorder="1" applyAlignment="1">
      <alignment horizontal="center"/>
    </xf>
    <xf numFmtId="0" fontId="27" fillId="5" borderId="146" xfId="0" applyFont="1" applyFill="1" applyBorder="1" applyAlignment="1">
      <alignment horizontal="center"/>
    </xf>
    <xf numFmtId="0" fontId="27" fillId="5" borderId="39" xfId="0" applyFont="1" applyFill="1" applyBorder="1" applyAlignment="1">
      <alignment horizontal="center"/>
    </xf>
    <xf numFmtId="0" fontId="27" fillId="5" borderId="131" xfId="0" applyFont="1" applyFill="1" applyBorder="1" applyAlignment="1">
      <alignment horizontal="center"/>
    </xf>
    <xf numFmtId="0" fontId="27" fillId="6" borderId="136" xfId="0" applyFont="1" applyFill="1" applyBorder="1" applyAlignment="1">
      <alignment horizontal="center"/>
    </xf>
    <xf numFmtId="0" fontId="27" fillId="6" borderId="130" xfId="0" applyFont="1" applyFill="1" applyBorder="1" applyAlignment="1">
      <alignment horizontal="center"/>
    </xf>
    <xf numFmtId="0" fontId="27" fillId="0" borderId="15" xfId="0" applyFont="1" applyBorder="1" applyProtection="1">
      <protection locked="0"/>
    </xf>
    <xf numFmtId="0" fontId="13" fillId="0" borderId="3" xfId="0" applyFont="1" applyBorder="1" applyAlignment="1">
      <alignment horizontal="center"/>
    </xf>
    <xf numFmtId="0" fontId="27" fillId="2" borderId="54" xfId="0" applyFont="1" applyFill="1" applyBorder="1"/>
    <xf numFmtId="0" fontId="27" fillId="0" borderId="2" xfId="0" applyFont="1" applyBorder="1" applyAlignment="1">
      <alignment horizontal="center"/>
    </xf>
    <xf numFmtId="0" fontId="13" fillId="0" borderId="2" xfId="0" applyFont="1" applyBorder="1" applyAlignment="1">
      <alignment horizontal="center"/>
    </xf>
    <xf numFmtId="0" fontId="13" fillId="0" borderId="10" xfId="0" applyFont="1" applyBorder="1" applyAlignment="1">
      <alignment horizontal="center"/>
    </xf>
    <xf numFmtId="0" fontId="27" fillId="0" borderId="10" xfId="0" applyFont="1" applyBorder="1" applyAlignment="1">
      <alignment horizontal="center"/>
    </xf>
    <xf numFmtId="0" fontId="13" fillId="0" borderId="0" xfId="0" applyFont="1"/>
    <xf numFmtId="0" fontId="13" fillId="0" borderId="186" xfId="0" applyFont="1" applyBorder="1"/>
    <xf numFmtId="0" fontId="13" fillId="2" borderId="0" xfId="0" applyFont="1" applyFill="1"/>
    <xf numFmtId="0" fontId="13" fillId="2" borderId="186" xfId="0" applyFont="1" applyFill="1" applyBorder="1"/>
    <xf numFmtId="0" fontId="12" fillId="0" borderId="0" xfId="0" applyFont="1"/>
    <xf numFmtId="0" fontId="12" fillId="10" borderId="16" xfId="0" applyFont="1" applyFill="1" applyBorder="1" applyProtection="1">
      <protection locked="0"/>
    </xf>
    <xf numFmtId="0" fontId="12" fillId="10" borderId="18" xfId="0" applyFont="1" applyFill="1" applyBorder="1" applyProtection="1">
      <protection locked="0"/>
    </xf>
    <xf numFmtId="0" fontId="28" fillId="0" borderId="13" xfId="0" applyFont="1" applyBorder="1"/>
    <xf numFmtId="0" fontId="27" fillId="10" borderId="12" xfId="0" applyFont="1" applyFill="1" applyBorder="1" applyProtection="1">
      <protection locked="0"/>
    </xf>
    <xf numFmtId="0" fontId="27" fillId="10" borderId="10" xfId="0" applyFont="1" applyFill="1" applyBorder="1" applyProtection="1">
      <protection locked="0"/>
    </xf>
    <xf numFmtId="0" fontId="27" fillId="10" borderId="49" xfId="0" applyFont="1" applyFill="1" applyBorder="1" applyProtection="1">
      <protection locked="0"/>
    </xf>
    <xf numFmtId="0" fontId="28" fillId="0" borderId="191" xfId="0" applyFont="1" applyBorder="1"/>
    <xf numFmtId="0" fontId="27" fillId="10" borderId="62" xfId="0" applyFont="1" applyFill="1" applyBorder="1" applyProtection="1">
      <protection locked="0"/>
    </xf>
    <xf numFmtId="0" fontId="11" fillId="0" borderId="0" xfId="0" applyFont="1"/>
    <xf numFmtId="0" fontId="11" fillId="0" borderId="12" xfId="0" applyFont="1" applyBorder="1" applyAlignment="1">
      <alignment horizontal="center"/>
    </xf>
    <xf numFmtId="0" fontId="27" fillId="10" borderId="5" xfId="0" applyFont="1" applyFill="1" applyBorder="1" applyProtection="1">
      <protection locked="0"/>
    </xf>
    <xf numFmtId="0" fontId="11" fillId="2" borderId="0" xfId="0" applyFont="1" applyFill="1"/>
    <xf numFmtId="0" fontId="10" fillId="2" borderId="0" xfId="0" applyFont="1" applyFill="1"/>
    <xf numFmtId="0" fontId="10" fillId="0" borderId="0" xfId="0" applyFont="1"/>
    <xf numFmtId="0" fontId="10" fillId="10" borderId="113" xfId="0" applyFont="1" applyFill="1" applyBorder="1" applyProtection="1">
      <protection locked="0"/>
    </xf>
    <xf numFmtId="0" fontId="10" fillId="10" borderId="104" xfId="0" applyFont="1" applyFill="1" applyBorder="1" applyProtection="1">
      <protection locked="0"/>
    </xf>
    <xf numFmtId="0" fontId="10" fillId="10" borderId="12" xfId="0" applyFont="1" applyFill="1" applyBorder="1" applyAlignment="1" applyProtection="1">
      <alignment horizontal="center"/>
      <protection locked="0"/>
    </xf>
    <xf numFmtId="2" fontId="27" fillId="2" borderId="0" xfId="0" applyNumberFormat="1" applyFont="1" applyFill="1" applyAlignment="1">
      <alignment horizontal="center"/>
    </xf>
    <xf numFmtId="0" fontId="27" fillId="2" borderId="11" xfId="0" applyFont="1" applyFill="1" applyBorder="1"/>
    <xf numFmtId="0" fontId="30" fillId="2" borderId="11" xfId="0" applyFont="1" applyFill="1" applyBorder="1"/>
    <xf numFmtId="0" fontId="27" fillId="2" borderId="11" xfId="0" applyFont="1" applyFill="1" applyBorder="1" applyProtection="1">
      <protection locked="0"/>
    </xf>
    <xf numFmtId="0" fontId="27" fillId="2" borderId="9" xfId="0" applyFont="1" applyFill="1" applyBorder="1" applyProtection="1">
      <protection locked="0"/>
    </xf>
    <xf numFmtId="0" fontId="27" fillId="2" borderId="8" xfId="0" applyFont="1" applyFill="1" applyBorder="1" applyProtection="1">
      <protection locked="0"/>
    </xf>
    <xf numFmtId="0" fontId="27" fillId="2" borderId="12" xfId="0" applyFont="1" applyFill="1" applyBorder="1"/>
    <xf numFmtId="0" fontId="30" fillId="2" borderId="12" xfId="0" applyFont="1" applyFill="1" applyBorder="1"/>
    <xf numFmtId="0" fontId="27" fillId="2" borderId="187" xfId="0" applyFont="1" applyFill="1" applyBorder="1" applyProtection="1">
      <protection locked="0"/>
    </xf>
    <xf numFmtId="0" fontId="27" fillId="2" borderId="187" xfId="0" applyFont="1" applyFill="1" applyBorder="1"/>
    <xf numFmtId="0" fontId="27" fillId="2" borderId="53" xfId="0" applyFont="1" applyFill="1" applyBorder="1" applyProtection="1">
      <protection locked="0"/>
    </xf>
    <xf numFmtId="0" fontId="27" fillId="2" borderId="52" xfId="0" applyFont="1" applyFill="1" applyBorder="1" applyProtection="1">
      <protection locked="0"/>
    </xf>
    <xf numFmtId="0" fontId="27" fillId="0" borderId="154" xfId="0" applyFont="1" applyBorder="1" applyProtection="1">
      <protection locked="0"/>
    </xf>
    <xf numFmtId="0" fontId="27" fillId="0" borderId="138" xfId="0" applyFont="1" applyBorder="1" applyProtection="1">
      <protection locked="0"/>
    </xf>
    <xf numFmtId="0" fontId="13" fillId="0" borderId="0" xfId="0" applyFont="1" applyProtection="1">
      <protection locked="0"/>
    </xf>
    <xf numFmtId="0" fontId="10" fillId="0" borderId="0" xfId="0" applyFont="1" applyProtection="1">
      <protection locked="0"/>
    </xf>
    <xf numFmtId="0" fontId="13" fillId="0" borderId="186" xfId="0" applyFont="1" applyBorder="1" applyProtection="1">
      <protection locked="0"/>
    </xf>
    <xf numFmtId="0" fontId="15" fillId="0" borderId="0" xfId="0" applyFont="1" applyProtection="1">
      <protection locked="0"/>
    </xf>
    <xf numFmtId="0" fontId="15" fillId="0" borderId="186" xfId="0" applyFont="1" applyBorder="1" applyProtection="1">
      <protection locked="0"/>
    </xf>
    <xf numFmtId="0" fontId="9" fillId="0" borderId="25" xfId="0" applyFont="1" applyBorder="1"/>
    <xf numFmtId="0" fontId="27" fillId="7" borderId="197" xfId="0" applyFont="1" applyFill="1" applyBorder="1"/>
    <xf numFmtId="0" fontId="27" fillId="8" borderId="197" xfId="0" applyFont="1" applyFill="1" applyBorder="1"/>
    <xf numFmtId="0" fontId="27" fillId="9" borderId="197" xfId="0" applyFont="1" applyFill="1" applyBorder="1"/>
    <xf numFmtId="0" fontId="27" fillId="4" borderId="197" xfId="0" applyFont="1" applyFill="1" applyBorder="1"/>
    <xf numFmtId="0" fontId="27" fillId="5" borderId="198" xfId="0" applyFont="1" applyFill="1" applyBorder="1"/>
    <xf numFmtId="0" fontId="27" fillId="5" borderId="197" xfId="0" applyFont="1" applyFill="1" applyBorder="1"/>
    <xf numFmtId="0" fontId="27" fillId="6" borderId="197" xfId="0" applyFont="1" applyFill="1" applyBorder="1"/>
    <xf numFmtId="0" fontId="9" fillId="12" borderId="192" xfId="0" applyFont="1" applyFill="1" applyBorder="1" applyProtection="1">
      <protection locked="0"/>
    </xf>
    <xf numFmtId="0" fontId="9" fillId="12" borderId="157" xfId="0" applyFont="1" applyFill="1" applyBorder="1" applyProtection="1">
      <protection locked="0"/>
    </xf>
    <xf numFmtId="0" fontId="28" fillId="0" borderId="13" xfId="0" applyFont="1" applyBorder="1" applyAlignment="1">
      <alignment horizontal="center"/>
    </xf>
    <xf numFmtId="0" fontId="33" fillId="0" borderId="202" xfId="0" applyFont="1" applyBorder="1" applyAlignment="1">
      <alignment horizontal="center"/>
    </xf>
    <xf numFmtId="0" fontId="33" fillId="0" borderId="203" xfId="0" applyFont="1" applyBorder="1" applyAlignment="1">
      <alignment horizontal="center"/>
    </xf>
    <xf numFmtId="0" fontId="27" fillId="10" borderId="201" xfId="0" applyFont="1" applyFill="1" applyBorder="1" applyAlignment="1" applyProtection="1">
      <alignment horizontal="center"/>
      <protection locked="0"/>
    </xf>
    <xf numFmtId="0" fontId="27" fillId="10" borderId="204" xfId="0" applyFont="1" applyFill="1" applyBorder="1" applyAlignment="1" applyProtection="1">
      <alignment horizontal="center"/>
      <protection locked="0"/>
    </xf>
    <xf numFmtId="0" fontId="27" fillId="10" borderId="205" xfId="0" applyFont="1" applyFill="1" applyBorder="1" applyAlignment="1" applyProtection="1">
      <alignment horizontal="center"/>
      <protection locked="0"/>
    </xf>
    <xf numFmtId="0" fontId="27" fillId="0" borderId="77" xfId="0" applyFont="1" applyBorder="1" applyAlignment="1">
      <alignment horizontal="center"/>
    </xf>
    <xf numFmtId="0" fontId="9" fillId="12" borderId="41" xfId="0" applyFont="1" applyFill="1" applyBorder="1" applyProtection="1">
      <protection locked="0"/>
    </xf>
    <xf numFmtId="1" fontId="28" fillId="2" borderId="0" xfId="0" applyNumberFormat="1" applyFont="1" applyFill="1" applyAlignment="1" applyProtection="1">
      <alignment horizontal="center"/>
      <protection locked="0"/>
    </xf>
    <xf numFmtId="1" fontId="27" fillId="2" borderId="0" xfId="0" applyNumberFormat="1" applyFont="1" applyFill="1" applyAlignment="1" applyProtection="1">
      <alignment horizontal="center"/>
      <protection locked="0"/>
    </xf>
    <xf numFmtId="0" fontId="28" fillId="2" borderId="0" xfId="0" applyFont="1" applyFill="1" applyAlignment="1" applyProtection="1">
      <alignment horizontal="center"/>
      <protection locked="0"/>
    </xf>
    <xf numFmtId="0" fontId="27" fillId="2" borderId="211" xfId="0" applyFont="1" applyFill="1" applyBorder="1" applyAlignment="1" applyProtection="1">
      <alignment horizontal="center"/>
      <protection locked="0"/>
    </xf>
    <xf numFmtId="0" fontId="27" fillId="2" borderId="212" xfId="0" applyFont="1" applyFill="1" applyBorder="1" applyAlignment="1" applyProtection="1">
      <alignment horizontal="center"/>
      <protection locked="0"/>
    </xf>
    <xf numFmtId="0" fontId="27" fillId="2" borderId="213" xfId="0" applyFont="1" applyFill="1" applyBorder="1" applyAlignment="1" applyProtection="1">
      <alignment horizontal="center"/>
      <protection locked="0"/>
    </xf>
    <xf numFmtId="0" fontId="27" fillId="2" borderId="199" xfId="0" applyFont="1" applyFill="1" applyBorder="1" applyProtection="1">
      <protection locked="0"/>
    </xf>
    <xf numFmtId="0" fontId="27" fillId="2" borderId="215" xfId="0" applyFont="1" applyFill="1" applyBorder="1" applyAlignment="1" applyProtection="1">
      <alignment horizontal="center"/>
      <protection locked="0"/>
    </xf>
    <xf numFmtId="0" fontId="27" fillId="2" borderId="214" xfId="0" applyFont="1" applyFill="1" applyBorder="1" applyProtection="1">
      <protection locked="0"/>
    </xf>
    <xf numFmtId="0" fontId="27" fillId="2" borderId="207" xfId="0" applyFont="1" applyFill="1" applyBorder="1" applyAlignment="1">
      <alignment horizontal="center"/>
    </xf>
    <xf numFmtId="0" fontId="27" fillId="2" borderId="210" xfId="0" applyFont="1" applyFill="1" applyBorder="1" applyAlignment="1">
      <alignment horizontal="center"/>
    </xf>
    <xf numFmtId="0" fontId="27" fillId="2" borderId="209" xfId="0" applyFont="1" applyFill="1" applyBorder="1" applyAlignment="1">
      <alignment horizontal="center"/>
    </xf>
    <xf numFmtId="0" fontId="27" fillId="2" borderId="216" xfId="0" applyFont="1" applyFill="1" applyBorder="1" applyAlignment="1">
      <alignment horizontal="center"/>
    </xf>
    <xf numFmtId="0" fontId="9" fillId="2" borderId="207" xfId="0" applyFont="1" applyFill="1" applyBorder="1" applyAlignment="1">
      <alignment horizontal="center"/>
    </xf>
    <xf numFmtId="0" fontId="9" fillId="2" borderId="210" xfId="0" applyFont="1" applyFill="1" applyBorder="1" applyAlignment="1">
      <alignment horizontal="center"/>
    </xf>
    <xf numFmtId="0" fontId="9" fillId="2" borderId="209" xfId="0" applyFont="1" applyFill="1" applyBorder="1" applyAlignment="1">
      <alignment horizontal="center"/>
    </xf>
    <xf numFmtId="0" fontId="9" fillId="2" borderId="216" xfId="0" applyFont="1" applyFill="1" applyBorder="1" applyAlignment="1">
      <alignment horizontal="center"/>
    </xf>
    <xf numFmtId="0" fontId="28" fillId="2" borderId="206" xfId="0" applyFont="1" applyFill="1" applyBorder="1" applyAlignment="1">
      <alignment horizontal="center"/>
    </xf>
    <xf numFmtId="0" fontId="27" fillId="2" borderId="200" xfId="0" applyFont="1" applyFill="1" applyBorder="1" applyProtection="1">
      <protection locked="0"/>
    </xf>
    <xf numFmtId="0" fontId="27" fillId="2" borderId="207" xfId="0" applyFont="1" applyFill="1" applyBorder="1" applyProtection="1">
      <protection locked="0"/>
    </xf>
    <xf numFmtId="0" fontId="27" fillId="2" borderId="210" xfId="0" applyFont="1" applyFill="1" applyBorder="1" applyProtection="1">
      <protection locked="0"/>
    </xf>
    <xf numFmtId="0" fontId="27" fillId="2" borderId="209" xfId="0" applyFont="1" applyFill="1" applyBorder="1" applyProtection="1">
      <protection locked="0"/>
    </xf>
    <xf numFmtId="0" fontId="28" fillId="2" borderId="48" xfId="0" applyFont="1" applyFill="1" applyBorder="1" applyProtection="1">
      <protection locked="0"/>
    </xf>
    <xf numFmtId="0" fontId="28" fillId="2" borderId="208" xfId="0" applyFont="1" applyFill="1" applyBorder="1" applyProtection="1">
      <protection locked="0"/>
    </xf>
    <xf numFmtId="0" fontId="8" fillId="12" borderId="195" xfId="0" applyFont="1" applyFill="1" applyBorder="1" applyProtection="1">
      <protection locked="0"/>
    </xf>
    <xf numFmtId="0" fontId="8" fillId="12" borderId="196" xfId="0" applyFont="1" applyFill="1" applyBorder="1" applyProtection="1">
      <protection locked="0"/>
    </xf>
    <xf numFmtId="0" fontId="8" fillId="12" borderId="192" xfId="0" applyFont="1" applyFill="1" applyBorder="1" applyProtection="1">
      <protection locked="0"/>
    </xf>
    <xf numFmtId="0" fontId="8" fillId="12" borderId="193" xfId="0" applyFont="1" applyFill="1" applyBorder="1" applyProtection="1">
      <protection locked="0"/>
    </xf>
    <xf numFmtId="0" fontId="27" fillId="2" borderId="218" xfId="0" applyFont="1" applyFill="1" applyBorder="1" applyProtection="1">
      <protection locked="0"/>
    </xf>
    <xf numFmtId="0" fontId="7" fillId="0" borderId="0" xfId="0" applyFont="1"/>
    <xf numFmtId="0" fontId="7" fillId="7" borderId="219" xfId="0" applyFont="1" applyFill="1" applyBorder="1"/>
    <xf numFmtId="0" fontId="27" fillId="12" borderId="183" xfId="0" applyFont="1" applyFill="1" applyBorder="1"/>
    <xf numFmtId="0" fontId="27" fillId="12" borderId="222" xfId="0" applyFont="1" applyFill="1" applyBorder="1"/>
    <xf numFmtId="0" fontId="27" fillId="12" borderId="225" xfId="0" applyFont="1" applyFill="1" applyBorder="1"/>
    <xf numFmtId="0" fontId="27" fillId="2" borderId="0" xfId="0" applyFont="1" applyFill="1" applyAlignment="1">
      <alignment horizontal="left"/>
    </xf>
    <xf numFmtId="165" fontId="27" fillId="13" borderId="32" xfId="0" applyNumberFormat="1" applyFont="1" applyFill="1" applyBorder="1" applyAlignment="1">
      <alignment horizontal="center"/>
    </xf>
    <xf numFmtId="165" fontId="27" fillId="13" borderId="56" xfId="0" applyNumberFormat="1" applyFont="1" applyFill="1" applyBorder="1" applyAlignment="1">
      <alignment horizontal="center"/>
    </xf>
    <xf numFmtId="0" fontId="7" fillId="8" borderId="4" xfId="0" applyFont="1" applyFill="1" applyBorder="1" applyAlignment="1" applyProtection="1">
      <alignment horizontal="center"/>
      <protection locked="0"/>
    </xf>
    <xf numFmtId="0" fontId="7" fillId="4" borderId="68" xfId="0" applyFont="1" applyFill="1" applyBorder="1" applyAlignment="1" applyProtection="1">
      <alignment horizontal="center" vertical="center"/>
      <protection locked="0"/>
    </xf>
    <xf numFmtId="0" fontId="7" fillId="4" borderId="68" xfId="0" applyFont="1" applyFill="1" applyBorder="1" applyAlignment="1" applyProtection="1">
      <alignment horizontal="center"/>
      <protection locked="0"/>
    </xf>
    <xf numFmtId="0" fontId="7" fillId="2" borderId="0" xfId="0" applyFont="1" applyFill="1"/>
    <xf numFmtId="0" fontId="16" fillId="2" borderId="8" xfId="0" applyFont="1" applyFill="1" applyBorder="1"/>
    <xf numFmtId="0" fontId="7"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7" fillId="12" borderId="206" xfId="0" applyFont="1" applyFill="1" applyBorder="1" applyAlignment="1" applyProtection="1">
      <alignment horizontal="center"/>
      <protection locked="0"/>
    </xf>
    <xf numFmtId="0" fontId="7" fillId="0" borderId="0" xfId="0" applyFont="1" applyAlignment="1">
      <alignment horizontal="center"/>
    </xf>
    <xf numFmtId="0" fontId="32" fillId="0" borderId="0" xfId="1" applyFont="1" applyAlignment="1">
      <alignment horizontal="center"/>
    </xf>
    <xf numFmtId="0" fontId="39" fillId="0" borderId="0" xfId="0" applyFont="1"/>
    <xf numFmtId="0" fontId="40" fillId="0" borderId="0" xfId="1" applyFont="1" applyAlignment="1">
      <alignment horizontal="center"/>
    </xf>
    <xf numFmtId="0" fontId="37" fillId="0" borderId="0" xfId="0" applyFont="1" applyAlignment="1">
      <alignment horizontal="center"/>
    </xf>
    <xf numFmtId="0" fontId="35" fillId="0" borderId="0" xfId="0" applyFont="1"/>
    <xf numFmtId="0" fontId="27" fillId="12" borderId="194" xfId="0" applyFont="1" applyFill="1" applyBorder="1" applyProtection="1">
      <protection locked="0"/>
    </xf>
    <xf numFmtId="0" fontId="27" fillId="12" borderId="223" xfId="0" applyFont="1" applyFill="1" applyBorder="1" applyProtection="1">
      <protection locked="0"/>
    </xf>
    <xf numFmtId="0" fontId="27" fillId="12" borderId="206" xfId="0" applyFont="1" applyFill="1" applyBorder="1" applyProtection="1">
      <protection locked="0"/>
    </xf>
    <xf numFmtId="0" fontId="27" fillId="12" borderId="208" xfId="0" applyFont="1" applyFill="1" applyBorder="1" applyProtection="1">
      <protection locked="0"/>
    </xf>
    <xf numFmtId="0" fontId="7" fillId="12" borderId="206" xfId="0" applyFont="1" applyFill="1" applyBorder="1" applyProtection="1">
      <protection locked="0"/>
    </xf>
    <xf numFmtId="0" fontId="27" fillId="12" borderId="224" xfId="0" applyFont="1" applyFill="1" applyBorder="1" applyProtection="1">
      <protection locked="0"/>
    </xf>
    <xf numFmtId="0" fontId="27" fillId="2" borderId="226" xfId="0" applyFont="1" applyFill="1" applyBorder="1" applyProtection="1">
      <protection locked="0"/>
    </xf>
    <xf numFmtId="0" fontId="27" fillId="8" borderId="196" xfId="0" applyFont="1" applyFill="1" applyBorder="1"/>
    <xf numFmtId="0" fontId="7" fillId="9" borderId="1" xfId="0" applyFont="1" applyFill="1" applyBorder="1" applyAlignment="1" applyProtection="1">
      <alignment horizontal="center"/>
      <protection locked="0"/>
    </xf>
    <xf numFmtId="0" fontId="33" fillId="0" borderId="192" xfId="0" applyFont="1" applyBorder="1" applyProtection="1">
      <protection locked="0"/>
    </xf>
    <xf numFmtId="0" fontId="33" fillId="0" borderId="195" xfId="0" applyFont="1" applyBorder="1" applyProtection="1">
      <protection locked="0"/>
    </xf>
    <xf numFmtId="0" fontId="28" fillId="0" borderId="37" xfId="0" applyFont="1" applyBorder="1" applyAlignment="1">
      <alignment horizontal="center"/>
    </xf>
    <xf numFmtId="0" fontId="38" fillId="0" borderId="0" xfId="0" applyFont="1" applyAlignment="1">
      <alignment horizontal="center"/>
    </xf>
    <xf numFmtId="0" fontId="39" fillId="0" borderId="0" xfId="0" applyFont="1" applyAlignment="1">
      <alignment horizontal="center"/>
    </xf>
    <xf numFmtId="0" fontId="7" fillId="0" borderId="3" xfId="0" applyFont="1" applyBorder="1" applyAlignment="1">
      <alignment horizontal="center"/>
    </xf>
    <xf numFmtId="0" fontId="27" fillId="2" borderId="3" xfId="0" applyFont="1" applyFill="1" applyBorder="1" applyAlignment="1">
      <alignment horizontal="center"/>
    </xf>
    <xf numFmtId="0" fontId="15" fillId="2" borderId="0" xfId="0" applyFont="1" applyFill="1" applyProtection="1">
      <protection locked="0"/>
    </xf>
    <xf numFmtId="0" fontId="27" fillId="0" borderId="227" xfId="0" applyFont="1" applyBorder="1" applyAlignment="1">
      <alignment horizontal="center"/>
    </xf>
    <xf numFmtId="0" fontId="27" fillId="10" borderId="50" xfId="0" applyFont="1" applyFill="1" applyBorder="1" applyAlignment="1" applyProtection="1">
      <alignment horizontal="center"/>
      <protection locked="0"/>
    </xf>
    <xf numFmtId="0" fontId="27" fillId="10" borderId="230" xfId="0" applyFont="1" applyFill="1" applyBorder="1" applyAlignment="1" applyProtection="1">
      <alignment horizontal="center"/>
      <protection locked="0"/>
    </xf>
    <xf numFmtId="0" fontId="27" fillId="0" borderId="230" xfId="0" applyFont="1" applyBorder="1" applyProtection="1">
      <protection locked="0"/>
    </xf>
    <xf numFmtId="0" fontId="27" fillId="0" borderId="232" xfId="0" applyFont="1" applyBorder="1" applyProtection="1">
      <protection locked="0"/>
    </xf>
    <xf numFmtId="0" fontId="7" fillId="0" borderId="5" xfId="0" applyFont="1" applyBorder="1"/>
    <xf numFmtId="0" fontId="7" fillId="0" borderId="12" xfId="0" applyFont="1" applyBorder="1"/>
    <xf numFmtId="0" fontId="7" fillId="10" borderId="114" xfId="0" applyFont="1" applyFill="1" applyBorder="1" applyProtection="1">
      <protection locked="0"/>
    </xf>
    <xf numFmtId="0" fontId="7" fillId="10" borderId="228" xfId="0" applyFont="1" applyFill="1" applyBorder="1" applyProtection="1">
      <protection locked="0"/>
    </xf>
    <xf numFmtId="0" fontId="18" fillId="0" borderId="182" xfId="0" applyFont="1" applyBorder="1"/>
    <xf numFmtId="0" fontId="27" fillId="12" borderId="237" xfId="0" applyFont="1" applyFill="1" applyBorder="1" applyProtection="1">
      <protection locked="0"/>
    </xf>
    <xf numFmtId="0" fontId="27" fillId="12" borderId="238" xfId="0" applyFont="1" applyFill="1" applyBorder="1" applyProtection="1">
      <protection locked="0"/>
    </xf>
    <xf numFmtId="0" fontId="27" fillId="12" borderId="239" xfId="0" applyFont="1" applyFill="1" applyBorder="1" applyProtection="1">
      <protection locked="0"/>
    </xf>
    <xf numFmtId="0" fontId="7" fillId="10" borderId="51" xfId="0" applyFont="1" applyFill="1" applyBorder="1" applyProtection="1">
      <protection locked="0"/>
    </xf>
    <xf numFmtId="0" fontId="7" fillId="10" borderId="229" xfId="0" applyFont="1" applyFill="1" applyBorder="1" applyProtection="1">
      <protection locked="0"/>
    </xf>
    <xf numFmtId="0" fontId="27" fillId="12" borderId="240" xfId="0" applyFont="1" applyFill="1" applyBorder="1" applyProtection="1">
      <protection locked="0"/>
    </xf>
    <xf numFmtId="0" fontId="27" fillId="12" borderId="241" xfId="0" applyFont="1" applyFill="1" applyBorder="1" applyProtection="1">
      <protection locked="0"/>
    </xf>
    <xf numFmtId="0" fontId="16" fillId="12" borderId="241" xfId="0" applyFont="1" applyFill="1" applyBorder="1" applyProtection="1">
      <protection locked="0"/>
    </xf>
    <xf numFmtId="0" fontId="13" fillId="0" borderId="12" xfId="0" applyFont="1" applyBorder="1" applyAlignment="1">
      <alignment horizontal="center"/>
    </xf>
    <xf numFmtId="0" fontId="27" fillId="0" borderId="206" xfId="0" applyFont="1" applyBorder="1" applyAlignment="1">
      <alignment horizontal="center"/>
    </xf>
    <xf numFmtId="0" fontId="27" fillId="0" borderId="206" xfId="0" applyFont="1" applyBorder="1" applyProtection="1">
      <protection locked="0"/>
    </xf>
    <xf numFmtId="0" fontId="7" fillId="0" borderId="206" xfId="0" applyFont="1" applyBorder="1"/>
    <xf numFmtId="0" fontId="13" fillId="0" borderId="206" xfId="0" applyFont="1" applyBorder="1" applyAlignment="1">
      <alignment horizontal="center"/>
    </xf>
    <xf numFmtId="0" fontId="27" fillId="12" borderId="207" xfId="0" applyFont="1" applyFill="1" applyBorder="1" applyProtection="1">
      <protection locked="0"/>
    </xf>
    <xf numFmtId="0" fontId="27" fillId="0" borderId="189" xfId="0" applyFont="1" applyBorder="1" applyProtection="1">
      <protection locked="0"/>
    </xf>
    <xf numFmtId="0" fontId="27" fillId="0" borderId="190" xfId="0" applyFont="1" applyBorder="1" applyProtection="1">
      <protection locked="0"/>
    </xf>
    <xf numFmtId="0" fontId="7" fillId="0" borderId="242" xfId="0" applyFont="1" applyBorder="1"/>
    <xf numFmtId="0" fontId="27" fillId="0" borderId="242" xfId="0" applyFont="1" applyBorder="1" applyAlignment="1">
      <alignment horizontal="center"/>
    </xf>
    <xf numFmtId="0" fontId="27" fillId="0" borderId="242" xfId="0" applyFont="1" applyBorder="1"/>
    <xf numFmtId="0" fontId="27" fillId="2" borderId="4" xfId="0" applyFont="1" applyFill="1" applyBorder="1" applyAlignment="1">
      <alignment horizontal="center"/>
    </xf>
    <xf numFmtId="0" fontId="13" fillId="2" borderId="6" xfId="0" applyFont="1" applyFill="1" applyBorder="1" applyAlignment="1">
      <alignment horizontal="center"/>
    </xf>
    <xf numFmtId="0" fontId="7" fillId="2" borderId="12" xfId="0" applyFont="1" applyFill="1" applyBorder="1" applyAlignment="1">
      <alignment horizontal="center"/>
    </xf>
    <xf numFmtId="0" fontId="7" fillId="2" borderId="234" xfId="0" applyFont="1" applyFill="1" applyBorder="1" applyAlignment="1">
      <alignment horizontal="center"/>
    </xf>
    <xf numFmtId="0" fontId="7" fillId="2" borderId="58" xfId="0" applyFont="1" applyFill="1" applyBorder="1" applyAlignment="1">
      <alignment horizontal="center"/>
    </xf>
    <xf numFmtId="0" fontId="7" fillId="2" borderId="53" xfId="0" applyFont="1" applyFill="1" applyBorder="1" applyAlignment="1">
      <alignment horizontal="center"/>
    </xf>
    <xf numFmtId="0" fontId="27" fillId="2" borderId="1" xfId="0" applyFont="1" applyFill="1" applyBorder="1" applyAlignment="1">
      <alignment horizontal="center"/>
    </xf>
    <xf numFmtId="0" fontId="13" fillId="2" borderId="3" xfId="0" applyFont="1" applyFill="1" applyBorder="1" applyAlignment="1">
      <alignment horizontal="center"/>
    </xf>
    <xf numFmtId="0" fontId="27" fillId="2" borderId="10" xfId="0" applyFont="1" applyFill="1" applyBorder="1" applyAlignment="1">
      <alignment horizontal="center"/>
    </xf>
    <xf numFmtId="0" fontId="27" fillId="2" borderId="51" xfId="0" applyFont="1" applyFill="1" applyBorder="1" applyAlignment="1">
      <alignment horizontal="center"/>
    </xf>
    <xf numFmtId="0" fontId="27" fillId="2" borderId="102" xfId="0" applyFont="1" applyFill="1" applyBorder="1" applyAlignment="1">
      <alignment horizontal="center"/>
    </xf>
    <xf numFmtId="0" fontId="7" fillId="2" borderId="236" xfId="0" applyFont="1" applyFill="1" applyBorder="1" applyAlignment="1">
      <alignment horizontal="center"/>
    </xf>
    <xf numFmtId="0" fontId="7" fillId="2" borderId="102" xfId="0" applyFont="1" applyFill="1" applyBorder="1" applyAlignment="1">
      <alignment horizontal="center"/>
    </xf>
    <xf numFmtId="0" fontId="18" fillId="2" borderId="1" xfId="0" applyFont="1" applyFill="1" applyBorder="1" applyAlignment="1">
      <alignment horizontal="center"/>
    </xf>
    <xf numFmtId="0" fontId="27" fillId="2" borderId="188" xfId="0" applyFont="1" applyFill="1" applyBorder="1" applyAlignment="1">
      <alignment horizontal="center"/>
    </xf>
    <xf numFmtId="0" fontId="27" fillId="2" borderId="184" xfId="0" applyFont="1" applyFill="1" applyBorder="1" applyAlignment="1">
      <alignment horizontal="center"/>
    </xf>
    <xf numFmtId="0" fontId="27" fillId="2" borderId="235" xfId="0" applyFont="1" applyFill="1" applyBorder="1" applyAlignment="1">
      <alignment horizontal="center"/>
    </xf>
    <xf numFmtId="0" fontId="27" fillId="2" borderId="58" xfId="0" applyFont="1" applyFill="1" applyBorder="1" applyAlignment="1">
      <alignment horizontal="center"/>
    </xf>
    <xf numFmtId="0" fontId="27" fillId="2" borderId="7" xfId="0" applyFont="1" applyFill="1" applyBorder="1"/>
    <xf numFmtId="164" fontId="27" fillId="2" borderId="8" xfId="0" applyNumberFormat="1" applyFont="1" applyFill="1" applyBorder="1"/>
    <xf numFmtId="164" fontId="27" fillId="2" borderId="0" xfId="0" applyNumberFormat="1" applyFont="1" applyFill="1"/>
    <xf numFmtId="164" fontId="27" fillId="2" borderId="233" xfId="0" applyNumberFormat="1" applyFont="1" applyFill="1" applyBorder="1"/>
    <xf numFmtId="0" fontId="7" fillId="2" borderId="233" xfId="0" applyFont="1" applyFill="1" applyBorder="1"/>
    <xf numFmtId="0" fontId="7" fillId="2" borderId="244" xfId="0" applyFont="1" applyFill="1" applyBorder="1" applyAlignment="1">
      <alignment horizontal="center"/>
    </xf>
    <xf numFmtId="0" fontId="27" fillId="2" borderId="245" xfId="0" applyFont="1" applyFill="1" applyBorder="1" applyAlignment="1">
      <alignment horizontal="center"/>
    </xf>
    <xf numFmtId="0" fontId="18" fillId="2" borderId="246" xfId="0" applyFont="1" applyFill="1" applyBorder="1" applyAlignment="1">
      <alignment horizontal="center"/>
    </xf>
    <xf numFmtId="0" fontId="27" fillId="2" borderId="243" xfId="0" applyFont="1" applyFill="1" applyBorder="1"/>
    <xf numFmtId="0" fontId="13" fillId="2" borderId="245" xfId="0" applyFont="1" applyFill="1" applyBorder="1" applyAlignment="1">
      <alignment horizontal="center"/>
    </xf>
    <xf numFmtId="0" fontId="27" fillId="2" borderId="247" xfId="0" applyFont="1" applyFill="1" applyBorder="1" applyAlignment="1">
      <alignment horizontal="center"/>
    </xf>
    <xf numFmtId="164" fontId="27" fillId="2" borderId="243" xfId="0" applyNumberFormat="1" applyFont="1" applyFill="1" applyBorder="1"/>
    <xf numFmtId="0" fontId="27" fillId="2" borderId="244" xfId="0" applyFont="1" applyFill="1" applyBorder="1" applyAlignment="1">
      <alignment horizontal="center"/>
    </xf>
    <xf numFmtId="0" fontId="7" fillId="2" borderId="249" xfId="0" applyFont="1" applyFill="1" applyBorder="1" applyAlignment="1">
      <alignment horizontal="center"/>
    </xf>
    <xf numFmtId="0" fontId="27" fillId="2" borderId="250" xfId="0" applyFont="1" applyFill="1" applyBorder="1" applyAlignment="1">
      <alignment horizontal="center"/>
    </xf>
    <xf numFmtId="0" fontId="27" fillId="2" borderId="251" xfId="0" applyFont="1" applyFill="1" applyBorder="1" applyAlignment="1">
      <alignment horizontal="center"/>
    </xf>
    <xf numFmtId="164" fontId="27" fillId="2" borderId="252" xfId="0" applyNumberFormat="1" applyFont="1" applyFill="1" applyBorder="1"/>
    <xf numFmtId="0" fontId="7" fillId="2" borderId="250" xfId="0" applyFont="1" applyFill="1" applyBorder="1" applyAlignment="1">
      <alignment horizontal="center"/>
    </xf>
    <xf numFmtId="0" fontId="27" fillId="2" borderId="252" xfId="0" applyFont="1" applyFill="1" applyBorder="1" applyAlignment="1">
      <alignment horizontal="center"/>
    </xf>
    <xf numFmtId="0" fontId="27" fillId="2" borderId="253" xfId="0" applyFont="1" applyFill="1" applyBorder="1" applyAlignment="1">
      <alignment horizontal="center"/>
    </xf>
    <xf numFmtId="0" fontId="7" fillId="2" borderId="254" xfId="0" applyFont="1" applyFill="1" applyBorder="1" applyAlignment="1">
      <alignment horizontal="center"/>
    </xf>
    <xf numFmtId="0" fontId="27" fillId="2" borderId="248" xfId="0" applyFont="1" applyFill="1" applyBorder="1" applyAlignment="1">
      <alignment horizontal="center"/>
    </xf>
    <xf numFmtId="0" fontId="7" fillId="2" borderId="253" xfId="0" applyFont="1" applyFill="1" applyBorder="1" applyAlignment="1">
      <alignment horizontal="center"/>
    </xf>
    <xf numFmtId="0" fontId="7" fillId="2" borderId="248" xfId="0" applyFont="1" applyFill="1" applyBorder="1" applyAlignment="1">
      <alignment horizontal="center"/>
    </xf>
    <xf numFmtId="0" fontId="7" fillId="2" borderId="252" xfId="0" applyFont="1" applyFill="1" applyBorder="1"/>
    <xf numFmtId="0" fontId="16" fillId="2" borderId="256" xfId="0" applyFont="1" applyFill="1" applyBorder="1"/>
    <xf numFmtId="0" fontId="27" fillId="2" borderId="257" xfId="0" applyFont="1" applyFill="1" applyBorder="1"/>
    <xf numFmtId="0" fontId="27" fillId="2" borderId="258" xfId="0" applyFont="1" applyFill="1" applyBorder="1"/>
    <xf numFmtId="164" fontId="27" fillId="2" borderId="256" xfId="0" applyNumberFormat="1" applyFont="1" applyFill="1" applyBorder="1"/>
    <xf numFmtId="164" fontId="27" fillId="2" borderId="258" xfId="0" applyNumberFormat="1" applyFont="1" applyFill="1" applyBorder="1"/>
    <xf numFmtId="164" fontId="27" fillId="2" borderId="259" xfId="0" applyNumberFormat="1" applyFont="1" applyFill="1" applyBorder="1"/>
    <xf numFmtId="164" fontId="27" fillId="2" borderId="260" xfId="0" applyNumberFormat="1" applyFont="1" applyFill="1" applyBorder="1"/>
    <xf numFmtId="164" fontId="27" fillId="2" borderId="255" xfId="0" applyNumberFormat="1" applyFont="1" applyFill="1" applyBorder="1"/>
    <xf numFmtId="0" fontId="7" fillId="2" borderId="259" xfId="0" applyFont="1" applyFill="1" applyBorder="1"/>
    <xf numFmtId="0" fontId="7" fillId="2" borderId="260" xfId="0" applyFont="1" applyFill="1" applyBorder="1"/>
    <xf numFmtId="0" fontId="7" fillId="2" borderId="255" xfId="0" applyFont="1" applyFill="1" applyBorder="1"/>
    <xf numFmtId="0" fontId="7" fillId="2" borderId="262" xfId="0" applyFont="1" applyFill="1" applyBorder="1" applyAlignment="1">
      <alignment horizontal="center"/>
    </xf>
    <xf numFmtId="0" fontId="7" fillId="2" borderId="263" xfId="0" applyFont="1" applyFill="1" applyBorder="1" applyAlignment="1">
      <alignment horizontal="center"/>
    </xf>
    <xf numFmtId="0" fontId="27" fillId="2" borderId="264" xfId="0" applyFont="1" applyFill="1" applyBorder="1" applyAlignment="1">
      <alignment horizontal="center"/>
    </xf>
    <xf numFmtId="0" fontId="7" fillId="2" borderId="265" xfId="0" applyFont="1" applyFill="1" applyBorder="1"/>
    <xf numFmtId="0" fontId="7" fillId="2" borderId="261" xfId="0" applyFont="1" applyFill="1" applyBorder="1"/>
    <xf numFmtId="0" fontId="27" fillId="0" borderId="8" xfId="0" applyFont="1" applyBorder="1"/>
    <xf numFmtId="0" fontId="7" fillId="8" borderId="6" xfId="0" applyFont="1" applyFill="1" applyBorder="1" applyAlignment="1" applyProtection="1">
      <alignment horizontal="center"/>
      <protection locked="0"/>
    </xf>
    <xf numFmtId="0" fontId="7" fillId="4" borderId="267" xfId="0" applyFont="1" applyFill="1" applyBorder="1" applyAlignment="1" applyProtection="1">
      <alignment horizontal="center"/>
      <protection locked="0"/>
    </xf>
    <xf numFmtId="0" fontId="23" fillId="0" borderId="8" xfId="0" applyFont="1" applyBorder="1"/>
    <xf numFmtId="0" fontId="44" fillId="0" borderId="268" xfId="0" applyFont="1" applyBorder="1" applyAlignment="1" applyProtection="1">
      <alignment horizontal="center"/>
      <protection locked="0"/>
    </xf>
    <xf numFmtId="0" fontId="45" fillId="0" borderId="269" xfId="0" applyFont="1" applyBorder="1" applyAlignment="1" applyProtection="1">
      <alignment horizontal="center"/>
      <protection locked="0"/>
    </xf>
    <xf numFmtId="0" fontId="47" fillId="0" borderId="271" xfId="0" applyFont="1" applyBorder="1" applyAlignment="1" applyProtection="1">
      <alignment horizontal="center"/>
      <protection locked="0"/>
    </xf>
    <xf numFmtId="0" fontId="7" fillId="9" borderId="270" xfId="0" applyFont="1" applyFill="1" applyBorder="1" applyAlignment="1" applyProtection="1">
      <alignment horizontal="center"/>
      <protection locked="0"/>
    </xf>
    <xf numFmtId="0" fontId="46" fillId="0" borderId="269" xfId="0" applyFont="1" applyBorder="1" applyAlignment="1" applyProtection="1">
      <alignment horizontal="center"/>
      <protection locked="0"/>
    </xf>
    <xf numFmtId="0" fontId="33" fillId="0" borderId="206" xfId="0" applyFont="1" applyBorder="1" applyProtection="1">
      <protection locked="0"/>
    </xf>
    <xf numFmtId="0" fontId="33" fillId="0" borderId="206" xfId="0" applyFont="1" applyBorder="1" applyAlignment="1" applyProtection="1">
      <alignment horizontal="center"/>
      <protection locked="0"/>
    </xf>
    <xf numFmtId="164" fontId="41" fillId="0" borderId="206" xfId="0" applyNumberFormat="1" applyFont="1" applyBorder="1" applyAlignment="1">
      <alignment horizontal="center"/>
    </xf>
    <xf numFmtId="0" fontId="33" fillId="0" borderId="206" xfId="0" applyFont="1" applyBorder="1"/>
    <xf numFmtId="0" fontId="7" fillId="2" borderId="0" xfId="0" applyFont="1" applyFill="1" applyAlignment="1" applyProtection="1">
      <alignment horizontal="center"/>
      <protection locked="0"/>
    </xf>
    <xf numFmtId="0" fontId="33" fillId="2" borderId="206" xfId="0" applyFont="1" applyFill="1" applyBorder="1" applyAlignment="1" applyProtection="1">
      <alignment horizontal="center"/>
      <protection locked="0"/>
    </xf>
    <xf numFmtId="164" fontId="27" fillId="0" borderId="273" xfId="0" applyNumberFormat="1" applyFont="1" applyBorder="1" applyAlignment="1">
      <alignment horizontal="center"/>
    </xf>
    <xf numFmtId="0" fontId="27" fillId="0" borderId="272" xfId="0" applyFont="1" applyBorder="1" applyAlignment="1">
      <alignment horizontal="center"/>
    </xf>
    <xf numFmtId="164" fontId="27" fillId="0" borderId="274" xfId="0" applyNumberFormat="1" applyFont="1" applyBorder="1" applyAlignment="1">
      <alignment horizontal="center"/>
    </xf>
    <xf numFmtId="164" fontId="27" fillId="0" borderId="206" xfId="0" applyNumberFormat="1" applyFont="1" applyBorder="1" applyAlignment="1">
      <alignment horizontal="center"/>
    </xf>
    <xf numFmtId="164" fontId="27" fillId="0" borderId="275" xfId="0" applyNumberFormat="1" applyFont="1" applyBorder="1" applyAlignment="1">
      <alignment horizontal="center"/>
    </xf>
    <xf numFmtId="0" fontId="41" fillId="0" borderId="207" xfId="0" applyFont="1" applyBorder="1" applyAlignment="1">
      <alignment horizontal="center"/>
    </xf>
    <xf numFmtId="0" fontId="27" fillId="0" borderId="207" xfId="0" applyFont="1" applyBorder="1" applyAlignment="1">
      <alignment horizontal="center"/>
    </xf>
    <xf numFmtId="0" fontId="27" fillId="0" borderId="277" xfId="0" applyFont="1" applyBorder="1" applyAlignment="1">
      <alignment horizontal="center"/>
    </xf>
    <xf numFmtId="0" fontId="41" fillId="14" borderId="217" xfId="0" applyFont="1" applyFill="1" applyBorder="1" applyAlignment="1" applyProtection="1">
      <alignment horizontal="center"/>
      <protection locked="0"/>
    </xf>
    <xf numFmtId="0" fontId="7" fillId="2" borderId="217" xfId="0" applyFont="1" applyFill="1" applyBorder="1" applyAlignment="1">
      <alignment horizontal="center"/>
    </xf>
    <xf numFmtId="0" fontId="7" fillId="2" borderId="276" xfId="0" applyFont="1" applyFill="1" applyBorder="1" applyAlignment="1">
      <alignment horizontal="center"/>
    </xf>
    <xf numFmtId="1" fontId="33" fillId="14" borderId="211" xfId="0" applyNumberFormat="1" applyFont="1" applyFill="1" applyBorder="1" applyAlignment="1" applyProtection="1">
      <alignment horizontal="center"/>
      <protection locked="0"/>
    </xf>
    <xf numFmtId="0" fontId="41" fillId="14" borderId="199" xfId="0" applyFont="1" applyFill="1" applyBorder="1" applyProtection="1">
      <protection locked="0"/>
    </xf>
    <xf numFmtId="0" fontId="7" fillId="2" borderId="199" xfId="0" applyFont="1" applyFill="1" applyBorder="1"/>
    <xf numFmtId="0" fontId="7" fillId="2" borderId="279" xfId="0" applyFont="1" applyFill="1" applyBorder="1"/>
    <xf numFmtId="0" fontId="41" fillId="14" borderId="280" xfId="0" applyFont="1" applyFill="1" applyBorder="1" applyAlignment="1">
      <alignment horizontal="center"/>
    </xf>
    <xf numFmtId="0" fontId="28" fillId="2" borderId="199" xfId="0" applyFont="1" applyFill="1" applyBorder="1"/>
    <xf numFmtId="0" fontId="28" fillId="2" borderId="207" xfId="0" applyFont="1" applyFill="1" applyBorder="1" applyAlignment="1">
      <alignment horizontal="center"/>
    </xf>
    <xf numFmtId="0" fontId="7" fillId="2" borderId="207" xfId="0" applyFont="1" applyFill="1" applyBorder="1" applyAlignment="1">
      <alignment horizontal="center"/>
    </xf>
    <xf numFmtId="0" fontId="7" fillId="2" borderId="277" xfId="0" applyFont="1" applyFill="1" applyBorder="1" applyAlignment="1">
      <alignment horizontal="center"/>
    </xf>
    <xf numFmtId="0" fontId="33" fillId="2" borderId="217" xfId="0" applyFont="1" applyFill="1" applyBorder="1" applyAlignment="1" applyProtection="1">
      <alignment horizontal="center"/>
      <protection locked="0"/>
    </xf>
    <xf numFmtId="0" fontId="33" fillId="0" borderId="217" xfId="0" applyFont="1" applyBorder="1" applyProtection="1">
      <protection locked="0"/>
    </xf>
    <xf numFmtId="0" fontId="41" fillId="0" borderId="211" xfId="0" applyFont="1" applyBorder="1" applyAlignment="1">
      <alignment horizontal="center"/>
    </xf>
    <xf numFmtId="0" fontId="7" fillId="2" borderId="211" xfId="0" applyFont="1" applyFill="1" applyBorder="1" applyAlignment="1">
      <alignment horizontal="center"/>
    </xf>
    <xf numFmtId="0" fontId="7" fillId="2" borderId="278" xfId="0" applyFont="1" applyFill="1" applyBorder="1" applyAlignment="1">
      <alignment horizontal="center"/>
    </xf>
    <xf numFmtId="0" fontId="7" fillId="12" borderId="217" xfId="0" applyFont="1" applyFill="1" applyBorder="1" applyProtection="1">
      <protection locked="0"/>
    </xf>
    <xf numFmtId="0" fontId="7" fillId="12" borderId="206" xfId="0" applyFont="1" applyFill="1" applyBorder="1"/>
    <xf numFmtId="0" fontId="7" fillId="12" borderId="199" xfId="0" applyFont="1" applyFill="1" applyBorder="1" applyAlignment="1" applyProtection="1">
      <alignment horizontal="center"/>
      <protection locked="0"/>
    </xf>
    <xf numFmtId="0" fontId="7" fillId="12" borderId="276" xfId="0" applyFont="1" applyFill="1" applyBorder="1" applyProtection="1">
      <protection locked="0"/>
    </xf>
    <xf numFmtId="0" fontId="7" fillId="12" borderId="275" xfId="0" applyFont="1" applyFill="1" applyBorder="1" applyProtection="1">
      <protection locked="0"/>
    </xf>
    <xf numFmtId="0" fontId="7" fillId="12" borderId="275" xfId="0" applyFont="1" applyFill="1" applyBorder="1"/>
    <xf numFmtId="0" fontId="7" fillId="12" borderId="275" xfId="0" applyFont="1" applyFill="1" applyBorder="1" applyAlignment="1" applyProtection="1">
      <alignment horizontal="center"/>
      <protection locked="0"/>
    </xf>
    <xf numFmtId="0" fontId="7" fillId="12" borderId="279" xfId="0" applyFont="1" applyFill="1" applyBorder="1" applyAlignment="1" applyProtection="1">
      <alignment horizontal="center"/>
      <protection locked="0"/>
    </xf>
    <xf numFmtId="0" fontId="7" fillId="12" borderId="211" xfId="0" applyFont="1" applyFill="1" applyBorder="1" applyAlignment="1" applyProtection="1">
      <alignment horizontal="center"/>
      <protection locked="0"/>
    </xf>
    <xf numFmtId="0" fontId="7" fillId="12" borderId="278" xfId="0" applyFont="1" applyFill="1" applyBorder="1" applyAlignment="1" applyProtection="1">
      <alignment horizontal="center"/>
      <protection locked="0"/>
    </xf>
    <xf numFmtId="0" fontId="7" fillId="12" borderId="217" xfId="0" applyFont="1" applyFill="1" applyBorder="1" applyAlignment="1" applyProtection="1">
      <alignment horizontal="center"/>
      <protection locked="0"/>
    </xf>
    <xf numFmtId="0" fontId="7" fillId="12" borderId="276" xfId="0" applyFont="1" applyFill="1" applyBorder="1" applyAlignment="1" applyProtection="1">
      <alignment horizontal="center"/>
      <protection locked="0"/>
    </xf>
    <xf numFmtId="0" fontId="33" fillId="0" borderId="199" xfId="0" applyFont="1" applyBorder="1" applyAlignment="1" applyProtection="1">
      <alignment horizontal="center"/>
      <protection locked="0"/>
    </xf>
    <xf numFmtId="0" fontId="33" fillId="0" borderId="283" xfId="0" applyFont="1" applyBorder="1" applyAlignment="1" applyProtection="1">
      <alignment horizontal="center"/>
      <protection locked="0"/>
    </xf>
    <xf numFmtId="0" fontId="33" fillId="0" borderId="284" xfId="0" applyFont="1" applyBorder="1" applyAlignment="1" applyProtection="1">
      <alignment horizontal="center"/>
      <protection locked="0"/>
    </xf>
    <xf numFmtId="0" fontId="27" fillId="12" borderId="284" xfId="0" applyFont="1" applyFill="1" applyBorder="1" applyAlignment="1" applyProtection="1">
      <alignment horizontal="center"/>
      <protection locked="0"/>
    </xf>
    <xf numFmtId="0" fontId="27" fillId="12" borderId="282" xfId="0" applyFont="1" applyFill="1" applyBorder="1" applyAlignment="1" applyProtection="1">
      <alignment horizontal="center"/>
      <protection locked="0"/>
    </xf>
    <xf numFmtId="0" fontId="27" fillId="12" borderId="285" xfId="0" applyFont="1" applyFill="1" applyBorder="1" applyAlignment="1" applyProtection="1">
      <alignment horizontal="center"/>
      <protection locked="0"/>
    </xf>
    <xf numFmtId="0" fontId="27" fillId="12" borderId="286" xfId="0" applyFont="1" applyFill="1" applyBorder="1" applyAlignment="1" applyProtection="1">
      <alignment horizontal="center"/>
      <protection locked="0"/>
    </xf>
    <xf numFmtId="0" fontId="27" fillId="12" borderId="145" xfId="0" applyFont="1" applyFill="1" applyBorder="1" applyAlignment="1" applyProtection="1">
      <alignment horizontal="center"/>
      <protection locked="0"/>
    </xf>
    <xf numFmtId="0" fontId="27" fillId="12" borderId="287" xfId="0" applyFont="1" applyFill="1" applyBorder="1" applyAlignment="1" applyProtection="1">
      <alignment horizontal="center"/>
      <protection locked="0"/>
    </xf>
    <xf numFmtId="0" fontId="27" fillId="12" borderId="288" xfId="0" applyFont="1" applyFill="1" applyBorder="1" applyAlignment="1" applyProtection="1">
      <alignment horizontal="center"/>
      <protection locked="0"/>
    </xf>
    <xf numFmtId="0" fontId="27" fillId="12" borderId="289" xfId="0" applyFont="1" applyFill="1" applyBorder="1" applyAlignment="1" applyProtection="1">
      <alignment horizontal="center"/>
      <protection locked="0"/>
    </xf>
    <xf numFmtId="0" fontId="12" fillId="0" borderId="0" xfId="0" applyFont="1" applyProtection="1">
      <protection locked="0"/>
    </xf>
    <xf numFmtId="0" fontId="15" fillId="0" borderId="233" xfId="0" applyFont="1" applyBorder="1"/>
    <xf numFmtId="0" fontId="15" fillId="0" borderId="233" xfId="0" applyFont="1" applyBorder="1" applyAlignment="1">
      <alignment horizontal="center"/>
    </xf>
    <xf numFmtId="0" fontId="50" fillId="0" borderId="268" xfId="0" applyFont="1" applyBorder="1" applyAlignment="1" applyProtection="1">
      <alignment horizontal="center" vertical="center"/>
      <protection locked="0"/>
    </xf>
    <xf numFmtId="165" fontId="7" fillId="6" borderId="199" xfId="0" applyNumberFormat="1" applyFont="1" applyFill="1" applyBorder="1" applyAlignment="1">
      <alignment horizontal="center"/>
    </xf>
    <xf numFmtId="164" fontId="7" fillId="2" borderId="280" xfId="0" applyNumberFormat="1" applyFont="1" applyFill="1" applyBorder="1" applyAlignment="1">
      <alignment horizontal="center"/>
    </xf>
    <xf numFmtId="164" fontId="7" fillId="2" borderId="281" xfId="0" applyNumberFormat="1" applyFont="1" applyFill="1" applyBorder="1" applyAlignment="1">
      <alignment horizontal="center"/>
    </xf>
    <xf numFmtId="164" fontId="7" fillId="2" borderId="207" xfId="0" applyNumberFormat="1" applyFont="1" applyFill="1" applyBorder="1" applyAlignment="1">
      <alignment horizontal="center"/>
    </xf>
    <xf numFmtId="164" fontId="7" fillId="2" borderId="277" xfId="0" applyNumberFormat="1" applyFont="1" applyFill="1" applyBorder="1" applyAlignment="1">
      <alignment horizontal="center"/>
    </xf>
    <xf numFmtId="0" fontId="6" fillId="12" borderId="217" xfId="0" applyFont="1" applyFill="1" applyBorder="1" applyProtection="1">
      <protection locked="0"/>
    </xf>
    <xf numFmtId="49" fontId="7" fillId="0" borderId="0" xfId="0" applyNumberFormat="1" applyFont="1" applyAlignment="1">
      <alignment horizontal="center"/>
    </xf>
    <xf numFmtId="49" fontId="5" fillId="0" borderId="0" xfId="0" applyNumberFormat="1" applyFont="1" applyAlignment="1">
      <alignment horizontal="center"/>
    </xf>
    <xf numFmtId="0" fontId="5" fillId="0" borderId="0" xfId="0" applyFont="1"/>
    <xf numFmtId="0" fontId="27" fillId="12" borderId="290" xfId="0" applyFont="1" applyFill="1" applyBorder="1" applyProtection="1">
      <protection locked="0"/>
    </xf>
    <xf numFmtId="0" fontId="27" fillId="12" borderId="5" xfId="0" applyFont="1" applyFill="1" applyBorder="1" applyProtection="1">
      <protection locked="0"/>
    </xf>
    <xf numFmtId="0" fontId="27" fillId="12" borderId="291" xfId="0" applyFont="1" applyFill="1" applyBorder="1" applyProtection="1">
      <protection locked="0"/>
    </xf>
    <xf numFmtId="0" fontId="7" fillId="2" borderId="0" xfId="0" applyFont="1" applyFill="1" applyAlignment="1">
      <alignment horizontal="center" vertical="center"/>
    </xf>
    <xf numFmtId="0" fontId="25" fillId="2" borderId="0" xfId="0" applyFont="1" applyFill="1"/>
    <xf numFmtId="0" fontId="48" fillId="2" borderId="0" xfId="0" applyFont="1" applyFill="1"/>
    <xf numFmtId="0" fontId="48" fillId="2" borderId="293" xfId="0" applyFont="1" applyFill="1" applyBorder="1" applyProtection="1">
      <protection locked="0"/>
    </xf>
    <xf numFmtId="0" fontId="15" fillId="2" borderId="11" xfId="0" applyFont="1" applyFill="1" applyBorder="1"/>
    <xf numFmtId="0" fontId="49" fillId="0" borderId="269" xfId="0" applyFont="1" applyBorder="1" applyAlignment="1" applyProtection="1">
      <alignment horizontal="center"/>
      <protection locked="0"/>
    </xf>
    <xf numFmtId="0" fontId="28" fillId="7" borderId="294" xfId="0" applyFont="1" applyFill="1" applyBorder="1" applyAlignment="1">
      <alignment horizontal="center" vertical="center"/>
    </xf>
    <xf numFmtId="0" fontId="7" fillId="8" borderId="295" xfId="0" applyFont="1" applyFill="1" applyBorder="1" applyAlignment="1" applyProtection="1">
      <alignment horizontal="center"/>
      <protection locked="0"/>
    </xf>
    <xf numFmtId="0" fontId="28" fillId="8" borderId="296" xfId="0" applyFont="1" applyFill="1" applyBorder="1" applyAlignment="1">
      <alignment horizontal="center"/>
    </xf>
    <xf numFmtId="0" fontId="7" fillId="9" borderId="294" xfId="0" applyFont="1" applyFill="1" applyBorder="1" applyAlignment="1" applyProtection="1">
      <alignment horizontal="center"/>
      <protection locked="0"/>
    </xf>
    <xf numFmtId="0" fontId="28" fillId="9" borderId="294" xfId="0" applyFont="1" applyFill="1" applyBorder="1" applyAlignment="1">
      <alignment horizontal="center"/>
    </xf>
    <xf numFmtId="0" fontId="7" fillId="4" borderId="297" xfId="0" applyFont="1" applyFill="1" applyBorder="1" applyAlignment="1" applyProtection="1">
      <alignment horizontal="center" vertical="center"/>
      <protection locked="0"/>
    </xf>
    <xf numFmtId="0" fontId="22" fillId="12" borderId="298" xfId="0" applyFont="1" applyFill="1" applyBorder="1" applyProtection="1">
      <protection locked="0"/>
    </xf>
    <xf numFmtId="0" fontId="25" fillId="12" borderId="299" xfId="0" applyFont="1" applyFill="1" applyBorder="1" applyProtection="1">
      <protection locked="0"/>
    </xf>
    <xf numFmtId="0" fontId="27" fillId="12" borderId="299" xfId="0" applyFont="1" applyFill="1" applyBorder="1" applyProtection="1">
      <protection locked="0"/>
    </xf>
    <xf numFmtId="0" fontId="27" fillId="12" borderId="295" xfId="0" applyFont="1" applyFill="1" applyBorder="1" applyProtection="1">
      <protection locked="0"/>
    </xf>
    <xf numFmtId="0" fontId="27" fillId="12" borderId="300" xfId="0" applyFont="1" applyFill="1" applyBorder="1" applyProtection="1">
      <protection locked="0"/>
    </xf>
    <xf numFmtId="0" fontId="27" fillId="12" borderId="301" xfId="0" applyFont="1" applyFill="1" applyBorder="1" applyProtection="1">
      <protection locked="0"/>
    </xf>
    <xf numFmtId="0" fontId="27" fillId="12" borderId="302" xfId="0" applyFont="1" applyFill="1" applyBorder="1" applyProtection="1">
      <protection locked="0"/>
    </xf>
    <xf numFmtId="0" fontId="27" fillId="12" borderId="303" xfId="0" applyFont="1" applyFill="1" applyBorder="1" applyProtection="1">
      <protection locked="0"/>
    </xf>
    <xf numFmtId="0" fontId="27" fillId="12" borderId="304" xfId="0" applyFont="1" applyFill="1" applyBorder="1" applyProtection="1">
      <protection locked="0"/>
    </xf>
    <xf numFmtId="0" fontId="27" fillId="12" borderId="266" xfId="0" applyFont="1" applyFill="1" applyBorder="1" applyProtection="1">
      <protection locked="0"/>
    </xf>
    <xf numFmtId="0" fontId="25" fillId="12" borderId="70" xfId="0" applyFont="1" applyFill="1" applyBorder="1" applyProtection="1">
      <protection locked="0"/>
    </xf>
    <xf numFmtId="0" fontId="25" fillId="12" borderId="305" xfId="0" applyFont="1" applyFill="1" applyBorder="1" applyProtection="1">
      <protection locked="0"/>
    </xf>
    <xf numFmtId="0" fontId="4" fillId="2" borderId="11" xfId="0" applyFont="1" applyFill="1" applyBorder="1"/>
    <xf numFmtId="0" fontId="4" fillId="2" borderId="0" xfId="0" applyFont="1" applyFill="1"/>
    <xf numFmtId="0" fontId="4" fillId="2" borderId="24" xfId="0" applyFont="1" applyFill="1" applyBorder="1"/>
    <xf numFmtId="0" fontId="4" fillId="2" borderId="17" xfId="0" applyFont="1" applyFill="1" applyBorder="1"/>
    <xf numFmtId="0" fontId="4" fillId="10" borderId="16" xfId="0" applyFont="1" applyFill="1" applyBorder="1" applyProtection="1">
      <protection locked="0"/>
    </xf>
    <xf numFmtId="0" fontId="4" fillId="2" borderId="25" xfId="0" applyFont="1" applyFill="1" applyBorder="1"/>
    <xf numFmtId="0" fontId="4" fillId="2" borderId="3" xfId="0" applyFont="1" applyFill="1" applyBorder="1"/>
    <xf numFmtId="0" fontId="4" fillId="10" borderId="18" xfId="0" applyFont="1" applyFill="1" applyBorder="1" applyProtection="1">
      <protection locked="0"/>
    </xf>
    <xf numFmtId="0" fontId="4" fillId="2" borderId="306" xfId="0" applyFont="1" applyFill="1" applyBorder="1"/>
    <xf numFmtId="0" fontId="4" fillId="2" borderId="23" xfId="0" applyFont="1" applyFill="1" applyBorder="1"/>
    <xf numFmtId="0" fontId="4" fillId="10" borderId="120" xfId="0" applyFont="1" applyFill="1" applyBorder="1" applyProtection="1">
      <protection locked="0"/>
    </xf>
    <xf numFmtId="165" fontId="7" fillId="6" borderId="279" xfId="0" applyNumberFormat="1" applyFont="1" applyFill="1" applyBorder="1" applyAlignment="1">
      <alignment horizontal="center"/>
    </xf>
    <xf numFmtId="0" fontId="28" fillId="2" borderId="307" xfId="0" applyFont="1" applyFill="1" applyBorder="1"/>
    <xf numFmtId="0" fontId="27" fillId="6" borderId="141" xfId="0" applyFont="1" applyFill="1" applyBorder="1" applyAlignment="1">
      <alignment horizontal="center"/>
    </xf>
    <xf numFmtId="0" fontId="27" fillId="6" borderId="308" xfId="0" applyFont="1" applyFill="1" applyBorder="1"/>
    <xf numFmtId="0" fontId="27" fillId="12" borderId="226" xfId="0" applyFont="1" applyFill="1" applyBorder="1" applyProtection="1">
      <protection locked="0"/>
    </xf>
    <xf numFmtId="0" fontId="27" fillId="12" borderId="150" xfId="0" applyFont="1" applyFill="1" applyBorder="1"/>
    <xf numFmtId="0" fontId="27" fillId="12" borderId="221" xfId="0" applyFont="1" applyFill="1" applyBorder="1" applyProtection="1">
      <protection locked="0"/>
    </xf>
    <xf numFmtId="0" fontId="27" fillId="12" borderId="309" xfId="0" applyFont="1" applyFill="1" applyBorder="1" applyAlignment="1" applyProtection="1">
      <alignment horizontal="center"/>
      <protection locked="0"/>
    </xf>
    <xf numFmtId="0" fontId="27" fillId="0" borderId="288" xfId="0" applyFont="1" applyBorder="1" applyAlignment="1">
      <alignment horizontal="center"/>
    </xf>
    <xf numFmtId="164" fontId="27" fillId="0" borderId="42" xfId="0" applyNumberFormat="1" applyFont="1" applyBorder="1" applyAlignment="1">
      <alignment horizontal="center"/>
    </xf>
    <xf numFmtId="0" fontId="27" fillId="0" borderId="44" xfId="0" applyFont="1" applyBorder="1" applyAlignment="1" applyProtection="1">
      <alignment horizontal="center"/>
      <protection locked="0"/>
    </xf>
    <xf numFmtId="0" fontId="27" fillId="0" borderId="286" xfId="0" applyFont="1" applyBorder="1" applyAlignment="1">
      <alignment horizontal="center"/>
    </xf>
    <xf numFmtId="0" fontId="27" fillId="0" borderId="282" xfId="0" applyFont="1" applyBorder="1" applyAlignment="1">
      <alignment horizontal="center"/>
    </xf>
    <xf numFmtId="0" fontId="27" fillId="5" borderId="141" xfId="0" applyFont="1" applyFill="1" applyBorder="1" applyAlignment="1">
      <alignment horizontal="center"/>
    </xf>
    <xf numFmtId="0" fontId="27" fillId="5" borderId="308" xfId="0" applyFont="1" applyFill="1" applyBorder="1"/>
    <xf numFmtId="0" fontId="28" fillId="0" borderId="310" xfId="0" applyFont="1" applyBorder="1"/>
    <xf numFmtId="0" fontId="7" fillId="12" borderId="226" xfId="0" applyFont="1" applyFill="1" applyBorder="1" applyProtection="1">
      <protection locked="0"/>
    </xf>
    <xf numFmtId="0" fontId="27" fillId="0" borderId="80" xfId="0" applyFont="1" applyBorder="1" applyAlignment="1">
      <alignment horizontal="center"/>
    </xf>
    <xf numFmtId="0" fontId="7" fillId="12" borderId="208" xfId="0" applyFont="1" applyFill="1" applyBorder="1" applyProtection="1">
      <protection locked="0"/>
    </xf>
    <xf numFmtId="0" fontId="27" fillId="9" borderId="308" xfId="0" applyFont="1" applyFill="1" applyBorder="1"/>
    <xf numFmtId="0" fontId="27" fillId="9" borderId="130" xfId="0" applyFont="1" applyFill="1" applyBorder="1" applyAlignment="1">
      <alignment horizontal="center"/>
    </xf>
    <xf numFmtId="0" fontId="27" fillId="12" borderId="220" xfId="0" applyFont="1" applyFill="1" applyBorder="1" applyProtection="1">
      <protection locked="0"/>
    </xf>
    <xf numFmtId="0" fontId="27" fillId="12" borderId="153" xfId="0" applyFont="1" applyFill="1" applyBorder="1"/>
    <xf numFmtId="0" fontId="27" fillId="7" borderId="308" xfId="0" applyFont="1" applyFill="1" applyBorder="1"/>
    <xf numFmtId="0" fontId="27" fillId="12" borderId="62" xfId="0" applyFont="1" applyFill="1" applyBorder="1" applyProtection="1">
      <protection locked="0"/>
    </xf>
    <xf numFmtId="0" fontId="27" fillId="0" borderId="53" xfId="0" applyFont="1" applyBorder="1"/>
    <xf numFmtId="0" fontId="27" fillId="0" borderId="236" xfId="0" applyFont="1" applyBorder="1"/>
    <xf numFmtId="164" fontId="27" fillId="2" borderId="311" xfId="0" applyNumberFormat="1" applyFont="1" applyFill="1" applyBorder="1"/>
    <xf numFmtId="0" fontId="0" fillId="2" borderId="312" xfId="0" applyFill="1" applyBorder="1"/>
    <xf numFmtId="0" fontId="4" fillId="7" borderId="3" xfId="0" applyFont="1" applyFill="1" applyBorder="1" applyAlignment="1" applyProtection="1">
      <alignment horizontal="center" vertical="center"/>
      <protection locked="0"/>
    </xf>
    <xf numFmtId="0" fontId="4" fillId="7" borderId="1" xfId="0" applyFont="1" applyFill="1" applyBorder="1" applyAlignment="1" applyProtection="1">
      <alignment horizontal="center" vertical="center"/>
      <protection locked="0"/>
    </xf>
    <xf numFmtId="0" fontId="4" fillId="7" borderId="294" xfId="0" applyFont="1" applyFill="1" applyBorder="1" applyAlignment="1" applyProtection="1">
      <alignment horizontal="center" vertical="center"/>
      <protection locked="0"/>
    </xf>
    <xf numFmtId="0" fontId="3" fillId="0" borderId="0" xfId="0" applyFont="1"/>
    <xf numFmtId="0" fontId="2" fillId="5" borderId="292"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6" borderId="4"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166" fontId="27" fillId="2" borderId="78" xfId="0" applyNumberFormat="1" applyFont="1" applyFill="1" applyBorder="1"/>
    <xf numFmtId="166" fontId="27" fillId="0" borderId="5" xfId="0" applyNumberFormat="1" applyFont="1" applyBorder="1" applyAlignment="1">
      <alignment horizontal="center"/>
    </xf>
    <xf numFmtId="166" fontId="27" fillId="0" borderId="231" xfId="0" applyNumberFormat="1" applyFont="1" applyBorder="1" applyAlignment="1">
      <alignment horizontal="center"/>
    </xf>
    <xf numFmtId="0" fontId="1" fillId="2" borderId="0" xfId="0" applyFont="1" applyFill="1"/>
    <xf numFmtId="0" fontId="28" fillId="2" borderId="0" xfId="0" applyFont="1" applyFill="1" applyAlignment="1">
      <alignment horizontal="left"/>
    </xf>
    <xf numFmtId="0" fontId="27" fillId="0" borderId="11" xfId="0" applyFont="1" applyBorder="1"/>
    <xf numFmtId="0" fontId="27" fillId="0" borderId="9" xfId="0" applyFont="1" applyBorder="1"/>
    <xf numFmtId="0" fontId="27" fillId="0" borderId="15" xfId="0" applyFont="1" applyBorder="1"/>
    <xf numFmtId="0" fontId="27" fillId="0" borderId="17" xfId="0" applyFont="1" applyBorder="1"/>
    <xf numFmtId="0" fontId="27" fillId="0" borderId="10" xfId="0" applyFont="1" applyBorder="1"/>
    <xf numFmtId="0" fontId="27" fillId="0" borderId="3" xfId="0" applyFont="1" applyBorder="1"/>
    <xf numFmtId="0" fontId="27" fillId="3" borderId="20" xfId="0" applyFont="1" applyFill="1" applyBorder="1"/>
    <xf numFmtId="0" fontId="27" fillId="3" borderId="11" xfId="0" applyFont="1" applyFill="1" applyBorder="1"/>
    <xf numFmtId="0" fontId="27" fillId="3" borderId="74" xfId="0" applyFont="1" applyFill="1" applyBorder="1"/>
    <xf numFmtId="0" fontId="27" fillId="3" borderId="75" xfId="0" applyFont="1" applyFill="1" applyBorder="1"/>
    <xf numFmtId="0" fontId="28" fillId="0" borderId="0" xfId="0" applyFont="1" applyAlignment="1">
      <alignment horizontal="left"/>
    </xf>
    <xf numFmtId="0" fontId="27" fillId="0" borderId="25" xfId="0" applyFont="1" applyBorder="1"/>
    <xf numFmtId="0" fontId="28" fillId="0" borderId="12" xfId="0" applyFont="1" applyBorder="1"/>
    <xf numFmtId="0" fontId="28" fillId="0" borderId="6"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5" hidden="1" customWidth="1"/>
    <col min="3" max="3" width="13.33203125" style="275" customWidth="1"/>
    <col min="4" max="4" width="13.33203125" style="294" customWidth="1"/>
    <col min="5" max="5" width="12.6640625" style="275" customWidth="1"/>
    <col min="6" max="6" width="10.83203125" style="294"/>
    <col min="7" max="7" width="10.83203125" style="275"/>
    <col min="8" max="8" width="10.83203125" style="294"/>
    <col min="9" max="9" width="12.33203125" style="275" customWidth="1"/>
    <col min="10" max="12" width="10.83203125" style="275"/>
    <col min="13" max="13" width="12.5" style="275" customWidth="1"/>
    <col min="14" max="14" width="12" style="275" customWidth="1"/>
    <col min="15" max="15" width="13" style="275" customWidth="1"/>
    <col min="16" max="16" width="13.83203125" style="275" customWidth="1"/>
    <col min="17" max="17" width="12.6640625" style="275" customWidth="1"/>
    <col min="18" max="16384" width="10.83203125" style="275"/>
  </cols>
  <sheetData>
    <row r="1" spans="1:22" s="425" customFormat="1">
      <c r="A1" s="449" t="s">
        <v>12</v>
      </c>
      <c r="B1" s="480" t="s">
        <v>21</v>
      </c>
      <c r="C1" s="503" t="s">
        <v>2016</v>
      </c>
      <c r="D1" s="481" t="s">
        <v>480</v>
      </c>
      <c r="E1" s="503" t="s">
        <v>2017</v>
      </c>
      <c r="F1" s="481" t="s">
        <v>481</v>
      </c>
      <c r="G1" s="503" t="s">
        <v>2018</v>
      </c>
      <c r="H1" s="481" t="s">
        <v>482</v>
      </c>
      <c r="I1" s="503" t="s">
        <v>2019</v>
      </c>
      <c r="J1" s="482" t="s">
        <v>483</v>
      </c>
      <c r="K1" s="511" t="s">
        <v>2020</v>
      </c>
      <c r="L1" s="483" t="s">
        <v>484</v>
      </c>
      <c r="M1" s="515" t="s">
        <v>2021</v>
      </c>
      <c r="N1" s="482" t="s">
        <v>485</v>
      </c>
      <c r="O1" s="511" t="s">
        <v>2022</v>
      </c>
      <c r="P1" s="484" t="s">
        <v>486</v>
      </c>
      <c r="Q1" s="518" t="s">
        <v>2023</v>
      </c>
      <c r="R1" s="485" t="s">
        <v>487</v>
      </c>
      <c r="S1" s="520" t="s">
        <v>2024</v>
      </c>
      <c r="T1" s="484" t="s">
        <v>488</v>
      </c>
      <c r="U1" s="518" t="s">
        <v>2025</v>
      </c>
      <c r="V1" s="534" t="s">
        <v>489</v>
      </c>
    </row>
    <row r="2" spans="1:22" s="425" customFormat="1" hidden="1">
      <c r="A2" s="449"/>
      <c r="B2" s="486" t="s">
        <v>11</v>
      </c>
      <c r="C2" s="504">
        <v>1</v>
      </c>
      <c r="D2" s="487">
        <v>1</v>
      </c>
      <c r="E2" s="507">
        <v>2</v>
      </c>
      <c r="F2" s="487">
        <v>2</v>
      </c>
      <c r="G2" s="507">
        <v>3</v>
      </c>
      <c r="H2" s="487">
        <v>3</v>
      </c>
      <c r="I2" s="510">
        <v>4</v>
      </c>
      <c r="J2" s="488">
        <v>4</v>
      </c>
      <c r="K2" s="512">
        <v>5</v>
      </c>
      <c r="L2" s="489">
        <v>5</v>
      </c>
      <c r="M2" s="512">
        <v>6</v>
      </c>
      <c r="N2" s="488">
        <v>6</v>
      </c>
      <c r="O2" s="516">
        <v>7</v>
      </c>
      <c r="P2" s="490">
        <v>7</v>
      </c>
      <c r="Q2" s="519">
        <v>8</v>
      </c>
      <c r="R2" s="491">
        <v>8</v>
      </c>
      <c r="S2" s="521">
        <v>9</v>
      </c>
      <c r="T2" s="492">
        <v>9</v>
      </c>
      <c r="U2" s="521">
        <v>10</v>
      </c>
      <c r="V2" s="535">
        <v>10</v>
      </c>
    </row>
    <row r="3" spans="1:22" s="425" customFormat="1" hidden="1">
      <c r="A3" s="449"/>
      <c r="B3" s="493" t="s">
        <v>1160</v>
      </c>
      <c r="C3" s="505">
        <f>VLOOKUP(1,'Plate Planning'!$L$20:$S$30,2,FALSE)</f>
        <v>0</v>
      </c>
      <c r="D3" s="494">
        <f>VLOOKUP(1,'Plate Planning'!$L$20:$O$35,2,FALSE)</f>
        <v>0</v>
      </c>
      <c r="E3" s="508">
        <f>VLOOKUP(2,'Plate Planning'!$L$20:$O$35,2,FALSE)</f>
        <v>0</v>
      </c>
      <c r="F3" s="494">
        <f>VLOOKUP(2,'Plate Planning'!$L$20:$O$35,2,FALSE)</f>
        <v>0</v>
      </c>
      <c r="G3" s="508">
        <f>VLOOKUP(3,'Plate Planning'!$L$20:$O$35,2,FALSE)</f>
        <v>0</v>
      </c>
      <c r="H3" s="494">
        <f>VLOOKUP(3,'Plate Planning'!$L$20:$O$35,2,FALSE)</f>
        <v>0</v>
      </c>
      <c r="I3" s="508">
        <f>VLOOKUP(I2,'Plate Planning'!$L$20:$O$35,2,FALSE)</f>
        <v>0</v>
      </c>
      <c r="J3" s="495">
        <f>VLOOKUP(J2,'Plate Planning'!$L$20:$O$35,2,FALSE)</f>
        <v>0</v>
      </c>
      <c r="K3" s="513">
        <f>VLOOKUP(K2,'Plate Planning'!$L$20:$O$35,2,FALSE)</f>
        <v>0</v>
      </c>
      <c r="L3" s="496">
        <f>VLOOKUP(L2,'Plate Planning'!$L$20:$O$35,2,FALSE)</f>
        <v>0</v>
      </c>
      <c r="M3" s="513">
        <f>VLOOKUP(M2,'Plate Planning'!$L$20:$O$35,2,FALSE)</f>
        <v>0</v>
      </c>
      <c r="N3" s="495">
        <f>VLOOKUP(N2,'Plate Planning'!$L$20:$O$35,2,FALSE)</f>
        <v>0</v>
      </c>
      <c r="O3" s="517">
        <f>VLOOKUP(O2,'Plate Planning'!$L$20:$O$35,2,FALSE)</f>
        <v>0</v>
      </c>
      <c r="P3" s="497">
        <f>VLOOKUP(P2,'Plate Planning'!$L$20:$O$35,2,FALSE)</f>
        <v>0</v>
      </c>
      <c r="Q3" s="517">
        <f>VLOOKUP(Q2,'Plate Planning'!$L$20:$O$35,2,FALSE)</f>
        <v>0</v>
      </c>
      <c r="R3" s="497">
        <f>VLOOKUP(R2,'Plate Planning'!$L$20:$O$35,2,FALSE)</f>
        <v>0</v>
      </c>
      <c r="S3" s="517">
        <f>VLOOKUP(S2,'Plate Planning'!$L$20:$O$35,2,FALSE)</f>
        <v>0</v>
      </c>
      <c r="T3" s="497">
        <f>VLOOKUP(T2,'Plate Planning'!$L$20:$O$35,2,FALSE)</f>
        <v>0</v>
      </c>
      <c r="U3" s="517">
        <f>VLOOKUP(U2,'Plate Planning'!$L$20:$O$35,2,FALSE)</f>
        <v>0</v>
      </c>
      <c r="V3" s="536">
        <f>VLOOKUP(V2,'Plate Planning'!$L$20:$O$35,2,FALSE)</f>
        <v>0</v>
      </c>
    </row>
    <row r="4" spans="1:22">
      <c r="A4" s="423" t="s">
        <v>1161</v>
      </c>
      <c r="B4" s="498" t="s">
        <v>22</v>
      </c>
      <c r="C4" s="506" t="e">
        <f>(VLOOKUP(A4,'Uncorrected Area Counts'!$A$4:$AU$27,7,FALSE)/VLOOKUP(A4,'Uncorrected Area Counts'!$A$4:$AU$27,47,FALSE))*100</f>
        <v>#DIV/0!</v>
      </c>
      <c r="D4" s="499" t="e">
        <f>VLOOKUP(A4,'Uncorrected Area Counts'!$A$4:$AU$27,7,FALSE)/VLOOKUP(A4,'Uncorrected Area Counts'!$A$4:$AU$27,3,FALSE)/VLOOKUP(1,'Plate Planning'!$L$20:$S$35,4,FALSE)*VLOOKUP("standard",'Plate Planning'!$L$20:$S$35,4,FALSE)/VLOOKUP(A4,'Uncorrected Area Counts'!$A$4:$AU$27,6,FALSE)*100</f>
        <v>#DIV/0!</v>
      </c>
      <c r="E4" s="509" t="e">
        <f>(VLOOKUP(A4,'Uncorrected Area Counts'!$A$4:$AU$27,11,FALSE)/VLOOKUP(A4,'Uncorrected Area Counts'!$A$4:$AU$27,47,FALSE))*100</f>
        <v>#DIV/0!</v>
      </c>
      <c r="F4" s="499" t="e">
        <f>VLOOKUP(A4,'Uncorrected Area Counts'!$A$4:$AU$27,11,FALSE)/VLOOKUP(A4,'Uncorrected Area Counts'!$A$4:$AU$27,3,FALSE)/VLOOKUP(2,'Plate Planning'!$L$20:$S$35,4,FALSE)*VLOOKUP("standard",'Plate Planning'!$L$20:$S$35,4,FALSE)/VLOOKUP(A4,'Uncorrected Area Counts'!$A$4:$AU$27,10,FALSE)*100</f>
        <v>#DIV/0!</v>
      </c>
      <c r="G4" s="509" t="e">
        <f>(VLOOKUP(A4,'Uncorrected Area Counts'!$A$4:$AU$27,15,FALSE)/VLOOKUP(A4,'Uncorrected Area Counts'!$A$4:$AU$27,47,FALSE))*100</f>
        <v>#DIV/0!</v>
      </c>
      <c r="H4" s="499" t="e">
        <f>VLOOKUP(A4,'Uncorrected Area Counts'!$A$4:$AU$27,15,FALSE)/VLOOKUP(A4,'Uncorrected Area Counts'!$A$4:$AU$27,3,FALSE)/VLOOKUP(3,'Plate Planning'!$L$20:$S$35,4,FALSE)*VLOOKUP("standard",'Plate Planning'!$L$20:$S$35,4,FALSE)/VLOOKUP(A4,'Uncorrected Area Counts'!$A$4:$AU$27,14,FALSE)*100</f>
        <v>#DIV/0!</v>
      </c>
      <c r="I4" s="509" t="e">
        <f>(VLOOKUP(A4,'Uncorrected Area Counts'!$A$4:$AU$27,19,FALSE)/VLOOKUP(A4,'Uncorrected Area Counts'!$A$4:$AU$27,47,FALSE))*100</f>
        <v>#DIV/0!</v>
      </c>
      <c r="J4" s="500" t="e">
        <f>VLOOKUP(A4,'Uncorrected Area Counts'!$A$4:$AU$27,19,FALSE)/VLOOKUP(A4,'Uncorrected Area Counts'!$A$4:$AU$27,3,FALSE)/VLOOKUP(4,'Plate Planning'!$L$20:$S$35,4,FALSE)*VLOOKUP("standard",'Plate Planning'!$L$20:$S$35,4,FALSE)/VLOOKUP(A4,'Uncorrected Area Counts'!$A$4:$AU$27,18,FALSE)*100</f>
        <v>#DIV/0!</v>
      </c>
      <c r="K4" s="514" t="e">
        <f>(VLOOKUP(A4,'Uncorrected Area Counts'!$A$4:$AU$27,23,FALSE)/VLOOKUP(A4,'Uncorrected Area Counts'!$A$4:$AU$27,47,FALSE))*100</f>
        <v>#DIV/0!</v>
      </c>
      <c r="L4" s="501" t="e">
        <f>VLOOKUP(A4,'Uncorrected Area Counts'!$A$4:$AU$27,23,FALSE)/VLOOKUP(A4,'Uncorrected Area Counts'!$A$4:$AU$27,3,FALSE)/VLOOKUP(5,'Plate Planning'!$L$20:$S$35,4,FALSE)*VLOOKUP("standard",'Plate Planning'!$L$20:$S$35,4,FALSE)/VLOOKUP(A4,'Uncorrected Area Counts'!$A$4:$AU$27,22,FALSE)*100</f>
        <v>#DIV/0!</v>
      </c>
      <c r="M4" s="514" t="e">
        <f>(VLOOKUP(A4,'Uncorrected Area Counts'!$A$4:$AU$27,27,FALSE)/VLOOKUP(A4,'Uncorrected Area Counts'!$A$4:$AU$27,47,FALSE))*100</f>
        <v>#DIV/0!</v>
      </c>
      <c r="N4" s="500" t="e">
        <f>VLOOKUP(A4,'Uncorrected Area Counts'!$A$4:$AU$27,27,FALSE)/VLOOKUP(A4,'Uncorrected Area Counts'!$A$4:$AU$27,3,FALSE)/VLOOKUP(6,'Plate Planning'!$L$20:$S$35,4,FALSE)*VLOOKUP("standard",'Plate Planning'!$L$20:$S$35,4,FALSE)/VLOOKUP(A4,'Uncorrected Area Counts'!$A$4:$AU$27,26,FALSE)*100</f>
        <v>#DIV/0!</v>
      </c>
      <c r="O4" s="514" t="e">
        <f>(VLOOKUP(A4,'Uncorrected Area Counts'!$A$4:$AU$27,31,FALSE)/VLOOKUP(A4,'Uncorrected Area Counts'!$A$4:$AU$27,47,FALSE))*100</f>
        <v>#DIV/0!</v>
      </c>
      <c r="P4" s="501" t="e">
        <f>VLOOKUP(A4,'Uncorrected Area Counts'!$A$4:$AU$27,31,FALSE)/VLOOKUP(A4,'Uncorrected Area Counts'!$A$4:$AU$27,3,FALSE)/VLOOKUP(7,'Plate Planning'!$L$20:$S$35,4,FALSE)*VLOOKUP("standard",'Plate Planning'!$L$20:$S$35,4,FALSE)/VLOOKUP(A4,'Uncorrected Area Counts'!$A$4:$AU$27,30,FALSE)*100</f>
        <v>#DIV/0!</v>
      </c>
      <c r="Q4" s="514" t="e">
        <f>(VLOOKUP(A4,'Uncorrected Area Counts'!$A$4:$AU$27,35,FALSE)/VLOOKUP(A4,'Uncorrected Area Counts'!$A$4:$AU$27,47,FALSE))*100</f>
        <v>#DIV/0!</v>
      </c>
      <c r="R4" s="422" t="e">
        <f>VLOOKUP(A4,'Uncorrected Area Counts'!$A$4:$AU$27,35,FALSE)/VLOOKUP(A4,'Uncorrected Area Counts'!$A$4:$AU$27,3,FALSE)/VLOOKUP(8,'Plate Planning'!$L$20:$S$35,4,FALSE)*VLOOKUP("standard",'Plate Planning'!$L$20:$S$35,4,FALSE)/VLOOKUP(A4,'Uncorrected Area Counts'!$A$4:$AU$27,34,FALSE)*100</f>
        <v>#DIV/0!</v>
      </c>
      <c r="S4" s="522" t="e">
        <f>(VLOOKUP(A4,'Uncorrected Area Counts'!$A$4:$AU$27,39,FALSE)/VLOOKUP(A4,'Uncorrected Area Counts'!$A$4:$AU$27,47,FALSE))*100</f>
        <v>#DIV/0!</v>
      </c>
      <c r="T4" s="502" t="e">
        <f>VLOOKUP(A4,'Uncorrected Area Counts'!$A$4:$AU$27,39,FALSE)/VLOOKUP(A4,'Uncorrected Area Counts'!$A$4:$AU$27,3,FALSE)/VLOOKUP(8,'Plate Planning'!$L$20:$S$35,4,FALSE)*VLOOKUP("standard",'Plate Planning'!$L$20:$S$35,4,FALSE)/VLOOKUP(A4,'Uncorrected Area Counts'!$A$4:$AU$27,38,FALSE)*100</f>
        <v>#DIV/0!</v>
      </c>
      <c r="U4" s="522" t="e">
        <f>(VLOOKUP(A4,'Uncorrected Area Counts'!$A$4:$AU$27,43,FALSE)/VLOOKUP(A4,'Uncorrected Area Counts'!$A$4:$AU$27,47,FALSE))*100</f>
        <v>#DIV/0!</v>
      </c>
      <c r="V4" s="537" t="e">
        <f>VLOOKUP(A4,'Uncorrected Area Counts'!$A$4:$AU$27,43,FALSE)/VLOOKUP(A4,'Uncorrected Area Counts'!$A$4:$AU$27,3,FALSE)/VLOOKUP(8,'Plate Planning'!$L$20:$S$35,4,FALSE)*VLOOKUP("standard",'Plate Planning'!$L$20:$S$35,4,FALSE)/VLOOKUP(A4,'Uncorrected Area Counts'!$A$4:$AU$27,42,FALSE)*100</f>
        <v>#DIV/0!</v>
      </c>
    </row>
    <row r="5" spans="1:22">
      <c r="A5" s="423" t="s">
        <v>1162</v>
      </c>
      <c r="B5" s="498" t="s">
        <v>22</v>
      </c>
      <c r="C5" s="506" t="e">
        <f>(VLOOKUP(A5,'Uncorrected Area Counts'!$A$4:$AU$27,7,FALSE)/VLOOKUP(A5,'Uncorrected Area Counts'!$A$4:$AU$27,47,FALSE))*100</f>
        <v>#DIV/0!</v>
      </c>
      <c r="D5" s="499" t="e">
        <f>VLOOKUP(A5,'Uncorrected Area Counts'!$A$4:$AU$27,7,FALSE)/VLOOKUP(A5,'Uncorrected Area Counts'!$A$4:$AU$27,3,FALSE)/VLOOKUP(1,'Plate Planning'!$L$20:$S$35,4,FALSE)*VLOOKUP("standard",'Plate Planning'!$L$20:$S$35,4,FALSE)/VLOOKUP(A5,'Uncorrected Area Counts'!$A$4:$AU$27,6,FALSE)*100</f>
        <v>#DIV/0!</v>
      </c>
      <c r="E5" s="509" t="e">
        <f>(VLOOKUP(A5,'Uncorrected Area Counts'!$A$4:$AU$27,11,FALSE)/VLOOKUP(A5,'Uncorrected Area Counts'!$A$4:$AU$27,47,FALSE))*100</f>
        <v>#DIV/0!</v>
      </c>
      <c r="F5" s="499" t="e">
        <f>VLOOKUP(A5,'Uncorrected Area Counts'!$A$4:$AU$27,11,FALSE)/VLOOKUP(A5,'Uncorrected Area Counts'!$A$4:$AU$27,3,FALSE)/VLOOKUP(2,'Plate Planning'!$L$20:$S$35,4,FALSE)*VLOOKUP("standard",'Plate Planning'!$L$20:$S$35,4,FALSE)/VLOOKUP(A5,'Uncorrected Area Counts'!$A$4:$AU$27,10,FALSE)*100</f>
        <v>#DIV/0!</v>
      </c>
      <c r="G5" s="509" t="e">
        <f>(VLOOKUP(A5,'Uncorrected Area Counts'!$A$4:$AU$27,15,FALSE)/VLOOKUP(A5,'Uncorrected Area Counts'!$A$4:$AU$27,47,FALSE))*100</f>
        <v>#DIV/0!</v>
      </c>
      <c r="H5" s="499" t="e">
        <f>VLOOKUP(A5,'Uncorrected Area Counts'!$A$4:$AU$27,15,FALSE)/VLOOKUP(A5,'Uncorrected Area Counts'!$A$4:$AU$27,3,FALSE)/VLOOKUP(3,'Plate Planning'!$L$20:$S$35,4,FALSE)*VLOOKUP("standard",'Plate Planning'!$L$20:$S$35,4,FALSE)/VLOOKUP(A5,'Uncorrected Area Counts'!$A$4:$AU$27,14,FALSE)*100</f>
        <v>#DIV/0!</v>
      </c>
      <c r="I5" s="509" t="e">
        <f>(VLOOKUP(A5,'Uncorrected Area Counts'!$A$4:$AU$27,19,FALSE)/VLOOKUP(A5,'Uncorrected Area Counts'!$A$4:$AU$27,47,FALSE))*100</f>
        <v>#DIV/0!</v>
      </c>
      <c r="J5" s="500" t="e">
        <f>VLOOKUP(A5,'Uncorrected Area Counts'!$A$4:$AU$27,19,FALSE)/VLOOKUP(A5,'Uncorrected Area Counts'!$A$4:$AU$27,3,FALSE)/VLOOKUP(4,'Plate Planning'!$L$20:$S$35,4,FALSE)*VLOOKUP("standard",'Plate Planning'!$L$20:$S$35,4,FALSE)/VLOOKUP(A5,'Uncorrected Area Counts'!$A$4:$AU$27,18,FALSE)*100</f>
        <v>#DIV/0!</v>
      </c>
      <c r="K5" s="514" t="e">
        <f>(VLOOKUP(A5,'Uncorrected Area Counts'!$A$4:$AU$27,23,FALSE)/VLOOKUP(A5,'Uncorrected Area Counts'!$A$4:$AU$27,47,FALSE))*100</f>
        <v>#DIV/0!</v>
      </c>
      <c r="L5" s="501" t="e">
        <f>VLOOKUP(A5,'Uncorrected Area Counts'!$A$4:$AU$27,23,FALSE)/VLOOKUP(A5,'Uncorrected Area Counts'!$A$4:$AU$27,3,FALSE)/VLOOKUP(5,'Plate Planning'!$L$20:$S$35,4,FALSE)*VLOOKUP("standard",'Plate Planning'!$L$20:$S$35,4,FALSE)/VLOOKUP(A5,'Uncorrected Area Counts'!$A$4:$AU$27,22,FALSE)*100</f>
        <v>#DIV/0!</v>
      </c>
      <c r="M5" s="514" t="e">
        <f>(VLOOKUP(A5,'Uncorrected Area Counts'!$A$4:$AU$27,27,FALSE)/VLOOKUP(A5,'Uncorrected Area Counts'!$A$4:$AU$27,47,FALSE))*100</f>
        <v>#DIV/0!</v>
      </c>
      <c r="N5" s="500" t="e">
        <f>VLOOKUP(A5,'Uncorrected Area Counts'!$A$4:$AU$27,27,FALSE)/VLOOKUP(A5,'Uncorrected Area Counts'!$A$4:$AU$27,3,FALSE)/VLOOKUP(6,'Plate Planning'!$L$20:$S$35,4,FALSE)*VLOOKUP("standard",'Plate Planning'!$L$20:$S$35,4,FALSE)/VLOOKUP(A5,'Uncorrected Area Counts'!$A$4:$AU$27,26,FALSE)*100</f>
        <v>#DIV/0!</v>
      </c>
      <c r="O5" s="514" t="e">
        <f>(VLOOKUP(A5,'Uncorrected Area Counts'!$A$4:$AU$27,31,FALSE)/VLOOKUP(A5,'Uncorrected Area Counts'!$A$4:$AU$27,47,FALSE))*100</f>
        <v>#DIV/0!</v>
      </c>
      <c r="P5" s="501" t="e">
        <f>VLOOKUP(A5,'Uncorrected Area Counts'!$A$4:$AU$27,31,FALSE)/VLOOKUP(A5,'Uncorrected Area Counts'!$A$4:$AU$27,3,FALSE)/VLOOKUP(7,'Plate Planning'!$L$20:$S$35,4,FALSE)*VLOOKUP("standard",'Plate Planning'!$L$20:$S$35,4,FALSE)/VLOOKUP(A5,'Uncorrected Area Counts'!$A$4:$AU$27,30,FALSE)*100</f>
        <v>#DIV/0!</v>
      </c>
      <c r="Q5" s="514" t="e">
        <f>(VLOOKUP(A5,'Uncorrected Area Counts'!$A$4:$AU$27,35,FALSE)/VLOOKUP(A5,'Uncorrected Area Counts'!$A$4:$AU$27,47,FALSE))*100</f>
        <v>#DIV/0!</v>
      </c>
      <c r="R5" s="422" t="e">
        <f>VLOOKUP(A5,'Uncorrected Area Counts'!$A$4:$AU$27,35,FALSE)/VLOOKUP(A5,'Uncorrected Area Counts'!$A$4:$AU$27,3,FALSE)/VLOOKUP(8,'Plate Planning'!$L$20:$S$35,4,FALSE)*VLOOKUP("standard",'Plate Planning'!$L$20:$S$35,4,FALSE)/VLOOKUP(A5,'Uncorrected Area Counts'!$A$4:$AU$27,34,FALSE)*100</f>
        <v>#DIV/0!</v>
      </c>
      <c r="S5" s="522" t="e">
        <f>(VLOOKUP(A5,'Uncorrected Area Counts'!$A$4:$AU$27,39,FALSE)/VLOOKUP(A5,'Uncorrected Area Counts'!$A$4:$AU$27,47,FALSE))*100</f>
        <v>#DIV/0!</v>
      </c>
      <c r="T5" s="502" t="e">
        <f>VLOOKUP(A5,'Uncorrected Area Counts'!$A$4:$AU$27,39,FALSE)/VLOOKUP(A5,'Uncorrected Area Counts'!$A$4:$AU$27,3,FALSE)/VLOOKUP(8,'Plate Planning'!$L$20:$S$35,4,FALSE)*VLOOKUP("standard",'Plate Planning'!$L$20:$S$35,4,FALSE)/VLOOKUP(A5,'Uncorrected Area Counts'!$A$4:$AU$27,38,FALSE)*100</f>
        <v>#DIV/0!</v>
      </c>
      <c r="U5" s="522" t="e">
        <f>(VLOOKUP(A5,'Uncorrected Area Counts'!$A$4:$AU$27,43,FALSE)/VLOOKUP(A5,'Uncorrected Area Counts'!$A$4:$AU$27,47,FALSE))*100</f>
        <v>#DIV/0!</v>
      </c>
      <c r="V5" s="537" t="e">
        <f>VLOOKUP(A5,'Uncorrected Area Counts'!$A$4:$AU$27,43,FALSE)/VLOOKUP(A5,'Uncorrected Area Counts'!$A$4:$AU$27,3,FALSE)/VLOOKUP(8,'Plate Planning'!$L$20:$S$35,4,FALSE)*VLOOKUP("standard",'Plate Planning'!$L$20:$S$35,4,FALSE)/VLOOKUP(A5,'Uncorrected Area Counts'!$A$4:$AU$27,42,FALSE)*100</f>
        <v>#DIV/0!</v>
      </c>
    </row>
    <row r="6" spans="1:22">
      <c r="A6" s="423" t="s">
        <v>1163</v>
      </c>
      <c r="B6" s="498" t="s">
        <v>22</v>
      </c>
      <c r="C6" s="506" t="e">
        <f>(VLOOKUP(A6,'Uncorrected Area Counts'!$A$4:$AU$27,7,FALSE)/VLOOKUP(A6,'Uncorrected Area Counts'!$A$4:$AU$27,47,FALSE))*100</f>
        <v>#DIV/0!</v>
      </c>
      <c r="D6" s="499" t="e">
        <f>VLOOKUP(A6,'Uncorrected Area Counts'!$A$4:$AU$27,7,FALSE)/VLOOKUP(A6,'Uncorrected Area Counts'!$A$4:$AU$27,3,FALSE)/VLOOKUP(1,'Plate Planning'!$L$20:$S$35,4,FALSE)*VLOOKUP("standard",'Plate Planning'!$L$20:$S$35,4,FALSE)/VLOOKUP(A6,'Uncorrected Area Counts'!$A$4:$AU$27,6,FALSE)*100</f>
        <v>#DIV/0!</v>
      </c>
      <c r="E6" s="509" t="e">
        <f>(VLOOKUP(A6,'Uncorrected Area Counts'!$A$4:$AU$27,11,FALSE)/VLOOKUP(A6,'Uncorrected Area Counts'!$A$4:$AU$27,47,FALSE))*100</f>
        <v>#DIV/0!</v>
      </c>
      <c r="F6" s="499" t="e">
        <f>VLOOKUP(A6,'Uncorrected Area Counts'!$A$4:$AU$27,11,FALSE)/VLOOKUP(A6,'Uncorrected Area Counts'!$A$4:$AU$27,3,FALSE)/VLOOKUP(2,'Plate Planning'!$L$20:$S$35,4,FALSE)*VLOOKUP("standard",'Plate Planning'!$L$20:$S$35,4,FALSE)/VLOOKUP(A6,'Uncorrected Area Counts'!$A$4:$AU$27,10,FALSE)*100</f>
        <v>#DIV/0!</v>
      </c>
      <c r="G6" s="509" t="e">
        <f>(VLOOKUP(A6,'Uncorrected Area Counts'!$A$4:$AU$27,15,FALSE)/VLOOKUP(A6,'Uncorrected Area Counts'!$A$4:$AU$27,47,FALSE))*100</f>
        <v>#DIV/0!</v>
      </c>
      <c r="H6" s="499" t="e">
        <f>VLOOKUP(A6,'Uncorrected Area Counts'!$A$4:$AU$27,15,FALSE)/VLOOKUP(A6,'Uncorrected Area Counts'!$A$4:$AU$27,3,FALSE)/VLOOKUP(3,'Plate Planning'!$L$20:$S$35,4,FALSE)*VLOOKUP("standard",'Plate Planning'!$L$20:$S$35,4,FALSE)/VLOOKUP(A6,'Uncorrected Area Counts'!$A$4:$AU$27,14,FALSE)*100</f>
        <v>#DIV/0!</v>
      </c>
      <c r="I6" s="509" t="e">
        <f>(VLOOKUP(A6,'Uncorrected Area Counts'!$A$4:$AU$27,19,FALSE)/VLOOKUP(A6,'Uncorrected Area Counts'!$A$4:$AU$27,47,FALSE))*100</f>
        <v>#DIV/0!</v>
      </c>
      <c r="J6" s="500" t="e">
        <f>VLOOKUP(A6,'Uncorrected Area Counts'!$A$4:$AU$27,19,FALSE)/VLOOKUP(A6,'Uncorrected Area Counts'!$A$4:$AU$27,3,FALSE)/VLOOKUP(4,'Plate Planning'!$L$20:$S$35,4,FALSE)*VLOOKUP("standard",'Plate Planning'!$L$20:$S$35,4,FALSE)/VLOOKUP(A6,'Uncorrected Area Counts'!$A$4:$AU$27,18,FALSE)*100</f>
        <v>#DIV/0!</v>
      </c>
      <c r="K6" s="514" t="e">
        <f>(VLOOKUP(A6,'Uncorrected Area Counts'!$A$4:$AU$27,23,FALSE)/VLOOKUP(A6,'Uncorrected Area Counts'!$A$4:$AU$27,47,FALSE))*100</f>
        <v>#DIV/0!</v>
      </c>
      <c r="L6" s="501" t="e">
        <f>VLOOKUP(A6,'Uncorrected Area Counts'!$A$4:$AU$27,23,FALSE)/VLOOKUP(A6,'Uncorrected Area Counts'!$A$4:$AU$27,3,FALSE)/VLOOKUP(5,'Plate Planning'!$L$20:$S$35,4,FALSE)*VLOOKUP("standard",'Plate Planning'!$L$20:$S$35,4,FALSE)/VLOOKUP(A6,'Uncorrected Area Counts'!$A$4:$AU$27,22,FALSE)*100</f>
        <v>#DIV/0!</v>
      </c>
      <c r="M6" s="514" t="e">
        <f>(VLOOKUP(A6,'Uncorrected Area Counts'!$A$4:$AU$27,27,FALSE)/VLOOKUP(A6,'Uncorrected Area Counts'!$A$4:$AU$27,47,FALSE))*100</f>
        <v>#DIV/0!</v>
      </c>
      <c r="N6" s="500" t="e">
        <f>VLOOKUP(A6,'Uncorrected Area Counts'!$A$4:$AU$27,27,FALSE)/VLOOKUP(A6,'Uncorrected Area Counts'!$A$4:$AU$27,3,FALSE)/VLOOKUP(6,'Plate Planning'!$L$20:$S$35,4,FALSE)*VLOOKUP("standard",'Plate Planning'!$L$20:$S$35,4,FALSE)/VLOOKUP(A6,'Uncorrected Area Counts'!$A$4:$AU$27,26,FALSE)*100</f>
        <v>#DIV/0!</v>
      </c>
      <c r="O6" s="514" t="e">
        <f>(VLOOKUP(A6,'Uncorrected Area Counts'!$A$4:$AU$27,31,FALSE)/VLOOKUP(A6,'Uncorrected Area Counts'!$A$4:$AU$27,47,FALSE))*100</f>
        <v>#DIV/0!</v>
      </c>
      <c r="P6" s="501" t="e">
        <f>VLOOKUP(A6,'Uncorrected Area Counts'!$A$4:$AU$27,31,FALSE)/VLOOKUP(A6,'Uncorrected Area Counts'!$A$4:$AU$27,3,FALSE)/VLOOKUP(7,'Plate Planning'!$L$20:$S$35,4,FALSE)*VLOOKUP("standard",'Plate Planning'!$L$20:$S$35,4,FALSE)/VLOOKUP(A6,'Uncorrected Area Counts'!$A$4:$AU$27,30,FALSE)*100</f>
        <v>#DIV/0!</v>
      </c>
      <c r="Q6" s="514" t="e">
        <f>(VLOOKUP(A6,'Uncorrected Area Counts'!$A$4:$AU$27,35,FALSE)/VLOOKUP(A6,'Uncorrected Area Counts'!$A$4:$AU$27,47,FALSE))*100</f>
        <v>#DIV/0!</v>
      </c>
      <c r="R6" s="422" t="e">
        <f>VLOOKUP(A6,'Uncorrected Area Counts'!$A$4:$AU$27,35,FALSE)/VLOOKUP(A6,'Uncorrected Area Counts'!$A$4:$AU$27,3,FALSE)/VLOOKUP(8,'Plate Planning'!$L$20:$S$35,4,FALSE)*VLOOKUP("standard",'Plate Planning'!$L$20:$S$35,4,FALSE)/VLOOKUP(A6,'Uncorrected Area Counts'!$A$4:$AU$27,34,FALSE)*100</f>
        <v>#DIV/0!</v>
      </c>
      <c r="S6" s="522" t="e">
        <f>(VLOOKUP(A6,'Uncorrected Area Counts'!$A$4:$AU$27,39,FALSE)/VLOOKUP(A6,'Uncorrected Area Counts'!$A$4:$AU$27,47,FALSE))*100</f>
        <v>#DIV/0!</v>
      </c>
      <c r="T6" s="502" t="e">
        <f>VLOOKUP(A6,'Uncorrected Area Counts'!$A$4:$AU$27,39,FALSE)/VLOOKUP(A6,'Uncorrected Area Counts'!$A$4:$AU$27,3,FALSE)/VLOOKUP(8,'Plate Planning'!$L$20:$S$35,4,FALSE)*VLOOKUP("standard",'Plate Planning'!$L$20:$S$35,4,FALSE)/VLOOKUP(A6,'Uncorrected Area Counts'!$A$4:$AU$27,38,FALSE)*100</f>
        <v>#DIV/0!</v>
      </c>
      <c r="U6" s="522" t="e">
        <f>(VLOOKUP(A6,'Uncorrected Area Counts'!$A$4:$AU$27,43,FALSE)/VLOOKUP(A6,'Uncorrected Area Counts'!$A$4:$AU$27,47,FALSE))*100</f>
        <v>#DIV/0!</v>
      </c>
      <c r="V6" s="537" t="e">
        <f>VLOOKUP(A6,'Uncorrected Area Counts'!$A$4:$AU$27,43,FALSE)/VLOOKUP(A6,'Uncorrected Area Counts'!$A$4:$AU$27,3,FALSE)/VLOOKUP(8,'Plate Planning'!$L$20:$S$35,4,FALSE)*VLOOKUP("standard",'Plate Planning'!$L$20:$S$35,4,FALSE)/VLOOKUP(A6,'Uncorrected Area Counts'!$A$4:$AU$27,42,FALSE)*100</f>
        <v>#DIV/0!</v>
      </c>
    </row>
    <row r="7" spans="1:22">
      <c r="A7" s="423" t="s">
        <v>1164</v>
      </c>
      <c r="B7" s="498" t="s">
        <v>22</v>
      </c>
      <c r="C7" s="506" t="e">
        <f>(VLOOKUP(A7,'Uncorrected Area Counts'!$A$4:$AU$27,7,FALSE)/VLOOKUP(A7,'Uncorrected Area Counts'!$A$4:$AU$27,47,FALSE))*100</f>
        <v>#DIV/0!</v>
      </c>
      <c r="D7" s="499" t="e">
        <f>VLOOKUP(A7,'Uncorrected Area Counts'!$A$4:$AU$27,7,FALSE)/VLOOKUP(A7,'Uncorrected Area Counts'!$A$4:$AU$27,3,FALSE)/VLOOKUP(1,'Plate Planning'!$L$20:$S$35,4,FALSE)*VLOOKUP("standard",'Plate Planning'!$L$20:$S$35,4,FALSE)/VLOOKUP(A7,'Uncorrected Area Counts'!$A$4:$AU$27,6,FALSE)*100</f>
        <v>#DIV/0!</v>
      </c>
      <c r="E7" s="509" t="e">
        <f>(VLOOKUP(A7,'Uncorrected Area Counts'!$A$4:$AU$27,11,FALSE)/VLOOKUP(A7,'Uncorrected Area Counts'!$A$4:$AU$27,47,FALSE))*100</f>
        <v>#DIV/0!</v>
      </c>
      <c r="F7" s="499" t="e">
        <f>VLOOKUP(A7,'Uncorrected Area Counts'!$A$4:$AU$27,11,FALSE)/VLOOKUP(A7,'Uncorrected Area Counts'!$A$4:$AU$27,3,FALSE)/VLOOKUP(2,'Plate Planning'!$L$20:$S$35,4,FALSE)*VLOOKUP("standard",'Plate Planning'!$L$20:$S$35,4,FALSE)/VLOOKUP(A7,'Uncorrected Area Counts'!$A$4:$AU$27,10,FALSE)*100</f>
        <v>#DIV/0!</v>
      </c>
      <c r="G7" s="509" t="e">
        <f>(VLOOKUP(A7,'Uncorrected Area Counts'!$A$4:$AU$27,15,FALSE)/VLOOKUP(A7,'Uncorrected Area Counts'!$A$4:$AU$27,47,FALSE))*100</f>
        <v>#DIV/0!</v>
      </c>
      <c r="H7" s="499" t="e">
        <f>VLOOKUP(A7,'Uncorrected Area Counts'!$A$4:$AU$27,15,FALSE)/VLOOKUP(A7,'Uncorrected Area Counts'!$A$4:$AU$27,3,FALSE)/VLOOKUP(3,'Plate Planning'!$L$20:$S$35,4,FALSE)*VLOOKUP("standard",'Plate Planning'!$L$20:$S$35,4,FALSE)/VLOOKUP(A7,'Uncorrected Area Counts'!$A$4:$AU$27,14,FALSE)*100</f>
        <v>#DIV/0!</v>
      </c>
      <c r="I7" s="509" t="e">
        <f>(VLOOKUP(A7,'Uncorrected Area Counts'!$A$4:$AU$27,19,FALSE)/VLOOKUP(A7,'Uncorrected Area Counts'!$A$4:$AU$27,47,FALSE))*100</f>
        <v>#DIV/0!</v>
      </c>
      <c r="J7" s="500" t="e">
        <f>VLOOKUP(A7,'Uncorrected Area Counts'!$A$4:$AU$27,19,FALSE)/VLOOKUP(A7,'Uncorrected Area Counts'!$A$4:$AU$27,3,FALSE)/VLOOKUP(4,'Plate Planning'!$L$20:$S$35,4,FALSE)*VLOOKUP("standard",'Plate Planning'!$L$20:$S$35,4,FALSE)/VLOOKUP(A7,'Uncorrected Area Counts'!$A$4:$AU$27,18,FALSE)*100</f>
        <v>#DIV/0!</v>
      </c>
      <c r="K7" s="514" t="e">
        <f>(VLOOKUP(A7,'Uncorrected Area Counts'!$A$4:$AU$27,23,FALSE)/VLOOKUP(A7,'Uncorrected Area Counts'!$A$4:$AU$27,47,FALSE))*100</f>
        <v>#DIV/0!</v>
      </c>
      <c r="L7" s="501" t="e">
        <f>VLOOKUP(A7,'Uncorrected Area Counts'!$A$4:$AU$27,23,FALSE)/VLOOKUP(A7,'Uncorrected Area Counts'!$A$4:$AU$27,3,FALSE)/VLOOKUP(5,'Plate Planning'!$L$20:$S$35,4,FALSE)*VLOOKUP("standard",'Plate Planning'!$L$20:$S$35,4,FALSE)/VLOOKUP(A7,'Uncorrected Area Counts'!$A$4:$AU$27,22,FALSE)*100</f>
        <v>#DIV/0!</v>
      </c>
      <c r="M7" s="514" t="e">
        <f>(VLOOKUP(A7,'Uncorrected Area Counts'!$A$4:$AU$27,27,FALSE)/VLOOKUP(A7,'Uncorrected Area Counts'!$A$4:$AU$27,47,FALSE))*100</f>
        <v>#DIV/0!</v>
      </c>
      <c r="N7" s="500" t="e">
        <f>VLOOKUP(A7,'Uncorrected Area Counts'!$A$4:$AU$27,27,FALSE)/VLOOKUP(A7,'Uncorrected Area Counts'!$A$4:$AU$27,3,FALSE)/VLOOKUP(6,'Plate Planning'!$L$20:$S$35,4,FALSE)*VLOOKUP("standard",'Plate Planning'!$L$20:$S$35,4,FALSE)/VLOOKUP(A7,'Uncorrected Area Counts'!$A$4:$AU$27,26,FALSE)*100</f>
        <v>#DIV/0!</v>
      </c>
      <c r="O7" s="514" t="e">
        <f>(VLOOKUP(A7,'Uncorrected Area Counts'!$A$4:$AU$27,31,FALSE)/VLOOKUP(A7,'Uncorrected Area Counts'!$A$4:$AU$27,47,FALSE))*100</f>
        <v>#DIV/0!</v>
      </c>
      <c r="P7" s="501" t="e">
        <f>VLOOKUP(A7,'Uncorrected Area Counts'!$A$4:$AU$27,31,FALSE)/VLOOKUP(A7,'Uncorrected Area Counts'!$A$4:$AU$27,3,FALSE)/VLOOKUP(7,'Plate Planning'!$L$20:$S$35,4,FALSE)*VLOOKUP("standard",'Plate Planning'!$L$20:$S$35,4,FALSE)/VLOOKUP(A7,'Uncorrected Area Counts'!$A$4:$AU$27,30,FALSE)*100</f>
        <v>#DIV/0!</v>
      </c>
      <c r="Q7" s="514" t="e">
        <f>(VLOOKUP(A7,'Uncorrected Area Counts'!$A$4:$AU$27,35,FALSE)/VLOOKUP(A7,'Uncorrected Area Counts'!$A$4:$AU$27,47,FALSE))*100</f>
        <v>#DIV/0!</v>
      </c>
      <c r="R7" s="422" t="e">
        <f>VLOOKUP(A7,'Uncorrected Area Counts'!$A$4:$AU$27,35,FALSE)/VLOOKUP(A7,'Uncorrected Area Counts'!$A$4:$AU$27,3,FALSE)/VLOOKUP(8,'Plate Planning'!$L$20:$S$35,4,FALSE)*VLOOKUP("standard",'Plate Planning'!$L$20:$S$35,4,FALSE)/VLOOKUP(A7,'Uncorrected Area Counts'!$A$4:$AU$27,34,FALSE)*100</f>
        <v>#DIV/0!</v>
      </c>
      <c r="S7" s="522" t="e">
        <f>(VLOOKUP(A7,'Uncorrected Area Counts'!$A$4:$AU$27,39,FALSE)/VLOOKUP(A7,'Uncorrected Area Counts'!$A$4:$AU$27,47,FALSE))*100</f>
        <v>#DIV/0!</v>
      </c>
      <c r="T7" s="502" t="e">
        <f>VLOOKUP(A7,'Uncorrected Area Counts'!$A$4:$AU$27,39,FALSE)/VLOOKUP(A7,'Uncorrected Area Counts'!$A$4:$AU$27,3,FALSE)/VLOOKUP(8,'Plate Planning'!$L$20:$S$35,4,FALSE)*VLOOKUP("standard",'Plate Planning'!$L$20:$S$35,4,FALSE)/VLOOKUP(A7,'Uncorrected Area Counts'!$A$4:$AU$27,38,FALSE)*100</f>
        <v>#DIV/0!</v>
      </c>
      <c r="U7" s="522" t="e">
        <f>(VLOOKUP(A7,'Uncorrected Area Counts'!$A$4:$AU$27,43,FALSE)/VLOOKUP(A7,'Uncorrected Area Counts'!$A$4:$AU$27,47,FALSE))*100</f>
        <v>#DIV/0!</v>
      </c>
      <c r="V7" s="537" t="e">
        <f>VLOOKUP(A7,'Uncorrected Area Counts'!$A$4:$AU$27,43,FALSE)/VLOOKUP(A7,'Uncorrected Area Counts'!$A$4:$AU$27,3,FALSE)/VLOOKUP(8,'Plate Planning'!$L$20:$S$35,4,FALSE)*VLOOKUP("standard",'Plate Planning'!$L$20:$S$35,4,FALSE)/VLOOKUP(A7,'Uncorrected Area Counts'!$A$4:$AU$27,42,FALSE)*100</f>
        <v>#DIV/0!</v>
      </c>
    </row>
    <row r="8" spans="1:22">
      <c r="A8" s="423" t="s">
        <v>1165</v>
      </c>
      <c r="B8" s="498" t="s">
        <v>22</v>
      </c>
      <c r="C8" s="506" t="e">
        <f>(VLOOKUP(A8,'Uncorrected Area Counts'!$A$4:$AU$27,7,FALSE)/VLOOKUP(A8,'Uncorrected Area Counts'!$A$4:$AU$27,47,FALSE))*100</f>
        <v>#DIV/0!</v>
      </c>
      <c r="D8" s="499" t="e">
        <f>VLOOKUP(A8,'Uncorrected Area Counts'!$A$4:$AU$27,7,FALSE)/VLOOKUP(A8,'Uncorrected Area Counts'!$A$4:$AU$27,3,FALSE)/VLOOKUP(1,'Plate Planning'!$L$20:$S$35,4,FALSE)*VLOOKUP("standard",'Plate Planning'!$L$20:$S$35,4,FALSE)/VLOOKUP(A8,'Uncorrected Area Counts'!$A$4:$AU$27,6,FALSE)*100</f>
        <v>#DIV/0!</v>
      </c>
      <c r="E8" s="509" t="e">
        <f>(VLOOKUP(A8,'Uncorrected Area Counts'!$A$4:$AU$27,11,FALSE)/VLOOKUP(A8,'Uncorrected Area Counts'!$A$4:$AU$27,47,FALSE))*100</f>
        <v>#DIV/0!</v>
      </c>
      <c r="F8" s="499" t="e">
        <f>VLOOKUP(A8,'Uncorrected Area Counts'!$A$4:$AU$27,11,FALSE)/VLOOKUP(A8,'Uncorrected Area Counts'!$A$4:$AU$27,3,FALSE)/VLOOKUP(2,'Plate Planning'!$L$20:$S$35,4,FALSE)*VLOOKUP("standard",'Plate Planning'!$L$20:$S$35,4,FALSE)/VLOOKUP(A8,'Uncorrected Area Counts'!$A$4:$AU$27,10,FALSE)*100</f>
        <v>#DIV/0!</v>
      </c>
      <c r="G8" s="509" t="e">
        <f>(VLOOKUP(A8,'Uncorrected Area Counts'!$A$4:$AU$27,15,FALSE)/VLOOKUP(A8,'Uncorrected Area Counts'!$A$4:$AU$27,47,FALSE))*100</f>
        <v>#DIV/0!</v>
      </c>
      <c r="H8" s="499" t="e">
        <f>VLOOKUP(A8,'Uncorrected Area Counts'!$A$4:$AU$27,15,FALSE)/VLOOKUP(A8,'Uncorrected Area Counts'!$A$4:$AU$27,3,FALSE)/VLOOKUP(3,'Plate Planning'!$L$20:$S$35,4,FALSE)*VLOOKUP("standard",'Plate Planning'!$L$20:$S$35,4,FALSE)/VLOOKUP(A8,'Uncorrected Area Counts'!$A$4:$AU$27,14,FALSE)*100</f>
        <v>#DIV/0!</v>
      </c>
      <c r="I8" s="509" t="e">
        <f>(VLOOKUP(A8,'Uncorrected Area Counts'!$A$4:$AU$27,19,FALSE)/VLOOKUP(A8,'Uncorrected Area Counts'!$A$4:$AU$27,47,FALSE))*100</f>
        <v>#DIV/0!</v>
      </c>
      <c r="J8" s="500" t="e">
        <f>VLOOKUP(A8,'Uncorrected Area Counts'!$A$4:$AU$27,19,FALSE)/VLOOKUP(A8,'Uncorrected Area Counts'!$A$4:$AU$27,3,FALSE)/VLOOKUP(4,'Plate Planning'!$L$20:$S$35,4,FALSE)*VLOOKUP("standard",'Plate Planning'!$L$20:$S$35,4,FALSE)/VLOOKUP(A8,'Uncorrected Area Counts'!$A$4:$AU$27,18,FALSE)*100</f>
        <v>#DIV/0!</v>
      </c>
      <c r="K8" s="514" t="e">
        <f>(VLOOKUP(A8,'Uncorrected Area Counts'!$A$4:$AU$27,23,FALSE)/VLOOKUP(A8,'Uncorrected Area Counts'!$A$4:$AU$27,47,FALSE))*100</f>
        <v>#DIV/0!</v>
      </c>
      <c r="L8" s="501" t="e">
        <f>VLOOKUP(A8,'Uncorrected Area Counts'!$A$4:$AU$27,23,FALSE)/VLOOKUP(A8,'Uncorrected Area Counts'!$A$4:$AU$27,3,FALSE)/VLOOKUP(5,'Plate Planning'!$L$20:$S$35,4,FALSE)*VLOOKUP("standard",'Plate Planning'!$L$20:$S$35,4,FALSE)/VLOOKUP(A8,'Uncorrected Area Counts'!$A$4:$AU$27,22,FALSE)*100</f>
        <v>#DIV/0!</v>
      </c>
      <c r="M8" s="514" t="e">
        <f>(VLOOKUP(A8,'Uncorrected Area Counts'!$A$4:$AU$27,27,FALSE)/VLOOKUP(A8,'Uncorrected Area Counts'!$A$4:$AU$27,47,FALSE))*100</f>
        <v>#DIV/0!</v>
      </c>
      <c r="N8" s="500" t="e">
        <f>VLOOKUP(A8,'Uncorrected Area Counts'!$A$4:$AU$27,27,FALSE)/VLOOKUP(A8,'Uncorrected Area Counts'!$A$4:$AU$27,3,FALSE)/VLOOKUP(6,'Plate Planning'!$L$20:$S$35,4,FALSE)*VLOOKUP("standard",'Plate Planning'!$L$20:$S$35,4,FALSE)/VLOOKUP(A8,'Uncorrected Area Counts'!$A$4:$AU$27,26,FALSE)*100</f>
        <v>#DIV/0!</v>
      </c>
      <c r="O8" s="514" t="e">
        <f>(VLOOKUP(A8,'Uncorrected Area Counts'!$A$4:$AU$27,31,FALSE)/VLOOKUP(A8,'Uncorrected Area Counts'!$A$4:$AU$27,47,FALSE))*100</f>
        <v>#DIV/0!</v>
      </c>
      <c r="P8" s="501" t="e">
        <f>VLOOKUP(A8,'Uncorrected Area Counts'!$A$4:$AU$27,31,FALSE)/VLOOKUP(A8,'Uncorrected Area Counts'!$A$4:$AU$27,3,FALSE)/VLOOKUP(7,'Plate Planning'!$L$20:$S$35,4,FALSE)*VLOOKUP("standard",'Plate Planning'!$L$20:$S$35,4,FALSE)/VLOOKUP(A8,'Uncorrected Area Counts'!$A$4:$AU$27,30,FALSE)*100</f>
        <v>#DIV/0!</v>
      </c>
      <c r="Q8" s="514" t="e">
        <f>(VLOOKUP(A8,'Uncorrected Area Counts'!$A$4:$AU$27,35,FALSE)/VLOOKUP(A8,'Uncorrected Area Counts'!$A$4:$AU$27,47,FALSE))*100</f>
        <v>#DIV/0!</v>
      </c>
      <c r="R8" s="422" t="e">
        <f>VLOOKUP(A8,'Uncorrected Area Counts'!$A$4:$AU$27,35,FALSE)/VLOOKUP(A8,'Uncorrected Area Counts'!$A$4:$AU$27,3,FALSE)/VLOOKUP(8,'Plate Planning'!$L$20:$S$35,4,FALSE)*VLOOKUP("standard",'Plate Planning'!$L$20:$S$35,4,FALSE)/VLOOKUP(A8,'Uncorrected Area Counts'!$A$4:$AU$27,34,FALSE)*100</f>
        <v>#DIV/0!</v>
      </c>
      <c r="S8" s="522" t="e">
        <f>(VLOOKUP(A8,'Uncorrected Area Counts'!$A$4:$AU$27,39,FALSE)/VLOOKUP(A8,'Uncorrected Area Counts'!$A$4:$AU$27,47,FALSE))*100</f>
        <v>#DIV/0!</v>
      </c>
      <c r="T8" s="502" t="e">
        <f>VLOOKUP(A8,'Uncorrected Area Counts'!$A$4:$AU$27,39,FALSE)/VLOOKUP(A8,'Uncorrected Area Counts'!$A$4:$AU$27,3,FALSE)/VLOOKUP(8,'Plate Planning'!$L$20:$S$35,4,FALSE)*VLOOKUP("standard",'Plate Planning'!$L$20:$S$35,4,FALSE)/VLOOKUP(A8,'Uncorrected Area Counts'!$A$4:$AU$27,38,FALSE)*100</f>
        <v>#DIV/0!</v>
      </c>
      <c r="U8" s="522" t="e">
        <f>(VLOOKUP(A8,'Uncorrected Area Counts'!$A$4:$AU$27,43,FALSE)/VLOOKUP(A8,'Uncorrected Area Counts'!$A$4:$AU$27,47,FALSE))*100</f>
        <v>#DIV/0!</v>
      </c>
      <c r="V8" s="537" t="e">
        <f>VLOOKUP(A8,'Uncorrected Area Counts'!$A$4:$AU$27,43,FALSE)/VLOOKUP(A8,'Uncorrected Area Counts'!$A$4:$AU$27,3,FALSE)/VLOOKUP(8,'Plate Planning'!$L$20:$S$35,4,FALSE)*VLOOKUP("standard",'Plate Planning'!$L$20:$S$35,4,FALSE)/VLOOKUP(A8,'Uncorrected Area Counts'!$A$4:$AU$27,42,FALSE)*100</f>
        <v>#DIV/0!</v>
      </c>
    </row>
    <row r="9" spans="1:22">
      <c r="A9" s="423" t="s">
        <v>1166</v>
      </c>
      <c r="B9" s="498" t="s">
        <v>22</v>
      </c>
      <c r="C9" s="506" t="e">
        <f>(VLOOKUP(A9,'Uncorrected Area Counts'!$A$4:$AU$27,7,FALSE)/VLOOKUP(A9,'Uncorrected Area Counts'!$A$4:$AU$27,47,FALSE))*100</f>
        <v>#DIV/0!</v>
      </c>
      <c r="D9" s="499" t="e">
        <f>VLOOKUP(A9,'Uncorrected Area Counts'!$A$4:$AU$27,7,FALSE)/VLOOKUP(A9,'Uncorrected Area Counts'!$A$4:$AU$27,3,FALSE)/VLOOKUP(1,'Plate Planning'!$L$20:$S$35,4,FALSE)*VLOOKUP("standard",'Plate Planning'!$L$20:$S$35,4,FALSE)/VLOOKUP(A9,'Uncorrected Area Counts'!$A$4:$AU$27,6,FALSE)*100</f>
        <v>#DIV/0!</v>
      </c>
      <c r="E9" s="509" t="e">
        <f>(VLOOKUP(A9,'Uncorrected Area Counts'!$A$4:$AU$27,11,FALSE)/VLOOKUP(A9,'Uncorrected Area Counts'!$A$4:$AU$27,47,FALSE))*100</f>
        <v>#DIV/0!</v>
      </c>
      <c r="F9" s="499" t="e">
        <f>VLOOKUP(A9,'Uncorrected Area Counts'!$A$4:$AU$27,11,FALSE)/VLOOKUP(A9,'Uncorrected Area Counts'!$A$4:$AU$27,3,FALSE)/VLOOKUP(2,'Plate Planning'!$L$20:$S$35,4,FALSE)*VLOOKUP("standard",'Plate Planning'!$L$20:$S$35,4,FALSE)/VLOOKUP(A9,'Uncorrected Area Counts'!$A$4:$AU$27,10,FALSE)*100</f>
        <v>#DIV/0!</v>
      </c>
      <c r="G9" s="509" t="e">
        <f>(VLOOKUP(A9,'Uncorrected Area Counts'!$A$4:$AU$27,15,FALSE)/VLOOKUP(A9,'Uncorrected Area Counts'!$A$4:$AU$27,47,FALSE))*100</f>
        <v>#DIV/0!</v>
      </c>
      <c r="H9" s="499" t="e">
        <f>VLOOKUP(A9,'Uncorrected Area Counts'!$A$4:$AU$27,15,FALSE)/VLOOKUP(A9,'Uncorrected Area Counts'!$A$4:$AU$27,3,FALSE)/VLOOKUP(3,'Plate Planning'!$L$20:$S$35,4,FALSE)*VLOOKUP("standard",'Plate Planning'!$L$20:$S$35,4,FALSE)/VLOOKUP(A9,'Uncorrected Area Counts'!$A$4:$AU$27,14,FALSE)*100</f>
        <v>#DIV/0!</v>
      </c>
      <c r="I9" s="509" t="e">
        <f>(VLOOKUP(A9,'Uncorrected Area Counts'!$A$4:$AU$27,19,FALSE)/VLOOKUP(A9,'Uncorrected Area Counts'!$A$4:$AU$27,47,FALSE))*100</f>
        <v>#DIV/0!</v>
      </c>
      <c r="J9" s="500" t="e">
        <f>VLOOKUP(A9,'Uncorrected Area Counts'!$A$4:$AU$27,19,FALSE)/VLOOKUP(A9,'Uncorrected Area Counts'!$A$4:$AU$27,3,FALSE)/VLOOKUP(4,'Plate Planning'!$L$20:$S$35,4,FALSE)*VLOOKUP("standard",'Plate Planning'!$L$20:$S$35,4,FALSE)/VLOOKUP(A9,'Uncorrected Area Counts'!$A$4:$AU$27,18,FALSE)*100</f>
        <v>#DIV/0!</v>
      </c>
      <c r="K9" s="514" t="e">
        <f>(VLOOKUP(A9,'Uncorrected Area Counts'!$A$4:$AU$27,23,FALSE)/VLOOKUP(A9,'Uncorrected Area Counts'!$A$4:$AU$27,47,FALSE))*100</f>
        <v>#DIV/0!</v>
      </c>
      <c r="L9" s="501" t="e">
        <f>VLOOKUP(A9,'Uncorrected Area Counts'!$A$4:$AU$27,23,FALSE)/VLOOKUP(A9,'Uncorrected Area Counts'!$A$4:$AU$27,3,FALSE)/VLOOKUP(5,'Plate Planning'!$L$20:$S$35,4,FALSE)*VLOOKUP("standard",'Plate Planning'!$L$20:$S$35,4,FALSE)/VLOOKUP(A9,'Uncorrected Area Counts'!$A$4:$AU$27,22,FALSE)*100</f>
        <v>#DIV/0!</v>
      </c>
      <c r="M9" s="514" t="e">
        <f>(VLOOKUP(A9,'Uncorrected Area Counts'!$A$4:$AU$27,27,FALSE)/VLOOKUP(A9,'Uncorrected Area Counts'!$A$4:$AU$27,47,FALSE))*100</f>
        <v>#DIV/0!</v>
      </c>
      <c r="N9" s="500" t="e">
        <f>VLOOKUP(A9,'Uncorrected Area Counts'!$A$4:$AU$27,27,FALSE)/VLOOKUP(A9,'Uncorrected Area Counts'!$A$4:$AU$27,3,FALSE)/VLOOKUP(6,'Plate Planning'!$L$20:$S$35,4,FALSE)*VLOOKUP("standard",'Plate Planning'!$L$20:$S$35,4,FALSE)/VLOOKUP(A9,'Uncorrected Area Counts'!$A$4:$AU$27,26,FALSE)*100</f>
        <v>#DIV/0!</v>
      </c>
      <c r="O9" s="514" t="e">
        <f>(VLOOKUP(A9,'Uncorrected Area Counts'!$A$4:$AU$27,31,FALSE)/VLOOKUP(A9,'Uncorrected Area Counts'!$A$4:$AU$27,47,FALSE))*100</f>
        <v>#DIV/0!</v>
      </c>
      <c r="P9" s="501" t="e">
        <f>VLOOKUP(A9,'Uncorrected Area Counts'!$A$4:$AU$27,31,FALSE)/VLOOKUP(A9,'Uncorrected Area Counts'!$A$4:$AU$27,3,FALSE)/VLOOKUP(7,'Plate Planning'!$L$20:$S$35,4,FALSE)*VLOOKUP("standard",'Plate Planning'!$L$20:$S$35,4,FALSE)/VLOOKUP(A9,'Uncorrected Area Counts'!$A$4:$AU$27,30,FALSE)*100</f>
        <v>#DIV/0!</v>
      </c>
      <c r="Q9" s="514" t="e">
        <f>(VLOOKUP(A9,'Uncorrected Area Counts'!$A$4:$AU$27,35,FALSE)/VLOOKUP(A9,'Uncorrected Area Counts'!$A$4:$AU$27,47,FALSE))*100</f>
        <v>#DIV/0!</v>
      </c>
      <c r="R9" s="422" t="e">
        <f>VLOOKUP(A9,'Uncorrected Area Counts'!$A$4:$AU$27,35,FALSE)/VLOOKUP(A9,'Uncorrected Area Counts'!$A$4:$AU$27,3,FALSE)/VLOOKUP(8,'Plate Planning'!$L$20:$S$35,4,FALSE)*VLOOKUP("standard",'Plate Planning'!$L$20:$S$35,4,FALSE)/VLOOKUP(A9,'Uncorrected Area Counts'!$A$4:$AU$27,34,FALSE)*100</f>
        <v>#DIV/0!</v>
      </c>
      <c r="S9" s="522" t="e">
        <f>(VLOOKUP(A9,'Uncorrected Area Counts'!$A$4:$AU$27,39,FALSE)/VLOOKUP(A9,'Uncorrected Area Counts'!$A$4:$AU$27,47,FALSE))*100</f>
        <v>#DIV/0!</v>
      </c>
      <c r="T9" s="502" t="e">
        <f>VLOOKUP(A9,'Uncorrected Area Counts'!$A$4:$AU$27,39,FALSE)/VLOOKUP(A9,'Uncorrected Area Counts'!$A$4:$AU$27,3,FALSE)/VLOOKUP(8,'Plate Planning'!$L$20:$S$35,4,FALSE)*VLOOKUP("standard",'Plate Planning'!$L$20:$S$35,4,FALSE)/VLOOKUP(A9,'Uncorrected Area Counts'!$A$4:$AU$27,38,FALSE)*100</f>
        <v>#DIV/0!</v>
      </c>
      <c r="U9" s="522" t="e">
        <f>(VLOOKUP(A9,'Uncorrected Area Counts'!$A$4:$AU$27,43,FALSE)/VLOOKUP(A9,'Uncorrected Area Counts'!$A$4:$AU$27,47,FALSE))*100</f>
        <v>#DIV/0!</v>
      </c>
      <c r="V9" s="537" t="e">
        <f>VLOOKUP(A9,'Uncorrected Area Counts'!$A$4:$AU$27,43,FALSE)/VLOOKUP(A9,'Uncorrected Area Counts'!$A$4:$AU$27,3,FALSE)/VLOOKUP(8,'Plate Planning'!$L$20:$S$35,4,FALSE)*VLOOKUP("standard",'Plate Planning'!$L$20:$S$35,4,FALSE)/VLOOKUP(A9,'Uncorrected Area Counts'!$A$4:$AU$27,42,FALSE)*100</f>
        <v>#DIV/0!</v>
      </c>
    </row>
    <row r="10" spans="1:22">
      <c r="A10" s="423" t="s">
        <v>1173</v>
      </c>
      <c r="B10" s="498" t="s">
        <v>22</v>
      </c>
      <c r="C10" s="506" t="e">
        <f>(VLOOKUP(A10,'Uncorrected Area Counts'!$A$4:$AU$27,7,FALSE)/VLOOKUP(A10,'Uncorrected Area Counts'!$A$4:$AU$27,47,FALSE))*100</f>
        <v>#DIV/0!</v>
      </c>
      <c r="D10" s="499" t="e">
        <f>VLOOKUP(A10,'Uncorrected Area Counts'!$A$4:$AU$27,7,FALSE)/VLOOKUP(A10,'Uncorrected Area Counts'!$A$4:$AU$27,3,FALSE)/VLOOKUP(1,'Plate Planning'!$L$20:$S$35,4,FALSE)*VLOOKUP("standard",'Plate Planning'!$L$20:$S$35,4,FALSE)/VLOOKUP(A10,'Uncorrected Area Counts'!$A$4:$AU$27,6,FALSE)*100</f>
        <v>#DIV/0!</v>
      </c>
      <c r="E10" s="509" t="e">
        <f>(VLOOKUP(A10,'Uncorrected Area Counts'!$A$4:$AU$27,11,FALSE)/VLOOKUP(A10,'Uncorrected Area Counts'!$A$4:$AU$27,47,FALSE))*100</f>
        <v>#DIV/0!</v>
      </c>
      <c r="F10" s="499" t="e">
        <f>VLOOKUP(A10,'Uncorrected Area Counts'!$A$4:$AU$27,11,FALSE)/VLOOKUP(A10,'Uncorrected Area Counts'!$A$4:$AU$27,3,FALSE)/VLOOKUP(2,'Plate Planning'!$L$20:$S$35,4,FALSE)*VLOOKUP("standard",'Plate Planning'!$L$20:$S$35,4,FALSE)/VLOOKUP(A10,'Uncorrected Area Counts'!$A$4:$AU$27,10,FALSE)*100</f>
        <v>#DIV/0!</v>
      </c>
      <c r="G10" s="509" t="e">
        <f>(VLOOKUP(A10,'Uncorrected Area Counts'!$A$4:$AU$27,15,FALSE)/VLOOKUP(A10,'Uncorrected Area Counts'!$A$4:$AU$27,47,FALSE))*100</f>
        <v>#DIV/0!</v>
      </c>
      <c r="H10" s="499" t="e">
        <f>VLOOKUP(A10,'Uncorrected Area Counts'!$A$4:$AU$27,15,FALSE)/VLOOKUP(A10,'Uncorrected Area Counts'!$A$4:$AU$27,3,FALSE)/VLOOKUP(3,'Plate Planning'!$L$20:$S$35,4,FALSE)*VLOOKUP("standard",'Plate Planning'!$L$20:$S$35,4,FALSE)/VLOOKUP(A10,'Uncorrected Area Counts'!$A$4:$AU$27,14,FALSE)*100</f>
        <v>#DIV/0!</v>
      </c>
      <c r="I10" s="509" t="e">
        <f>(VLOOKUP(A10,'Uncorrected Area Counts'!$A$4:$AU$27,19,FALSE)/VLOOKUP(A10,'Uncorrected Area Counts'!$A$4:$AU$27,47,FALSE))*100</f>
        <v>#DIV/0!</v>
      </c>
      <c r="J10" s="500" t="e">
        <f>VLOOKUP(A10,'Uncorrected Area Counts'!$A$4:$AU$27,19,FALSE)/VLOOKUP(A10,'Uncorrected Area Counts'!$A$4:$AU$27,3,FALSE)/VLOOKUP(4,'Plate Planning'!$L$20:$S$35,4,FALSE)*VLOOKUP("standard",'Plate Planning'!$L$20:$S$35,4,FALSE)/VLOOKUP(A10,'Uncorrected Area Counts'!$A$4:$AU$27,18,FALSE)*100</f>
        <v>#DIV/0!</v>
      </c>
      <c r="K10" s="514" t="e">
        <f>(VLOOKUP(A10,'Uncorrected Area Counts'!$A$4:$AU$27,23,FALSE)/VLOOKUP(A10,'Uncorrected Area Counts'!$A$4:$AU$27,47,FALSE))*100</f>
        <v>#DIV/0!</v>
      </c>
      <c r="L10" s="501" t="e">
        <f>VLOOKUP(A10,'Uncorrected Area Counts'!$A$4:$AU$27,23,FALSE)/VLOOKUP(A10,'Uncorrected Area Counts'!$A$4:$AU$27,3,FALSE)/VLOOKUP(5,'Plate Planning'!$L$20:$S$35,4,FALSE)*VLOOKUP("standard",'Plate Planning'!$L$20:$S$35,4,FALSE)/VLOOKUP(A10,'Uncorrected Area Counts'!$A$4:$AU$27,22,FALSE)*100</f>
        <v>#DIV/0!</v>
      </c>
      <c r="M10" s="514" t="e">
        <f>(VLOOKUP(A10,'Uncorrected Area Counts'!$A$4:$AU$27,27,FALSE)/VLOOKUP(A10,'Uncorrected Area Counts'!$A$4:$AU$27,47,FALSE))*100</f>
        <v>#DIV/0!</v>
      </c>
      <c r="N10" s="500" t="e">
        <f>VLOOKUP(A10,'Uncorrected Area Counts'!$A$4:$AU$27,27,FALSE)/VLOOKUP(A10,'Uncorrected Area Counts'!$A$4:$AU$27,3,FALSE)/VLOOKUP(6,'Plate Planning'!$L$20:$S$35,4,FALSE)*VLOOKUP("standard",'Plate Planning'!$L$20:$S$35,4,FALSE)/VLOOKUP(A10,'Uncorrected Area Counts'!$A$4:$AU$27,26,FALSE)*100</f>
        <v>#DIV/0!</v>
      </c>
      <c r="O10" s="514" t="e">
        <f>(VLOOKUP(A10,'Uncorrected Area Counts'!$A$4:$AU$27,31,FALSE)/VLOOKUP(A10,'Uncorrected Area Counts'!$A$4:$AU$27,47,FALSE))*100</f>
        <v>#DIV/0!</v>
      </c>
      <c r="P10" s="501" t="e">
        <f>VLOOKUP(A10,'Uncorrected Area Counts'!$A$4:$AU$27,31,FALSE)/VLOOKUP(A10,'Uncorrected Area Counts'!$A$4:$AU$27,3,FALSE)/VLOOKUP(7,'Plate Planning'!$L$20:$S$35,4,FALSE)*VLOOKUP("standard",'Plate Planning'!$L$20:$S$35,4,FALSE)/VLOOKUP(A10,'Uncorrected Area Counts'!$A$4:$AU$27,30,FALSE)*100</f>
        <v>#DIV/0!</v>
      </c>
      <c r="Q10" s="514" t="e">
        <f>(VLOOKUP(A10,'Uncorrected Area Counts'!$A$4:$AU$27,35,FALSE)/VLOOKUP(A10,'Uncorrected Area Counts'!$A$4:$AU$27,47,FALSE))*100</f>
        <v>#DIV/0!</v>
      </c>
      <c r="R10" s="422" t="e">
        <f>VLOOKUP(A10,'Uncorrected Area Counts'!$A$4:$AU$27,35,FALSE)/VLOOKUP(A10,'Uncorrected Area Counts'!$A$4:$AU$27,3,FALSE)/VLOOKUP(8,'Plate Planning'!$L$20:$S$35,4,FALSE)*VLOOKUP("standard",'Plate Planning'!$L$20:$S$35,4,FALSE)/VLOOKUP(A10,'Uncorrected Area Counts'!$A$4:$AU$27,34,FALSE)*100</f>
        <v>#DIV/0!</v>
      </c>
      <c r="S10" s="522" t="e">
        <f>(VLOOKUP(A10,'Uncorrected Area Counts'!$A$4:$AU$27,39,FALSE)/VLOOKUP(A10,'Uncorrected Area Counts'!$A$4:$AU$27,47,FALSE))*100</f>
        <v>#DIV/0!</v>
      </c>
      <c r="T10" s="502" t="e">
        <f>VLOOKUP(A10,'Uncorrected Area Counts'!$A$4:$AU$27,39,FALSE)/VLOOKUP(A10,'Uncorrected Area Counts'!$A$4:$AU$27,3,FALSE)/VLOOKUP(8,'Plate Planning'!$L$20:$S$35,4,FALSE)*VLOOKUP("standard",'Plate Planning'!$L$20:$S$35,4,FALSE)/VLOOKUP(A10,'Uncorrected Area Counts'!$A$4:$AU$27,38,FALSE)*100</f>
        <v>#DIV/0!</v>
      </c>
      <c r="U10" s="522" t="e">
        <f>(VLOOKUP(A10,'Uncorrected Area Counts'!$A$4:$AU$27,43,FALSE)/VLOOKUP(A10,'Uncorrected Area Counts'!$A$4:$AU$27,47,FALSE))*100</f>
        <v>#DIV/0!</v>
      </c>
      <c r="V10" s="537" t="e">
        <f>VLOOKUP(A10,'Uncorrected Area Counts'!$A$4:$AU$27,43,FALSE)/VLOOKUP(A10,'Uncorrected Area Counts'!$A$4:$AU$27,3,FALSE)/VLOOKUP(8,'Plate Planning'!$L$20:$S$35,4,FALSE)*VLOOKUP("standard",'Plate Planning'!$L$20:$S$35,4,FALSE)/VLOOKUP(A10,'Uncorrected Area Counts'!$A$4:$AU$27,42,FALSE)*100</f>
        <v>#DIV/0!</v>
      </c>
    </row>
    <row r="11" spans="1:22">
      <c r="A11" s="423" t="s">
        <v>1174</v>
      </c>
      <c r="B11" s="498" t="s">
        <v>22</v>
      </c>
      <c r="C11" s="506" t="e">
        <f>(VLOOKUP(A11,'Uncorrected Area Counts'!$A$4:$AU$27,7,FALSE)/VLOOKUP(A11,'Uncorrected Area Counts'!$A$4:$AU$27,47,FALSE))*100</f>
        <v>#DIV/0!</v>
      </c>
      <c r="D11" s="499" t="e">
        <f>VLOOKUP(A11,'Uncorrected Area Counts'!$A$4:$AU$27,7,FALSE)/VLOOKUP(A11,'Uncorrected Area Counts'!$A$4:$AU$27,3,FALSE)/VLOOKUP(1,'Plate Planning'!$L$20:$S$35,4,FALSE)*VLOOKUP("standard",'Plate Planning'!$L$20:$S$35,4,FALSE)/VLOOKUP(A11,'Uncorrected Area Counts'!$A$4:$AU$27,6,FALSE)*100</f>
        <v>#DIV/0!</v>
      </c>
      <c r="E11" s="509" t="e">
        <f>(VLOOKUP(A11,'Uncorrected Area Counts'!$A$4:$AU$27,11,FALSE)/VLOOKUP(A11,'Uncorrected Area Counts'!$A$4:$AU$27,47,FALSE))*100</f>
        <v>#DIV/0!</v>
      </c>
      <c r="F11" s="499" t="e">
        <f>VLOOKUP(A11,'Uncorrected Area Counts'!$A$4:$AU$27,11,FALSE)/VLOOKUP(A11,'Uncorrected Area Counts'!$A$4:$AU$27,3,FALSE)/VLOOKUP(2,'Plate Planning'!$L$20:$S$35,4,FALSE)*VLOOKUP("standard",'Plate Planning'!$L$20:$S$35,4,FALSE)/VLOOKUP(A11,'Uncorrected Area Counts'!$A$4:$AU$27,10,FALSE)*100</f>
        <v>#DIV/0!</v>
      </c>
      <c r="G11" s="509" t="e">
        <f>(VLOOKUP(A11,'Uncorrected Area Counts'!$A$4:$AU$27,15,FALSE)/VLOOKUP(A11,'Uncorrected Area Counts'!$A$4:$AU$27,47,FALSE))*100</f>
        <v>#DIV/0!</v>
      </c>
      <c r="H11" s="499" t="e">
        <f>VLOOKUP(A11,'Uncorrected Area Counts'!$A$4:$AU$27,15,FALSE)/VLOOKUP(A11,'Uncorrected Area Counts'!$A$4:$AU$27,3,FALSE)/VLOOKUP(3,'Plate Planning'!$L$20:$S$35,4,FALSE)*VLOOKUP("standard",'Plate Planning'!$L$20:$S$35,4,FALSE)/VLOOKUP(A11,'Uncorrected Area Counts'!$A$4:$AU$27,14,FALSE)*100</f>
        <v>#DIV/0!</v>
      </c>
      <c r="I11" s="509" t="e">
        <f>(VLOOKUP(A11,'Uncorrected Area Counts'!$A$4:$AU$27,19,FALSE)/VLOOKUP(A11,'Uncorrected Area Counts'!$A$4:$AU$27,47,FALSE))*100</f>
        <v>#DIV/0!</v>
      </c>
      <c r="J11" s="500" t="e">
        <f>VLOOKUP(A11,'Uncorrected Area Counts'!$A$4:$AU$27,19,FALSE)/VLOOKUP(A11,'Uncorrected Area Counts'!$A$4:$AU$27,3,FALSE)/VLOOKUP(4,'Plate Planning'!$L$20:$S$35,4,FALSE)*VLOOKUP("standard",'Plate Planning'!$L$20:$S$35,4,FALSE)/VLOOKUP(A11,'Uncorrected Area Counts'!$A$4:$AU$27,18,FALSE)*100</f>
        <v>#DIV/0!</v>
      </c>
      <c r="K11" s="514" t="e">
        <f>(VLOOKUP(A11,'Uncorrected Area Counts'!$A$4:$AU$27,23,FALSE)/VLOOKUP(A11,'Uncorrected Area Counts'!$A$4:$AU$27,47,FALSE))*100</f>
        <v>#DIV/0!</v>
      </c>
      <c r="L11" s="501" t="e">
        <f>VLOOKUP(A11,'Uncorrected Area Counts'!$A$4:$AU$27,23,FALSE)/VLOOKUP(A11,'Uncorrected Area Counts'!$A$4:$AU$27,3,FALSE)/VLOOKUP(5,'Plate Planning'!$L$20:$S$35,4,FALSE)*VLOOKUP("standard",'Plate Planning'!$L$20:$S$35,4,FALSE)/VLOOKUP(A11,'Uncorrected Area Counts'!$A$4:$AU$27,22,FALSE)*100</f>
        <v>#DIV/0!</v>
      </c>
      <c r="M11" s="514" t="e">
        <f>(VLOOKUP(A11,'Uncorrected Area Counts'!$A$4:$AU$27,27,FALSE)/VLOOKUP(A11,'Uncorrected Area Counts'!$A$4:$AU$27,47,FALSE))*100</f>
        <v>#DIV/0!</v>
      </c>
      <c r="N11" s="500" t="e">
        <f>VLOOKUP(A11,'Uncorrected Area Counts'!$A$4:$AU$27,27,FALSE)/VLOOKUP(A11,'Uncorrected Area Counts'!$A$4:$AU$27,3,FALSE)/VLOOKUP(6,'Plate Planning'!$L$20:$S$35,4,FALSE)*VLOOKUP("standard",'Plate Planning'!$L$20:$S$35,4,FALSE)/VLOOKUP(A11,'Uncorrected Area Counts'!$A$4:$AU$27,26,FALSE)*100</f>
        <v>#DIV/0!</v>
      </c>
      <c r="O11" s="514" t="e">
        <f>(VLOOKUP(A11,'Uncorrected Area Counts'!$A$4:$AU$27,31,FALSE)/VLOOKUP(A11,'Uncorrected Area Counts'!$A$4:$AU$27,47,FALSE))*100</f>
        <v>#DIV/0!</v>
      </c>
      <c r="P11" s="501" t="e">
        <f>VLOOKUP(A11,'Uncorrected Area Counts'!$A$4:$AU$27,31,FALSE)/VLOOKUP(A11,'Uncorrected Area Counts'!$A$4:$AU$27,3,FALSE)/VLOOKUP(7,'Plate Planning'!$L$20:$S$35,4,FALSE)*VLOOKUP("standard",'Plate Planning'!$L$20:$S$35,4,FALSE)/VLOOKUP(A11,'Uncorrected Area Counts'!$A$4:$AU$27,30,FALSE)*100</f>
        <v>#DIV/0!</v>
      </c>
      <c r="Q11" s="514" t="e">
        <f>(VLOOKUP(A11,'Uncorrected Area Counts'!$A$4:$AU$27,35,FALSE)/VLOOKUP(A11,'Uncorrected Area Counts'!$A$4:$AU$27,47,FALSE))*100</f>
        <v>#DIV/0!</v>
      </c>
      <c r="R11" s="422" t="e">
        <f>VLOOKUP(A11,'Uncorrected Area Counts'!$A$4:$AU$27,35,FALSE)/VLOOKUP(A11,'Uncorrected Area Counts'!$A$4:$AU$27,3,FALSE)/VLOOKUP(8,'Plate Planning'!$L$20:$S$35,4,FALSE)*VLOOKUP("standard",'Plate Planning'!$L$20:$S$35,4,FALSE)/VLOOKUP(A11,'Uncorrected Area Counts'!$A$4:$AU$27,34,FALSE)*100</f>
        <v>#DIV/0!</v>
      </c>
      <c r="S11" s="522" t="e">
        <f>(VLOOKUP(A11,'Uncorrected Area Counts'!$A$4:$AU$27,39,FALSE)/VLOOKUP(A11,'Uncorrected Area Counts'!$A$4:$AU$27,47,FALSE))*100</f>
        <v>#DIV/0!</v>
      </c>
      <c r="T11" s="502" t="e">
        <f>VLOOKUP(A11,'Uncorrected Area Counts'!$A$4:$AU$27,39,FALSE)/VLOOKUP(A11,'Uncorrected Area Counts'!$A$4:$AU$27,3,FALSE)/VLOOKUP(8,'Plate Planning'!$L$20:$S$35,4,FALSE)*VLOOKUP("standard",'Plate Planning'!$L$20:$S$35,4,FALSE)/VLOOKUP(A11,'Uncorrected Area Counts'!$A$4:$AU$27,38,FALSE)*100</f>
        <v>#DIV/0!</v>
      </c>
      <c r="U11" s="522" t="e">
        <f>(VLOOKUP(A11,'Uncorrected Area Counts'!$A$4:$AU$27,43,FALSE)/VLOOKUP(A11,'Uncorrected Area Counts'!$A$4:$AU$27,47,FALSE))*100</f>
        <v>#DIV/0!</v>
      </c>
      <c r="V11" s="537" t="e">
        <f>VLOOKUP(A11,'Uncorrected Area Counts'!$A$4:$AU$27,43,FALSE)/VLOOKUP(A11,'Uncorrected Area Counts'!$A$4:$AU$27,3,FALSE)/VLOOKUP(8,'Plate Planning'!$L$20:$S$35,4,FALSE)*VLOOKUP("standard",'Plate Planning'!$L$20:$S$35,4,FALSE)/VLOOKUP(A11,'Uncorrected Area Counts'!$A$4:$AU$27,42,FALSE)*100</f>
        <v>#DIV/0!</v>
      </c>
    </row>
    <row r="12" spans="1:22">
      <c r="A12" s="423" t="s">
        <v>1175</v>
      </c>
      <c r="B12" s="498" t="s">
        <v>22</v>
      </c>
      <c r="C12" s="506" t="e">
        <f>(VLOOKUP(A12,'Uncorrected Area Counts'!$A$4:$AU$27,7,FALSE)/VLOOKUP(A12,'Uncorrected Area Counts'!$A$4:$AU$27,47,FALSE))*100</f>
        <v>#DIV/0!</v>
      </c>
      <c r="D12" s="499" t="e">
        <f>VLOOKUP(A12,'Uncorrected Area Counts'!$A$4:$AU$27,7,FALSE)/VLOOKUP(A12,'Uncorrected Area Counts'!$A$4:$AU$27,3,FALSE)/VLOOKUP(1,'Plate Planning'!$L$20:$S$35,4,FALSE)*VLOOKUP("standard",'Plate Planning'!$L$20:$S$35,4,FALSE)/VLOOKUP(A12,'Uncorrected Area Counts'!$A$4:$AU$27,6,FALSE)*100</f>
        <v>#DIV/0!</v>
      </c>
      <c r="E12" s="509" t="e">
        <f>(VLOOKUP(A12,'Uncorrected Area Counts'!$A$4:$AU$27,11,FALSE)/VLOOKUP(A12,'Uncorrected Area Counts'!$A$4:$AU$27,47,FALSE))*100</f>
        <v>#DIV/0!</v>
      </c>
      <c r="F12" s="499" t="e">
        <f>VLOOKUP(A12,'Uncorrected Area Counts'!$A$4:$AU$27,11,FALSE)/VLOOKUP(A12,'Uncorrected Area Counts'!$A$4:$AU$27,3,FALSE)/VLOOKUP(2,'Plate Planning'!$L$20:$S$35,4,FALSE)*VLOOKUP("standard",'Plate Planning'!$L$20:$S$35,4,FALSE)/VLOOKUP(A12,'Uncorrected Area Counts'!$A$4:$AU$27,10,FALSE)*100</f>
        <v>#DIV/0!</v>
      </c>
      <c r="G12" s="509" t="e">
        <f>(VLOOKUP(A12,'Uncorrected Area Counts'!$A$4:$AU$27,15,FALSE)/VLOOKUP(A12,'Uncorrected Area Counts'!$A$4:$AU$27,47,FALSE))*100</f>
        <v>#DIV/0!</v>
      </c>
      <c r="H12" s="499" t="e">
        <f>VLOOKUP(A12,'Uncorrected Area Counts'!$A$4:$AU$27,15,FALSE)/VLOOKUP(A12,'Uncorrected Area Counts'!$A$4:$AU$27,3,FALSE)/VLOOKUP(3,'Plate Planning'!$L$20:$S$35,4,FALSE)*VLOOKUP("standard",'Plate Planning'!$L$20:$S$35,4,FALSE)/VLOOKUP(A12,'Uncorrected Area Counts'!$A$4:$AU$27,14,FALSE)*100</f>
        <v>#DIV/0!</v>
      </c>
      <c r="I12" s="509" t="e">
        <f>(VLOOKUP(A12,'Uncorrected Area Counts'!$A$4:$AU$27,19,FALSE)/VLOOKUP(A12,'Uncorrected Area Counts'!$A$4:$AU$27,47,FALSE))*100</f>
        <v>#DIV/0!</v>
      </c>
      <c r="J12" s="500" t="e">
        <f>VLOOKUP(A12,'Uncorrected Area Counts'!$A$4:$AU$27,19,FALSE)/VLOOKUP(A12,'Uncorrected Area Counts'!$A$4:$AU$27,3,FALSE)/VLOOKUP(4,'Plate Planning'!$L$20:$S$35,4,FALSE)*VLOOKUP("standard",'Plate Planning'!$L$20:$S$35,4,FALSE)/VLOOKUP(A12,'Uncorrected Area Counts'!$A$4:$AU$27,18,FALSE)*100</f>
        <v>#DIV/0!</v>
      </c>
      <c r="K12" s="514" t="e">
        <f>(VLOOKUP(A12,'Uncorrected Area Counts'!$A$4:$AU$27,23,FALSE)/VLOOKUP(A12,'Uncorrected Area Counts'!$A$4:$AU$27,47,FALSE))*100</f>
        <v>#DIV/0!</v>
      </c>
      <c r="L12" s="501" t="e">
        <f>VLOOKUP(A12,'Uncorrected Area Counts'!$A$4:$AU$27,23,FALSE)/VLOOKUP(A12,'Uncorrected Area Counts'!$A$4:$AU$27,3,FALSE)/VLOOKUP(5,'Plate Planning'!$L$20:$S$35,4,FALSE)*VLOOKUP("standard",'Plate Planning'!$L$20:$S$35,4,FALSE)/VLOOKUP(A12,'Uncorrected Area Counts'!$A$4:$AU$27,22,FALSE)*100</f>
        <v>#DIV/0!</v>
      </c>
      <c r="M12" s="514" t="e">
        <f>(VLOOKUP(A12,'Uncorrected Area Counts'!$A$4:$AU$27,27,FALSE)/VLOOKUP(A12,'Uncorrected Area Counts'!$A$4:$AU$27,47,FALSE))*100</f>
        <v>#DIV/0!</v>
      </c>
      <c r="N12" s="500" t="e">
        <f>VLOOKUP(A12,'Uncorrected Area Counts'!$A$4:$AU$27,27,FALSE)/VLOOKUP(A12,'Uncorrected Area Counts'!$A$4:$AU$27,3,FALSE)/VLOOKUP(6,'Plate Planning'!$L$20:$S$35,4,FALSE)*VLOOKUP("standard",'Plate Planning'!$L$20:$S$35,4,FALSE)/VLOOKUP(A12,'Uncorrected Area Counts'!$A$4:$AU$27,26,FALSE)*100</f>
        <v>#DIV/0!</v>
      </c>
      <c r="O12" s="514" t="e">
        <f>(VLOOKUP(A12,'Uncorrected Area Counts'!$A$4:$AU$27,31,FALSE)/VLOOKUP(A12,'Uncorrected Area Counts'!$A$4:$AU$27,47,FALSE))*100</f>
        <v>#DIV/0!</v>
      </c>
      <c r="P12" s="501" t="e">
        <f>VLOOKUP(A12,'Uncorrected Area Counts'!$A$4:$AU$27,31,FALSE)/VLOOKUP(A12,'Uncorrected Area Counts'!$A$4:$AU$27,3,FALSE)/VLOOKUP(7,'Plate Planning'!$L$20:$S$35,4,FALSE)*VLOOKUP("standard",'Plate Planning'!$L$20:$S$35,4,FALSE)/VLOOKUP(A12,'Uncorrected Area Counts'!$A$4:$AU$27,30,FALSE)*100</f>
        <v>#DIV/0!</v>
      </c>
      <c r="Q12" s="514" t="e">
        <f>(VLOOKUP(A12,'Uncorrected Area Counts'!$A$4:$AU$27,35,FALSE)/VLOOKUP(A12,'Uncorrected Area Counts'!$A$4:$AU$27,47,FALSE))*100</f>
        <v>#DIV/0!</v>
      </c>
      <c r="R12" s="422" t="e">
        <f>VLOOKUP(A12,'Uncorrected Area Counts'!$A$4:$AU$27,35,FALSE)/VLOOKUP(A12,'Uncorrected Area Counts'!$A$4:$AU$27,3,FALSE)/VLOOKUP(8,'Plate Planning'!$L$20:$S$35,4,FALSE)*VLOOKUP("standard",'Plate Planning'!$L$20:$S$35,4,FALSE)/VLOOKUP(A12,'Uncorrected Area Counts'!$A$4:$AU$27,34,FALSE)*100</f>
        <v>#DIV/0!</v>
      </c>
      <c r="S12" s="522" t="e">
        <f>(VLOOKUP(A12,'Uncorrected Area Counts'!$A$4:$AU$27,39,FALSE)/VLOOKUP(A12,'Uncorrected Area Counts'!$A$4:$AU$27,47,FALSE))*100</f>
        <v>#DIV/0!</v>
      </c>
      <c r="T12" s="502" t="e">
        <f>VLOOKUP(A12,'Uncorrected Area Counts'!$A$4:$AU$27,39,FALSE)/VLOOKUP(A12,'Uncorrected Area Counts'!$A$4:$AU$27,3,FALSE)/VLOOKUP(8,'Plate Planning'!$L$20:$S$35,4,FALSE)*VLOOKUP("standard",'Plate Planning'!$L$20:$S$35,4,FALSE)/VLOOKUP(A12,'Uncorrected Area Counts'!$A$4:$AU$27,38,FALSE)*100</f>
        <v>#DIV/0!</v>
      </c>
      <c r="U12" s="522" t="e">
        <f>(VLOOKUP(A12,'Uncorrected Area Counts'!$A$4:$AU$27,43,FALSE)/VLOOKUP(A12,'Uncorrected Area Counts'!$A$4:$AU$27,47,FALSE))*100</f>
        <v>#DIV/0!</v>
      </c>
      <c r="V12" s="537" t="e">
        <f>VLOOKUP(A12,'Uncorrected Area Counts'!$A$4:$AU$27,43,FALSE)/VLOOKUP(A12,'Uncorrected Area Counts'!$A$4:$AU$27,3,FALSE)/VLOOKUP(8,'Plate Planning'!$L$20:$S$35,4,FALSE)*VLOOKUP("standard",'Plate Planning'!$L$20:$S$35,4,FALSE)/VLOOKUP(A12,'Uncorrected Area Counts'!$A$4:$AU$27,42,FALSE)*100</f>
        <v>#DIV/0!</v>
      </c>
    </row>
    <row r="13" spans="1:22">
      <c r="A13" s="423" t="s">
        <v>1176</v>
      </c>
      <c r="B13" s="498" t="s">
        <v>22</v>
      </c>
      <c r="C13" s="506" t="e">
        <f>(VLOOKUP(A13,'Uncorrected Area Counts'!$A$4:$AU$27,7,FALSE)/VLOOKUP(A13,'Uncorrected Area Counts'!$A$4:$AU$27,47,FALSE))*100</f>
        <v>#DIV/0!</v>
      </c>
      <c r="D13" s="499" t="e">
        <f>VLOOKUP(A13,'Uncorrected Area Counts'!$A$4:$AU$27,7,FALSE)/VLOOKUP(A13,'Uncorrected Area Counts'!$A$4:$AU$27,3,FALSE)/VLOOKUP(1,'Plate Planning'!$L$20:$S$35,4,FALSE)*VLOOKUP("standard",'Plate Planning'!$L$20:$S$35,4,FALSE)/VLOOKUP(A13,'Uncorrected Area Counts'!$A$4:$AU$27,6,FALSE)*100</f>
        <v>#DIV/0!</v>
      </c>
      <c r="E13" s="509" t="e">
        <f>(VLOOKUP(A13,'Uncorrected Area Counts'!$A$4:$AU$27,11,FALSE)/VLOOKUP(A13,'Uncorrected Area Counts'!$A$4:$AU$27,47,FALSE))*100</f>
        <v>#DIV/0!</v>
      </c>
      <c r="F13" s="499" t="e">
        <f>VLOOKUP(A13,'Uncorrected Area Counts'!$A$4:$AU$27,11,FALSE)/VLOOKUP(A13,'Uncorrected Area Counts'!$A$4:$AU$27,3,FALSE)/VLOOKUP(2,'Plate Planning'!$L$20:$S$35,4,FALSE)*VLOOKUP("standard",'Plate Planning'!$L$20:$S$35,4,FALSE)/VLOOKUP(A13,'Uncorrected Area Counts'!$A$4:$AU$27,10,FALSE)*100</f>
        <v>#DIV/0!</v>
      </c>
      <c r="G13" s="509" t="e">
        <f>(VLOOKUP(A13,'Uncorrected Area Counts'!$A$4:$AU$27,15,FALSE)/VLOOKUP(A13,'Uncorrected Area Counts'!$A$4:$AU$27,47,FALSE))*100</f>
        <v>#DIV/0!</v>
      </c>
      <c r="H13" s="499" t="e">
        <f>VLOOKUP(A13,'Uncorrected Area Counts'!$A$4:$AU$27,15,FALSE)/VLOOKUP(A13,'Uncorrected Area Counts'!$A$4:$AU$27,3,FALSE)/VLOOKUP(3,'Plate Planning'!$L$20:$S$35,4,FALSE)*VLOOKUP("standard",'Plate Planning'!$L$20:$S$35,4,FALSE)/VLOOKUP(A13,'Uncorrected Area Counts'!$A$4:$AU$27,14,FALSE)*100</f>
        <v>#DIV/0!</v>
      </c>
      <c r="I13" s="509" t="e">
        <f>(VLOOKUP(A13,'Uncorrected Area Counts'!$A$4:$AU$27,19,FALSE)/VLOOKUP(A13,'Uncorrected Area Counts'!$A$4:$AU$27,47,FALSE))*100</f>
        <v>#DIV/0!</v>
      </c>
      <c r="J13" s="500" t="e">
        <f>VLOOKUP(A13,'Uncorrected Area Counts'!$A$4:$AU$27,19,FALSE)/VLOOKUP(A13,'Uncorrected Area Counts'!$A$4:$AU$27,3,FALSE)/VLOOKUP(4,'Plate Planning'!$L$20:$S$35,4,FALSE)*VLOOKUP("standard",'Plate Planning'!$L$20:$S$35,4,FALSE)/VLOOKUP(A13,'Uncorrected Area Counts'!$A$4:$AU$27,18,FALSE)*100</f>
        <v>#DIV/0!</v>
      </c>
      <c r="K13" s="514" t="e">
        <f>(VLOOKUP(A13,'Uncorrected Area Counts'!$A$4:$AU$27,23,FALSE)/VLOOKUP(A13,'Uncorrected Area Counts'!$A$4:$AU$27,47,FALSE))*100</f>
        <v>#DIV/0!</v>
      </c>
      <c r="L13" s="501" t="e">
        <f>VLOOKUP(A13,'Uncorrected Area Counts'!$A$4:$AU$27,23,FALSE)/VLOOKUP(A13,'Uncorrected Area Counts'!$A$4:$AU$27,3,FALSE)/VLOOKUP(5,'Plate Planning'!$L$20:$S$35,4,FALSE)*VLOOKUP("standard",'Plate Planning'!$L$20:$S$35,4,FALSE)/VLOOKUP(A13,'Uncorrected Area Counts'!$A$4:$AU$27,22,FALSE)*100</f>
        <v>#DIV/0!</v>
      </c>
      <c r="M13" s="514" t="e">
        <f>(VLOOKUP(A13,'Uncorrected Area Counts'!$A$4:$AU$27,27,FALSE)/VLOOKUP(A13,'Uncorrected Area Counts'!$A$4:$AU$27,47,FALSE))*100</f>
        <v>#DIV/0!</v>
      </c>
      <c r="N13" s="500" t="e">
        <f>VLOOKUP(A13,'Uncorrected Area Counts'!$A$4:$AU$27,27,FALSE)/VLOOKUP(A13,'Uncorrected Area Counts'!$A$4:$AU$27,3,FALSE)/VLOOKUP(6,'Plate Planning'!$L$20:$S$35,4,FALSE)*VLOOKUP("standard",'Plate Planning'!$L$20:$S$35,4,FALSE)/VLOOKUP(A13,'Uncorrected Area Counts'!$A$4:$AU$27,26,FALSE)*100</f>
        <v>#DIV/0!</v>
      </c>
      <c r="O13" s="514" t="e">
        <f>(VLOOKUP(A13,'Uncorrected Area Counts'!$A$4:$AU$27,31,FALSE)/VLOOKUP(A13,'Uncorrected Area Counts'!$A$4:$AU$27,47,FALSE))*100</f>
        <v>#DIV/0!</v>
      </c>
      <c r="P13" s="501" t="e">
        <f>VLOOKUP(A13,'Uncorrected Area Counts'!$A$4:$AU$27,31,FALSE)/VLOOKUP(A13,'Uncorrected Area Counts'!$A$4:$AU$27,3,FALSE)/VLOOKUP(7,'Plate Planning'!$L$20:$S$35,4,FALSE)*VLOOKUP("standard",'Plate Planning'!$L$20:$S$35,4,FALSE)/VLOOKUP(A13,'Uncorrected Area Counts'!$A$4:$AU$27,30,FALSE)*100</f>
        <v>#DIV/0!</v>
      </c>
      <c r="Q13" s="514" t="e">
        <f>(VLOOKUP(A13,'Uncorrected Area Counts'!$A$4:$AU$27,35,FALSE)/VLOOKUP(A13,'Uncorrected Area Counts'!$A$4:$AU$27,47,FALSE))*100</f>
        <v>#DIV/0!</v>
      </c>
      <c r="R13" s="422" t="e">
        <f>VLOOKUP(A13,'Uncorrected Area Counts'!$A$4:$AU$27,35,FALSE)/VLOOKUP(A13,'Uncorrected Area Counts'!$A$4:$AU$27,3,FALSE)/VLOOKUP(8,'Plate Planning'!$L$20:$S$35,4,FALSE)*VLOOKUP("standard",'Plate Planning'!$L$20:$S$35,4,FALSE)/VLOOKUP(A13,'Uncorrected Area Counts'!$A$4:$AU$27,34,FALSE)*100</f>
        <v>#DIV/0!</v>
      </c>
      <c r="S13" s="522" t="e">
        <f>(VLOOKUP(A13,'Uncorrected Area Counts'!$A$4:$AU$27,39,FALSE)/VLOOKUP(A13,'Uncorrected Area Counts'!$A$4:$AU$27,47,FALSE))*100</f>
        <v>#DIV/0!</v>
      </c>
      <c r="T13" s="502" t="e">
        <f>VLOOKUP(A13,'Uncorrected Area Counts'!$A$4:$AU$27,39,FALSE)/VLOOKUP(A13,'Uncorrected Area Counts'!$A$4:$AU$27,3,FALSE)/VLOOKUP(8,'Plate Planning'!$L$20:$S$35,4,FALSE)*VLOOKUP("standard",'Plate Planning'!$L$20:$S$35,4,FALSE)/VLOOKUP(A13,'Uncorrected Area Counts'!$A$4:$AU$27,38,FALSE)*100</f>
        <v>#DIV/0!</v>
      </c>
      <c r="U13" s="522" t="e">
        <f>(VLOOKUP(A13,'Uncorrected Area Counts'!$A$4:$AU$27,43,FALSE)/VLOOKUP(A13,'Uncorrected Area Counts'!$A$4:$AU$27,47,FALSE))*100</f>
        <v>#DIV/0!</v>
      </c>
      <c r="V13" s="537" t="e">
        <f>VLOOKUP(A13,'Uncorrected Area Counts'!$A$4:$AU$27,43,FALSE)/VLOOKUP(A13,'Uncorrected Area Counts'!$A$4:$AU$27,3,FALSE)/VLOOKUP(8,'Plate Planning'!$L$20:$S$35,4,FALSE)*VLOOKUP("standard",'Plate Planning'!$L$20:$S$35,4,FALSE)/VLOOKUP(A13,'Uncorrected Area Counts'!$A$4:$AU$27,42,FALSE)*100</f>
        <v>#DIV/0!</v>
      </c>
    </row>
    <row r="14" spans="1:22">
      <c r="A14" s="423" t="s">
        <v>1177</v>
      </c>
      <c r="B14" s="498" t="s">
        <v>22</v>
      </c>
      <c r="C14" s="506" t="e">
        <f>(VLOOKUP(A14,'Uncorrected Area Counts'!$A$4:$AU$27,7,FALSE)/VLOOKUP(A14,'Uncorrected Area Counts'!$A$4:$AU$27,47,FALSE))*100</f>
        <v>#DIV/0!</v>
      </c>
      <c r="D14" s="499" t="e">
        <f>VLOOKUP(A14,'Uncorrected Area Counts'!$A$4:$AU$27,7,FALSE)/VLOOKUP(A14,'Uncorrected Area Counts'!$A$4:$AU$27,3,FALSE)/VLOOKUP(1,'Plate Planning'!$L$20:$S$35,4,FALSE)*VLOOKUP("standard",'Plate Planning'!$L$20:$S$35,4,FALSE)/VLOOKUP(A14,'Uncorrected Area Counts'!$A$4:$AU$27,6,FALSE)*100</f>
        <v>#DIV/0!</v>
      </c>
      <c r="E14" s="509" t="e">
        <f>(VLOOKUP(A14,'Uncorrected Area Counts'!$A$4:$AU$27,11,FALSE)/VLOOKUP(A14,'Uncorrected Area Counts'!$A$4:$AU$27,47,FALSE))*100</f>
        <v>#DIV/0!</v>
      </c>
      <c r="F14" s="499" t="e">
        <f>VLOOKUP(A14,'Uncorrected Area Counts'!$A$4:$AU$27,11,FALSE)/VLOOKUP(A14,'Uncorrected Area Counts'!$A$4:$AU$27,3,FALSE)/VLOOKUP(2,'Plate Planning'!$L$20:$S$35,4,FALSE)*VLOOKUP("standard",'Plate Planning'!$L$20:$S$35,4,FALSE)/VLOOKUP(A14,'Uncorrected Area Counts'!$A$4:$AU$27,10,FALSE)*100</f>
        <v>#DIV/0!</v>
      </c>
      <c r="G14" s="509" t="e">
        <f>(VLOOKUP(A14,'Uncorrected Area Counts'!$A$4:$AU$27,15,FALSE)/VLOOKUP(A14,'Uncorrected Area Counts'!$A$4:$AU$27,47,FALSE))*100</f>
        <v>#DIV/0!</v>
      </c>
      <c r="H14" s="499" t="e">
        <f>VLOOKUP(A14,'Uncorrected Area Counts'!$A$4:$AU$27,15,FALSE)/VLOOKUP(A14,'Uncorrected Area Counts'!$A$4:$AU$27,3,FALSE)/VLOOKUP(3,'Plate Planning'!$L$20:$S$35,4,FALSE)*VLOOKUP("standard",'Plate Planning'!$L$20:$S$35,4,FALSE)/VLOOKUP(A14,'Uncorrected Area Counts'!$A$4:$AU$27,14,FALSE)*100</f>
        <v>#DIV/0!</v>
      </c>
      <c r="I14" s="509" t="e">
        <f>(VLOOKUP(A14,'Uncorrected Area Counts'!$A$4:$AU$27,19,FALSE)/VLOOKUP(A14,'Uncorrected Area Counts'!$A$4:$AU$27,47,FALSE))*100</f>
        <v>#DIV/0!</v>
      </c>
      <c r="J14" s="500" t="e">
        <f>VLOOKUP(A14,'Uncorrected Area Counts'!$A$4:$AU$27,19,FALSE)/VLOOKUP(A14,'Uncorrected Area Counts'!$A$4:$AU$27,3,FALSE)/VLOOKUP(4,'Plate Planning'!$L$20:$S$35,4,FALSE)*VLOOKUP("standard",'Plate Planning'!$L$20:$S$35,4,FALSE)/VLOOKUP(A14,'Uncorrected Area Counts'!$A$4:$AU$27,18,FALSE)*100</f>
        <v>#DIV/0!</v>
      </c>
      <c r="K14" s="514" t="e">
        <f>(VLOOKUP(A14,'Uncorrected Area Counts'!$A$4:$AU$27,23,FALSE)/VLOOKUP(A14,'Uncorrected Area Counts'!$A$4:$AU$27,47,FALSE))*100</f>
        <v>#DIV/0!</v>
      </c>
      <c r="L14" s="501" t="e">
        <f>VLOOKUP(A14,'Uncorrected Area Counts'!$A$4:$AU$27,23,FALSE)/VLOOKUP(A14,'Uncorrected Area Counts'!$A$4:$AU$27,3,FALSE)/VLOOKUP(5,'Plate Planning'!$L$20:$S$35,4,FALSE)*VLOOKUP("standard",'Plate Planning'!$L$20:$S$35,4,FALSE)/VLOOKUP(A14,'Uncorrected Area Counts'!$A$4:$AU$27,22,FALSE)*100</f>
        <v>#DIV/0!</v>
      </c>
      <c r="M14" s="514" t="e">
        <f>(VLOOKUP(A14,'Uncorrected Area Counts'!$A$4:$AU$27,27,FALSE)/VLOOKUP(A14,'Uncorrected Area Counts'!$A$4:$AU$27,47,FALSE))*100</f>
        <v>#DIV/0!</v>
      </c>
      <c r="N14" s="500" t="e">
        <f>VLOOKUP(A14,'Uncorrected Area Counts'!$A$4:$AU$27,27,FALSE)/VLOOKUP(A14,'Uncorrected Area Counts'!$A$4:$AU$27,3,FALSE)/VLOOKUP(6,'Plate Planning'!$L$20:$S$35,4,FALSE)*VLOOKUP("standard",'Plate Planning'!$L$20:$S$35,4,FALSE)/VLOOKUP(A14,'Uncorrected Area Counts'!$A$4:$AU$27,26,FALSE)*100</f>
        <v>#DIV/0!</v>
      </c>
      <c r="O14" s="514" t="e">
        <f>(VLOOKUP(A14,'Uncorrected Area Counts'!$A$4:$AU$27,31,FALSE)/VLOOKUP(A14,'Uncorrected Area Counts'!$A$4:$AU$27,47,FALSE))*100</f>
        <v>#DIV/0!</v>
      </c>
      <c r="P14" s="501" t="e">
        <f>VLOOKUP(A14,'Uncorrected Area Counts'!$A$4:$AU$27,31,FALSE)/VLOOKUP(A14,'Uncorrected Area Counts'!$A$4:$AU$27,3,FALSE)/VLOOKUP(7,'Plate Planning'!$L$20:$S$35,4,FALSE)*VLOOKUP("standard",'Plate Planning'!$L$20:$S$35,4,FALSE)/VLOOKUP(A14,'Uncorrected Area Counts'!$A$4:$AU$27,30,FALSE)*100</f>
        <v>#DIV/0!</v>
      </c>
      <c r="Q14" s="514" t="e">
        <f>(VLOOKUP(A14,'Uncorrected Area Counts'!$A$4:$AU$27,35,FALSE)/VLOOKUP(A14,'Uncorrected Area Counts'!$A$4:$AU$27,47,FALSE))*100</f>
        <v>#DIV/0!</v>
      </c>
      <c r="R14" s="422" t="e">
        <f>VLOOKUP(A14,'Uncorrected Area Counts'!$A$4:$AU$27,35,FALSE)/VLOOKUP(A14,'Uncorrected Area Counts'!$A$4:$AU$27,3,FALSE)/VLOOKUP(8,'Plate Planning'!$L$20:$S$35,4,FALSE)*VLOOKUP("standard",'Plate Planning'!$L$20:$S$35,4,FALSE)/VLOOKUP(A14,'Uncorrected Area Counts'!$A$4:$AU$27,34,FALSE)*100</f>
        <v>#DIV/0!</v>
      </c>
      <c r="S14" s="522" t="e">
        <f>(VLOOKUP(A14,'Uncorrected Area Counts'!$A$4:$AU$27,39,FALSE)/VLOOKUP(A14,'Uncorrected Area Counts'!$A$4:$AU$27,47,FALSE))*100</f>
        <v>#DIV/0!</v>
      </c>
      <c r="T14" s="502" t="e">
        <f>VLOOKUP(A14,'Uncorrected Area Counts'!$A$4:$AU$27,39,FALSE)/VLOOKUP(A14,'Uncorrected Area Counts'!$A$4:$AU$27,3,FALSE)/VLOOKUP(8,'Plate Planning'!$L$20:$S$35,4,FALSE)*VLOOKUP("standard",'Plate Planning'!$L$20:$S$35,4,FALSE)/VLOOKUP(A14,'Uncorrected Area Counts'!$A$4:$AU$27,38,FALSE)*100</f>
        <v>#DIV/0!</v>
      </c>
      <c r="U14" s="522" t="e">
        <f>(VLOOKUP(A14,'Uncorrected Area Counts'!$A$4:$AU$27,43,FALSE)/VLOOKUP(A14,'Uncorrected Area Counts'!$A$4:$AU$27,47,FALSE))*100</f>
        <v>#DIV/0!</v>
      </c>
      <c r="V14" s="537" t="e">
        <f>VLOOKUP(A14,'Uncorrected Area Counts'!$A$4:$AU$27,43,FALSE)/VLOOKUP(A14,'Uncorrected Area Counts'!$A$4:$AU$27,3,FALSE)/VLOOKUP(8,'Plate Planning'!$L$20:$S$35,4,FALSE)*VLOOKUP("standard",'Plate Planning'!$L$20:$S$35,4,FALSE)/VLOOKUP(A14,'Uncorrected Area Counts'!$A$4:$AU$27,42,FALSE)*100</f>
        <v>#DIV/0!</v>
      </c>
    </row>
    <row r="15" spans="1:22">
      <c r="A15" s="423" t="s">
        <v>1178</v>
      </c>
      <c r="B15" s="498" t="s">
        <v>22</v>
      </c>
      <c r="C15" s="506" t="e">
        <f>(VLOOKUP(A15,'Uncorrected Area Counts'!$A$4:$AU$27,7,FALSE)/VLOOKUP(A15,'Uncorrected Area Counts'!$A$4:$AU$27,47,FALSE))*100</f>
        <v>#DIV/0!</v>
      </c>
      <c r="D15" s="499" t="e">
        <f>VLOOKUP(A15,'Uncorrected Area Counts'!$A$4:$AU$27,7,FALSE)/VLOOKUP(A15,'Uncorrected Area Counts'!$A$4:$AU$27,3,FALSE)/VLOOKUP(1,'Plate Planning'!$L$20:$S$35,4,FALSE)*VLOOKUP("standard",'Plate Planning'!$L$20:$S$35,4,FALSE)/VLOOKUP(A15,'Uncorrected Area Counts'!$A$4:$AU$27,6,FALSE)*100</f>
        <v>#DIV/0!</v>
      </c>
      <c r="E15" s="509" t="e">
        <f>(VLOOKUP(A15,'Uncorrected Area Counts'!$A$4:$AU$27,11,FALSE)/VLOOKUP(A15,'Uncorrected Area Counts'!$A$4:$AU$27,47,FALSE))*100</f>
        <v>#DIV/0!</v>
      </c>
      <c r="F15" s="499" t="e">
        <f>VLOOKUP(A15,'Uncorrected Area Counts'!$A$4:$AU$27,11,FALSE)/VLOOKUP(A15,'Uncorrected Area Counts'!$A$4:$AU$27,3,FALSE)/VLOOKUP(2,'Plate Planning'!$L$20:$S$35,4,FALSE)*VLOOKUP("standard",'Plate Planning'!$L$20:$S$35,4,FALSE)/VLOOKUP(A15,'Uncorrected Area Counts'!$A$4:$AU$27,10,FALSE)*100</f>
        <v>#DIV/0!</v>
      </c>
      <c r="G15" s="509" t="e">
        <f>(VLOOKUP(A15,'Uncorrected Area Counts'!$A$4:$AU$27,15,FALSE)/VLOOKUP(A15,'Uncorrected Area Counts'!$A$4:$AU$27,47,FALSE))*100</f>
        <v>#DIV/0!</v>
      </c>
      <c r="H15" s="499" t="e">
        <f>VLOOKUP(A15,'Uncorrected Area Counts'!$A$4:$AU$27,15,FALSE)/VLOOKUP(A15,'Uncorrected Area Counts'!$A$4:$AU$27,3,FALSE)/VLOOKUP(3,'Plate Planning'!$L$20:$S$35,4,FALSE)*VLOOKUP("standard",'Plate Planning'!$L$20:$S$35,4,FALSE)/VLOOKUP(A15,'Uncorrected Area Counts'!$A$4:$AU$27,14,FALSE)*100</f>
        <v>#DIV/0!</v>
      </c>
      <c r="I15" s="509" t="e">
        <f>(VLOOKUP(A15,'Uncorrected Area Counts'!$A$4:$AU$27,19,FALSE)/VLOOKUP(A15,'Uncorrected Area Counts'!$A$4:$AU$27,47,FALSE))*100</f>
        <v>#DIV/0!</v>
      </c>
      <c r="J15" s="500" t="e">
        <f>VLOOKUP(A15,'Uncorrected Area Counts'!$A$4:$AU$27,19,FALSE)/VLOOKUP(A15,'Uncorrected Area Counts'!$A$4:$AU$27,3,FALSE)/VLOOKUP(4,'Plate Planning'!$L$20:$S$35,4,FALSE)*VLOOKUP("standard",'Plate Planning'!$L$20:$S$35,4,FALSE)/VLOOKUP(A15,'Uncorrected Area Counts'!$A$4:$AU$27,18,FALSE)*100</f>
        <v>#DIV/0!</v>
      </c>
      <c r="K15" s="514" t="e">
        <f>(VLOOKUP(A15,'Uncorrected Area Counts'!$A$4:$AU$27,23,FALSE)/VLOOKUP(A15,'Uncorrected Area Counts'!$A$4:$AU$27,47,FALSE))*100</f>
        <v>#DIV/0!</v>
      </c>
      <c r="L15" s="501" t="e">
        <f>VLOOKUP(A15,'Uncorrected Area Counts'!$A$4:$AU$27,23,FALSE)/VLOOKUP(A15,'Uncorrected Area Counts'!$A$4:$AU$27,3,FALSE)/VLOOKUP(5,'Plate Planning'!$L$20:$S$35,4,FALSE)*VLOOKUP("standard",'Plate Planning'!$L$20:$S$35,4,FALSE)/VLOOKUP(A15,'Uncorrected Area Counts'!$A$4:$AU$27,22,FALSE)*100</f>
        <v>#DIV/0!</v>
      </c>
      <c r="M15" s="514" t="e">
        <f>(VLOOKUP(A15,'Uncorrected Area Counts'!$A$4:$AU$27,27,FALSE)/VLOOKUP(A15,'Uncorrected Area Counts'!$A$4:$AU$27,47,FALSE))*100</f>
        <v>#DIV/0!</v>
      </c>
      <c r="N15" s="500" t="e">
        <f>VLOOKUP(A15,'Uncorrected Area Counts'!$A$4:$AU$27,27,FALSE)/VLOOKUP(A15,'Uncorrected Area Counts'!$A$4:$AU$27,3,FALSE)/VLOOKUP(6,'Plate Planning'!$L$20:$S$35,4,FALSE)*VLOOKUP("standard",'Plate Planning'!$L$20:$S$35,4,FALSE)/VLOOKUP(A15,'Uncorrected Area Counts'!$A$4:$AU$27,26,FALSE)*100</f>
        <v>#DIV/0!</v>
      </c>
      <c r="O15" s="514" t="e">
        <f>(VLOOKUP(A15,'Uncorrected Area Counts'!$A$4:$AU$27,31,FALSE)/VLOOKUP(A15,'Uncorrected Area Counts'!$A$4:$AU$27,47,FALSE))*100</f>
        <v>#DIV/0!</v>
      </c>
      <c r="P15" s="501" t="e">
        <f>VLOOKUP(A15,'Uncorrected Area Counts'!$A$4:$AU$27,31,FALSE)/VLOOKUP(A15,'Uncorrected Area Counts'!$A$4:$AU$27,3,FALSE)/VLOOKUP(7,'Plate Planning'!$L$20:$S$35,4,FALSE)*VLOOKUP("standard",'Plate Planning'!$L$20:$S$35,4,FALSE)/VLOOKUP(A15,'Uncorrected Area Counts'!$A$4:$AU$27,30,FALSE)*100</f>
        <v>#DIV/0!</v>
      </c>
      <c r="Q15" s="514" t="e">
        <f>(VLOOKUP(A15,'Uncorrected Area Counts'!$A$4:$AU$27,35,FALSE)/VLOOKUP(A15,'Uncorrected Area Counts'!$A$4:$AU$27,47,FALSE))*100</f>
        <v>#DIV/0!</v>
      </c>
      <c r="R15" s="422" t="e">
        <f>VLOOKUP(A15,'Uncorrected Area Counts'!$A$4:$AU$27,35,FALSE)/VLOOKUP(A15,'Uncorrected Area Counts'!$A$4:$AU$27,3,FALSE)/VLOOKUP(8,'Plate Planning'!$L$20:$S$35,4,FALSE)*VLOOKUP("standard",'Plate Planning'!$L$20:$S$35,4,FALSE)/VLOOKUP(A15,'Uncorrected Area Counts'!$A$4:$AU$27,34,FALSE)*100</f>
        <v>#DIV/0!</v>
      </c>
      <c r="S15" s="522" t="e">
        <f>(VLOOKUP(A15,'Uncorrected Area Counts'!$A$4:$AU$27,39,FALSE)/VLOOKUP(A15,'Uncorrected Area Counts'!$A$4:$AU$27,47,FALSE))*100</f>
        <v>#DIV/0!</v>
      </c>
      <c r="T15" s="502" t="e">
        <f>VLOOKUP(A15,'Uncorrected Area Counts'!$A$4:$AU$27,39,FALSE)/VLOOKUP(A15,'Uncorrected Area Counts'!$A$4:$AU$27,3,FALSE)/VLOOKUP(8,'Plate Planning'!$L$20:$S$35,4,FALSE)*VLOOKUP("standard",'Plate Planning'!$L$20:$S$35,4,FALSE)/VLOOKUP(A15,'Uncorrected Area Counts'!$A$4:$AU$27,38,FALSE)*100</f>
        <v>#DIV/0!</v>
      </c>
      <c r="U15" s="522" t="e">
        <f>(VLOOKUP(A15,'Uncorrected Area Counts'!$A$4:$AU$27,43,FALSE)/VLOOKUP(A15,'Uncorrected Area Counts'!$A$4:$AU$27,47,FALSE))*100</f>
        <v>#DIV/0!</v>
      </c>
      <c r="V15" s="537" t="e">
        <f>VLOOKUP(A15,'Uncorrected Area Counts'!$A$4:$AU$27,43,FALSE)/VLOOKUP(A15,'Uncorrected Area Counts'!$A$4:$AU$27,3,FALSE)/VLOOKUP(8,'Plate Planning'!$L$20:$S$35,4,FALSE)*VLOOKUP("standard",'Plate Planning'!$L$20:$S$35,4,FALSE)/VLOOKUP(A15,'Uncorrected Area Counts'!$A$4:$AU$27,42,FALSE)*100</f>
        <v>#DIV/0!</v>
      </c>
    </row>
    <row r="16" spans="1:22">
      <c r="A16" s="423" t="s">
        <v>1185</v>
      </c>
      <c r="B16" s="498" t="s">
        <v>22</v>
      </c>
      <c r="C16" s="506" t="e">
        <f>(VLOOKUP(A16,'Uncorrected Area Counts'!$A$4:$AU$27,7,FALSE)/VLOOKUP(A16,'Uncorrected Area Counts'!$A$4:$AU$27,47,FALSE))*100</f>
        <v>#DIV/0!</v>
      </c>
      <c r="D16" s="499" t="e">
        <f>VLOOKUP(A16,'Uncorrected Area Counts'!$A$4:$AU$27,7,FALSE)/VLOOKUP(A16,'Uncorrected Area Counts'!$A$4:$AU$27,3,FALSE)/VLOOKUP(1,'Plate Planning'!$L$20:$S$35,4,FALSE)*VLOOKUP("standard",'Plate Planning'!$L$20:$S$35,4,FALSE)/VLOOKUP(A16,'Uncorrected Area Counts'!$A$4:$AU$27,6,FALSE)*100</f>
        <v>#DIV/0!</v>
      </c>
      <c r="E16" s="509" t="e">
        <f>(VLOOKUP(A16,'Uncorrected Area Counts'!$A$4:$AU$27,11,FALSE)/VLOOKUP(A16,'Uncorrected Area Counts'!$A$4:$AU$27,47,FALSE))*100</f>
        <v>#DIV/0!</v>
      </c>
      <c r="F16" s="499" t="e">
        <f>VLOOKUP(A16,'Uncorrected Area Counts'!$A$4:$AU$27,11,FALSE)/VLOOKUP(A16,'Uncorrected Area Counts'!$A$4:$AU$27,3,FALSE)/VLOOKUP(2,'Plate Planning'!$L$20:$S$35,4,FALSE)*VLOOKUP("standard",'Plate Planning'!$L$20:$S$35,4,FALSE)/VLOOKUP(A16,'Uncorrected Area Counts'!$A$4:$AU$27,10,FALSE)*100</f>
        <v>#DIV/0!</v>
      </c>
      <c r="G16" s="509" t="e">
        <f>(VLOOKUP(A16,'Uncorrected Area Counts'!$A$4:$AU$27,15,FALSE)/VLOOKUP(A16,'Uncorrected Area Counts'!$A$4:$AU$27,47,FALSE))*100</f>
        <v>#DIV/0!</v>
      </c>
      <c r="H16" s="499" t="e">
        <f>VLOOKUP(A16,'Uncorrected Area Counts'!$A$4:$AU$27,15,FALSE)/VLOOKUP(A16,'Uncorrected Area Counts'!$A$4:$AU$27,3,FALSE)/VLOOKUP(3,'Plate Planning'!$L$20:$S$35,4,FALSE)*VLOOKUP("standard",'Plate Planning'!$L$20:$S$35,4,FALSE)/VLOOKUP(A16,'Uncorrected Area Counts'!$A$4:$AU$27,14,FALSE)*100</f>
        <v>#DIV/0!</v>
      </c>
      <c r="I16" s="509" t="e">
        <f>(VLOOKUP(A16,'Uncorrected Area Counts'!$A$4:$AU$27,19,FALSE)/VLOOKUP(A16,'Uncorrected Area Counts'!$A$4:$AU$27,47,FALSE))*100</f>
        <v>#DIV/0!</v>
      </c>
      <c r="J16" s="500" t="e">
        <f>VLOOKUP(A16,'Uncorrected Area Counts'!$A$4:$AU$27,19,FALSE)/VLOOKUP(A16,'Uncorrected Area Counts'!$A$4:$AU$27,3,FALSE)/VLOOKUP(4,'Plate Planning'!$L$20:$S$35,4,FALSE)*VLOOKUP("standard",'Plate Planning'!$L$20:$S$35,4,FALSE)/VLOOKUP(A16,'Uncorrected Area Counts'!$A$4:$AU$27,18,FALSE)*100</f>
        <v>#DIV/0!</v>
      </c>
      <c r="K16" s="514" t="e">
        <f>(VLOOKUP(A16,'Uncorrected Area Counts'!$A$4:$AU$27,23,FALSE)/VLOOKUP(A16,'Uncorrected Area Counts'!$A$4:$AU$27,47,FALSE))*100</f>
        <v>#DIV/0!</v>
      </c>
      <c r="L16" s="501" t="e">
        <f>VLOOKUP(A16,'Uncorrected Area Counts'!$A$4:$AU$27,23,FALSE)/VLOOKUP(A16,'Uncorrected Area Counts'!$A$4:$AU$27,3,FALSE)/VLOOKUP(5,'Plate Planning'!$L$20:$S$35,4,FALSE)*VLOOKUP("standard",'Plate Planning'!$L$20:$S$35,4,FALSE)/VLOOKUP(A16,'Uncorrected Area Counts'!$A$4:$AU$27,22,FALSE)*100</f>
        <v>#DIV/0!</v>
      </c>
      <c r="M16" s="514" t="e">
        <f>(VLOOKUP(A16,'Uncorrected Area Counts'!$A$4:$AU$27,27,FALSE)/VLOOKUP(A16,'Uncorrected Area Counts'!$A$4:$AU$27,47,FALSE))*100</f>
        <v>#DIV/0!</v>
      </c>
      <c r="N16" s="500" t="e">
        <f>VLOOKUP(A16,'Uncorrected Area Counts'!$A$4:$AU$27,27,FALSE)/VLOOKUP(A16,'Uncorrected Area Counts'!$A$4:$AU$27,3,FALSE)/VLOOKUP(6,'Plate Planning'!$L$20:$S$35,4,FALSE)*VLOOKUP("standard",'Plate Planning'!$L$20:$S$35,4,FALSE)/VLOOKUP(A16,'Uncorrected Area Counts'!$A$4:$AU$27,26,FALSE)*100</f>
        <v>#DIV/0!</v>
      </c>
      <c r="O16" s="514" t="e">
        <f>(VLOOKUP(A16,'Uncorrected Area Counts'!$A$4:$AU$27,31,FALSE)/VLOOKUP(A16,'Uncorrected Area Counts'!$A$4:$AU$27,47,FALSE))*100</f>
        <v>#DIV/0!</v>
      </c>
      <c r="P16" s="501" t="e">
        <f>VLOOKUP(A16,'Uncorrected Area Counts'!$A$4:$AU$27,31,FALSE)/VLOOKUP(A16,'Uncorrected Area Counts'!$A$4:$AU$27,3,FALSE)/VLOOKUP(7,'Plate Planning'!$L$20:$S$35,4,FALSE)*VLOOKUP("standard",'Plate Planning'!$L$20:$S$35,4,FALSE)/VLOOKUP(A16,'Uncorrected Area Counts'!$A$4:$AU$27,30,FALSE)*100</f>
        <v>#DIV/0!</v>
      </c>
      <c r="Q16" s="514" t="e">
        <f>(VLOOKUP(A16,'Uncorrected Area Counts'!$A$4:$AU$27,35,FALSE)/VLOOKUP(A16,'Uncorrected Area Counts'!$A$4:$AU$27,47,FALSE))*100</f>
        <v>#DIV/0!</v>
      </c>
      <c r="R16" s="422" t="e">
        <f>VLOOKUP(A16,'Uncorrected Area Counts'!$A$4:$AU$27,35,FALSE)/VLOOKUP(A16,'Uncorrected Area Counts'!$A$4:$AU$27,3,FALSE)/VLOOKUP(8,'Plate Planning'!$L$20:$S$35,4,FALSE)*VLOOKUP("standard",'Plate Planning'!$L$20:$S$35,4,FALSE)/VLOOKUP(A16,'Uncorrected Area Counts'!$A$4:$AU$27,34,FALSE)*100</f>
        <v>#DIV/0!</v>
      </c>
      <c r="S16" s="522" t="e">
        <f>(VLOOKUP(A16,'Uncorrected Area Counts'!$A$4:$AU$27,39,FALSE)/VLOOKUP(A16,'Uncorrected Area Counts'!$A$4:$AU$27,47,FALSE))*100</f>
        <v>#DIV/0!</v>
      </c>
      <c r="T16" s="502" t="e">
        <f>VLOOKUP(A16,'Uncorrected Area Counts'!$A$4:$AU$27,39,FALSE)/VLOOKUP(A16,'Uncorrected Area Counts'!$A$4:$AU$27,3,FALSE)/VLOOKUP(8,'Plate Planning'!$L$20:$S$35,4,FALSE)*VLOOKUP("standard",'Plate Planning'!$L$20:$S$35,4,FALSE)/VLOOKUP(A16,'Uncorrected Area Counts'!$A$4:$AU$27,38,FALSE)*100</f>
        <v>#DIV/0!</v>
      </c>
      <c r="U16" s="522" t="e">
        <f>(VLOOKUP(A16,'Uncorrected Area Counts'!$A$4:$AU$27,43,FALSE)/VLOOKUP(A16,'Uncorrected Area Counts'!$A$4:$AU$27,47,FALSE))*100</f>
        <v>#DIV/0!</v>
      </c>
      <c r="V16" s="537" t="e">
        <f>VLOOKUP(A16,'Uncorrected Area Counts'!$A$4:$AU$27,43,FALSE)/VLOOKUP(A16,'Uncorrected Area Counts'!$A$4:$AU$27,3,FALSE)/VLOOKUP(8,'Plate Planning'!$L$20:$S$35,4,FALSE)*VLOOKUP("standard",'Plate Planning'!$L$20:$S$35,4,FALSE)/VLOOKUP(A16,'Uncorrected Area Counts'!$A$4:$AU$27,42,FALSE)*100</f>
        <v>#DIV/0!</v>
      </c>
    </row>
    <row r="17" spans="1:22">
      <c r="A17" s="423" t="s">
        <v>1186</v>
      </c>
      <c r="B17" s="498" t="s">
        <v>22</v>
      </c>
      <c r="C17" s="506" t="e">
        <f>(VLOOKUP(A17,'Uncorrected Area Counts'!$A$4:$AU$27,7,FALSE)/VLOOKUP(A17,'Uncorrected Area Counts'!$A$4:$AU$27,47,FALSE))*100</f>
        <v>#DIV/0!</v>
      </c>
      <c r="D17" s="499" t="e">
        <f>VLOOKUP(A17,'Uncorrected Area Counts'!$A$4:$AU$27,7,FALSE)/VLOOKUP(A17,'Uncorrected Area Counts'!$A$4:$AU$27,3,FALSE)/VLOOKUP(1,'Plate Planning'!$L$20:$S$35,4,FALSE)*VLOOKUP("standard",'Plate Planning'!$L$20:$S$35,4,FALSE)/VLOOKUP(A17,'Uncorrected Area Counts'!$A$4:$AU$27,6,FALSE)*100</f>
        <v>#DIV/0!</v>
      </c>
      <c r="E17" s="509" t="e">
        <f>(VLOOKUP(A17,'Uncorrected Area Counts'!$A$4:$AU$27,11,FALSE)/VLOOKUP(A17,'Uncorrected Area Counts'!$A$4:$AU$27,47,FALSE))*100</f>
        <v>#DIV/0!</v>
      </c>
      <c r="F17" s="499" t="e">
        <f>VLOOKUP(A17,'Uncorrected Area Counts'!$A$4:$AU$27,11,FALSE)/VLOOKUP(A17,'Uncorrected Area Counts'!$A$4:$AU$27,3,FALSE)/VLOOKUP(2,'Plate Planning'!$L$20:$S$35,4,FALSE)*VLOOKUP("standard",'Plate Planning'!$L$20:$S$35,4,FALSE)/VLOOKUP(A17,'Uncorrected Area Counts'!$A$4:$AU$27,10,FALSE)*100</f>
        <v>#DIV/0!</v>
      </c>
      <c r="G17" s="509" t="e">
        <f>(VLOOKUP(A17,'Uncorrected Area Counts'!$A$4:$AU$27,15,FALSE)/VLOOKUP(A17,'Uncorrected Area Counts'!$A$4:$AU$27,47,FALSE))*100</f>
        <v>#DIV/0!</v>
      </c>
      <c r="H17" s="499" t="e">
        <f>VLOOKUP(A17,'Uncorrected Area Counts'!$A$4:$AU$27,15,FALSE)/VLOOKUP(A17,'Uncorrected Area Counts'!$A$4:$AU$27,3,FALSE)/VLOOKUP(3,'Plate Planning'!$L$20:$S$35,4,FALSE)*VLOOKUP("standard",'Plate Planning'!$L$20:$S$35,4,FALSE)/VLOOKUP(A17,'Uncorrected Area Counts'!$A$4:$AU$27,14,FALSE)*100</f>
        <v>#DIV/0!</v>
      </c>
      <c r="I17" s="509" t="e">
        <f>(VLOOKUP(A17,'Uncorrected Area Counts'!$A$4:$AU$27,19,FALSE)/VLOOKUP(A17,'Uncorrected Area Counts'!$A$4:$AU$27,47,FALSE))*100</f>
        <v>#DIV/0!</v>
      </c>
      <c r="J17" s="500" t="e">
        <f>VLOOKUP(A17,'Uncorrected Area Counts'!$A$4:$AU$27,19,FALSE)/VLOOKUP(A17,'Uncorrected Area Counts'!$A$4:$AU$27,3,FALSE)/VLOOKUP(4,'Plate Planning'!$L$20:$S$35,4,FALSE)*VLOOKUP("standard",'Plate Planning'!$L$20:$S$35,4,FALSE)/VLOOKUP(A17,'Uncorrected Area Counts'!$A$4:$AU$27,18,FALSE)*100</f>
        <v>#DIV/0!</v>
      </c>
      <c r="K17" s="514" t="e">
        <f>(VLOOKUP(A17,'Uncorrected Area Counts'!$A$4:$AU$27,23,FALSE)/VLOOKUP(A17,'Uncorrected Area Counts'!$A$4:$AU$27,47,FALSE))*100</f>
        <v>#DIV/0!</v>
      </c>
      <c r="L17" s="501" t="e">
        <f>VLOOKUP(A17,'Uncorrected Area Counts'!$A$4:$AU$27,23,FALSE)/VLOOKUP(A17,'Uncorrected Area Counts'!$A$4:$AU$27,3,FALSE)/VLOOKUP(5,'Plate Planning'!$L$20:$S$35,4,FALSE)*VLOOKUP("standard",'Plate Planning'!$L$20:$S$35,4,FALSE)/VLOOKUP(A17,'Uncorrected Area Counts'!$A$4:$AU$27,22,FALSE)*100</f>
        <v>#DIV/0!</v>
      </c>
      <c r="M17" s="514" t="e">
        <f>(VLOOKUP(A17,'Uncorrected Area Counts'!$A$4:$AU$27,27,FALSE)/VLOOKUP(A17,'Uncorrected Area Counts'!$A$4:$AU$27,47,FALSE))*100</f>
        <v>#DIV/0!</v>
      </c>
      <c r="N17" s="500" t="e">
        <f>VLOOKUP(A17,'Uncorrected Area Counts'!$A$4:$AU$27,27,FALSE)/VLOOKUP(A17,'Uncorrected Area Counts'!$A$4:$AU$27,3,FALSE)/VLOOKUP(6,'Plate Planning'!$L$20:$S$35,4,FALSE)*VLOOKUP("standard",'Plate Planning'!$L$20:$S$35,4,FALSE)/VLOOKUP(A17,'Uncorrected Area Counts'!$A$4:$AU$27,26,FALSE)*100</f>
        <v>#DIV/0!</v>
      </c>
      <c r="O17" s="514" t="e">
        <f>(VLOOKUP(A17,'Uncorrected Area Counts'!$A$4:$AU$27,31,FALSE)/VLOOKUP(A17,'Uncorrected Area Counts'!$A$4:$AU$27,47,FALSE))*100</f>
        <v>#DIV/0!</v>
      </c>
      <c r="P17" s="501" t="e">
        <f>VLOOKUP(A17,'Uncorrected Area Counts'!$A$4:$AU$27,31,FALSE)/VLOOKUP(A17,'Uncorrected Area Counts'!$A$4:$AU$27,3,FALSE)/VLOOKUP(7,'Plate Planning'!$L$20:$S$35,4,FALSE)*VLOOKUP("standard",'Plate Planning'!$L$20:$S$35,4,FALSE)/VLOOKUP(A17,'Uncorrected Area Counts'!$A$4:$AU$27,30,FALSE)*100</f>
        <v>#DIV/0!</v>
      </c>
      <c r="Q17" s="514" t="e">
        <f>(VLOOKUP(A17,'Uncorrected Area Counts'!$A$4:$AU$27,35,FALSE)/VLOOKUP(A17,'Uncorrected Area Counts'!$A$4:$AU$27,47,FALSE))*100</f>
        <v>#DIV/0!</v>
      </c>
      <c r="R17" s="422" t="e">
        <f>VLOOKUP(A17,'Uncorrected Area Counts'!$A$4:$AU$27,35,FALSE)/VLOOKUP(A17,'Uncorrected Area Counts'!$A$4:$AU$27,3,FALSE)/VLOOKUP(8,'Plate Planning'!$L$20:$S$35,4,FALSE)*VLOOKUP("standard",'Plate Planning'!$L$20:$S$35,4,FALSE)/VLOOKUP(A17,'Uncorrected Area Counts'!$A$4:$AU$27,34,FALSE)*100</f>
        <v>#DIV/0!</v>
      </c>
      <c r="S17" s="522" t="e">
        <f>(VLOOKUP(A17,'Uncorrected Area Counts'!$A$4:$AU$27,39,FALSE)/VLOOKUP(A17,'Uncorrected Area Counts'!$A$4:$AU$27,47,FALSE))*100</f>
        <v>#DIV/0!</v>
      </c>
      <c r="T17" s="502" t="e">
        <f>VLOOKUP(A17,'Uncorrected Area Counts'!$A$4:$AU$27,39,FALSE)/VLOOKUP(A17,'Uncorrected Area Counts'!$A$4:$AU$27,3,FALSE)/VLOOKUP(8,'Plate Planning'!$L$20:$S$35,4,FALSE)*VLOOKUP("standard",'Plate Planning'!$L$20:$S$35,4,FALSE)/VLOOKUP(A17,'Uncorrected Area Counts'!$A$4:$AU$27,38,FALSE)*100</f>
        <v>#DIV/0!</v>
      </c>
      <c r="U17" s="522" t="e">
        <f>(VLOOKUP(A17,'Uncorrected Area Counts'!$A$4:$AU$27,43,FALSE)/VLOOKUP(A17,'Uncorrected Area Counts'!$A$4:$AU$27,47,FALSE))*100</f>
        <v>#DIV/0!</v>
      </c>
      <c r="V17" s="537" t="e">
        <f>VLOOKUP(A17,'Uncorrected Area Counts'!$A$4:$AU$27,43,FALSE)/VLOOKUP(A17,'Uncorrected Area Counts'!$A$4:$AU$27,3,FALSE)/VLOOKUP(8,'Plate Planning'!$L$20:$S$35,4,FALSE)*VLOOKUP("standard",'Plate Planning'!$L$20:$S$35,4,FALSE)/VLOOKUP(A17,'Uncorrected Area Counts'!$A$4:$AU$27,42,FALSE)*100</f>
        <v>#DIV/0!</v>
      </c>
    </row>
    <row r="18" spans="1:22">
      <c r="A18" s="423" t="s">
        <v>1187</v>
      </c>
      <c r="B18" s="498" t="s">
        <v>22</v>
      </c>
      <c r="C18" s="506" t="e">
        <f>(VLOOKUP(A18,'Uncorrected Area Counts'!$A$4:$AU$27,7,FALSE)/VLOOKUP(A18,'Uncorrected Area Counts'!$A$4:$AU$27,47,FALSE))*100</f>
        <v>#DIV/0!</v>
      </c>
      <c r="D18" s="499" t="e">
        <f>VLOOKUP(A18,'Uncorrected Area Counts'!$A$4:$AU$27,7,FALSE)/VLOOKUP(A18,'Uncorrected Area Counts'!$A$4:$AU$27,3,FALSE)/VLOOKUP(1,'Plate Planning'!$L$20:$S$35,4,FALSE)*VLOOKUP("standard",'Plate Planning'!$L$20:$S$35,4,FALSE)/VLOOKUP(A18,'Uncorrected Area Counts'!$A$4:$AU$27,6,FALSE)*100</f>
        <v>#DIV/0!</v>
      </c>
      <c r="E18" s="509" t="e">
        <f>(VLOOKUP(A18,'Uncorrected Area Counts'!$A$4:$AU$27,11,FALSE)/VLOOKUP(A18,'Uncorrected Area Counts'!$A$4:$AU$27,47,FALSE))*100</f>
        <v>#DIV/0!</v>
      </c>
      <c r="F18" s="499" t="e">
        <f>VLOOKUP(A18,'Uncorrected Area Counts'!$A$4:$AU$27,11,FALSE)/VLOOKUP(A18,'Uncorrected Area Counts'!$A$4:$AU$27,3,FALSE)/VLOOKUP(2,'Plate Planning'!$L$20:$S$35,4,FALSE)*VLOOKUP("standard",'Plate Planning'!$L$20:$S$35,4,FALSE)/VLOOKUP(A18,'Uncorrected Area Counts'!$A$4:$AU$27,10,FALSE)*100</f>
        <v>#DIV/0!</v>
      </c>
      <c r="G18" s="509" t="e">
        <f>(VLOOKUP(A18,'Uncorrected Area Counts'!$A$4:$AU$27,15,FALSE)/VLOOKUP(A18,'Uncorrected Area Counts'!$A$4:$AU$27,47,FALSE))*100</f>
        <v>#DIV/0!</v>
      </c>
      <c r="H18" s="499" t="e">
        <f>VLOOKUP(A18,'Uncorrected Area Counts'!$A$4:$AU$27,15,FALSE)/VLOOKUP(A18,'Uncorrected Area Counts'!$A$4:$AU$27,3,FALSE)/VLOOKUP(3,'Plate Planning'!$L$20:$S$35,4,FALSE)*VLOOKUP("standard",'Plate Planning'!$L$20:$S$35,4,FALSE)/VLOOKUP(A18,'Uncorrected Area Counts'!$A$4:$AU$27,14,FALSE)*100</f>
        <v>#DIV/0!</v>
      </c>
      <c r="I18" s="509" t="e">
        <f>(VLOOKUP(A18,'Uncorrected Area Counts'!$A$4:$AU$27,19,FALSE)/VLOOKUP(A18,'Uncorrected Area Counts'!$A$4:$AU$27,47,FALSE))*100</f>
        <v>#DIV/0!</v>
      </c>
      <c r="J18" s="500" t="e">
        <f>VLOOKUP(A18,'Uncorrected Area Counts'!$A$4:$AU$27,19,FALSE)/VLOOKUP(A18,'Uncorrected Area Counts'!$A$4:$AU$27,3,FALSE)/VLOOKUP(4,'Plate Planning'!$L$20:$S$35,4,FALSE)*VLOOKUP("standard",'Plate Planning'!$L$20:$S$35,4,FALSE)/VLOOKUP(A18,'Uncorrected Area Counts'!$A$4:$AU$27,18,FALSE)*100</f>
        <v>#DIV/0!</v>
      </c>
      <c r="K18" s="514" t="e">
        <f>(VLOOKUP(A18,'Uncorrected Area Counts'!$A$4:$AU$27,23,FALSE)/VLOOKUP(A18,'Uncorrected Area Counts'!$A$4:$AU$27,47,FALSE))*100</f>
        <v>#DIV/0!</v>
      </c>
      <c r="L18" s="501" t="e">
        <f>VLOOKUP(A18,'Uncorrected Area Counts'!$A$4:$AU$27,23,FALSE)/VLOOKUP(A18,'Uncorrected Area Counts'!$A$4:$AU$27,3,FALSE)/VLOOKUP(5,'Plate Planning'!$L$20:$S$35,4,FALSE)*VLOOKUP("standard",'Plate Planning'!$L$20:$S$35,4,FALSE)/VLOOKUP(A18,'Uncorrected Area Counts'!$A$4:$AU$27,22,FALSE)*100</f>
        <v>#DIV/0!</v>
      </c>
      <c r="M18" s="514" t="e">
        <f>(VLOOKUP(A18,'Uncorrected Area Counts'!$A$4:$AU$27,27,FALSE)/VLOOKUP(A18,'Uncorrected Area Counts'!$A$4:$AU$27,47,FALSE))*100</f>
        <v>#DIV/0!</v>
      </c>
      <c r="N18" s="500" t="e">
        <f>VLOOKUP(A18,'Uncorrected Area Counts'!$A$4:$AU$27,27,FALSE)/VLOOKUP(A18,'Uncorrected Area Counts'!$A$4:$AU$27,3,FALSE)/VLOOKUP(6,'Plate Planning'!$L$20:$S$35,4,FALSE)*VLOOKUP("standard",'Plate Planning'!$L$20:$S$35,4,FALSE)/VLOOKUP(A18,'Uncorrected Area Counts'!$A$4:$AU$27,26,FALSE)*100</f>
        <v>#DIV/0!</v>
      </c>
      <c r="O18" s="514" t="e">
        <f>(VLOOKUP(A18,'Uncorrected Area Counts'!$A$4:$AU$27,31,FALSE)/VLOOKUP(A18,'Uncorrected Area Counts'!$A$4:$AU$27,47,FALSE))*100</f>
        <v>#DIV/0!</v>
      </c>
      <c r="P18" s="501" t="e">
        <f>VLOOKUP(A18,'Uncorrected Area Counts'!$A$4:$AU$27,31,FALSE)/VLOOKUP(A18,'Uncorrected Area Counts'!$A$4:$AU$27,3,FALSE)/VLOOKUP(7,'Plate Planning'!$L$20:$S$35,4,FALSE)*VLOOKUP("standard",'Plate Planning'!$L$20:$S$35,4,FALSE)/VLOOKUP(A18,'Uncorrected Area Counts'!$A$4:$AU$27,30,FALSE)*100</f>
        <v>#DIV/0!</v>
      </c>
      <c r="Q18" s="514" t="e">
        <f>(VLOOKUP(A18,'Uncorrected Area Counts'!$A$4:$AU$27,35,FALSE)/VLOOKUP(A18,'Uncorrected Area Counts'!$A$4:$AU$27,47,FALSE))*100</f>
        <v>#DIV/0!</v>
      </c>
      <c r="R18" s="422" t="e">
        <f>VLOOKUP(A18,'Uncorrected Area Counts'!$A$4:$AU$27,35,FALSE)/VLOOKUP(A18,'Uncorrected Area Counts'!$A$4:$AU$27,3,FALSE)/VLOOKUP(8,'Plate Planning'!$L$20:$S$35,4,FALSE)*VLOOKUP("standard",'Plate Planning'!$L$20:$S$35,4,FALSE)/VLOOKUP(A18,'Uncorrected Area Counts'!$A$4:$AU$27,34,FALSE)*100</f>
        <v>#DIV/0!</v>
      </c>
      <c r="S18" s="522" t="e">
        <f>(VLOOKUP(A18,'Uncorrected Area Counts'!$A$4:$AU$27,39,FALSE)/VLOOKUP(A18,'Uncorrected Area Counts'!$A$4:$AU$27,47,FALSE))*100</f>
        <v>#DIV/0!</v>
      </c>
      <c r="T18" s="502" t="e">
        <f>VLOOKUP(A18,'Uncorrected Area Counts'!$A$4:$AU$27,39,FALSE)/VLOOKUP(A18,'Uncorrected Area Counts'!$A$4:$AU$27,3,FALSE)/VLOOKUP(8,'Plate Planning'!$L$20:$S$35,4,FALSE)*VLOOKUP("standard",'Plate Planning'!$L$20:$S$35,4,FALSE)/VLOOKUP(A18,'Uncorrected Area Counts'!$A$4:$AU$27,38,FALSE)*100</f>
        <v>#DIV/0!</v>
      </c>
      <c r="U18" s="522" t="e">
        <f>(VLOOKUP(A18,'Uncorrected Area Counts'!$A$4:$AU$27,43,FALSE)/VLOOKUP(A18,'Uncorrected Area Counts'!$A$4:$AU$27,47,FALSE))*100</f>
        <v>#DIV/0!</v>
      </c>
      <c r="V18" s="537" t="e">
        <f>VLOOKUP(A18,'Uncorrected Area Counts'!$A$4:$AU$27,43,FALSE)/VLOOKUP(A18,'Uncorrected Area Counts'!$A$4:$AU$27,3,FALSE)/VLOOKUP(8,'Plate Planning'!$L$20:$S$35,4,FALSE)*VLOOKUP("standard",'Plate Planning'!$L$20:$S$35,4,FALSE)/VLOOKUP(A18,'Uncorrected Area Counts'!$A$4:$AU$27,42,FALSE)*100</f>
        <v>#DIV/0!</v>
      </c>
    </row>
    <row r="19" spans="1:22">
      <c r="A19" s="423" t="s">
        <v>1188</v>
      </c>
      <c r="B19" s="498" t="s">
        <v>22</v>
      </c>
      <c r="C19" s="506" t="e">
        <f>(VLOOKUP(A19,'Uncorrected Area Counts'!$A$4:$AU$27,7,FALSE)/VLOOKUP(A19,'Uncorrected Area Counts'!$A$4:$AU$27,47,FALSE))*100</f>
        <v>#DIV/0!</v>
      </c>
      <c r="D19" s="499" t="e">
        <f>VLOOKUP(A19,'Uncorrected Area Counts'!$A$4:$AU$27,7,FALSE)/VLOOKUP(A19,'Uncorrected Area Counts'!$A$4:$AU$27,3,FALSE)/VLOOKUP(1,'Plate Planning'!$L$20:$S$35,4,FALSE)*VLOOKUP("standard",'Plate Planning'!$L$20:$S$35,4,FALSE)/VLOOKUP(A19,'Uncorrected Area Counts'!$A$4:$AU$27,6,FALSE)*100</f>
        <v>#DIV/0!</v>
      </c>
      <c r="E19" s="509" t="e">
        <f>(VLOOKUP(A19,'Uncorrected Area Counts'!$A$4:$AU$27,11,FALSE)/VLOOKUP(A19,'Uncorrected Area Counts'!$A$4:$AU$27,47,FALSE))*100</f>
        <v>#DIV/0!</v>
      </c>
      <c r="F19" s="499" t="e">
        <f>VLOOKUP(A19,'Uncorrected Area Counts'!$A$4:$AU$27,11,FALSE)/VLOOKUP(A19,'Uncorrected Area Counts'!$A$4:$AU$27,3,FALSE)/VLOOKUP(2,'Plate Planning'!$L$20:$S$35,4,FALSE)*VLOOKUP("standard",'Plate Planning'!$L$20:$S$35,4,FALSE)/VLOOKUP(A19,'Uncorrected Area Counts'!$A$4:$AU$27,10,FALSE)*100</f>
        <v>#DIV/0!</v>
      </c>
      <c r="G19" s="509" t="e">
        <f>(VLOOKUP(A19,'Uncorrected Area Counts'!$A$4:$AU$27,15,FALSE)/VLOOKUP(A19,'Uncorrected Area Counts'!$A$4:$AU$27,47,FALSE))*100</f>
        <v>#DIV/0!</v>
      </c>
      <c r="H19" s="499" t="e">
        <f>VLOOKUP(A19,'Uncorrected Area Counts'!$A$4:$AU$27,15,FALSE)/VLOOKUP(A19,'Uncorrected Area Counts'!$A$4:$AU$27,3,FALSE)/VLOOKUP(3,'Plate Planning'!$L$20:$S$35,4,FALSE)*VLOOKUP("standard",'Plate Planning'!$L$20:$S$35,4,FALSE)/VLOOKUP(A19,'Uncorrected Area Counts'!$A$4:$AU$27,14,FALSE)*100</f>
        <v>#DIV/0!</v>
      </c>
      <c r="I19" s="509" t="e">
        <f>(VLOOKUP(A19,'Uncorrected Area Counts'!$A$4:$AU$27,19,FALSE)/VLOOKUP(A19,'Uncorrected Area Counts'!$A$4:$AU$27,47,FALSE))*100</f>
        <v>#DIV/0!</v>
      </c>
      <c r="J19" s="500" t="e">
        <f>VLOOKUP(A19,'Uncorrected Area Counts'!$A$4:$AU$27,19,FALSE)/VLOOKUP(A19,'Uncorrected Area Counts'!$A$4:$AU$27,3,FALSE)/VLOOKUP(4,'Plate Planning'!$L$20:$S$35,4,FALSE)*VLOOKUP("standard",'Plate Planning'!$L$20:$S$35,4,FALSE)/VLOOKUP(A19,'Uncorrected Area Counts'!$A$4:$AU$27,18,FALSE)*100</f>
        <v>#DIV/0!</v>
      </c>
      <c r="K19" s="514" t="e">
        <f>(VLOOKUP(A19,'Uncorrected Area Counts'!$A$4:$AU$27,23,FALSE)/VLOOKUP(A19,'Uncorrected Area Counts'!$A$4:$AU$27,47,FALSE))*100</f>
        <v>#DIV/0!</v>
      </c>
      <c r="L19" s="501" t="e">
        <f>VLOOKUP(A19,'Uncorrected Area Counts'!$A$4:$AU$27,23,FALSE)/VLOOKUP(A19,'Uncorrected Area Counts'!$A$4:$AU$27,3,FALSE)/VLOOKUP(5,'Plate Planning'!$L$20:$S$35,4,FALSE)*VLOOKUP("standard",'Plate Planning'!$L$20:$S$35,4,FALSE)/VLOOKUP(A19,'Uncorrected Area Counts'!$A$4:$AU$27,22,FALSE)*100</f>
        <v>#DIV/0!</v>
      </c>
      <c r="M19" s="514" t="e">
        <f>(VLOOKUP(A19,'Uncorrected Area Counts'!$A$4:$AU$27,27,FALSE)/VLOOKUP(A19,'Uncorrected Area Counts'!$A$4:$AU$27,47,FALSE))*100</f>
        <v>#DIV/0!</v>
      </c>
      <c r="N19" s="500" t="e">
        <f>VLOOKUP(A19,'Uncorrected Area Counts'!$A$4:$AU$27,27,FALSE)/VLOOKUP(A19,'Uncorrected Area Counts'!$A$4:$AU$27,3,FALSE)/VLOOKUP(6,'Plate Planning'!$L$20:$S$35,4,FALSE)*VLOOKUP("standard",'Plate Planning'!$L$20:$S$35,4,FALSE)/VLOOKUP(A19,'Uncorrected Area Counts'!$A$4:$AU$27,26,FALSE)*100</f>
        <v>#DIV/0!</v>
      </c>
      <c r="O19" s="514" t="e">
        <f>(VLOOKUP(A19,'Uncorrected Area Counts'!$A$4:$AU$27,31,FALSE)/VLOOKUP(A19,'Uncorrected Area Counts'!$A$4:$AU$27,47,FALSE))*100</f>
        <v>#DIV/0!</v>
      </c>
      <c r="P19" s="501" t="e">
        <f>VLOOKUP(A19,'Uncorrected Area Counts'!$A$4:$AU$27,31,FALSE)/VLOOKUP(A19,'Uncorrected Area Counts'!$A$4:$AU$27,3,FALSE)/VLOOKUP(7,'Plate Planning'!$L$20:$S$35,4,FALSE)*VLOOKUP("standard",'Plate Planning'!$L$20:$S$35,4,FALSE)/VLOOKUP(A19,'Uncorrected Area Counts'!$A$4:$AU$27,30,FALSE)*100</f>
        <v>#DIV/0!</v>
      </c>
      <c r="Q19" s="514" t="e">
        <f>(VLOOKUP(A19,'Uncorrected Area Counts'!$A$4:$AU$27,35,FALSE)/VLOOKUP(A19,'Uncorrected Area Counts'!$A$4:$AU$27,47,FALSE))*100</f>
        <v>#DIV/0!</v>
      </c>
      <c r="R19" s="422" t="e">
        <f>VLOOKUP(A19,'Uncorrected Area Counts'!$A$4:$AU$27,35,FALSE)/VLOOKUP(A19,'Uncorrected Area Counts'!$A$4:$AU$27,3,FALSE)/VLOOKUP(8,'Plate Planning'!$L$20:$S$35,4,FALSE)*VLOOKUP("standard",'Plate Planning'!$L$20:$S$35,4,FALSE)/VLOOKUP(A19,'Uncorrected Area Counts'!$A$4:$AU$27,34,FALSE)*100</f>
        <v>#DIV/0!</v>
      </c>
      <c r="S19" s="522" t="e">
        <f>(VLOOKUP(A19,'Uncorrected Area Counts'!$A$4:$AU$27,39,FALSE)/VLOOKUP(A19,'Uncorrected Area Counts'!$A$4:$AU$27,47,FALSE))*100</f>
        <v>#DIV/0!</v>
      </c>
      <c r="T19" s="502" t="e">
        <f>VLOOKUP(A19,'Uncorrected Area Counts'!$A$4:$AU$27,39,FALSE)/VLOOKUP(A19,'Uncorrected Area Counts'!$A$4:$AU$27,3,FALSE)/VLOOKUP(8,'Plate Planning'!$L$20:$S$35,4,FALSE)*VLOOKUP("standard",'Plate Planning'!$L$20:$S$35,4,FALSE)/VLOOKUP(A19,'Uncorrected Area Counts'!$A$4:$AU$27,38,FALSE)*100</f>
        <v>#DIV/0!</v>
      </c>
      <c r="U19" s="522" t="e">
        <f>(VLOOKUP(A19,'Uncorrected Area Counts'!$A$4:$AU$27,43,FALSE)/VLOOKUP(A19,'Uncorrected Area Counts'!$A$4:$AU$27,47,FALSE))*100</f>
        <v>#DIV/0!</v>
      </c>
      <c r="V19" s="537" t="e">
        <f>VLOOKUP(A19,'Uncorrected Area Counts'!$A$4:$AU$27,43,FALSE)/VLOOKUP(A19,'Uncorrected Area Counts'!$A$4:$AU$27,3,FALSE)/VLOOKUP(8,'Plate Planning'!$L$20:$S$35,4,FALSE)*VLOOKUP("standard",'Plate Planning'!$L$20:$S$35,4,FALSE)/VLOOKUP(A19,'Uncorrected Area Counts'!$A$4:$AU$27,42,FALSE)*100</f>
        <v>#DIV/0!</v>
      </c>
    </row>
    <row r="20" spans="1:22">
      <c r="A20" s="423" t="s">
        <v>1189</v>
      </c>
      <c r="B20" s="498" t="s">
        <v>22</v>
      </c>
      <c r="C20" s="506" t="e">
        <f>(VLOOKUP(A20,'Uncorrected Area Counts'!$A$4:$AU$27,7,FALSE)/VLOOKUP(A20,'Uncorrected Area Counts'!$A$4:$AU$27,47,FALSE))*100</f>
        <v>#DIV/0!</v>
      </c>
      <c r="D20" s="499" t="e">
        <f>VLOOKUP(A20,'Uncorrected Area Counts'!$A$4:$AU$27,7,FALSE)/VLOOKUP(A20,'Uncorrected Area Counts'!$A$4:$AU$27,3,FALSE)/VLOOKUP(1,'Plate Planning'!$L$20:$S$35,4,FALSE)*VLOOKUP("standard",'Plate Planning'!$L$20:$S$35,4,FALSE)/VLOOKUP(A20,'Uncorrected Area Counts'!$A$4:$AU$27,6,FALSE)*100</f>
        <v>#DIV/0!</v>
      </c>
      <c r="E20" s="509" t="e">
        <f>(VLOOKUP(A20,'Uncorrected Area Counts'!$A$4:$AU$27,11,FALSE)/VLOOKUP(A20,'Uncorrected Area Counts'!$A$4:$AU$27,47,FALSE))*100</f>
        <v>#DIV/0!</v>
      </c>
      <c r="F20" s="499" t="e">
        <f>VLOOKUP(A20,'Uncorrected Area Counts'!$A$4:$AU$27,11,FALSE)/VLOOKUP(A20,'Uncorrected Area Counts'!$A$4:$AU$27,3,FALSE)/VLOOKUP(2,'Plate Planning'!$L$20:$S$35,4,FALSE)*VLOOKUP("standard",'Plate Planning'!$L$20:$S$35,4,FALSE)/VLOOKUP(A20,'Uncorrected Area Counts'!$A$4:$AU$27,10,FALSE)*100</f>
        <v>#DIV/0!</v>
      </c>
      <c r="G20" s="509" t="e">
        <f>(VLOOKUP(A20,'Uncorrected Area Counts'!$A$4:$AU$27,15,FALSE)/VLOOKUP(A20,'Uncorrected Area Counts'!$A$4:$AU$27,47,FALSE))*100</f>
        <v>#DIV/0!</v>
      </c>
      <c r="H20" s="499" t="e">
        <f>VLOOKUP(A20,'Uncorrected Area Counts'!$A$4:$AU$27,15,FALSE)/VLOOKUP(A20,'Uncorrected Area Counts'!$A$4:$AU$27,3,FALSE)/VLOOKUP(3,'Plate Planning'!$L$20:$S$35,4,FALSE)*VLOOKUP("standard",'Plate Planning'!$L$20:$S$35,4,FALSE)/VLOOKUP(A20,'Uncorrected Area Counts'!$A$4:$AU$27,14,FALSE)*100</f>
        <v>#DIV/0!</v>
      </c>
      <c r="I20" s="509" t="e">
        <f>(VLOOKUP(A20,'Uncorrected Area Counts'!$A$4:$AU$27,19,FALSE)/VLOOKUP(A20,'Uncorrected Area Counts'!$A$4:$AU$27,47,FALSE))*100</f>
        <v>#DIV/0!</v>
      </c>
      <c r="J20" s="500" t="e">
        <f>VLOOKUP(A20,'Uncorrected Area Counts'!$A$4:$AU$27,19,FALSE)/VLOOKUP(A20,'Uncorrected Area Counts'!$A$4:$AU$27,3,FALSE)/VLOOKUP(4,'Plate Planning'!$L$20:$S$35,4,FALSE)*VLOOKUP("standard",'Plate Planning'!$L$20:$S$35,4,FALSE)/VLOOKUP(A20,'Uncorrected Area Counts'!$A$4:$AU$27,18,FALSE)*100</f>
        <v>#DIV/0!</v>
      </c>
      <c r="K20" s="514" t="e">
        <f>(VLOOKUP(A20,'Uncorrected Area Counts'!$A$4:$AU$27,23,FALSE)/VLOOKUP(A20,'Uncorrected Area Counts'!$A$4:$AU$27,47,FALSE))*100</f>
        <v>#DIV/0!</v>
      </c>
      <c r="L20" s="501" t="e">
        <f>VLOOKUP(A20,'Uncorrected Area Counts'!$A$4:$AU$27,23,FALSE)/VLOOKUP(A20,'Uncorrected Area Counts'!$A$4:$AU$27,3,FALSE)/VLOOKUP(5,'Plate Planning'!$L$20:$S$35,4,FALSE)*VLOOKUP("standard",'Plate Planning'!$L$20:$S$35,4,FALSE)/VLOOKUP(A20,'Uncorrected Area Counts'!$A$4:$AU$27,22,FALSE)*100</f>
        <v>#DIV/0!</v>
      </c>
      <c r="M20" s="514" t="e">
        <f>(VLOOKUP(A20,'Uncorrected Area Counts'!$A$4:$AU$27,27,FALSE)/VLOOKUP(A20,'Uncorrected Area Counts'!$A$4:$AU$27,47,FALSE))*100</f>
        <v>#DIV/0!</v>
      </c>
      <c r="N20" s="500" t="e">
        <f>VLOOKUP(A20,'Uncorrected Area Counts'!$A$4:$AU$27,27,FALSE)/VLOOKUP(A20,'Uncorrected Area Counts'!$A$4:$AU$27,3,FALSE)/VLOOKUP(6,'Plate Planning'!$L$20:$S$35,4,FALSE)*VLOOKUP("standard",'Plate Planning'!$L$20:$S$35,4,FALSE)/VLOOKUP(A20,'Uncorrected Area Counts'!$A$4:$AU$27,26,FALSE)*100</f>
        <v>#DIV/0!</v>
      </c>
      <c r="O20" s="514" t="e">
        <f>(VLOOKUP(A20,'Uncorrected Area Counts'!$A$4:$AU$27,31,FALSE)/VLOOKUP(A20,'Uncorrected Area Counts'!$A$4:$AU$27,47,FALSE))*100</f>
        <v>#DIV/0!</v>
      </c>
      <c r="P20" s="501" t="e">
        <f>VLOOKUP(A20,'Uncorrected Area Counts'!$A$4:$AU$27,31,FALSE)/VLOOKUP(A20,'Uncorrected Area Counts'!$A$4:$AU$27,3,FALSE)/VLOOKUP(7,'Plate Planning'!$L$20:$S$35,4,FALSE)*VLOOKUP("standard",'Plate Planning'!$L$20:$S$35,4,FALSE)/VLOOKUP(A20,'Uncorrected Area Counts'!$A$4:$AU$27,30,FALSE)*100</f>
        <v>#DIV/0!</v>
      </c>
      <c r="Q20" s="514" t="e">
        <f>(VLOOKUP(A20,'Uncorrected Area Counts'!$A$4:$AU$27,35,FALSE)/VLOOKUP(A20,'Uncorrected Area Counts'!$A$4:$AU$27,47,FALSE))*100</f>
        <v>#DIV/0!</v>
      </c>
      <c r="R20" s="422" t="e">
        <f>VLOOKUP(A20,'Uncorrected Area Counts'!$A$4:$AU$27,35,FALSE)/VLOOKUP(A20,'Uncorrected Area Counts'!$A$4:$AU$27,3,FALSE)/VLOOKUP(8,'Plate Planning'!$L$20:$S$35,4,FALSE)*VLOOKUP("standard",'Plate Planning'!$L$20:$S$35,4,FALSE)/VLOOKUP(A20,'Uncorrected Area Counts'!$A$4:$AU$27,34,FALSE)*100</f>
        <v>#DIV/0!</v>
      </c>
      <c r="S20" s="522" t="e">
        <f>(VLOOKUP(A20,'Uncorrected Area Counts'!$A$4:$AU$27,39,FALSE)/VLOOKUP(A20,'Uncorrected Area Counts'!$A$4:$AU$27,47,FALSE))*100</f>
        <v>#DIV/0!</v>
      </c>
      <c r="T20" s="502" t="e">
        <f>VLOOKUP(A20,'Uncorrected Area Counts'!$A$4:$AU$27,39,FALSE)/VLOOKUP(A20,'Uncorrected Area Counts'!$A$4:$AU$27,3,FALSE)/VLOOKUP(8,'Plate Planning'!$L$20:$S$35,4,FALSE)*VLOOKUP("standard",'Plate Planning'!$L$20:$S$35,4,FALSE)/VLOOKUP(A20,'Uncorrected Area Counts'!$A$4:$AU$27,38,FALSE)*100</f>
        <v>#DIV/0!</v>
      </c>
      <c r="U20" s="522" t="e">
        <f>(VLOOKUP(A20,'Uncorrected Area Counts'!$A$4:$AU$27,43,FALSE)/VLOOKUP(A20,'Uncorrected Area Counts'!$A$4:$AU$27,47,FALSE))*100</f>
        <v>#DIV/0!</v>
      </c>
      <c r="V20" s="537" t="e">
        <f>VLOOKUP(A20,'Uncorrected Area Counts'!$A$4:$AU$27,43,FALSE)/VLOOKUP(A20,'Uncorrected Area Counts'!$A$4:$AU$27,3,FALSE)/VLOOKUP(8,'Plate Planning'!$L$20:$S$35,4,FALSE)*VLOOKUP("standard",'Plate Planning'!$L$20:$S$35,4,FALSE)/VLOOKUP(A20,'Uncorrected Area Counts'!$A$4:$AU$27,42,FALSE)*100</f>
        <v>#DIV/0!</v>
      </c>
    </row>
    <row r="21" spans="1:22">
      <c r="A21" s="423" t="s">
        <v>1190</v>
      </c>
      <c r="B21" s="498" t="s">
        <v>22</v>
      </c>
      <c r="C21" s="506" t="e">
        <f>(VLOOKUP(A21,'Uncorrected Area Counts'!$A$4:$AU$27,7,FALSE)/VLOOKUP(A21,'Uncorrected Area Counts'!$A$4:$AU$27,47,FALSE))*100</f>
        <v>#DIV/0!</v>
      </c>
      <c r="D21" s="499" t="e">
        <f>VLOOKUP(A21,'Uncorrected Area Counts'!$A$4:$AU$27,7,FALSE)/VLOOKUP(A21,'Uncorrected Area Counts'!$A$4:$AU$27,3,FALSE)/VLOOKUP(1,'Plate Planning'!$L$20:$S$35,4,FALSE)*VLOOKUP("standard",'Plate Planning'!$L$20:$S$35,4,FALSE)/VLOOKUP(A21,'Uncorrected Area Counts'!$A$4:$AU$27,6,FALSE)*100</f>
        <v>#DIV/0!</v>
      </c>
      <c r="E21" s="509" t="e">
        <f>(VLOOKUP(A21,'Uncorrected Area Counts'!$A$4:$AU$27,11,FALSE)/VLOOKUP(A21,'Uncorrected Area Counts'!$A$4:$AU$27,47,FALSE))*100</f>
        <v>#DIV/0!</v>
      </c>
      <c r="F21" s="499" t="e">
        <f>VLOOKUP(A21,'Uncorrected Area Counts'!$A$4:$AU$27,11,FALSE)/VLOOKUP(A21,'Uncorrected Area Counts'!$A$4:$AU$27,3,FALSE)/VLOOKUP(2,'Plate Planning'!$L$20:$S$35,4,FALSE)*VLOOKUP("standard",'Plate Planning'!$L$20:$S$35,4,FALSE)/VLOOKUP(A21,'Uncorrected Area Counts'!$A$4:$AU$27,10,FALSE)*100</f>
        <v>#DIV/0!</v>
      </c>
      <c r="G21" s="509" t="e">
        <f>(VLOOKUP(A21,'Uncorrected Area Counts'!$A$4:$AU$27,15,FALSE)/VLOOKUP(A21,'Uncorrected Area Counts'!$A$4:$AU$27,47,FALSE))*100</f>
        <v>#DIV/0!</v>
      </c>
      <c r="H21" s="499" t="e">
        <f>VLOOKUP(A21,'Uncorrected Area Counts'!$A$4:$AU$27,15,FALSE)/VLOOKUP(A21,'Uncorrected Area Counts'!$A$4:$AU$27,3,FALSE)/VLOOKUP(3,'Plate Planning'!$L$20:$S$35,4,FALSE)*VLOOKUP("standard",'Plate Planning'!$L$20:$S$35,4,FALSE)/VLOOKUP(A21,'Uncorrected Area Counts'!$A$4:$AU$27,14,FALSE)*100</f>
        <v>#DIV/0!</v>
      </c>
      <c r="I21" s="509" t="e">
        <f>(VLOOKUP(A21,'Uncorrected Area Counts'!$A$4:$AU$27,19,FALSE)/VLOOKUP(A21,'Uncorrected Area Counts'!$A$4:$AU$27,47,FALSE))*100</f>
        <v>#DIV/0!</v>
      </c>
      <c r="J21" s="500" t="e">
        <f>VLOOKUP(A21,'Uncorrected Area Counts'!$A$4:$AU$27,19,FALSE)/VLOOKUP(A21,'Uncorrected Area Counts'!$A$4:$AU$27,3,FALSE)/VLOOKUP(4,'Plate Planning'!$L$20:$S$35,4,FALSE)*VLOOKUP("standard",'Plate Planning'!$L$20:$S$35,4,FALSE)/VLOOKUP(A21,'Uncorrected Area Counts'!$A$4:$AU$27,18,FALSE)*100</f>
        <v>#DIV/0!</v>
      </c>
      <c r="K21" s="514" t="e">
        <f>(VLOOKUP(A21,'Uncorrected Area Counts'!$A$4:$AU$27,23,FALSE)/VLOOKUP(A21,'Uncorrected Area Counts'!$A$4:$AU$27,47,FALSE))*100</f>
        <v>#DIV/0!</v>
      </c>
      <c r="L21" s="501" t="e">
        <f>VLOOKUP(A21,'Uncorrected Area Counts'!$A$4:$AU$27,23,FALSE)/VLOOKUP(A21,'Uncorrected Area Counts'!$A$4:$AU$27,3,FALSE)/VLOOKUP(5,'Plate Planning'!$L$20:$S$35,4,FALSE)*VLOOKUP("standard",'Plate Planning'!$L$20:$S$35,4,FALSE)/VLOOKUP(A21,'Uncorrected Area Counts'!$A$4:$AU$27,22,FALSE)*100</f>
        <v>#DIV/0!</v>
      </c>
      <c r="M21" s="514" t="e">
        <f>(VLOOKUP(A21,'Uncorrected Area Counts'!$A$4:$AU$27,27,FALSE)/VLOOKUP(A21,'Uncorrected Area Counts'!$A$4:$AU$27,47,FALSE))*100</f>
        <v>#DIV/0!</v>
      </c>
      <c r="N21" s="500" t="e">
        <f>VLOOKUP(A21,'Uncorrected Area Counts'!$A$4:$AU$27,27,FALSE)/VLOOKUP(A21,'Uncorrected Area Counts'!$A$4:$AU$27,3,FALSE)/VLOOKUP(6,'Plate Planning'!$L$20:$S$35,4,FALSE)*VLOOKUP("standard",'Plate Planning'!$L$20:$S$35,4,FALSE)/VLOOKUP(A21,'Uncorrected Area Counts'!$A$4:$AU$27,26,FALSE)*100</f>
        <v>#DIV/0!</v>
      </c>
      <c r="O21" s="514" t="e">
        <f>(VLOOKUP(A21,'Uncorrected Area Counts'!$A$4:$AU$27,31,FALSE)/VLOOKUP(A21,'Uncorrected Area Counts'!$A$4:$AU$27,47,FALSE))*100</f>
        <v>#DIV/0!</v>
      </c>
      <c r="P21" s="501" t="e">
        <f>VLOOKUP(A21,'Uncorrected Area Counts'!$A$4:$AU$27,31,FALSE)/VLOOKUP(A21,'Uncorrected Area Counts'!$A$4:$AU$27,3,FALSE)/VLOOKUP(7,'Plate Planning'!$L$20:$S$35,4,FALSE)*VLOOKUP("standard",'Plate Planning'!$L$20:$S$35,4,FALSE)/VLOOKUP(A21,'Uncorrected Area Counts'!$A$4:$AU$27,30,FALSE)*100</f>
        <v>#DIV/0!</v>
      </c>
      <c r="Q21" s="514" t="e">
        <f>(VLOOKUP(A21,'Uncorrected Area Counts'!$A$4:$AU$27,35,FALSE)/VLOOKUP(A21,'Uncorrected Area Counts'!$A$4:$AU$27,47,FALSE))*100</f>
        <v>#DIV/0!</v>
      </c>
      <c r="R21" s="422" t="e">
        <f>VLOOKUP(A21,'Uncorrected Area Counts'!$A$4:$AU$27,35,FALSE)/VLOOKUP(A21,'Uncorrected Area Counts'!$A$4:$AU$27,3,FALSE)/VLOOKUP(8,'Plate Planning'!$L$20:$S$35,4,FALSE)*VLOOKUP("standard",'Plate Planning'!$L$20:$S$35,4,FALSE)/VLOOKUP(A21,'Uncorrected Area Counts'!$A$4:$AU$27,34,FALSE)*100</f>
        <v>#DIV/0!</v>
      </c>
      <c r="S21" s="522" t="e">
        <f>(VLOOKUP(A21,'Uncorrected Area Counts'!$A$4:$AU$27,39,FALSE)/VLOOKUP(A21,'Uncorrected Area Counts'!$A$4:$AU$27,47,FALSE))*100</f>
        <v>#DIV/0!</v>
      </c>
      <c r="T21" s="502" t="e">
        <f>VLOOKUP(A21,'Uncorrected Area Counts'!$A$4:$AU$27,39,FALSE)/VLOOKUP(A21,'Uncorrected Area Counts'!$A$4:$AU$27,3,FALSE)/VLOOKUP(8,'Plate Planning'!$L$20:$S$35,4,FALSE)*VLOOKUP("standard",'Plate Planning'!$L$20:$S$35,4,FALSE)/VLOOKUP(A21,'Uncorrected Area Counts'!$A$4:$AU$27,38,FALSE)*100</f>
        <v>#DIV/0!</v>
      </c>
      <c r="U21" s="522" t="e">
        <f>(VLOOKUP(A21,'Uncorrected Area Counts'!$A$4:$AU$27,43,FALSE)/VLOOKUP(A21,'Uncorrected Area Counts'!$A$4:$AU$27,47,FALSE))*100</f>
        <v>#DIV/0!</v>
      </c>
      <c r="V21" s="537" t="e">
        <f>VLOOKUP(A21,'Uncorrected Area Counts'!$A$4:$AU$27,43,FALSE)/VLOOKUP(A21,'Uncorrected Area Counts'!$A$4:$AU$27,3,FALSE)/VLOOKUP(8,'Plate Planning'!$L$20:$S$35,4,FALSE)*VLOOKUP("standard",'Plate Planning'!$L$20:$S$35,4,FALSE)/VLOOKUP(A21,'Uncorrected Area Counts'!$A$4:$AU$27,42,FALSE)*100</f>
        <v>#DIV/0!</v>
      </c>
    </row>
    <row r="22" spans="1:22">
      <c r="A22" s="423" t="s">
        <v>1197</v>
      </c>
      <c r="B22" s="498" t="s">
        <v>22</v>
      </c>
      <c r="C22" s="506" t="e">
        <f>(VLOOKUP(A22,'Uncorrected Area Counts'!$A$4:$AU$27,7,FALSE)/VLOOKUP(A22,'Uncorrected Area Counts'!$A$4:$AU$27,47,FALSE))*100</f>
        <v>#DIV/0!</v>
      </c>
      <c r="D22" s="499" t="e">
        <f>VLOOKUP(A22,'Uncorrected Area Counts'!$A$4:$AU$27,7,FALSE)/VLOOKUP(A22,'Uncorrected Area Counts'!$A$4:$AU$27,3,FALSE)/VLOOKUP(1,'Plate Planning'!$L$20:$S$35,4,FALSE)*VLOOKUP("standard",'Plate Planning'!$L$20:$S$35,4,FALSE)/VLOOKUP(A22,'Uncorrected Area Counts'!$A$4:$AU$27,6,FALSE)*100</f>
        <v>#DIV/0!</v>
      </c>
      <c r="E22" s="509" t="e">
        <f>(VLOOKUP(A22,'Uncorrected Area Counts'!$A$4:$AU$27,11,FALSE)/VLOOKUP(A22,'Uncorrected Area Counts'!$A$4:$AU$27,47,FALSE))*100</f>
        <v>#DIV/0!</v>
      </c>
      <c r="F22" s="499" t="e">
        <f>VLOOKUP(A22,'Uncorrected Area Counts'!$A$4:$AU$27,11,FALSE)/VLOOKUP(A22,'Uncorrected Area Counts'!$A$4:$AU$27,3,FALSE)/VLOOKUP(2,'Plate Planning'!$L$20:$S$35,4,FALSE)*VLOOKUP("standard",'Plate Planning'!$L$20:$S$35,4,FALSE)/VLOOKUP(A22,'Uncorrected Area Counts'!$A$4:$AU$27,10,FALSE)*100</f>
        <v>#DIV/0!</v>
      </c>
      <c r="G22" s="509" t="e">
        <f>(VLOOKUP(A22,'Uncorrected Area Counts'!$A$4:$AU$27,15,FALSE)/VLOOKUP(A22,'Uncorrected Area Counts'!$A$4:$AU$27,47,FALSE))*100</f>
        <v>#DIV/0!</v>
      </c>
      <c r="H22" s="499" t="e">
        <f>VLOOKUP(A22,'Uncorrected Area Counts'!$A$4:$AU$27,15,FALSE)/VLOOKUP(A22,'Uncorrected Area Counts'!$A$4:$AU$27,3,FALSE)/VLOOKUP(3,'Plate Planning'!$L$20:$S$35,4,FALSE)*VLOOKUP("standard",'Plate Planning'!$L$20:$S$35,4,FALSE)/VLOOKUP(A22,'Uncorrected Area Counts'!$A$4:$AU$27,14,FALSE)*100</f>
        <v>#DIV/0!</v>
      </c>
      <c r="I22" s="509" t="e">
        <f>(VLOOKUP(A22,'Uncorrected Area Counts'!$A$4:$AU$27,19,FALSE)/VLOOKUP(A22,'Uncorrected Area Counts'!$A$4:$AU$27,47,FALSE))*100</f>
        <v>#DIV/0!</v>
      </c>
      <c r="J22" s="500" t="e">
        <f>VLOOKUP(A22,'Uncorrected Area Counts'!$A$4:$AU$27,19,FALSE)/VLOOKUP(A22,'Uncorrected Area Counts'!$A$4:$AU$27,3,FALSE)/VLOOKUP(4,'Plate Planning'!$L$20:$S$35,4,FALSE)*VLOOKUP("standard",'Plate Planning'!$L$20:$S$35,4,FALSE)/VLOOKUP(A22,'Uncorrected Area Counts'!$A$4:$AU$27,18,FALSE)*100</f>
        <v>#DIV/0!</v>
      </c>
      <c r="K22" s="514" t="e">
        <f>(VLOOKUP(A22,'Uncorrected Area Counts'!$A$4:$AU$27,23,FALSE)/VLOOKUP(A22,'Uncorrected Area Counts'!$A$4:$AU$27,47,FALSE))*100</f>
        <v>#DIV/0!</v>
      </c>
      <c r="L22" s="501" t="e">
        <f>VLOOKUP(A22,'Uncorrected Area Counts'!$A$4:$AU$27,23,FALSE)/VLOOKUP(A22,'Uncorrected Area Counts'!$A$4:$AU$27,3,FALSE)/VLOOKUP(5,'Plate Planning'!$L$20:$S$35,4,FALSE)*VLOOKUP("standard",'Plate Planning'!$L$20:$S$35,4,FALSE)/VLOOKUP(A22,'Uncorrected Area Counts'!$A$4:$AU$27,22,FALSE)*100</f>
        <v>#DIV/0!</v>
      </c>
      <c r="M22" s="514" t="e">
        <f>(VLOOKUP(A22,'Uncorrected Area Counts'!$A$4:$AU$27,27,FALSE)/VLOOKUP(A22,'Uncorrected Area Counts'!$A$4:$AU$27,47,FALSE))*100</f>
        <v>#DIV/0!</v>
      </c>
      <c r="N22" s="500" t="e">
        <f>VLOOKUP(A22,'Uncorrected Area Counts'!$A$4:$AU$27,27,FALSE)/VLOOKUP(A22,'Uncorrected Area Counts'!$A$4:$AU$27,3,FALSE)/VLOOKUP(6,'Plate Planning'!$L$20:$S$35,4,FALSE)*VLOOKUP("standard",'Plate Planning'!$L$20:$S$35,4,FALSE)/VLOOKUP(A22,'Uncorrected Area Counts'!$A$4:$AU$27,26,FALSE)*100</f>
        <v>#DIV/0!</v>
      </c>
      <c r="O22" s="514" t="e">
        <f>(VLOOKUP(A22,'Uncorrected Area Counts'!$A$4:$AU$27,31,FALSE)/VLOOKUP(A22,'Uncorrected Area Counts'!$A$4:$AU$27,47,FALSE))*100</f>
        <v>#DIV/0!</v>
      </c>
      <c r="P22" s="501" t="e">
        <f>VLOOKUP(A22,'Uncorrected Area Counts'!$A$4:$AU$27,31,FALSE)/VLOOKUP(A22,'Uncorrected Area Counts'!$A$4:$AU$27,3,FALSE)/VLOOKUP(7,'Plate Planning'!$L$20:$S$35,4,FALSE)*VLOOKUP("standard",'Plate Planning'!$L$20:$S$35,4,FALSE)/VLOOKUP(A22,'Uncorrected Area Counts'!$A$4:$AU$27,30,FALSE)*100</f>
        <v>#DIV/0!</v>
      </c>
      <c r="Q22" s="514" t="e">
        <f>(VLOOKUP(A22,'Uncorrected Area Counts'!$A$4:$AU$27,35,FALSE)/VLOOKUP(A22,'Uncorrected Area Counts'!$A$4:$AU$27,47,FALSE))*100</f>
        <v>#DIV/0!</v>
      </c>
      <c r="R22" s="422" t="e">
        <f>VLOOKUP(A22,'Uncorrected Area Counts'!$A$4:$AU$27,35,FALSE)/VLOOKUP(A22,'Uncorrected Area Counts'!$A$4:$AU$27,3,FALSE)/VLOOKUP(8,'Plate Planning'!$L$20:$S$35,4,FALSE)*VLOOKUP("standard",'Plate Planning'!$L$20:$S$35,4,FALSE)/VLOOKUP(A22,'Uncorrected Area Counts'!$A$4:$AU$27,34,FALSE)*100</f>
        <v>#DIV/0!</v>
      </c>
      <c r="S22" s="522" t="e">
        <f>(VLOOKUP(A22,'Uncorrected Area Counts'!$A$4:$AU$27,39,FALSE)/VLOOKUP(A22,'Uncorrected Area Counts'!$A$4:$AU$27,47,FALSE))*100</f>
        <v>#DIV/0!</v>
      </c>
      <c r="T22" s="502" t="e">
        <f>VLOOKUP(A22,'Uncorrected Area Counts'!$A$4:$AU$27,39,FALSE)/VLOOKUP(A22,'Uncorrected Area Counts'!$A$4:$AU$27,3,FALSE)/VLOOKUP(8,'Plate Planning'!$L$20:$S$35,4,FALSE)*VLOOKUP("standard",'Plate Planning'!$L$20:$S$35,4,FALSE)/VLOOKUP(A22,'Uncorrected Area Counts'!$A$4:$AU$27,38,FALSE)*100</f>
        <v>#DIV/0!</v>
      </c>
      <c r="U22" s="522" t="e">
        <f>(VLOOKUP(A22,'Uncorrected Area Counts'!$A$4:$AU$27,43,FALSE)/VLOOKUP(A22,'Uncorrected Area Counts'!$A$4:$AU$27,47,FALSE))*100</f>
        <v>#DIV/0!</v>
      </c>
      <c r="V22" s="537" t="e">
        <f>VLOOKUP(A22,'Uncorrected Area Counts'!$A$4:$AU$27,43,FALSE)/VLOOKUP(A22,'Uncorrected Area Counts'!$A$4:$AU$27,3,FALSE)/VLOOKUP(8,'Plate Planning'!$L$20:$S$35,4,FALSE)*VLOOKUP("standard",'Plate Planning'!$L$20:$S$35,4,FALSE)/VLOOKUP(A22,'Uncorrected Area Counts'!$A$4:$AU$27,42,FALSE)*100</f>
        <v>#DIV/0!</v>
      </c>
    </row>
    <row r="23" spans="1:22">
      <c r="A23" s="423" t="s">
        <v>1198</v>
      </c>
      <c r="B23" s="498" t="s">
        <v>22</v>
      </c>
      <c r="C23" s="506" t="e">
        <f>(VLOOKUP(A23,'Uncorrected Area Counts'!$A$4:$AU$27,7,FALSE)/VLOOKUP(A23,'Uncorrected Area Counts'!$A$4:$AU$27,47,FALSE))*100</f>
        <v>#DIV/0!</v>
      </c>
      <c r="D23" s="499" t="e">
        <f>VLOOKUP(A23,'Uncorrected Area Counts'!$A$4:$AU$27,7,FALSE)/VLOOKUP(A23,'Uncorrected Area Counts'!$A$4:$AU$27,3,FALSE)/VLOOKUP(1,'Plate Planning'!$L$20:$S$35,4,FALSE)*VLOOKUP("standard",'Plate Planning'!$L$20:$S$35,4,FALSE)/VLOOKUP(A23,'Uncorrected Area Counts'!$A$4:$AU$27,6,FALSE)*100</f>
        <v>#DIV/0!</v>
      </c>
      <c r="E23" s="509" t="e">
        <f>(VLOOKUP(A23,'Uncorrected Area Counts'!$A$4:$AU$27,11,FALSE)/VLOOKUP(A23,'Uncorrected Area Counts'!$A$4:$AU$27,47,FALSE))*100</f>
        <v>#DIV/0!</v>
      </c>
      <c r="F23" s="499" t="e">
        <f>VLOOKUP(A23,'Uncorrected Area Counts'!$A$4:$AU$27,11,FALSE)/VLOOKUP(A23,'Uncorrected Area Counts'!$A$4:$AU$27,3,FALSE)/VLOOKUP(2,'Plate Planning'!$L$20:$S$35,4,FALSE)*VLOOKUP("standard",'Plate Planning'!$L$20:$S$35,4,FALSE)/VLOOKUP(A23,'Uncorrected Area Counts'!$A$4:$AU$27,10,FALSE)*100</f>
        <v>#DIV/0!</v>
      </c>
      <c r="G23" s="509" t="e">
        <f>(VLOOKUP(A23,'Uncorrected Area Counts'!$A$4:$AU$27,15,FALSE)/VLOOKUP(A23,'Uncorrected Area Counts'!$A$4:$AU$27,47,FALSE))*100</f>
        <v>#DIV/0!</v>
      </c>
      <c r="H23" s="499" t="e">
        <f>VLOOKUP(A23,'Uncorrected Area Counts'!$A$4:$AU$27,15,FALSE)/VLOOKUP(A23,'Uncorrected Area Counts'!$A$4:$AU$27,3,FALSE)/VLOOKUP(3,'Plate Planning'!$L$20:$S$35,4,FALSE)*VLOOKUP("standard",'Plate Planning'!$L$20:$S$35,4,FALSE)/VLOOKUP(A23,'Uncorrected Area Counts'!$A$4:$AU$27,14,FALSE)*100</f>
        <v>#DIV/0!</v>
      </c>
      <c r="I23" s="509" t="e">
        <f>(VLOOKUP(A23,'Uncorrected Area Counts'!$A$4:$AU$27,19,FALSE)/VLOOKUP(A23,'Uncorrected Area Counts'!$A$4:$AU$27,47,FALSE))*100</f>
        <v>#DIV/0!</v>
      </c>
      <c r="J23" s="500" t="e">
        <f>VLOOKUP(A23,'Uncorrected Area Counts'!$A$4:$AU$27,19,FALSE)/VLOOKUP(A23,'Uncorrected Area Counts'!$A$4:$AU$27,3,FALSE)/VLOOKUP(4,'Plate Planning'!$L$20:$S$35,4,FALSE)*VLOOKUP("standard",'Plate Planning'!$L$20:$S$35,4,FALSE)/VLOOKUP(A23,'Uncorrected Area Counts'!$A$4:$AU$27,18,FALSE)*100</f>
        <v>#DIV/0!</v>
      </c>
      <c r="K23" s="514" t="e">
        <f>(VLOOKUP(A23,'Uncorrected Area Counts'!$A$4:$AU$27,23,FALSE)/VLOOKUP(A23,'Uncorrected Area Counts'!$A$4:$AU$27,47,FALSE))*100</f>
        <v>#DIV/0!</v>
      </c>
      <c r="L23" s="501" t="e">
        <f>VLOOKUP(A23,'Uncorrected Area Counts'!$A$4:$AU$27,23,FALSE)/VLOOKUP(A23,'Uncorrected Area Counts'!$A$4:$AU$27,3,FALSE)/VLOOKUP(5,'Plate Planning'!$L$20:$S$35,4,FALSE)*VLOOKUP("standard",'Plate Planning'!$L$20:$S$35,4,FALSE)/VLOOKUP(A23,'Uncorrected Area Counts'!$A$4:$AU$27,22,FALSE)*100</f>
        <v>#DIV/0!</v>
      </c>
      <c r="M23" s="514" t="e">
        <f>(VLOOKUP(A23,'Uncorrected Area Counts'!$A$4:$AU$27,27,FALSE)/VLOOKUP(A23,'Uncorrected Area Counts'!$A$4:$AU$27,47,FALSE))*100</f>
        <v>#DIV/0!</v>
      </c>
      <c r="N23" s="500" t="e">
        <f>VLOOKUP(A23,'Uncorrected Area Counts'!$A$4:$AU$27,27,FALSE)/VLOOKUP(A23,'Uncorrected Area Counts'!$A$4:$AU$27,3,FALSE)/VLOOKUP(6,'Plate Planning'!$L$20:$S$35,4,FALSE)*VLOOKUP("standard",'Plate Planning'!$L$20:$S$35,4,FALSE)/VLOOKUP(A23,'Uncorrected Area Counts'!$A$4:$AU$27,26,FALSE)*100</f>
        <v>#DIV/0!</v>
      </c>
      <c r="O23" s="514" t="e">
        <f>(VLOOKUP(A23,'Uncorrected Area Counts'!$A$4:$AU$27,31,FALSE)/VLOOKUP(A23,'Uncorrected Area Counts'!$A$4:$AU$27,47,FALSE))*100</f>
        <v>#DIV/0!</v>
      </c>
      <c r="P23" s="501" t="e">
        <f>VLOOKUP(A23,'Uncorrected Area Counts'!$A$4:$AU$27,31,FALSE)/VLOOKUP(A23,'Uncorrected Area Counts'!$A$4:$AU$27,3,FALSE)/VLOOKUP(7,'Plate Planning'!$L$20:$S$35,4,FALSE)*VLOOKUP("standard",'Plate Planning'!$L$20:$S$35,4,FALSE)/VLOOKUP(A23,'Uncorrected Area Counts'!$A$4:$AU$27,30,FALSE)*100</f>
        <v>#DIV/0!</v>
      </c>
      <c r="Q23" s="514" t="e">
        <f>(VLOOKUP(A23,'Uncorrected Area Counts'!$A$4:$AU$27,35,FALSE)/VLOOKUP(A23,'Uncorrected Area Counts'!$A$4:$AU$27,47,FALSE))*100</f>
        <v>#DIV/0!</v>
      </c>
      <c r="R23" s="422" t="e">
        <f>VLOOKUP(A23,'Uncorrected Area Counts'!$A$4:$AU$27,35,FALSE)/VLOOKUP(A23,'Uncorrected Area Counts'!$A$4:$AU$27,3,FALSE)/VLOOKUP(8,'Plate Planning'!$L$20:$S$35,4,FALSE)*VLOOKUP("standard",'Plate Planning'!$L$20:$S$35,4,FALSE)/VLOOKUP(A23,'Uncorrected Area Counts'!$A$4:$AU$27,34,FALSE)*100</f>
        <v>#DIV/0!</v>
      </c>
      <c r="S23" s="522" t="e">
        <f>(VLOOKUP(A23,'Uncorrected Area Counts'!$A$4:$AU$27,39,FALSE)/VLOOKUP(A23,'Uncorrected Area Counts'!$A$4:$AU$27,47,FALSE))*100</f>
        <v>#DIV/0!</v>
      </c>
      <c r="T23" s="502" t="e">
        <f>VLOOKUP(A23,'Uncorrected Area Counts'!$A$4:$AU$27,39,FALSE)/VLOOKUP(A23,'Uncorrected Area Counts'!$A$4:$AU$27,3,FALSE)/VLOOKUP(8,'Plate Planning'!$L$20:$S$35,4,FALSE)*VLOOKUP("standard",'Plate Planning'!$L$20:$S$35,4,FALSE)/VLOOKUP(A23,'Uncorrected Area Counts'!$A$4:$AU$27,38,FALSE)*100</f>
        <v>#DIV/0!</v>
      </c>
      <c r="U23" s="522" t="e">
        <f>(VLOOKUP(A23,'Uncorrected Area Counts'!$A$4:$AU$27,43,FALSE)/VLOOKUP(A23,'Uncorrected Area Counts'!$A$4:$AU$27,47,FALSE))*100</f>
        <v>#DIV/0!</v>
      </c>
      <c r="V23" s="537" t="e">
        <f>VLOOKUP(A23,'Uncorrected Area Counts'!$A$4:$AU$27,43,FALSE)/VLOOKUP(A23,'Uncorrected Area Counts'!$A$4:$AU$27,3,FALSE)/VLOOKUP(8,'Plate Planning'!$L$20:$S$35,4,FALSE)*VLOOKUP("standard",'Plate Planning'!$L$20:$S$35,4,FALSE)/VLOOKUP(A23,'Uncorrected Area Counts'!$A$4:$AU$27,42,FALSE)*100</f>
        <v>#DIV/0!</v>
      </c>
    </row>
    <row r="24" spans="1:22">
      <c r="A24" s="423" t="s">
        <v>1199</v>
      </c>
      <c r="B24" s="498" t="s">
        <v>22</v>
      </c>
      <c r="C24" s="506" t="e">
        <f>(VLOOKUP(A24,'Uncorrected Area Counts'!$A$4:$AU$27,7,FALSE)/VLOOKUP(A24,'Uncorrected Area Counts'!$A$4:$AU$27,47,FALSE))*100</f>
        <v>#DIV/0!</v>
      </c>
      <c r="D24" s="499" t="e">
        <f>VLOOKUP(A24,'Uncorrected Area Counts'!$A$4:$AU$27,7,FALSE)/VLOOKUP(A24,'Uncorrected Area Counts'!$A$4:$AU$27,3,FALSE)/VLOOKUP(1,'Plate Planning'!$L$20:$S$35,4,FALSE)*VLOOKUP("standard",'Plate Planning'!$L$20:$S$35,4,FALSE)/VLOOKUP(A24,'Uncorrected Area Counts'!$A$4:$AU$27,6,FALSE)*100</f>
        <v>#DIV/0!</v>
      </c>
      <c r="E24" s="509" t="e">
        <f>(VLOOKUP(A24,'Uncorrected Area Counts'!$A$4:$AU$27,11,FALSE)/VLOOKUP(A24,'Uncorrected Area Counts'!$A$4:$AU$27,47,FALSE))*100</f>
        <v>#DIV/0!</v>
      </c>
      <c r="F24" s="499" t="e">
        <f>VLOOKUP(A24,'Uncorrected Area Counts'!$A$4:$AU$27,11,FALSE)/VLOOKUP(A24,'Uncorrected Area Counts'!$A$4:$AU$27,3,FALSE)/VLOOKUP(2,'Plate Planning'!$L$20:$S$35,4,FALSE)*VLOOKUP("standard",'Plate Planning'!$L$20:$S$35,4,FALSE)/VLOOKUP(A24,'Uncorrected Area Counts'!$A$4:$AU$27,10,FALSE)*100</f>
        <v>#DIV/0!</v>
      </c>
      <c r="G24" s="509" t="e">
        <f>(VLOOKUP(A24,'Uncorrected Area Counts'!$A$4:$AU$27,15,FALSE)/VLOOKUP(A24,'Uncorrected Area Counts'!$A$4:$AU$27,47,FALSE))*100</f>
        <v>#DIV/0!</v>
      </c>
      <c r="H24" s="499" t="e">
        <f>VLOOKUP(A24,'Uncorrected Area Counts'!$A$4:$AU$27,15,FALSE)/VLOOKUP(A24,'Uncorrected Area Counts'!$A$4:$AU$27,3,FALSE)/VLOOKUP(3,'Plate Planning'!$L$20:$S$35,4,FALSE)*VLOOKUP("standard",'Plate Planning'!$L$20:$S$35,4,FALSE)/VLOOKUP(A24,'Uncorrected Area Counts'!$A$4:$AU$27,14,FALSE)*100</f>
        <v>#DIV/0!</v>
      </c>
      <c r="I24" s="509" t="e">
        <f>(VLOOKUP(A24,'Uncorrected Area Counts'!$A$4:$AU$27,19,FALSE)/VLOOKUP(A24,'Uncorrected Area Counts'!$A$4:$AU$27,47,FALSE))*100</f>
        <v>#DIV/0!</v>
      </c>
      <c r="J24" s="500" t="e">
        <f>VLOOKUP(A24,'Uncorrected Area Counts'!$A$4:$AU$27,19,FALSE)/VLOOKUP(A24,'Uncorrected Area Counts'!$A$4:$AU$27,3,FALSE)/VLOOKUP(4,'Plate Planning'!$L$20:$S$35,4,FALSE)*VLOOKUP("standard",'Plate Planning'!$L$20:$S$35,4,FALSE)/VLOOKUP(A24,'Uncorrected Area Counts'!$A$4:$AU$27,18,FALSE)*100</f>
        <v>#DIV/0!</v>
      </c>
      <c r="K24" s="514" t="e">
        <f>(VLOOKUP(A24,'Uncorrected Area Counts'!$A$4:$AU$27,23,FALSE)/VLOOKUP(A24,'Uncorrected Area Counts'!$A$4:$AU$27,47,FALSE))*100</f>
        <v>#DIV/0!</v>
      </c>
      <c r="L24" s="501" t="e">
        <f>VLOOKUP(A24,'Uncorrected Area Counts'!$A$4:$AU$27,23,FALSE)/VLOOKUP(A24,'Uncorrected Area Counts'!$A$4:$AU$27,3,FALSE)/VLOOKUP(5,'Plate Planning'!$L$20:$S$35,4,FALSE)*VLOOKUP("standard",'Plate Planning'!$L$20:$S$35,4,FALSE)/VLOOKUP(A24,'Uncorrected Area Counts'!$A$4:$AU$27,22,FALSE)*100</f>
        <v>#DIV/0!</v>
      </c>
      <c r="M24" s="514" t="e">
        <f>(VLOOKUP(A24,'Uncorrected Area Counts'!$A$4:$AU$27,27,FALSE)/VLOOKUP(A24,'Uncorrected Area Counts'!$A$4:$AU$27,47,FALSE))*100</f>
        <v>#DIV/0!</v>
      </c>
      <c r="N24" s="500" t="e">
        <f>VLOOKUP(A24,'Uncorrected Area Counts'!$A$4:$AU$27,27,FALSE)/VLOOKUP(A24,'Uncorrected Area Counts'!$A$4:$AU$27,3,FALSE)/VLOOKUP(6,'Plate Planning'!$L$20:$S$35,4,FALSE)*VLOOKUP("standard",'Plate Planning'!$L$20:$S$35,4,FALSE)/VLOOKUP(A24,'Uncorrected Area Counts'!$A$4:$AU$27,26,FALSE)*100</f>
        <v>#DIV/0!</v>
      </c>
      <c r="O24" s="514" t="e">
        <f>(VLOOKUP(A24,'Uncorrected Area Counts'!$A$4:$AU$27,31,FALSE)/VLOOKUP(A24,'Uncorrected Area Counts'!$A$4:$AU$27,47,FALSE))*100</f>
        <v>#DIV/0!</v>
      </c>
      <c r="P24" s="501" t="e">
        <f>VLOOKUP(A24,'Uncorrected Area Counts'!$A$4:$AU$27,31,FALSE)/VLOOKUP(A24,'Uncorrected Area Counts'!$A$4:$AU$27,3,FALSE)/VLOOKUP(7,'Plate Planning'!$L$20:$S$35,4,FALSE)*VLOOKUP("standard",'Plate Planning'!$L$20:$S$35,4,FALSE)/VLOOKUP(A24,'Uncorrected Area Counts'!$A$4:$AU$27,30,FALSE)*100</f>
        <v>#DIV/0!</v>
      </c>
      <c r="Q24" s="514" t="e">
        <f>(VLOOKUP(A24,'Uncorrected Area Counts'!$A$4:$AU$27,35,FALSE)/VLOOKUP(A24,'Uncorrected Area Counts'!$A$4:$AU$27,47,FALSE))*100</f>
        <v>#DIV/0!</v>
      </c>
      <c r="R24" s="422" t="e">
        <f>VLOOKUP(A24,'Uncorrected Area Counts'!$A$4:$AU$27,35,FALSE)/VLOOKUP(A24,'Uncorrected Area Counts'!$A$4:$AU$27,3,FALSE)/VLOOKUP(8,'Plate Planning'!$L$20:$S$35,4,FALSE)*VLOOKUP("standard",'Plate Planning'!$L$20:$S$35,4,FALSE)/VLOOKUP(A24,'Uncorrected Area Counts'!$A$4:$AU$27,34,FALSE)*100</f>
        <v>#DIV/0!</v>
      </c>
      <c r="S24" s="522" t="e">
        <f>(VLOOKUP(A24,'Uncorrected Area Counts'!$A$4:$AU$27,39,FALSE)/VLOOKUP(A24,'Uncorrected Area Counts'!$A$4:$AU$27,47,FALSE))*100</f>
        <v>#DIV/0!</v>
      </c>
      <c r="T24" s="502" t="e">
        <f>VLOOKUP(A24,'Uncorrected Area Counts'!$A$4:$AU$27,39,FALSE)/VLOOKUP(A24,'Uncorrected Area Counts'!$A$4:$AU$27,3,FALSE)/VLOOKUP(8,'Plate Planning'!$L$20:$S$35,4,FALSE)*VLOOKUP("standard",'Plate Planning'!$L$20:$S$35,4,FALSE)/VLOOKUP(A24,'Uncorrected Area Counts'!$A$4:$AU$27,38,FALSE)*100</f>
        <v>#DIV/0!</v>
      </c>
      <c r="U24" s="522" t="e">
        <f>(VLOOKUP(A24,'Uncorrected Area Counts'!$A$4:$AU$27,43,FALSE)/VLOOKUP(A24,'Uncorrected Area Counts'!$A$4:$AU$27,47,FALSE))*100</f>
        <v>#DIV/0!</v>
      </c>
      <c r="V24" s="537" t="e">
        <f>VLOOKUP(A24,'Uncorrected Area Counts'!$A$4:$AU$27,43,FALSE)/VLOOKUP(A24,'Uncorrected Area Counts'!$A$4:$AU$27,3,FALSE)/VLOOKUP(8,'Plate Planning'!$L$20:$S$35,4,FALSE)*VLOOKUP("standard",'Plate Planning'!$L$20:$S$35,4,FALSE)/VLOOKUP(A24,'Uncorrected Area Counts'!$A$4:$AU$27,42,FALSE)*100</f>
        <v>#DIV/0!</v>
      </c>
    </row>
    <row r="25" spans="1:22">
      <c r="A25" s="423" t="s">
        <v>1200</v>
      </c>
      <c r="B25" s="498" t="s">
        <v>22</v>
      </c>
      <c r="C25" s="506" t="e">
        <f>(VLOOKUP(A25,'Uncorrected Area Counts'!$A$4:$AU$27,7,FALSE)/VLOOKUP(A25,'Uncorrected Area Counts'!$A$4:$AU$27,47,FALSE))*100</f>
        <v>#DIV/0!</v>
      </c>
      <c r="D25" s="499" t="e">
        <f>VLOOKUP(A25,'Uncorrected Area Counts'!$A$4:$AU$27,7,FALSE)/VLOOKUP(A25,'Uncorrected Area Counts'!$A$4:$AU$27,3,FALSE)/VLOOKUP(1,'Plate Planning'!$L$20:$S$35,4,FALSE)*VLOOKUP("standard",'Plate Planning'!$L$20:$S$35,4,FALSE)/VLOOKUP(A25,'Uncorrected Area Counts'!$A$4:$AU$27,6,FALSE)*100</f>
        <v>#DIV/0!</v>
      </c>
      <c r="E25" s="509" t="e">
        <f>(VLOOKUP(A25,'Uncorrected Area Counts'!$A$4:$AU$27,11,FALSE)/VLOOKUP(A25,'Uncorrected Area Counts'!$A$4:$AU$27,47,FALSE))*100</f>
        <v>#DIV/0!</v>
      </c>
      <c r="F25" s="499" t="e">
        <f>VLOOKUP(A25,'Uncorrected Area Counts'!$A$4:$AU$27,11,FALSE)/VLOOKUP(A25,'Uncorrected Area Counts'!$A$4:$AU$27,3,FALSE)/VLOOKUP(2,'Plate Planning'!$L$20:$S$35,4,FALSE)*VLOOKUP("standard",'Plate Planning'!$L$20:$S$35,4,FALSE)/VLOOKUP(A25,'Uncorrected Area Counts'!$A$4:$AU$27,10,FALSE)*100</f>
        <v>#DIV/0!</v>
      </c>
      <c r="G25" s="509" t="e">
        <f>(VLOOKUP(A25,'Uncorrected Area Counts'!$A$4:$AU$27,15,FALSE)/VLOOKUP(A25,'Uncorrected Area Counts'!$A$4:$AU$27,47,FALSE))*100</f>
        <v>#DIV/0!</v>
      </c>
      <c r="H25" s="499" t="e">
        <f>VLOOKUP(A25,'Uncorrected Area Counts'!$A$4:$AU$27,15,FALSE)/VLOOKUP(A25,'Uncorrected Area Counts'!$A$4:$AU$27,3,FALSE)/VLOOKUP(3,'Plate Planning'!$L$20:$S$35,4,FALSE)*VLOOKUP("standard",'Plate Planning'!$L$20:$S$35,4,FALSE)/VLOOKUP(A25,'Uncorrected Area Counts'!$A$4:$AU$27,14,FALSE)*100</f>
        <v>#DIV/0!</v>
      </c>
      <c r="I25" s="509" t="e">
        <f>(VLOOKUP(A25,'Uncorrected Area Counts'!$A$4:$AU$27,19,FALSE)/VLOOKUP(A25,'Uncorrected Area Counts'!$A$4:$AU$27,47,FALSE))*100</f>
        <v>#DIV/0!</v>
      </c>
      <c r="J25" s="500" t="e">
        <f>VLOOKUP(A25,'Uncorrected Area Counts'!$A$4:$AU$27,19,FALSE)/VLOOKUP(A25,'Uncorrected Area Counts'!$A$4:$AU$27,3,FALSE)/VLOOKUP(4,'Plate Planning'!$L$20:$S$35,4,FALSE)*VLOOKUP("standard",'Plate Planning'!$L$20:$S$35,4,FALSE)/VLOOKUP(A25,'Uncorrected Area Counts'!$A$4:$AU$27,18,FALSE)*100</f>
        <v>#DIV/0!</v>
      </c>
      <c r="K25" s="514" t="e">
        <f>(VLOOKUP(A25,'Uncorrected Area Counts'!$A$4:$AU$27,23,FALSE)/VLOOKUP(A25,'Uncorrected Area Counts'!$A$4:$AU$27,47,FALSE))*100</f>
        <v>#DIV/0!</v>
      </c>
      <c r="L25" s="501" t="e">
        <f>VLOOKUP(A25,'Uncorrected Area Counts'!$A$4:$AU$27,23,FALSE)/VLOOKUP(A25,'Uncorrected Area Counts'!$A$4:$AU$27,3,FALSE)/VLOOKUP(5,'Plate Planning'!$L$20:$S$35,4,FALSE)*VLOOKUP("standard",'Plate Planning'!$L$20:$S$35,4,FALSE)/VLOOKUP(A25,'Uncorrected Area Counts'!$A$4:$AU$27,22,FALSE)*100</f>
        <v>#DIV/0!</v>
      </c>
      <c r="M25" s="514" t="e">
        <f>(VLOOKUP(A25,'Uncorrected Area Counts'!$A$4:$AU$27,27,FALSE)/VLOOKUP(A25,'Uncorrected Area Counts'!$A$4:$AU$27,47,FALSE))*100</f>
        <v>#DIV/0!</v>
      </c>
      <c r="N25" s="500" t="e">
        <f>VLOOKUP(A25,'Uncorrected Area Counts'!$A$4:$AU$27,27,FALSE)/VLOOKUP(A25,'Uncorrected Area Counts'!$A$4:$AU$27,3,FALSE)/VLOOKUP(6,'Plate Planning'!$L$20:$S$35,4,FALSE)*VLOOKUP("standard",'Plate Planning'!$L$20:$S$35,4,FALSE)/VLOOKUP(A25,'Uncorrected Area Counts'!$A$4:$AU$27,26,FALSE)*100</f>
        <v>#DIV/0!</v>
      </c>
      <c r="O25" s="514" t="e">
        <f>(VLOOKUP(A25,'Uncorrected Area Counts'!$A$4:$AU$27,31,FALSE)/VLOOKUP(A25,'Uncorrected Area Counts'!$A$4:$AU$27,47,FALSE))*100</f>
        <v>#DIV/0!</v>
      </c>
      <c r="P25" s="501" t="e">
        <f>VLOOKUP(A25,'Uncorrected Area Counts'!$A$4:$AU$27,31,FALSE)/VLOOKUP(A25,'Uncorrected Area Counts'!$A$4:$AU$27,3,FALSE)/VLOOKUP(7,'Plate Planning'!$L$20:$S$35,4,FALSE)*VLOOKUP("standard",'Plate Planning'!$L$20:$S$35,4,FALSE)/VLOOKUP(A25,'Uncorrected Area Counts'!$A$4:$AU$27,30,FALSE)*100</f>
        <v>#DIV/0!</v>
      </c>
      <c r="Q25" s="514" t="e">
        <f>(VLOOKUP(A25,'Uncorrected Area Counts'!$A$4:$AU$27,35,FALSE)/VLOOKUP(A25,'Uncorrected Area Counts'!$A$4:$AU$27,47,FALSE))*100</f>
        <v>#DIV/0!</v>
      </c>
      <c r="R25" s="422" t="e">
        <f>VLOOKUP(A25,'Uncorrected Area Counts'!$A$4:$AU$27,35,FALSE)/VLOOKUP(A25,'Uncorrected Area Counts'!$A$4:$AU$27,3,FALSE)/VLOOKUP(8,'Plate Planning'!$L$20:$S$35,4,FALSE)*VLOOKUP("standard",'Plate Planning'!$L$20:$S$35,4,FALSE)/VLOOKUP(A25,'Uncorrected Area Counts'!$A$4:$AU$27,34,FALSE)*100</f>
        <v>#DIV/0!</v>
      </c>
      <c r="S25" s="522" t="e">
        <f>(VLOOKUP(A25,'Uncorrected Area Counts'!$A$4:$AU$27,39,FALSE)/VLOOKUP(A25,'Uncorrected Area Counts'!$A$4:$AU$27,47,FALSE))*100</f>
        <v>#DIV/0!</v>
      </c>
      <c r="T25" s="502" t="e">
        <f>VLOOKUP(A25,'Uncorrected Area Counts'!$A$4:$AU$27,39,FALSE)/VLOOKUP(A25,'Uncorrected Area Counts'!$A$4:$AU$27,3,FALSE)/VLOOKUP(8,'Plate Planning'!$L$20:$S$35,4,FALSE)*VLOOKUP("standard",'Plate Planning'!$L$20:$S$35,4,FALSE)/VLOOKUP(A25,'Uncorrected Area Counts'!$A$4:$AU$27,38,FALSE)*100</f>
        <v>#DIV/0!</v>
      </c>
      <c r="U25" s="522" t="e">
        <f>(VLOOKUP(A25,'Uncorrected Area Counts'!$A$4:$AU$27,43,FALSE)/VLOOKUP(A25,'Uncorrected Area Counts'!$A$4:$AU$27,47,FALSE))*100</f>
        <v>#DIV/0!</v>
      </c>
      <c r="V25" s="537" t="e">
        <f>VLOOKUP(A25,'Uncorrected Area Counts'!$A$4:$AU$27,43,FALSE)/VLOOKUP(A25,'Uncorrected Area Counts'!$A$4:$AU$27,3,FALSE)/VLOOKUP(8,'Plate Planning'!$L$20:$S$35,4,FALSE)*VLOOKUP("standard",'Plate Planning'!$L$20:$S$35,4,FALSE)/VLOOKUP(A25,'Uncorrected Area Counts'!$A$4:$AU$27,42,FALSE)*100</f>
        <v>#DIV/0!</v>
      </c>
    </row>
    <row r="26" spans="1:22">
      <c r="A26" s="423" t="s">
        <v>1201</v>
      </c>
      <c r="B26" s="498" t="s">
        <v>22</v>
      </c>
      <c r="C26" s="506" t="e">
        <f>(VLOOKUP(A26,'Uncorrected Area Counts'!$A$4:$AU$27,7,FALSE)/VLOOKUP(A26,'Uncorrected Area Counts'!$A$4:$AU$27,47,FALSE))*100</f>
        <v>#DIV/0!</v>
      </c>
      <c r="D26" s="499" t="e">
        <f>VLOOKUP(A26,'Uncorrected Area Counts'!$A$4:$AU$27,7,FALSE)/VLOOKUP(A26,'Uncorrected Area Counts'!$A$4:$AU$27,3,FALSE)/VLOOKUP(1,'Plate Planning'!$L$20:$S$35,4,FALSE)*VLOOKUP("standard",'Plate Planning'!$L$20:$S$35,4,FALSE)/VLOOKUP(A26,'Uncorrected Area Counts'!$A$4:$AU$27,6,FALSE)*100</f>
        <v>#DIV/0!</v>
      </c>
      <c r="E26" s="509" t="e">
        <f>(VLOOKUP(A26,'Uncorrected Area Counts'!$A$4:$AU$27,11,FALSE)/VLOOKUP(A26,'Uncorrected Area Counts'!$A$4:$AU$27,47,FALSE))*100</f>
        <v>#DIV/0!</v>
      </c>
      <c r="F26" s="499" t="e">
        <f>VLOOKUP(A26,'Uncorrected Area Counts'!$A$4:$AU$27,11,FALSE)/VLOOKUP(A26,'Uncorrected Area Counts'!$A$4:$AU$27,3,FALSE)/VLOOKUP(2,'Plate Planning'!$L$20:$S$35,4,FALSE)*VLOOKUP("standard",'Plate Planning'!$L$20:$S$35,4,FALSE)/VLOOKUP(A26,'Uncorrected Area Counts'!$A$4:$AU$27,10,FALSE)*100</f>
        <v>#DIV/0!</v>
      </c>
      <c r="G26" s="509" t="e">
        <f>(VLOOKUP(A26,'Uncorrected Area Counts'!$A$4:$AU$27,15,FALSE)/VLOOKUP(A26,'Uncorrected Area Counts'!$A$4:$AU$27,47,FALSE))*100</f>
        <v>#DIV/0!</v>
      </c>
      <c r="H26" s="499" t="e">
        <f>VLOOKUP(A26,'Uncorrected Area Counts'!$A$4:$AU$27,15,FALSE)/VLOOKUP(A26,'Uncorrected Area Counts'!$A$4:$AU$27,3,FALSE)/VLOOKUP(3,'Plate Planning'!$L$20:$S$35,4,FALSE)*VLOOKUP("standard",'Plate Planning'!$L$20:$S$35,4,FALSE)/VLOOKUP(A26,'Uncorrected Area Counts'!$A$4:$AU$27,14,FALSE)*100</f>
        <v>#DIV/0!</v>
      </c>
      <c r="I26" s="509" t="e">
        <f>(VLOOKUP(A26,'Uncorrected Area Counts'!$A$4:$AU$27,19,FALSE)/VLOOKUP(A26,'Uncorrected Area Counts'!$A$4:$AU$27,47,FALSE))*100</f>
        <v>#DIV/0!</v>
      </c>
      <c r="J26" s="500" t="e">
        <f>VLOOKUP(A26,'Uncorrected Area Counts'!$A$4:$AU$27,19,FALSE)/VLOOKUP(A26,'Uncorrected Area Counts'!$A$4:$AU$27,3,FALSE)/VLOOKUP(4,'Plate Planning'!$L$20:$S$35,4,FALSE)*VLOOKUP("standard",'Plate Planning'!$L$20:$S$35,4,FALSE)/VLOOKUP(A26,'Uncorrected Area Counts'!$A$4:$AU$27,18,FALSE)*100</f>
        <v>#DIV/0!</v>
      </c>
      <c r="K26" s="514" t="e">
        <f>(VLOOKUP(A26,'Uncorrected Area Counts'!$A$4:$AU$27,23,FALSE)/VLOOKUP(A26,'Uncorrected Area Counts'!$A$4:$AU$27,47,FALSE))*100</f>
        <v>#DIV/0!</v>
      </c>
      <c r="L26" s="501" t="e">
        <f>VLOOKUP(A26,'Uncorrected Area Counts'!$A$4:$AU$27,23,FALSE)/VLOOKUP(A26,'Uncorrected Area Counts'!$A$4:$AU$27,3,FALSE)/VLOOKUP(5,'Plate Planning'!$L$20:$S$35,4,FALSE)*VLOOKUP("standard",'Plate Planning'!$L$20:$S$35,4,FALSE)/VLOOKUP(A26,'Uncorrected Area Counts'!$A$4:$AU$27,22,FALSE)*100</f>
        <v>#DIV/0!</v>
      </c>
      <c r="M26" s="514" t="e">
        <f>(VLOOKUP(A26,'Uncorrected Area Counts'!$A$4:$AU$27,27,FALSE)/VLOOKUP(A26,'Uncorrected Area Counts'!$A$4:$AU$27,47,FALSE))*100</f>
        <v>#DIV/0!</v>
      </c>
      <c r="N26" s="500" t="e">
        <f>VLOOKUP(A26,'Uncorrected Area Counts'!$A$4:$AU$27,27,FALSE)/VLOOKUP(A26,'Uncorrected Area Counts'!$A$4:$AU$27,3,FALSE)/VLOOKUP(6,'Plate Planning'!$L$20:$S$35,4,FALSE)*VLOOKUP("standard",'Plate Planning'!$L$20:$S$35,4,FALSE)/VLOOKUP(A26,'Uncorrected Area Counts'!$A$4:$AU$27,26,FALSE)*100</f>
        <v>#DIV/0!</v>
      </c>
      <c r="O26" s="514" t="e">
        <f>(VLOOKUP(A26,'Uncorrected Area Counts'!$A$4:$AU$27,31,FALSE)/VLOOKUP(A26,'Uncorrected Area Counts'!$A$4:$AU$27,47,FALSE))*100</f>
        <v>#DIV/0!</v>
      </c>
      <c r="P26" s="501" t="e">
        <f>VLOOKUP(A26,'Uncorrected Area Counts'!$A$4:$AU$27,31,FALSE)/VLOOKUP(A26,'Uncorrected Area Counts'!$A$4:$AU$27,3,FALSE)/VLOOKUP(7,'Plate Planning'!$L$20:$S$35,4,FALSE)*VLOOKUP("standard",'Plate Planning'!$L$20:$S$35,4,FALSE)/VLOOKUP(A26,'Uncorrected Area Counts'!$A$4:$AU$27,30,FALSE)*100</f>
        <v>#DIV/0!</v>
      </c>
      <c r="Q26" s="514" t="e">
        <f>(VLOOKUP(A26,'Uncorrected Area Counts'!$A$4:$AU$27,35,FALSE)/VLOOKUP(A26,'Uncorrected Area Counts'!$A$4:$AU$27,47,FALSE))*100</f>
        <v>#DIV/0!</v>
      </c>
      <c r="R26" s="422" t="e">
        <f>VLOOKUP(A26,'Uncorrected Area Counts'!$A$4:$AU$27,35,FALSE)/VLOOKUP(A26,'Uncorrected Area Counts'!$A$4:$AU$27,3,FALSE)/VLOOKUP(8,'Plate Planning'!$L$20:$S$35,4,FALSE)*VLOOKUP("standard",'Plate Planning'!$L$20:$S$35,4,FALSE)/VLOOKUP(A26,'Uncorrected Area Counts'!$A$4:$AU$27,34,FALSE)*100</f>
        <v>#DIV/0!</v>
      </c>
      <c r="S26" s="522" t="e">
        <f>(VLOOKUP(A26,'Uncorrected Area Counts'!$A$4:$AU$27,39,FALSE)/VLOOKUP(A26,'Uncorrected Area Counts'!$A$4:$AU$27,47,FALSE))*100</f>
        <v>#DIV/0!</v>
      </c>
      <c r="T26" s="502" t="e">
        <f>VLOOKUP(A26,'Uncorrected Area Counts'!$A$4:$AU$27,39,FALSE)/VLOOKUP(A26,'Uncorrected Area Counts'!$A$4:$AU$27,3,FALSE)/VLOOKUP(8,'Plate Planning'!$L$20:$S$35,4,FALSE)*VLOOKUP("standard",'Plate Planning'!$L$20:$S$35,4,FALSE)/VLOOKUP(A26,'Uncorrected Area Counts'!$A$4:$AU$27,38,FALSE)*100</f>
        <v>#DIV/0!</v>
      </c>
      <c r="U26" s="522" t="e">
        <f>(VLOOKUP(A26,'Uncorrected Area Counts'!$A$4:$AU$27,43,FALSE)/VLOOKUP(A26,'Uncorrected Area Counts'!$A$4:$AU$27,47,FALSE))*100</f>
        <v>#DIV/0!</v>
      </c>
      <c r="V26" s="537" t="e">
        <f>VLOOKUP(A26,'Uncorrected Area Counts'!$A$4:$AU$27,43,FALSE)/VLOOKUP(A26,'Uncorrected Area Counts'!$A$4:$AU$27,3,FALSE)/VLOOKUP(8,'Plate Planning'!$L$20:$S$35,4,FALSE)*VLOOKUP("standard",'Plate Planning'!$L$20:$S$35,4,FALSE)/VLOOKUP(A26,'Uncorrected Area Counts'!$A$4:$AU$27,42,FALSE)*100</f>
        <v>#DIV/0!</v>
      </c>
    </row>
    <row r="27" spans="1:22" ht="17" thickBot="1">
      <c r="A27" s="523" t="s">
        <v>1202</v>
      </c>
      <c r="B27" s="524" t="s">
        <v>22</v>
      </c>
      <c r="C27" s="525" t="e">
        <f>(VLOOKUP(A27,'Uncorrected Area Counts'!$A$4:$AU$27,7,FALSE)/VLOOKUP(A27,'Uncorrected Area Counts'!$A$4:$AU$27,47,FALSE))*100</f>
        <v>#DIV/0!</v>
      </c>
      <c r="D27" s="526" t="e">
        <f>VLOOKUP(A27,'Uncorrected Area Counts'!$A$4:$AU$27,7,FALSE)/VLOOKUP(A27,'Uncorrected Area Counts'!$A$4:$AU$27,3,FALSE)/VLOOKUP(1,'Plate Planning'!$L$20:$S$35,4,FALSE)*VLOOKUP("standard",'Plate Planning'!$L$20:$S$35,4,FALSE)/VLOOKUP(A27,'Uncorrected Area Counts'!$A$4:$AU$27,6,FALSE)*100</f>
        <v>#DIV/0!</v>
      </c>
      <c r="E27" s="527" t="e">
        <f>(VLOOKUP(A27,'Uncorrected Area Counts'!$A$4:$AU$27,11,FALSE)/VLOOKUP(A27,'Uncorrected Area Counts'!$A$4:$AU$27,47,FALSE))*100</f>
        <v>#DIV/0!</v>
      </c>
      <c r="F27" s="526" t="e">
        <f>VLOOKUP(A27,'Uncorrected Area Counts'!$A$4:$AU$27,11,FALSE)/VLOOKUP(A27,'Uncorrected Area Counts'!$A$4:$AU$27,3,FALSE)/VLOOKUP(2,'Plate Planning'!$L$20:$S$35,4,FALSE)*VLOOKUP("standard",'Plate Planning'!$L$20:$S$35,4,FALSE)/VLOOKUP(A27,'Uncorrected Area Counts'!$A$4:$AU$27,10,FALSE)*100</f>
        <v>#DIV/0!</v>
      </c>
      <c r="G27" s="527" t="e">
        <f>(VLOOKUP(A27,'Uncorrected Area Counts'!$A$4:$AU$27,15,FALSE)/VLOOKUP(A27,'Uncorrected Area Counts'!$A$4:$AU$27,47,FALSE))*100</f>
        <v>#DIV/0!</v>
      </c>
      <c r="H27" s="526" t="e">
        <f>VLOOKUP(A27,'Uncorrected Area Counts'!$A$4:$AU$27,15,FALSE)/VLOOKUP(A27,'Uncorrected Area Counts'!$A$4:$AU$27,3,FALSE)/VLOOKUP(3,'Plate Planning'!$L$20:$S$35,4,FALSE)*VLOOKUP("standard",'Plate Planning'!$L$20:$S$35,4,FALSE)/VLOOKUP(A27,'Uncorrected Area Counts'!$A$4:$AU$27,14,FALSE)*100</f>
        <v>#DIV/0!</v>
      </c>
      <c r="I27" s="527" t="e">
        <f>(VLOOKUP(A27,'Uncorrected Area Counts'!$A$4:$AU$27,19,FALSE)/VLOOKUP(A27,'Uncorrected Area Counts'!$A$4:$AU$27,47,FALSE))*100</f>
        <v>#DIV/0!</v>
      </c>
      <c r="J27" s="528" t="e">
        <f>VLOOKUP(A27,'Uncorrected Area Counts'!$A$4:$AU$27,19,FALSE)/VLOOKUP(A27,'Uncorrected Area Counts'!$A$4:$AU$27,3,FALSE)/VLOOKUP(4,'Plate Planning'!$L$20:$S$35,4,FALSE)*VLOOKUP("standard",'Plate Planning'!$L$20:$S$35,4,FALSE)/VLOOKUP(A27,'Uncorrected Area Counts'!$A$4:$AU$27,18,FALSE)*100</f>
        <v>#DIV/0!</v>
      </c>
      <c r="K27" s="529" t="e">
        <f>(VLOOKUP(A27,'Uncorrected Area Counts'!$A$4:$AU$27,23,FALSE)/VLOOKUP(A27,'Uncorrected Area Counts'!$A$4:$AU$27,47,FALSE))*100</f>
        <v>#DIV/0!</v>
      </c>
      <c r="L27" s="530" t="e">
        <f>VLOOKUP(A27,'Uncorrected Area Counts'!$A$4:$AU$27,23,FALSE)/VLOOKUP(A27,'Uncorrected Area Counts'!$A$4:$AU$27,3,FALSE)/VLOOKUP(5,'Plate Planning'!$L$20:$S$35,4,FALSE)*VLOOKUP("standard",'Plate Planning'!$L$20:$S$35,4,FALSE)/VLOOKUP(A27,'Uncorrected Area Counts'!$A$4:$AU$27,22,FALSE)*100</f>
        <v>#DIV/0!</v>
      </c>
      <c r="M27" s="529" t="e">
        <f>(VLOOKUP(A27,'Uncorrected Area Counts'!$A$4:$AU$27,27,FALSE)/VLOOKUP(A27,'Uncorrected Area Counts'!$A$4:$AU$27,47,FALSE))*100</f>
        <v>#DIV/0!</v>
      </c>
      <c r="N27" s="680" t="e">
        <f>VLOOKUP(A27,'Uncorrected Area Counts'!$A$4:$AU$27,27,FALSE)/VLOOKUP(A27,'Uncorrected Area Counts'!$A$4:$AU$27,3,FALSE)/VLOOKUP(6,'Plate Planning'!$L$20:$S$35,4,FALSE)*VLOOKUP("standard",'Plate Planning'!$L$20:$S$35,4,FALSE)/VLOOKUP(A27,'Uncorrected Area Counts'!$A$4:$AU$27,26,FALSE)*100</f>
        <v>#DIV/0!</v>
      </c>
      <c r="O27" s="529" t="e">
        <f>(VLOOKUP(A27,'Uncorrected Area Counts'!$A$4:$AU$27,31,FALSE)/VLOOKUP(A27,'Uncorrected Area Counts'!$A$4:$AU$27,47,FALSE))*100</f>
        <v>#DIV/0!</v>
      </c>
      <c r="P27" s="530" t="e">
        <f>VLOOKUP(A27,'Uncorrected Area Counts'!$A$4:$AU$27,31,FALSE)/VLOOKUP(A27,'Uncorrected Area Counts'!$A$4:$AU$27,3,FALSE)/VLOOKUP(7,'Plate Planning'!$L$20:$S$35,4,FALSE)*VLOOKUP("standard",'Plate Planning'!$L$20:$S$35,4,FALSE)/VLOOKUP(A27,'Uncorrected Area Counts'!$A$4:$AU$27,30,FALSE)*100</f>
        <v>#DIV/0!</v>
      </c>
      <c r="Q27" s="529" t="e">
        <f>(VLOOKUP(A27,'Uncorrected Area Counts'!$A$4:$AU$27,35,FALSE)/VLOOKUP(A27,'Uncorrected Area Counts'!$A$4:$AU$27,47,FALSE))*100</f>
        <v>#DIV/0!</v>
      </c>
      <c r="R27" s="531" t="e">
        <f>VLOOKUP(A27,'Uncorrected Area Counts'!$A$4:$AU$27,35,FALSE)/VLOOKUP(A27,'Uncorrected Area Counts'!$A$4:$AU$27,3,FALSE)/VLOOKUP(8,'Plate Planning'!$L$20:$S$35,4,FALSE)*VLOOKUP("standard",'Plate Planning'!$L$20:$S$35,4,FALSE)/VLOOKUP(A27,'Uncorrected Area Counts'!$A$4:$AU$27,34,FALSE)*100</f>
        <v>#DIV/0!</v>
      </c>
      <c r="S27" s="532" t="e">
        <f>(VLOOKUP(A27,'Uncorrected Area Counts'!$A$4:$AU$27,39,FALSE)/VLOOKUP(A27,'Uncorrected Area Counts'!$A$4:$AU$27,47,FALSE))*100</f>
        <v>#DIV/0!</v>
      </c>
      <c r="T27" s="533" t="e">
        <f>VLOOKUP(A27,'Uncorrected Area Counts'!$A$4:$AU$27,39,FALSE)/VLOOKUP(A27,'Uncorrected Area Counts'!$A$4:$AU$27,3,FALSE)/VLOOKUP(8,'Plate Planning'!$L$20:$S$35,4,FALSE)*VLOOKUP("standard",'Plate Planning'!$L$20:$S$35,4,FALSE)/VLOOKUP(A27,'Uncorrected Area Counts'!$A$4:$AU$27,38,FALSE)*100</f>
        <v>#DIV/0!</v>
      </c>
      <c r="U27" s="532" t="e">
        <f>(VLOOKUP(A27,'Uncorrected Area Counts'!$A$4:$AU$27,43,FALSE)/VLOOKUP(A27,'Uncorrected Area Counts'!$A$4:$AU$27,47,FALSE))*100</f>
        <v>#DIV/0!</v>
      </c>
      <c r="V27" s="538" t="e">
        <f>VLOOKUP(A27,'Uncorrected Area Counts'!$A$4:$AU$27,43,FALSE)/VLOOKUP(A27,'Uncorrected Area Counts'!$A$4:$AU$27,3,FALSE)/VLOOKUP(8,'Plate Planning'!$L$20:$S$35,4,FALSE)*VLOOKUP("standard",'Plate Planning'!$L$20:$S$35,4,FALSE)/VLOOKUP(A27,'Uncorrected Area Counts'!$A$4:$AU$27,42,FALSE)*100</f>
        <v>#DIV/0!</v>
      </c>
    </row>
    <row r="28" spans="1:22" ht="17" thickTop="1">
      <c r="D28" s="681"/>
      <c r="F28" s="681"/>
      <c r="H28" s="681"/>
    </row>
    <row r="29" spans="1:22">
      <c r="D29" s="275"/>
      <c r="F29" s="275"/>
      <c r="H29" s="275"/>
    </row>
    <row r="30" spans="1:22">
      <c r="D30" s="275"/>
      <c r="F30" s="275"/>
      <c r="H30" s="275"/>
    </row>
    <row r="31" spans="1:22">
      <c r="D31" s="275"/>
      <c r="F31" s="275"/>
      <c r="H31" s="275"/>
    </row>
    <row r="32" spans="1:22">
      <c r="D32" s="275"/>
      <c r="F32" s="275"/>
      <c r="H32" s="275"/>
    </row>
    <row r="33" spans="4:8">
      <c r="D33" s="275"/>
      <c r="F33" s="275"/>
      <c r="H33" s="275"/>
    </row>
    <row r="34" spans="4:8">
      <c r="D34" s="275"/>
      <c r="F34" s="275"/>
      <c r="H34" s="275"/>
    </row>
    <row r="35" spans="4:8">
      <c r="D35" s="275"/>
      <c r="F35" s="275"/>
      <c r="H35" s="275"/>
    </row>
    <row r="36" spans="4:8">
      <c r="D36" s="275"/>
      <c r="F36" s="275"/>
      <c r="H36" s="275"/>
    </row>
    <row r="37" spans="4:8">
      <c r="D37" s="275"/>
      <c r="F37" s="275"/>
      <c r="H37" s="275"/>
    </row>
    <row r="38" spans="4:8">
      <c r="D38" s="275"/>
      <c r="F38" s="275"/>
      <c r="H38" s="275"/>
    </row>
    <row r="39" spans="4:8">
      <c r="D39" s="275"/>
      <c r="F39" s="275"/>
      <c r="H39" s="275"/>
    </row>
    <row r="40" spans="4:8">
      <c r="D40" s="275"/>
      <c r="F40" s="275"/>
      <c r="H40" s="275"/>
    </row>
    <row r="41" spans="4:8">
      <c r="D41" s="275"/>
      <c r="F41" s="275"/>
      <c r="H41" s="275"/>
    </row>
    <row r="42" spans="4:8">
      <c r="D42" s="275"/>
      <c r="F42" s="275"/>
      <c r="H42" s="275"/>
    </row>
    <row r="43" spans="4:8">
      <c r="D43" s="275"/>
      <c r="F43" s="275"/>
      <c r="H43" s="275"/>
    </row>
    <row r="44" spans="4:8">
      <c r="D44" s="275"/>
      <c r="F44" s="275"/>
      <c r="H44" s="275"/>
    </row>
    <row r="45" spans="4:8">
      <c r="D45" s="275"/>
      <c r="F45" s="275"/>
      <c r="H45" s="275"/>
    </row>
    <row r="46" spans="4:8">
      <c r="D46" s="275"/>
      <c r="F46" s="275"/>
      <c r="H46" s="275"/>
    </row>
    <row r="47" spans="4:8">
      <c r="D47" s="275"/>
      <c r="F47" s="275"/>
      <c r="H47" s="275"/>
    </row>
    <row r="48" spans="4:8">
      <c r="D48" s="275"/>
      <c r="F48" s="275"/>
      <c r="H48" s="275"/>
    </row>
    <row r="49" spans="4:8">
      <c r="D49" s="275"/>
      <c r="F49" s="275"/>
      <c r="H49" s="275"/>
    </row>
    <row r="50" spans="4:8">
      <c r="D50" s="275"/>
      <c r="F50" s="275"/>
      <c r="H50" s="275"/>
    </row>
    <row r="51" spans="4:8">
      <c r="D51" s="275"/>
      <c r="F51" s="275"/>
      <c r="H51" s="275"/>
    </row>
    <row r="52" spans="4:8">
      <c r="D52" s="275"/>
      <c r="F52" s="275"/>
      <c r="H52" s="275"/>
    </row>
    <row r="53" spans="4:8">
      <c r="D53" s="275"/>
      <c r="F53" s="275"/>
      <c r="H53" s="275"/>
    </row>
    <row r="54" spans="4:8">
      <c r="D54" s="275"/>
      <c r="F54" s="275"/>
      <c r="H54" s="275"/>
    </row>
    <row r="55" spans="4:8">
      <c r="D55" s="275"/>
      <c r="F55" s="275"/>
      <c r="H55" s="275"/>
    </row>
    <row r="56" spans="4:8">
      <c r="D56" s="275"/>
      <c r="F56" s="275"/>
      <c r="H56" s="275"/>
    </row>
    <row r="57" spans="4:8">
      <c r="D57" s="275"/>
      <c r="F57" s="275"/>
      <c r="H57" s="275"/>
    </row>
    <row r="58" spans="4:8">
      <c r="H58" s="275"/>
    </row>
    <row r="59" spans="4:8">
      <c r="H59" s="275"/>
    </row>
    <row r="60" spans="4:8">
      <c r="H60" s="275"/>
    </row>
    <row r="61" spans="4:8">
      <c r="H61" s="275"/>
    </row>
    <row r="62" spans="4:8">
      <c r="H62" s="275"/>
    </row>
    <row r="63" spans="4:8">
      <c r="H63" s="275"/>
    </row>
    <row r="64" spans="4:8">
      <c r="H64" s="275"/>
    </row>
    <row r="65" spans="4:8">
      <c r="H65" s="275"/>
    </row>
    <row r="66" spans="4:8">
      <c r="H66" s="275"/>
    </row>
    <row r="67" spans="4:8">
      <c r="H67" s="275"/>
    </row>
    <row r="68" spans="4:8">
      <c r="H68" s="275"/>
    </row>
    <row r="69" spans="4:8">
      <c r="D69" s="275"/>
      <c r="F69" s="275"/>
      <c r="H69" s="275"/>
    </row>
    <row r="70" spans="4:8">
      <c r="D70" s="275"/>
      <c r="F70" s="275"/>
      <c r="H70" s="275"/>
    </row>
    <row r="71" spans="4:8">
      <c r="D71" s="275"/>
      <c r="F71" s="275"/>
      <c r="H71" s="275"/>
    </row>
    <row r="72" spans="4:8">
      <c r="D72" s="275"/>
      <c r="F72" s="275"/>
      <c r="H72" s="275"/>
    </row>
    <row r="73" spans="4:8">
      <c r="D73" s="275"/>
      <c r="F73" s="275"/>
      <c r="H73" s="275"/>
    </row>
    <row r="74" spans="4:8">
      <c r="D74" s="275"/>
      <c r="F74" s="275"/>
      <c r="H74" s="275"/>
    </row>
    <row r="75" spans="4:8">
      <c r="D75" s="275"/>
      <c r="F75" s="275"/>
      <c r="H75" s="275"/>
    </row>
    <row r="76" spans="4:8">
      <c r="D76" s="275"/>
      <c r="F76" s="275"/>
      <c r="H76" s="275"/>
    </row>
    <row r="77" spans="4:8">
      <c r="D77" s="275"/>
      <c r="F77" s="275"/>
      <c r="H77" s="275"/>
    </row>
    <row r="78" spans="4:8">
      <c r="D78" s="275"/>
      <c r="F78" s="275"/>
      <c r="H78" s="275"/>
    </row>
    <row r="79" spans="4:8">
      <c r="D79" s="275"/>
      <c r="F79" s="275"/>
      <c r="H79" s="275"/>
    </row>
    <row r="80" spans="4:8">
      <c r="D80" s="275"/>
      <c r="F80" s="275"/>
      <c r="H80" s="275"/>
    </row>
    <row r="81" spans="4:8">
      <c r="D81" s="275"/>
      <c r="F81" s="275"/>
      <c r="H81" s="275"/>
    </row>
    <row r="82" spans="4:8">
      <c r="D82" s="275"/>
      <c r="F82" s="275"/>
      <c r="H82" s="275"/>
    </row>
    <row r="83" spans="4:8">
      <c r="D83" s="275"/>
      <c r="F83" s="275"/>
      <c r="H83" s="275"/>
    </row>
    <row r="84" spans="4:8">
      <c r="D84" s="275"/>
      <c r="F84" s="275"/>
      <c r="H84" s="275"/>
    </row>
    <row r="85" spans="4:8">
      <c r="D85" s="275"/>
      <c r="F85" s="275"/>
      <c r="H85" s="275"/>
    </row>
    <row r="86" spans="4:8">
      <c r="D86" s="275"/>
      <c r="F86" s="275"/>
      <c r="H86" s="275"/>
    </row>
    <row r="87" spans="4:8">
      <c r="D87" s="275"/>
      <c r="F87" s="275"/>
      <c r="H87" s="275"/>
    </row>
    <row r="88" spans="4:8">
      <c r="D88" s="275"/>
      <c r="F88" s="275"/>
      <c r="H88" s="275"/>
    </row>
    <row r="89" spans="4:8">
      <c r="D89" s="275"/>
      <c r="F89" s="275"/>
      <c r="H89" s="275"/>
    </row>
    <row r="90" spans="4:8">
      <c r="D90" s="275"/>
      <c r="F90" s="275"/>
      <c r="H90" s="275"/>
    </row>
    <row r="91" spans="4:8">
      <c r="D91" s="275"/>
      <c r="F91" s="275"/>
      <c r="H91" s="275"/>
    </row>
    <row r="92" spans="4:8">
      <c r="D92" s="275"/>
      <c r="F92" s="275"/>
      <c r="H92" s="275"/>
    </row>
    <row r="93" spans="4:8">
      <c r="D93" s="275"/>
      <c r="F93" s="275"/>
      <c r="H93" s="275"/>
    </row>
    <row r="94" spans="4:8">
      <c r="D94" s="275"/>
      <c r="F94" s="275"/>
      <c r="H94" s="275"/>
    </row>
    <row r="95" spans="4:8">
      <c r="D95" s="275"/>
      <c r="F95" s="275"/>
      <c r="H95" s="275"/>
    </row>
    <row r="96" spans="4:8">
      <c r="D96" s="275"/>
      <c r="F96" s="275"/>
      <c r="H96" s="275"/>
    </row>
    <row r="97" spans="4:8">
      <c r="D97" s="275"/>
      <c r="F97" s="275"/>
      <c r="H97" s="275"/>
    </row>
    <row r="98" spans="4:8">
      <c r="D98" s="275"/>
      <c r="F98" s="275"/>
      <c r="H98" s="275"/>
    </row>
    <row r="99" spans="4:8">
      <c r="D99" s="275"/>
      <c r="F99" s="275"/>
      <c r="H99" s="275"/>
    </row>
    <row r="100" spans="4:8">
      <c r="D100" s="275"/>
      <c r="F100" s="275"/>
      <c r="H100" s="275"/>
    </row>
    <row r="101" spans="4:8">
      <c r="D101" s="275"/>
      <c r="H101" s="275"/>
    </row>
    <row r="102" spans="4:8">
      <c r="D102" s="275"/>
      <c r="H102" s="275"/>
    </row>
    <row r="103" spans="4:8">
      <c r="D103" s="275"/>
    </row>
    <row r="104" spans="4:8">
      <c r="D104" s="275"/>
    </row>
    <row r="105" spans="4:8">
      <c r="D105" s="275"/>
    </row>
    <row r="106" spans="4:8">
      <c r="D106" s="275"/>
    </row>
    <row r="107" spans="4:8">
      <c r="D107" s="275"/>
    </row>
    <row r="108" spans="4:8">
      <c r="D108" s="275"/>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1846</v>
      </c>
      <c r="L1" s="41" t="s">
        <v>1867</v>
      </c>
      <c r="M1" s="41" t="s">
        <v>1868</v>
      </c>
      <c r="N1" s="41" t="s">
        <v>1869</v>
      </c>
      <c r="O1" s="41" t="s">
        <v>1881</v>
      </c>
      <c r="P1" s="41" t="s">
        <v>1882</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1847</v>
      </c>
      <c r="L2" s="41" t="s">
        <v>2067</v>
      </c>
      <c r="M2" s="41" t="s">
        <v>2088</v>
      </c>
      <c r="N2" s="41" t="s">
        <v>1883</v>
      </c>
      <c r="O2" s="41" t="s">
        <v>1155</v>
      </c>
      <c r="P2" s="41" t="s">
        <v>1884</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1848</v>
      </c>
      <c r="L3" s="41" t="s">
        <v>2068</v>
      </c>
      <c r="M3" s="41" t="s">
        <v>2089</v>
      </c>
      <c r="N3" s="41" t="s">
        <v>1885</v>
      </c>
      <c r="O3" s="41" t="s">
        <v>1155</v>
      </c>
      <c r="P3" s="41" t="s">
        <v>1886</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1849</v>
      </c>
      <c r="L4" s="41" t="s">
        <v>2069</v>
      </c>
      <c r="M4" s="41" t="s">
        <v>2090</v>
      </c>
      <c r="N4" s="41" t="s">
        <v>1887</v>
      </c>
      <c r="O4" s="41" t="s">
        <v>1155</v>
      </c>
      <c r="P4" s="41" t="s">
        <v>1888</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1850</v>
      </c>
      <c r="L5" s="41" t="s">
        <v>2070</v>
      </c>
      <c r="M5" s="41" t="s">
        <v>2091</v>
      </c>
      <c r="N5" s="41" t="s">
        <v>1889</v>
      </c>
      <c r="O5" s="41" t="s">
        <v>1155</v>
      </c>
      <c r="P5" s="41" t="s">
        <v>1890</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1851</v>
      </c>
      <c r="L6" s="41" t="s">
        <v>2071</v>
      </c>
      <c r="M6" s="41" t="s">
        <v>2092</v>
      </c>
      <c r="N6" s="41" t="s">
        <v>1891</v>
      </c>
      <c r="O6" s="41" t="s">
        <v>1155</v>
      </c>
      <c r="P6" s="41" t="s">
        <v>1892</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1852</v>
      </c>
      <c r="L7" s="41" t="s">
        <v>2072</v>
      </c>
      <c r="M7" s="41" t="s">
        <v>2093</v>
      </c>
      <c r="N7" s="41" t="s">
        <v>1893</v>
      </c>
      <c r="O7" s="41" t="s">
        <v>1155</v>
      </c>
      <c r="P7" s="41" t="s">
        <v>1894</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1853</v>
      </c>
      <c r="L8" s="41" t="s">
        <v>2073</v>
      </c>
      <c r="M8" s="41" t="s">
        <v>2094</v>
      </c>
      <c r="N8" s="41" t="s">
        <v>1895</v>
      </c>
      <c r="O8" s="41" t="s">
        <v>1155</v>
      </c>
      <c r="P8" s="41" t="s">
        <v>1896</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1854</v>
      </c>
      <c r="L9" s="41" t="s">
        <v>2074</v>
      </c>
      <c r="M9" s="41" t="s">
        <v>2095</v>
      </c>
      <c r="N9" s="41" t="s">
        <v>1897</v>
      </c>
      <c r="O9" s="41" t="s">
        <v>1155</v>
      </c>
      <c r="P9" s="41" t="s">
        <v>1898</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1855</v>
      </c>
      <c r="L10" s="41" t="s">
        <v>2075</v>
      </c>
      <c r="M10" s="41" t="s">
        <v>2096</v>
      </c>
      <c r="N10" s="41" t="s">
        <v>1899</v>
      </c>
      <c r="O10" s="41" t="s">
        <v>1155</v>
      </c>
      <c r="P10" s="41" t="s">
        <v>1900</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1856</v>
      </c>
      <c r="L11" s="41" t="s">
        <v>2076</v>
      </c>
      <c r="M11" s="41" t="s">
        <v>2097</v>
      </c>
      <c r="N11" s="41" t="s">
        <v>1901</v>
      </c>
      <c r="O11" s="41" t="s">
        <v>1155</v>
      </c>
      <c r="P11" s="41" t="s">
        <v>1902</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1857</v>
      </c>
      <c r="L12" s="41" t="s">
        <v>2077</v>
      </c>
      <c r="M12" s="41" t="s">
        <v>2098</v>
      </c>
      <c r="N12" s="41" t="s">
        <v>1903</v>
      </c>
      <c r="O12" s="41" t="s">
        <v>1155</v>
      </c>
      <c r="P12" s="41" t="s">
        <v>1904</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1858</v>
      </c>
      <c r="L13" s="41" t="s">
        <v>2078</v>
      </c>
      <c r="M13" s="41" t="s">
        <v>2099</v>
      </c>
      <c r="N13" s="41" t="s">
        <v>1905</v>
      </c>
      <c r="O13" s="41" t="s">
        <v>1155</v>
      </c>
      <c r="P13" s="41" t="s">
        <v>1906</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1859</v>
      </c>
      <c r="L14" s="41" t="s">
        <v>2079</v>
      </c>
      <c r="M14" s="41" t="s">
        <v>2100</v>
      </c>
      <c r="N14" s="41" t="s">
        <v>1907</v>
      </c>
      <c r="O14" s="41" t="s">
        <v>1155</v>
      </c>
      <c r="P14" s="41" t="s">
        <v>1908</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1860</v>
      </c>
      <c r="L15" s="41" t="s">
        <v>2080</v>
      </c>
      <c r="M15" s="41" t="s">
        <v>2101</v>
      </c>
      <c r="N15" s="41" t="s">
        <v>1909</v>
      </c>
      <c r="O15" s="41" t="s">
        <v>1155</v>
      </c>
      <c r="P15" s="41" t="s">
        <v>1910</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1861</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1862</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1863</v>
      </c>
      <c r="L18" s="41" t="s">
        <v>2081</v>
      </c>
      <c r="M18" s="41" t="s">
        <v>2102</v>
      </c>
      <c r="N18" s="41" t="s">
        <v>1911</v>
      </c>
      <c r="O18" s="41" t="s">
        <v>1155</v>
      </c>
      <c r="P18" s="41" t="s">
        <v>1912</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1864</v>
      </c>
      <c r="L19" s="41" t="s">
        <v>2082</v>
      </c>
      <c r="M19" s="41" t="s">
        <v>2103</v>
      </c>
      <c r="N19" s="41" t="s">
        <v>1913</v>
      </c>
      <c r="O19" s="41" t="s">
        <v>1155</v>
      </c>
      <c r="P19" s="41" t="s">
        <v>1914</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1865</v>
      </c>
      <c r="L20" s="41" t="s">
        <v>2083</v>
      </c>
      <c r="M20" s="41" t="s">
        <v>2104</v>
      </c>
      <c r="N20" s="41" t="s">
        <v>1915</v>
      </c>
      <c r="O20" s="41" t="s">
        <v>1155</v>
      </c>
      <c r="P20" s="41" t="s">
        <v>1916</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1866</v>
      </c>
      <c r="L21" s="41" t="s">
        <v>2084</v>
      </c>
      <c r="M21" s="41" t="s">
        <v>2105</v>
      </c>
      <c r="N21" s="41" t="s">
        <v>1917</v>
      </c>
      <c r="O21" s="41" t="s">
        <v>1155</v>
      </c>
      <c r="P21" s="41" t="s">
        <v>1918</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2087</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2085</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2086</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6"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topLeftCell="DQ1" zoomScale="90" zoomScaleNormal="90" workbookViewId="0">
      <pane ySplit="1" topLeftCell="A2" activePane="bottomLeft" state="frozen"/>
      <selection pane="bottomLeft" activeCell="FR1" sqref="FR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5"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5"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5"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5"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5"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5"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5"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5"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5"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5"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5"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5"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5"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5"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5"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5"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5"/>
    <col min="154" max="154" width="14" hidden="1" customWidth="1"/>
    <col min="155" max="155" width="15" hidden="1" customWidth="1"/>
    <col min="156" max="156" width="11" hidden="1" customWidth="1"/>
    <col min="157" max="157" width="21.6640625" hidden="1" customWidth="1"/>
    <col min="160" max="160" width="10.83203125" style="285"/>
    <col min="161" max="164" width="10.83203125" hidden="1" customWidth="1"/>
    <col min="165" max="165" width="10.83203125" customWidth="1"/>
    <col min="167" max="167" width="10.83203125" style="285"/>
    <col min="168" max="171" width="10.83203125" hidden="1" customWidth="1"/>
    <col min="172" max="173" width="10.83203125" customWidth="1"/>
    <col min="174" max="174" width="10.83203125" style="285"/>
    <col min="175" max="178" width="10.83203125" hidden="1" customWidth="1"/>
    <col min="179" max="180" width="10.83203125" customWidth="1"/>
    <col min="181" max="181" width="10.83203125" style="285"/>
    <col min="182" max="185" width="10.83203125" hidden="1" customWidth="1"/>
    <col min="186" max="187" width="10.83203125" customWidth="1"/>
    <col min="188" max="188" width="10.83203125" style="285"/>
    <col min="189" max="192" width="10.83203125" hidden="1" customWidth="1"/>
    <col min="193" max="194" width="10.83203125" customWidth="1"/>
    <col min="195" max="195" width="10.83203125" style="285"/>
    <col min="196" max="199" width="10.83203125" hidden="1" customWidth="1"/>
    <col min="200" max="201" width="10.83203125" customWidth="1"/>
    <col min="202" max="202" width="10.83203125" style="285"/>
    <col min="203" max="206" width="10.83203125" hidden="1" customWidth="1"/>
    <col min="207" max="208" width="10.83203125" customWidth="1"/>
    <col min="209" max="209" width="10.83203125" style="285"/>
    <col min="210" max="215" width="10.83203125" customWidth="1"/>
    <col min="216" max="216" width="10.83203125" style="285"/>
    <col min="221" max="221" width="10.83203125" style="285"/>
    <col min="226" max="226" width="10.83203125" style="285"/>
    <col min="227" max="16384" width="10.83203125" style="143"/>
  </cols>
  <sheetData>
    <row r="1" spans="1:230">
      <c r="A1" s="214" t="s">
        <v>12</v>
      </c>
      <c r="B1" s="215" t="s">
        <v>18</v>
      </c>
      <c r="C1" s="215" t="s">
        <v>19</v>
      </c>
      <c r="D1" s="614" t="s">
        <v>2107</v>
      </c>
      <c r="E1" s="214" t="s">
        <v>1061</v>
      </c>
      <c r="F1" s="614" t="s">
        <v>1830</v>
      </c>
      <c r="G1" s="214" t="s">
        <v>949</v>
      </c>
      <c r="H1" s="214" t="s">
        <v>950</v>
      </c>
      <c r="I1" s="214" t="s">
        <v>1060</v>
      </c>
      <c r="J1" s="214" t="s">
        <v>1059</v>
      </c>
      <c r="K1" s="214" t="s">
        <v>1040</v>
      </c>
      <c r="L1" s="214" t="s">
        <v>1062</v>
      </c>
      <c r="M1" s="214" t="s">
        <v>1019</v>
      </c>
      <c r="N1" s="214" t="s">
        <v>1078</v>
      </c>
      <c r="O1" s="214" t="str">
        <f>IF(OR(VLOOKUP(3,'Plate Planning'!$A$2:$S$35,18,FALSE)=0, v1_col="current_mA", v2_col="current_mA", v3_col="current_mA", v4_row="current_mA", v5_row="current_mA", v6_row="current_mA"), "not_used", "current_ma")</f>
        <v>not_used</v>
      </c>
      <c r="P1" s="214" t="str">
        <f>IF(OR(VLOOKUP(4,'Plate Planning'!$A$2:$S$35,18,FALSE)=0, v1_col="voltage_V", v2_col="voltage_V", v3_col="voltage_V", v4_row="voltage_V", v5_row="voltage_V", v6_row="voltage_V"), "not_used", "voltage_v")</f>
        <v>not_used</v>
      </c>
      <c r="Q1" s="214" t="str">
        <f>IF(OR(VLOOKUP(5,'Plate Planning'!$A$2:$S$35,18,FALSE)=0, v1_col="charge_F", v2_col="charge_F", v3_col="charge_F", v4_row="charge_F", v5_row="charge_F", v6_row="charge_F"), "not_used", "charge_f")</f>
        <v>not_used</v>
      </c>
      <c r="R1" s="214" t="str">
        <f>IF(OR(VLOOKUP(6,'Plate Planning'!$A$2:$S$35,18,FALSE)=0, v1_col="anode", v2_col="anode", v3_col="anode", v4_row="anode", v5_row="anode", v6_row="anode"), "not_used", "anode")</f>
        <v>not_used</v>
      </c>
      <c r="S1" s="214" t="str">
        <f>IF(OR(VLOOKUP(7,'Plate Planning'!$A$2:$S$35,18,FALSE)=0, v1_col="cathode", v2_col="cathode", v3_col="cathode", v4_row="cathode", v5_row="cathode", v6_row="cathode"), "not_used", "cathode")</f>
        <v>not_used</v>
      </c>
      <c r="T1" s="214" t="s">
        <v>1058</v>
      </c>
      <c r="U1" s="214" t="s">
        <v>1313</v>
      </c>
      <c r="V1" s="298" t="s">
        <v>1316</v>
      </c>
      <c r="W1" s="685" t="s">
        <v>2119</v>
      </c>
      <c r="X1" s="411" t="str">
        <f>VLOOKUP(v7_central,Dictionaries!$G$2:$J$30,2,FALSE)</f>
        <v>substrate_1_name</v>
      </c>
      <c r="Y1" s="327" t="str">
        <f>VLOOKUP(v7_central,Dictionaries!$G$2:$P$30,5,FALSE)</f>
        <v>substrate_1_source</v>
      </c>
      <c r="Z1" s="327" t="str">
        <f>VLOOKUP(v7_central,Dictionaries!$G$2:$J$30,3,FALSE)</f>
        <v>substrate_1_smiles</v>
      </c>
      <c r="AA1" s="327" t="str">
        <f>IF(OR(v7_central="solvent_2",v7_central="solvent_3"),"not_used",IF(OR('Complex Variable'!$L$2="Stock slurry",'Complex Variable'!$L$2="Stock solution"),VLOOKUP(v7_central,Dictionaries!$G$2:$P$30,6,FALSE), VLOOKUP(v7_central, Dictionaries!$G$2:$P$30,9,FALSE)))</f>
        <v>substrate_1_stock_m</v>
      </c>
      <c r="AB1" s="327" t="str">
        <f>IF(OR(v7_central="solvent_2",v7_central="solvent_3"),"not_used",IF(OR('Complex Variable'!$L$2="Stock slurry",'Complex Variable'!$L$2="Stock solution"),VLOOKUP(v7_central,Dictionaries!$G$2:$P$30,7,FALSE), VLOOKUP(v7_central, Dictionaries!$G$2:$P$30,8,FALSE)))</f>
        <v>substrate_1_stock_ul</v>
      </c>
      <c r="AC1" s="327" t="str">
        <f>VLOOKUP(v7_central,Dictionaries!$G$2:$P$30,10,FALSE)</f>
        <v>substrate_1_order</v>
      </c>
      <c r="AD1" s="603" t="str">
        <f>VLOOKUP(v7_central,Dictionaries!$G$2:$J$30,4,FALSE)</f>
        <v>substrate_1_loading_umol</v>
      </c>
      <c r="AE1" s="214" t="str">
        <f>VLOOKUP(Reagents!$E$2,Dictionaries!$G$2:$P$30,2,FALSE)</f>
        <v>not_used</v>
      </c>
      <c r="AF1" s="214" t="str">
        <f>VLOOKUP(Reagents!$E$2,Dictionaries!$G$2:$P$30,5,FALSE)</f>
        <v>not_used</v>
      </c>
      <c r="AG1" s="214" t="str">
        <f>VLOOKUP(Reagents!$E$2,Dictionaries!$G$2:$P$30,3,FALSE)</f>
        <v>not_used</v>
      </c>
      <c r="AH1" s="214" t="str">
        <f>IF(OR(VLOOKUP(1,Reagents!$B$1:$M$41,4,FALSE)="solvent_2",VLOOKUP(1,Reagents!$B$1:$M$41,4,FALSE)="solvent_3"),"not_used",IF(OR(Reagents!$Q$2="Stock slurry",Reagents!$Q$2="Stock solution"),VLOOKUP(Reagents!$E$2,Dictionaries!$G$2:$P$30,6,FALSE), VLOOKUP(Reagents!$E$2, Dictionaries!$G$2:$P$30,9,FALSE)))</f>
        <v>not_used</v>
      </c>
      <c r="AI1" s="214" t="str">
        <f>IF(OR(VLOOKUP(1,Reagents!$B$1:$M$41,4,FALSE)="solvent_2",VLOOKUP(1,Reagents!$B$1:$M$41,4,FALSE)="solvent_3"),"not_used",IF(OR(Reagents!$Q$2="Stock slurry",Reagents!$Q$2="Stock solution"),VLOOKUP(Reagents!$E$2,Dictionaries!$G$2:$P$30,7,FALSE), VLOOKUP(Reagents!$E$2, Dictionaries!$G$2:$P$30,8,FALSE)))</f>
        <v>not_used</v>
      </c>
      <c r="AJ1" s="214" t="str">
        <f>VLOOKUP(Reagents!$E$2,Dictionaries!$G$2:$P$30,10,FALSE)</f>
        <v>not_used</v>
      </c>
      <c r="AK1" s="295"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5" t="str">
        <f>VLOOKUP(Reagents!$E$3,Dictionaries!$G$2:$P$30,4,FALSE)</f>
        <v>not_used</v>
      </c>
      <c r="AS1" s="214" t="str">
        <f>VLOOKUP(Reagents!$E$4,Dictionaries!$G$2:$M$30,2,FALSE)</f>
        <v>not_used</v>
      </c>
      <c r="AT1" s="214" t="str">
        <f>VLOOKUP(Reagents!$E$4,Dictionaries!$G$2:$P$30,5,FALSE)</f>
        <v>not_used</v>
      </c>
      <c r="AU1" s="214" t="str">
        <f>VLOOKUP(Reagents!$E$4,Dictionaries!$G$2:$M$30,3,FALSE)</f>
        <v>not_used</v>
      </c>
      <c r="AV1" s="214" t="str">
        <f>IF(OR(VLOOKUP(3,Reagents!$B$1:$M$41,4,FALSE)="solvent_2",VLOOKUP(3,Reagents!$B$1:$M$41,4,FALSE)="solvent_3"),"not_used",IF(OR(Reagents!$Q$4="Stock slurry",Reagents!$Q$4="Stock solution"),VLOOKUP(Reagents!$E$4,Dictionaries!$G$2:$P$30,6,FALSE), VLOOKUP(Reagents!$E$4, Dictionaries!$G$2:$P$30,9,FALSE)))</f>
        <v>not_used</v>
      </c>
      <c r="AW1" s="214" t="str">
        <f>IF(OR(VLOOKUP(3,Reagents!$B$1:$M$41,4,FALSE)="solvent_2",VLOOKUP(3,Reagents!$B$1:$M$41,4,FALSE)="solvent_3"),"not_used",IF(OR(Reagents!$Q$4="Stock slurry",Reagents!$Q$4="Stock solution"),VLOOKUP(Reagents!$E$4,Dictionaries!$G$2:$P$30,7,FALSE),VLOOKUP(Reagents!$E$4,Dictionaries!$G$2:$P$30,8,FALSE)))</f>
        <v>not_used</v>
      </c>
      <c r="AX1" s="214" t="str">
        <f>VLOOKUP(Reagents!$E$4,Dictionaries!$G$2:$P$30,10,FALSE)</f>
        <v>not_used</v>
      </c>
      <c r="AY1" s="284" t="str">
        <f>VLOOKUP(Reagents!$E$4,Dictionaries!$G$2:$J$30,4,FALSE)</f>
        <v>not_used</v>
      </c>
      <c r="AZ1" s="214" t="str">
        <f>VLOOKUP(Reagents!$E$5,Dictionaries!$G$2:$J$30,2,FALSE)</f>
        <v>not_used</v>
      </c>
      <c r="BA1" s="214" t="str">
        <f>VLOOKUP(Reagents!$E$5,Dictionaries!$G$2:$P$30,5,FALSE)</f>
        <v>not_used</v>
      </c>
      <c r="BB1" s="214" t="str">
        <f>VLOOKUP(Reagents!$E$5,Dictionaries!$G$2:$J$30,3,FALSE)</f>
        <v>not_used</v>
      </c>
      <c r="BC1" s="214" t="str">
        <f>IF(OR(VLOOKUP(4,Reagents!$B$1:$M$41,4,FALSE)="solvent_2",VLOOKUP(4,Reagents!$B$1:$M$41,4,FALSE)="solvent_3"),"not_used",IF(OR(Reagents!$Q$5="Stock slurry",Reagents!$Q$5="Stock solution"),VLOOKUP(Reagents!$E$5,Dictionaries!$G$2:$P$30,6,FALSE), VLOOKUP(Reagents!$E$5, Dictionaries!$G$2:$P$30,9,FALSE)))</f>
        <v>not_used</v>
      </c>
      <c r="BD1" s="214" t="str">
        <f>IF(OR(VLOOKUP(4,Reagents!$B$1:$M$41,4,FALSE)="solvent_2",VLOOKUP(4,Reagents!$B$1:$M$41,4,FALSE)="solvent_3"),"not_used",IF(OR(Reagents!$Q$5="Stock slurry",Reagents!$Q$5="Stock solution"),VLOOKUP(Reagents!$E$5,Dictionaries!$G$2:$P$30,7,FALSE), VLOOKUP(Reagents!$E$5, Dictionaries!$G$2:$P$30,8,FALSE)))</f>
        <v>not_used</v>
      </c>
      <c r="BE1" s="214" t="str">
        <f>VLOOKUP(Reagents!$E$5,Dictionaries!$G$2:$P$30,10,FALSE)</f>
        <v>not_used</v>
      </c>
      <c r="BF1" s="284" t="str">
        <f>VLOOKUP(Reagents!$E$5,Dictionaries!$G$2:$J$30,4,FALSE)</f>
        <v>not_used</v>
      </c>
      <c r="BG1" s="214" t="str">
        <f>VLOOKUP(Reagents!$E$6,Dictionaries!$G$2:$J$30,2,FALSE)</f>
        <v>not_used</v>
      </c>
      <c r="BH1" s="214" t="str">
        <f>VLOOKUP(Reagents!$E$6,Dictionaries!$G$2:$P$30,5,FALSE)</f>
        <v>not_used</v>
      </c>
      <c r="BI1" s="214" t="str">
        <f>VLOOKUP(Reagents!$E$6,Dictionaries!$G$2:$J$30,3,FALSE)</f>
        <v>not_used</v>
      </c>
      <c r="BJ1" s="214" t="str">
        <f>IF(OR(VLOOKUP(5,Reagents!$B$1:$M$41,4,FALSE)="solvent_2",VLOOKUP(5,Reagents!$B$1:$M$41,4,FALSE)="solvent_3"),"not_used",IF(OR(Reagents!$Q$6="Stock slurry",Reagents!$Q$6="Stock solution"),VLOOKUP(Reagents!$E$6,Dictionaries!$G$2:$P$30,6,FALSE), VLOOKUP(Reagents!$E$6, Dictionaries!$G$2:$P$30,9,FALSE)))</f>
        <v>not_used</v>
      </c>
      <c r="BK1" s="214" t="str">
        <f>IF(OR(VLOOKUP(5,Reagents!$B$1:$M$41,4,FALSE)="solvent_2",VLOOKUP(5,Reagents!$B$1:$M$41,4,FALSE)="solvent_3"),"not_used",IF(OR(Reagents!$Q$6="Stock slurry",Reagents!$Q$6="Stock solution"),VLOOKUP(Reagents!$E$6,Dictionaries!$G$2:$P$30,7,FALSE),VLOOKUP(Reagents!$E$6,Dictionaries!$G$2:$P$30,8,FALSE)))</f>
        <v>not_used</v>
      </c>
      <c r="BL1" s="214" t="str">
        <f>VLOOKUP(Reagents!$E$6,Dictionaries!$G$2:$P$30,10,FALSE)</f>
        <v>not_used</v>
      </c>
      <c r="BM1" s="284" t="str">
        <f>VLOOKUP(Reagents!$E$6,Dictionaries!$G$2:$J$30,4,FALSE)</f>
        <v>not_used</v>
      </c>
      <c r="BN1" s="214" t="str">
        <f>VLOOKUP(Reagents!$E$7,Dictionaries!$G$2:$J$30,2,FALSE)</f>
        <v>not_used</v>
      </c>
      <c r="BO1" s="214" t="str">
        <f>VLOOKUP(Reagents!$E$7,Dictionaries!$G$2:$P$30,5,FALSE)</f>
        <v>not_used</v>
      </c>
      <c r="BP1" s="214" t="str">
        <f>VLOOKUP(Reagents!$E$7,Dictionaries!$G$2:$J$30,3,FALSE)</f>
        <v>not_used</v>
      </c>
      <c r="BQ1" s="214" t="str">
        <f>IF(OR(VLOOKUP(6,Reagents!$B$1:$M$41,4,FALSE)="solvent_2",VLOOKUP(6,Reagents!$B$1:$M$41,4,FALSE)="solvent_3"),"not_used",IF(OR(Reagents!$Q$7="Stock slurry",Reagents!$Q$7="Stock solution"),VLOOKUP(Reagents!$E$7,Dictionaries!$G$2:$P$30,6,FALSE),VLOOKUP(Reagents!$E$7,Dictionaries!$G$2:$P$30,9,FALSE)))</f>
        <v>not_used</v>
      </c>
      <c r="BR1" s="214" t="str">
        <f>IF(OR(VLOOKUP(6,Reagents!$B$1:$M$41,4,FALSE)="solvent_2",VLOOKUP(6,Reagents!$B$1:$M$41,4,FALSE)="solvent_3"),"not_used",IF(OR(Reagents!$Q$7="Stock slurry",Reagents!$Q$7="Stock solution"),VLOOKUP(Reagents!$E$7,Dictionaries!$G$2:$P$30,7,FALSE), VLOOKUP(Reagents!$E$7, Dictionaries!$G$2:$P$30,8,FALSE)))</f>
        <v>not_used</v>
      </c>
      <c r="BS1" s="214" t="str">
        <f>VLOOKUP(Reagents!$E$7,Dictionaries!$G$2:$P$30,10,FALSE)</f>
        <v>not_used</v>
      </c>
      <c r="BT1" s="284" t="str">
        <f>VLOOKUP(Reagents!$E$7,Dictionaries!$G$2:$J$30,4,FALSE)</f>
        <v>not_used</v>
      </c>
      <c r="BU1" s="214" t="str">
        <f>VLOOKUP(Reagents!$E$8,Dictionaries!$G$2:$J$30,2,FALSE)</f>
        <v>not_used</v>
      </c>
      <c r="BV1" s="214" t="str">
        <f>VLOOKUP(Reagents!$E$8,Dictionaries!$G$2:$P$30,5,FALSE)</f>
        <v>not_used</v>
      </c>
      <c r="BW1" s="214" t="str">
        <f>VLOOKUP(Reagents!$E$8,Dictionaries!$G$2:$J$30,3,FALSE)</f>
        <v>not_used</v>
      </c>
      <c r="BX1" s="214" t="str">
        <f>IF(OR(VLOOKUP(7,Reagents!$B$1:$M$41,4,FALSE)="solvent_2",VLOOKUP(7,Reagents!$B$1:$M$41,4,FALSE)="solvent_3"),"not_used",IF(OR(Reagents!$Q$8="Stock slurry",Reagents!$Q$8="Stock solution"),VLOOKUP(Reagents!$E$8,Dictionaries!$G$2:$P$30,6,FALSE), VLOOKUP(Reagents!$E$8, Dictionaries!$G$2:$P$30,9,FALSE)))</f>
        <v>not_used</v>
      </c>
      <c r="BY1" s="214" t="str">
        <f>IF(OR(VLOOKUP(7,Reagents!$B$1:$M$41,4,FALSE)="solvent_2",VLOOKUP(7,Reagents!$B$1:$M$41,4,FALSE)="solvent_3"),"not_used",IF(OR(Reagents!$Q$8="Stock slurry",Reagents!$Q$8="Stock solution"),VLOOKUP(Reagents!$E$8,Dictionaries!$G$2:$P$30,7,FALSE), VLOOKUP(Reagents!$E$8, Dictionaries!$G$2:$P$30,8,FALSE)))</f>
        <v>not_used</v>
      </c>
      <c r="BZ1" s="214" t="str">
        <f>VLOOKUP(Reagents!$E$8,Dictionaries!$G$2:$P$30,10,FALSE)</f>
        <v>not_used</v>
      </c>
      <c r="CA1" s="284" t="str">
        <f>VLOOKUP(Reagents!$E$8,Dictionaries!$G$2:$J$30,4,FALSE)</f>
        <v>not_used</v>
      </c>
      <c r="CB1" s="214" t="str">
        <f>VLOOKUP(Reagents!$E$9,Dictionaries!$G$2:$J$30,2,FALSE)</f>
        <v>not_used</v>
      </c>
      <c r="CC1" s="214" t="str">
        <f>VLOOKUP(Reagents!$E$9,Dictionaries!$G$2:$P$30,5,FALSE)</f>
        <v>not_used</v>
      </c>
      <c r="CD1" s="214" t="str">
        <f>VLOOKUP(Reagents!$E$9,Dictionaries!$G$2:$J$30,3,FALSE)</f>
        <v>not_used</v>
      </c>
      <c r="CE1" s="214" t="str">
        <f>IF(OR(VLOOKUP(8,Reagents!$B$1:$M$41,4,FALSE)="solvent_2",VLOOKUP(8,Reagents!$B$1:$M$41,4,FALSE)="solvent_3"),"not_used",IF(OR(Reagents!$Q$9="Stock slurry",Reagents!$Q$9="Stock solution"),VLOOKUP(Reagents!$E$9,Dictionaries!$G$2:$P$30,6,FALSE), VLOOKUP(Reagents!$E$9, Dictionaries!$G$2:$P$30,9,FALSE)))</f>
        <v>not_used</v>
      </c>
      <c r="CF1" s="214" t="str">
        <f>IF(OR(VLOOKUP(8,Reagents!$B$1:$M$41,4,FALSE)="solvent_2",VLOOKUP(8,Reagents!$B$1:$M$41,4,FALSE)="solvent_3"),"not_used",IF(OR(Reagents!$Q$9="Stock slurry",Reagents!$Q$9="Stock solution"),VLOOKUP(Reagents!$E$9,Dictionaries!$G$2:$P$30,7,FALSE), VLOOKUP(Reagents!$E$9, Dictionaries!$G$2:$P$30,8,FALSE)))</f>
        <v>not_used</v>
      </c>
      <c r="CG1" s="214" t="str">
        <f>VLOOKUP(Reagents!$E$9,Dictionaries!$G$2:$P$30,10,FALSE)</f>
        <v>not_used</v>
      </c>
      <c r="CH1" s="284" t="str">
        <f>VLOOKUP(Reagents!$E$9,Dictionaries!$G$2:$J$30,4,FALSE)</f>
        <v>not_used</v>
      </c>
      <c r="CI1" s="214" t="str">
        <f>VLOOKUP(Reagents!$E$10,Dictionaries!$G$2:$J$30,2,FALSE)</f>
        <v>not_used</v>
      </c>
      <c r="CJ1" s="214" t="str">
        <f>VLOOKUP(Reagents!$E$10,Dictionaries!$G$2:$P$30,5,FALSE)</f>
        <v>not_used</v>
      </c>
      <c r="CK1" s="214" t="str">
        <f>VLOOKUP(Reagents!$E$10,Dictionaries!$G$2:$J$30,3,FALSE)</f>
        <v>not_used</v>
      </c>
      <c r="CL1" s="214" t="str">
        <f>IF(OR(VLOOKUP(9,Reagents!$B$1:$M$41,4,FALSE)="solvent_2",VLOOKUP(9,Reagents!$B$1:$M$41,4,FALSE)="solvent_3"),"not_used",IF(OR(Reagents!$Q$10="Stock slurry",Reagents!$Q$10="Stock solution"),VLOOKUP(Reagents!$E$10,Dictionaries!$G$2:$P$30,6,FALSE), VLOOKUP(Reagents!$E$10, Dictionaries!$G$2:$P$30,9,FALSE)))</f>
        <v>not_used</v>
      </c>
      <c r="CM1" s="214" t="str">
        <f>IF(OR(VLOOKUP(9,Reagents!$B$1:$M$41,4,FALSE)="solvent_2",VLOOKUP(9,Reagents!$B$1:$M$41,4,FALSE)="solvent_3"),"not_used",IF(OR(Reagents!$Q$10="Stock slurry",Reagents!$Q$10="Stock solution"),VLOOKUP(Reagents!$E$10,Dictionaries!$G$2:$P$30,7,FALSE), VLOOKUP(Reagents!$E$10, Dictionaries!$G$2:$P$30,8,FALSE)))</f>
        <v>not_used</v>
      </c>
      <c r="CN1" s="214" t="str">
        <f>VLOOKUP(Reagents!$E$10,Dictionaries!$G$2:$P$30,10,FALSE)</f>
        <v>not_used</v>
      </c>
      <c r="CO1" s="284" t="str">
        <f>VLOOKUP(Reagents!$E$10,Dictionaries!$G$2:$J$30,4,FALSE)</f>
        <v>not_used</v>
      </c>
      <c r="CP1" s="214" t="str">
        <f>VLOOKUP(Reagents!$E$11,Dictionaries!$G$2:$J$30,2,FALSE)</f>
        <v>not_used</v>
      </c>
      <c r="CQ1" s="214" t="str">
        <f>VLOOKUP(Reagents!$E$11,Dictionaries!$G$2:$P$30,5,FALSE)</f>
        <v>not_used</v>
      </c>
      <c r="CR1" s="214" t="str">
        <f>VLOOKUP(Reagents!$E$11,Dictionaries!$G$2:$J$30,3,FALSE)</f>
        <v>not_used</v>
      </c>
      <c r="CS1" s="214" t="str">
        <f>IF(OR(VLOOKUP(10,Reagents!$B$1:$M$41,4,FALSE)="solvent_2",VLOOKUP(10,Reagents!$B$1:$M$41,4,FALSE)="solvent_3"),"not_used",IF(OR(Reagents!$Q$11="Stock slurry",Reagents!$Q$11="Stock solution"),VLOOKUP(Reagents!$E$11,Dictionaries!$G$2:$P$30,6,FALSE), VLOOKUP(Reagents!$E$11, Dictionaries!$G$2:$P$30,9,FALSE)))</f>
        <v>not_used</v>
      </c>
      <c r="CT1" s="214" t="str">
        <f>IF(OR(VLOOKUP(10,Reagents!$B$1:$M$41,4,FALSE)="solvent_2",VLOOKUP(10,Reagents!$B$1:$M$41,4,FALSE)="solvent_3"),"not_used",IF(OR(Reagents!$Q$11="Stock slurry",Reagents!$Q$11="Stock solution"),VLOOKUP(Reagents!$E$11,Dictionaries!$G$2:$P$30,7,FALSE), VLOOKUP(Reagents!$E$11, Dictionaries!$G$2:$P$30,8,FALSE)))</f>
        <v>not_used</v>
      </c>
      <c r="CU1" s="214" t="str">
        <f>VLOOKUP(Reagents!$E$11,Dictionaries!$G$2:$P$30,10,FALSE)</f>
        <v>not_used</v>
      </c>
      <c r="CV1" s="284" t="str">
        <f>VLOOKUP(Reagents!$E$11,Dictionaries!$G$2:$J$30,4,FALSE)</f>
        <v>not_used</v>
      </c>
      <c r="CW1" s="283" t="str">
        <f>VLOOKUP(v1_col,Dictionaries!$G$2:$J$30,2,FALSE)</f>
        <v>not_used</v>
      </c>
      <c r="CX1" s="283" t="str">
        <f>VLOOKUP(v1_col,Dictionaries!$G$2:$P$30,5,FALSE)</f>
        <v>not_used</v>
      </c>
      <c r="CY1" s="283" t="str">
        <f>VLOOKUP(v1_col,Dictionaries!$G$2:$J$30,3,FALSE)</f>
        <v>not_used</v>
      </c>
      <c r="CZ1" s="283" t="str">
        <f>IF(OR(v1_col="solvent_2",v1_col="solvent_3"),"not_used",IF(OR(Reagents!$Q$12="Stock slurry",Reagents!$Q$12="Stock solution"),VLOOKUP(v1_col,Dictionaries!$G$2:$P$30,6,FALSE), VLOOKUP(v1_col, Dictionaries!$G$2:$P$30,9,FALSE)))</f>
        <v>not_used</v>
      </c>
      <c r="DA1" s="283" t="str">
        <f>IF(OR(v1_col="solvent_2",v1_col="solvent_3"),"not_used",IF(OR(Reagents!$Q$12="Stock slurry",Reagents!$Q$12="Stock solution"),VLOOKUP(v1_col,Dictionaries!$G$2:$P$30,7,FALSE), VLOOKUP(v1_col, Dictionaries!$G$2:$P$30,8,FALSE)))</f>
        <v>not_used</v>
      </c>
      <c r="DB1" s="283" t="str">
        <f>VLOOKUP(v1_col,Dictionaries!$G$2:$P$30,10,FALSE)</f>
        <v>not_used</v>
      </c>
      <c r="DC1" s="286" t="str">
        <f>VLOOKUP(v1_col,Dictionaries!$G$2:$J$30,4,FALSE)</f>
        <v>not_used</v>
      </c>
      <c r="DD1" s="282" t="str">
        <f>VLOOKUP(v2_col,Dictionaries!$G$2:$J$30,2,FALSE)</f>
        <v>not_used</v>
      </c>
      <c r="DE1" s="282" t="str">
        <f>VLOOKUP(v2_col,Dictionaries!$G$2:$P$30,5,FALSE)</f>
        <v>not_used</v>
      </c>
      <c r="DF1" s="282" t="str">
        <f>VLOOKUP(v2_col,Dictionaries!$G$2:$J$30,3,FALSE)</f>
        <v>not_used</v>
      </c>
      <c r="DG1" s="282" t="str">
        <f>IF(OR(v2_col="solvent_2",v2_col="solvent_3"),"not_used",IF(OR(Reagents!$Q$18="Stock slurry",Reagents!$Q$18="Stock solution"),VLOOKUP(v2_col,Dictionaries!$G$2:$P$30,6,FALSE), VLOOKUP(v2_col, Dictionaries!$G$2:$P$30,9,FALSE)))</f>
        <v>not_used</v>
      </c>
      <c r="DH1" s="282" t="str">
        <f>IF(OR(v2_col="solvent_2",v2_col="solvent_3"),"not_used",IF(OR(Reagents!$Q$18="Stock slurry",Reagents!$Q$18="Stock solution"),VLOOKUP(v2_col,Dictionaries!$G$2:$P$30,7,FALSE), VLOOKUP(v2_col, Dictionaries!$G$2:$P$30,8,FALSE)))</f>
        <v>not_used</v>
      </c>
      <c r="DI1" s="282" t="str">
        <f>VLOOKUP(v2_col,Dictionaries!$G$2:$P$30,10,FALSE)</f>
        <v>not_used</v>
      </c>
      <c r="DJ1" s="287" t="str">
        <f>VLOOKUP(v2_col,Dictionaries!$G$2:$J$30,4,FALSE)</f>
        <v>not_used</v>
      </c>
      <c r="DK1" s="281" t="str">
        <f>VLOOKUP(v3_col,Dictionaries!$G$2:$J$30,2,FALSE)</f>
        <v>not_used</v>
      </c>
      <c r="DL1" s="281" t="str">
        <f>VLOOKUP(v3_col,Dictionaries!$G$2:$P$30,5,FALSE)</f>
        <v>not_used</v>
      </c>
      <c r="DM1" s="281" t="str">
        <f>VLOOKUP(v3_col,Dictionaries!$G$2:$J$30,3,FALSE)</f>
        <v>not_used</v>
      </c>
      <c r="DN1" s="281" t="str">
        <f>IF(OR(v3_col="solvent_2",v3_col="solvent_3"),"not_used",IF(OR(Reagents!$Q$24="Stock slurry",Reagents!$Q$24="Stock solution"),VLOOKUP(v3_col,Dictionaries!$G$2:$P$30,6,FALSE), VLOOKUP(Reagents!$E$24, Dictionaries!$G$2:$P$30,9,FALSE)))</f>
        <v>not_used</v>
      </c>
      <c r="DO1" s="281" t="str">
        <f>IF(OR(v3_col="solvent_2",v3_col="solvent_3"),"not_used",IF(OR(Reagents!$Q$24="Stock slurry",Reagents!$Q$24="Stock solution"),VLOOKUP(v3_col,Dictionaries!$G$2:$P$30,7,FALSE), VLOOKUP(v3_col, Dictionaries!$G$2:$P$30,8,FALSE)))</f>
        <v>not_used</v>
      </c>
      <c r="DP1" s="281" t="str">
        <f>VLOOKUP(v3_col,Dictionaries!$G$2:$P$30,10,FALSE)</f>
        <v>not_used</v>
      </c>
      <c r="DQ1" s="288" t="str">
        <f>VLOOKUP(v3_col,Dictionaries!$G$2:$J$30,4,FALSE)</f>
        <v>not_used</v>
      </c>
      <c r="DR1" s="280" t="str">
        <f>VLOOKUP(v4_row,Dictionaries!$G$2:$J$30,2,FALSE)</f>
        <v>not_used</v>
      </c>
      <c r="DS1" s="280" t="str">
        <f>VLOOKUP(v4_row,Dictionaries!$G$2:$P$30,5,FALSE)</f>
        <v>not_used</v>
      </c>
      <c r="DT1" s="280" t="str">
        <f>VLOOKUP(v4_row,Dictionaries!$G$2:$J$30,3,FALSE)</f>
        <v>not_used</v>
      </c>
      <c r="DU1" s="280" t="str">
        <f>IF(OR(v4_row="solvent_2",v4_row="solvent_3"),"not_used",IF(OR(Reagents!$Q$30="Stock slurry",Reagents!$Q$30="Stock solution"),VLOOKUP(v4_row,Dictionaries!$G$2:$P$30,6,FALSE), VLOOKUP(v4_row, Dictionaries!$G$2:$P$30,9,FALSE)))</f>
        <v>not_used</v>
      </c>
      <c r="DV1" s="280" t="str">
        <f>IF(OR(v4_row="solvent_2",v4_row="solvent_3"),"not_used",IF(OR(Reagents!$Q$30="Stock slurry",Reagents!$Q$30="Stock solution"),VLOOKUP(v4_row,Dictionaries!$G$2:$P$30,7,FALSE), VLOOKUP(v4_row, Dictionaries!$G$2:$P$30,8,FALSE)))</f>
        <v>not_used</v>
      </c>
      <c r="DW1" s="280" t="str">
        <f>VLOOKUP(v4_row,Dictionaries!$G$2:$P$30,10,FALSE)</f>
        <v>not_used</v>
      </c>
      <c r="DX1" s="289" t="str">
        <f>VLOOKUP(v4_row,Dictionaries!$G$2:$J$30,4,FALSE)</f>
        <v>not_used</v>
      </c>
      <c r="DY1" s="279" t="str">
        <f>VLOOKUP(v5_row,Dictionaries!$G$2:$J$30,2,FALSE)</f>
        <v>not_used</v>
      </c>
      <c r="DZ1" s="279" t="str">
        <f>VLOOKUP(v5_row,Dictionaries!$G$2:$P$30,5,FALSE)</f>
        <v>not_used</v>
      </c>
      <c r="EA1" s="279" t="str">
        <f>VLOOKUP(v5_row,Dictionaries!$G$2:$J$30,3,FALSE)</f>
        <v>not_used</v>
      </c>
      <c r="EB1" s="279" t="str">
        <f>IF(OR(v5_row="solvent_2",v5_row="solvent_3"),"not_used",IF(OR(Reagents!$Q$34="Stock slurry",Reagents!$Q$34="Stock solution"),VLOOKUP(v5_row,Dictionaries!$G$2:$P$30,6,FALSE), VLOOKUP(v5_row, Dictionaries!$G$2:$P$30,9,FALSE)))</f>
        <v>not_used</v>
      </c>
      <c r="EC1" s="279" t="str">
        <f>IF(OR(v5_row="solvent_2",v5_row="solvent_3"),"not_used",IF(OR(Reagents!$Q$34="Stock slurry",Reagents!$Q$34="Stock solution"),VLOOKUP(v5_row,Dictionaries!$G$2:$P$30,7,FALSE), VLOOKUP(v5_row, Dictionaries!$G$2:$P$30,8,FALSE)))</f>
        <v>not_used</v>
      </c>
      <c r="ED1" s="279" t="str">
        <f>VLOOKUP(v5_row,Dictionaries!$G$2:$P$30,10,FALSE)</f>
        <v>not_used</v>
      </c>
      <c r="EE1" s="290" t="str">
        <f>VLOOKUP(v5_row,Dictionaries!$G$2:$J$30,4,FALSE)</f>
        <v>not_used</v>
      </c>
      <c r="EF1" s="278" t="str">
        <f>VLOOKUP(v6_row,Dictionaries!$G$2:$J$30,2,FALSE)</f>
        <v>not_used</v>
      </c>
      <c r="EG1" s="278" t="str">
        <f>VLOOKUP(v6_row,Dictionaries!$G$2:$P$30,5,FALSE)</f>
        <v>not_used</v>
      </c>
      <c r="EH1" s="278" t="str">
        <f>VLOOKUP(v6_row,Dictionaries!$G$2:$J$30,3,FALSE)</f>
        <v>not_used</v>
      </c>
      <c r="EI1" s="278" t="str">
        <f>IF(OR(v6_row="solvent_2",v6_row="solvent_3"),"not_used",IF(OR(Reagents!$Q$38="Stock slurry",Reagents!$Q$38="Stock solution"),VLOOKUP(v6_row,Dictionaries!$G$2:$P$30,6,FALSE), VLOOKUP(v6_row, Dictionaries!$G$2:$P$30,9,FALSE)))</f>
        <v>not_used</v>
      </c>
      <c r="EJ1" s="278" t="str">
        <f>IF(OR(v6_row="solvent_2",v6_row="solvent_3"),"not_used",IF(OR(Reagents!$Q$38="Stock slurry",Reagents!$Q$38="Stock solution"),VLOOKUP(v6_row,Dictionaries!$G$2:$P$30,7,FALSE), VLOOKUP(v6_row, Dictionaries!$G$2:$P$30,8,FALSE)))</f>
        <v>not_used</v>
      </c>
      <c r="EK1" s="278" t="str">
        <f>VLOOKUP(v6_row,Dictionaries!$G$2:$P$30,10,FALSE)</f>
        <v>not_used</v>
      </c>
      <c r="EL1" s="291" t="str">
        <f>VLOOKUP(v6_row,Dictionaries!$G$2:$J$30,4,FALSE)</f>
        <v>not_used</v>
      </c>
      <c r="EM1" s="214" t="s">
        <v>1048</v>
      </c>
      <c r="EN1" s="214" t="s">
        <v>1049</v>
      </c>
      <c r="EO1" s="336" t="s">
        <v>1831</v>
      </c>
      <c r="EP1" s="214" t="s">
        <v>1050</v>
      </c>
      <c r="EQ1" s="214" t="s">
        <v>1042</v>
      </c>
      <c r="ER1" s="214" t="s">
        <v>1043</v>
      </c>
      <c r="ES1" s="336" t="s">
        <v>1832</v>
      </c>
      <c r="ET1" s="411" t="s">
        <v>2040</v>
      </c>
      <c r="EU1" s="411" t="s">
        <v>2045</v>
      </c>
      <c r="EV1" s="411" t="s">
        <v>2027</v>
      </c>
      <c r="EW1" s="324" t="s">
        <v>1044</v>
      </c>
      <c r="EX1" s="325" t="s">
        <v>1045</v>
      </c>
      <c r="EY1" s="325" t="s">
        <v>1046</v>
      </c>
      <c r="EZ1" s="339" t="s">
        <v>1833</v>
      </c>
      <c r="FA1" s="422" t="s">
        <v>2030</v>
      </c>
      <c r="FB1" s="422" t="s">
        <v>2046</v>
      </c>
      <c r="FC1" s="693" t="s">
        <v>2120</v>
      </c>
      <c r="FD1" s="326" t="s">
        <v>1047</v>
      </c>
      <c r="FE1" s="325" t="s">
        <v>1051</v>
      </c>
      <c r="FF1" s="325" t="s">
        <v>1052</v>
      </c>
      <c r="FG1" s="340" t="s">
        <v>1834</v>
      </c>
      <c r="FH1" s="422" t="s">
        <v>2032</v>
      </c>
      <c r="FI1" s="422" t="s">
        <v>2047</v>
      </c>
      <c r="FJ1" s="693" t="s">
        <v>2121</v>
      </c>
      <c r="FK1" s="326" t="s">
        <v>1053</v>
      </c>
      <c r="FL1" s="323" t="s">
        <v>1054</v>
      </c>
      <c r="FM1" s="323" t="s">
        <v>1055</v>
      </c>
      <c r="FN1" s="341" t="s">
        <v>1835</v>
      </c>
      <c r="FO1" s="323" t="s">
        <v>1056</v>
      </c>
      <c r="FP1" s="411" t="s">
        <v>2048</v>
      </c>
      <c r="FQ1" s="411" t="s">
        <v>2049</v>
      </c>
      <c r="FR1" s="324" t="s">
        <v>1057</v>
      </c>
      <c r="FS1" s="323" t="s">
        <v>1115</v>
      </c>
      <c r="FT1" s="323" t="s">
        <v>1116</v>
      </c>
      <c r="FU1" s="341" t="s">
        <v>1836</v>
      </c>
      <c r="FV1" s="323" t="s">
        <v>1117</v>
      </c>
      <c r="FW1" s="411" t="s">
        <v>2051</v>
      </c>
      <c r="FX1" s="411" t="s">
        <v>2050</v>
      </c>
      <c r="FY1" s="324" t="s">
        <v>1118</v>
      </c>
      <c r="FZ1" s="323" t="s">
        <v>1119</v>
      </c>
      <c r="GA1" s="323" t="s">
        <v>1120</v>
      </c>
      <c r="GB1" s="341" t="s">
        <v>1837</v>
      </c>
      <c r="GC1" s="323" t="s">
        <v>1121</v>
      </c>
      <c r="GD1" s="411" t="s">
        <v>2052</v>
      </c>
      <c r="GE1" s="411" t="s">
        <v>2053</v>
      </c>
      <c r="GF1" s="324" t="s">
        <v>1122</v>
      </c>
      <c r="GG1" s="323" t="s">
        <v>1123</v>
      </c>
      <c r="GH1" s="323" t="s">
        <v>1124</v>
      </c>
      <c r="GI1" s="341" t="s">
        <v>1838</v>
      </c>
      <c r="GJ1" s="323" t="s">
        <v>1125</v>
      </c>
      <c r="GK1" s="411" t="s">
        <v>2054</v>
      </c>
      <c r="GL1" s="411" t="s">
        <v>2055</v>
      </c>
      <c r="GM1" s="324" t="s">
        <v>1126</v>
      </c>
      <c r="GN1" s="323" t="s">
        <v>1127</v>
      </c>
      <c r="GO1" s="323" t="s">
        <v>1128</v>
      </c>
      <c r="GP1" s="341" t="s">
        <v>1839</v>
      </c>
      <c r="GQ1" s="323" t="s">
        <v>1129</v>
      </c>
      <c r="GR1" s="411" t="s">
        <v>2058</v>
      </c>
      <c r="GS1" s="411" t="s">
        <v>2059</v>
      </c>
      <c r="GT1" s="324" t="s">
        <v>1130</v>
      </c>
      <c r="GU1" s="323" t="s">
        <v>1131</v>
      </c>
      <c r="GV1" s="323" t="s">
        <v>1132</v>
      </c>
      <c r="GW1" s="341" t="s">
        <v>1840</v>
      </c>
      <c r="GX1" s="323" t="s">
        <v>1133</v>
      </c>
      <c r="GY1" s="411" t="s">
        <v>2056</v>
      </c>
      <c r="GZ1" s="411" t="s">
        <v>2057</v>
      </c>
      <c r="HA1" s="324" t="s">
        <v>1134</v>
      </c>
      <c r="HB1" s="323" t="s">
        <v>1135</v>
      </c>
      <c r="HC1" s="323" t="s">
        <v>1136</v>
      </c>
      <c r="HD1" s="341" t="s">
        <v>1841</v>
      </c>
      <c r="HE1" s="323" t="s">
        <v>1137</v>
      </c>
      <c r="HF1" s="411" t="s">
        <v>2060</v>
      </c>
      <c r="HG1" s="411" t="s">
        <v>2061</v>
      </c>
      <c r="HH1" s="324" t="s">
        <v>1138</v>
      </c>
      <c r="HI1" s="359"/>
      <c r="HJ1" s="359"/>
      <c r="HK1" s="360"/>
      <c r="HL1" s="359"/>
      <c r="HM1" s="361"/>
      <c r="HN1" s="359"/>
      <c r="HO1" s="359"/>
      <c r="HP1" s="360"/>
      <c r="HQ1" s="359"/>
      <c r="HR1" s="361"/>
      <c r="HS1" s="210"/>
      <c r="HT1" s="142"/>
      <c r="HU1" s="142"/>
      <c r="HV1" s="142"/>
    </row>
    <row r="2" spans="1:230">
      <c r="A2" s="216" t="s">
        <v>1161</v>
      </c>
      <c r="B2" s="214">
        <v>1</v>
      </c>
      <c r="C2" s="214">
        <v>1</v>
      </c>
      <c r="D2" s="214" t="str">
        <f>VLOOKUP(18,'Plate Planning'!$A$1:$T$35,10,FALSE)&amp;"_"&amp;VLOOKUP(19,'Plate Planning'!$A$1:$T$35,10,FALSE)&amp;"_"&amp;A2</f>
        <v>__A1</v>
      </c>
      <c r="E2" s="214" t="str">
        <f>IF(VLOOKUP(18,'Plate Planning'!$A$1:$T$35,10,FALSE)="", "NULL", VLOOKUP(18,'Plate Planning'!$A$1:$T$35,10,FALSE))</f>
        <v>NULL</v>
      </c>
      <c r="F2" s="214" t="str">
        <f>IF(VLOOKUP(19,'Plate Planning'!$A$1:$T$35,10,FALSE)="", "NULL", VLOOKUP(19,'Plate Planning'!$A$1:$T$35,10,FALSE))</f>
        <v>NULL</v>
      </c>
      <c r="G2" s="214" t="str">
        <f>IF(VLOOKUP(20,'Plate Planning'!$A$1:$T$35,10,FALSE)="", "NULL", VLOOKUP(20,'Plate Planning'!$A$1:$T$35,10,FALSE))</f>
        <v>NULL</v>
      </c>
      <c r="H2" s="214" t="str">
        <f>IF(VLOOKUP(21,'Plate Planning'!$A$1:$T$35,10,FALSE)="", "NULL", VLOOKUP(21,'Plate Planning'!$A$1:$T$35,10,FALSE))</f>
        <v>NULL</v>
      </c>
      <c r="I2" s="214" t="str">
        <f>IF(VLOOKUP(23,'Plate Planning'!$A$1:$T$35,10,FALSE)="", "NULL", VLOOKUP(23,'Plate Planning'!$A$1:$T$35,10,FALSE))</f>
        <v>NULL</v>
      </c>
      <c r="J2" s="214" t="str">
        <f>IF(VLOOKUP(22,'Plate Planning'!$A$1:$T$35,10,FALSE)="", "NULL", VLOOKUP(22,'Plate Planning'!$A$1:$T$35,10,FALSE))</f>
        <v>NULL</v>
      </c>
      <c r="K2" s="214" t="str">
        <f>VLOOKUP(24,'Plate Planning'!$A$1:$T$35,10,FALSE)</f>
        <v>Glovebox</v>
      </c>
      <c r="L2" s="214" t="str">
        <f>IF(VLOOKUP(25,'Plate Planning'!$A$1:$T$35,10,FALSE)="","NULL",VLOOKUP(25,'Plate Planning'!$A$1:$T$35,10,FALSE))</f>
        <v>NULL</v>
      </c>
      <c r="M2" s="214" t="str">
        <f>VLOOKUP(26,'Plate Planning'!$A$1:$T$35,10,FALSE)</f>
        <v>ambient</v>
      </c>
      <c r="N2" s="214" t="str">
        <f>IF(VLOOKUP(27,'Plate Planning'!$A$1:$T$35,10,FALSE)=0,"NULL", VLOOKUP(27,'Plate Planning'!$A$1:$T$35,10,FALSE))</f>
        <v>NULL</v>
      </c>
      <c r="O2" s="214" t="str">
        <f>IF(VLOOKUP(3,'Plate Planning'!$A$2:$S$35,18,FALSE)="", "NULL", VLOOKUP(3,'Plate Planning'!$A$2:$S$35,18,FALSE))</f>
        <v>NULL</v>
      </c>
      <c r="P2" s="214" t="str">
        <f>IF(VLOOKUP(4,'Plate Planning'!$A$2:$S$35,18,FALSE)="", "NULL", VLOOKUP(4,'Plate Planning'!$A$2:$S$35,18,FALSE))</f>
        <v>NULL</v>
      </c>
      <c r="Q2" s="214" t="str">
        <f>IF(VLOOKUP(5,'Plate Planning'!$A$2:$S$35,18,FALSE)="", "NULL", VLOOKUP(5,'Plate Planning'!$A$2:$S$35,18,FALSE))</f>
        <v>NULL</v>
      </c>
      <c r="R2" s="214" t="str">
        <f>IF(VLOOKUP(6,'Plate Planning'!$A$2:$S$35,18,FALSE)="", "NULL", VLOOKUP(6,'Plate Planning'!$A$2:$S$35,18,FALSE))</f>
        <v>NULL</v>
      </c>
      <c r="S2" s="214" t="str">
        <f>IF(VLOOKUP(7,'Plate Planning'!$A$2:$S$35,18,FALSE)="", "NULL", VLOOKUP(7,'Plate Planning'!$A$2:$S$35,18,FALSE))</f>
        <v>NULL</v>
      </c>
      <c r="T2" s="214" t="str">
        <f>IF(VLOOKUP(28,'Plate Planning'!$A$1:$T$35,10,FALSE)=0,"NULL",VLOOKUP(28,'Plate Planning'!$A$1:$T$35,10,FALSE))</f>
        <v>NULL</v>
      </c>
      <c r="U2" s="214" t="str">
        <f>IFERROR(VLOOKUP(VLOOKUP(28,'Plate Planning'!$A$1:$T$35,10,FALSE),Dictionaries!$Q$2:$R$72,2,FALSE), "NULL")</f>
        <v>NULL</v>
      </c>
      <c r="V2" s="214" t="str">
        <f>IF(VLOOKUP(28,'Plate Planning'!$A$1:$T$35,10,FALSE)=0,"NULL",VLOOKUP(32,'Plate Planning'!$A$1:$T$35,10,FALSE))</f>
        <v>NULL</v>
      </c>
      <c r="W2" s="214" t="str">
        <f>IF(VLOOKUP(C2+3,'Plate Planning'!$A$1:$S$35,B2+4,FALSE)=0, "", VLOOKUP(C2+3,'Plate Planning'!$A$1:$S$35,B2+4,FALSE))</f>
        <v/>
      </c>
      <c r="X2" s="214" t="str">
        <f>IFERROR(VLOOKUP(W2,'Complex Variable'!$A$2:$S$25,2,FALSE), "")</f>
        <v/>
      </c>
      <c r="Y2" s="327" t="str">
        <f>IFERROR(VLOOKUP(W2,'Complex Variable'!$A$2:$S$25,3,FALSE), "")</f>
        <v/>
      </c>
      <c r="Z2" s="327" t="str">
        <f>IFERROR(VLOOKUP(W2,'Complex Variable'!$A$2:$S$25,5,FALSE), "")</f>
        <v/>
      </c>
      <c r="AA2" s="327" t="str">
        <f>IFERROR(VLOOKUP(W2,'Complex Variable'!$A$2:$S$25,14,FALSE), "")</f>
        <v/>
      </c>
      <c r="AB2" s="602" t="str">
        <f>IFERROR(VLOOKUP(W2,'Complex Variable'!$A$2:$S$25,19,FALSE), "")</f>
        <v/>
      </c>
      <c r="AC2" s="327" t="str">
        <f>IFERROR(VLOOKUP(W2,'Complex Variable'!$A$2:$S$25,13,FALSE), "")</f>
        <v/>
      </c>
      <c r="AD2" s="604" t="str">
        <f>IFERROR(AB2*AA2, "")</f>
        <v/>
      </c>
      <c r="AE2" s="214">
        <f>VLOOKUP(1,Reagents!$B$1:$M$41,2,FALSE)</f>
        <v>0</v>
      </c>
      <c r="AF2" s="214">
        <f>VLOOKUP(1,Reagents!$B$1:$M$41,3,FALSE)</f>
        <v>0</v>
      </c>
      <c r="AG2" s="214" t="str">
        <f>IF(VLOOKUP(1,Reagents!$B$1:$M$41,5,FALSE)=0, "NULL", VLOOKUP(1,Reagents!$B$1:$M$41,5,FALSE))</f>
        <v>NULL</v>
      </c>
      <c r="AH2" s="214" t="str">
        <f>IF(OR(Reagents!$Q$2="Stock slurry",Reagents!$Q$2="Stock solution"),VLOOKUP(1,Reagents!$B$1:$R$41,13,FALSE), "NULL")</f>
        <v/>
      </c>
      <c r="AI2" s="362" t="str">
        <f>IF(OR(Reagents!$Q$2="Stock slurry",Reagents!$Q$2="Stock solution"),VLOOKUP(1,Reagents!$B$1:$R$41,14,FALSE), VLOOKUP(1,Reagents!$B$1:$R$41,11,FALSE))</f>
        <v/>
      </c>
      <c r="AJ2" s="214">
        <f>VLOOKUP(1,Reagents!$B$1:$R$41,17,FALSE)</f>
        <v>0</v>
      </c>
      <c r="AK2" s="284" t="e">
        <f>IF(OR(VLOOKUP(1,Reagents!$B$1:$M$41,4,FALSE)="solvent_2",VLOOKUP(1,Reagents!$B$1:$M$41,4,FALSE)="solvent_3"),VLOOKUP(1,Reagents!$B$1:$M$41,12,FALSE),IF(OR(Reagents!$Q$2="Stock slurry",Reagents!$Q$2="Stock solution"),AI2*AH2, AI2/VLOOKUP(1,Reagents!$B$1:$R$41,6,FALSE)*1000))</f>
        <v>#VALUE!</v>
      </c>
      <c r="AL2" s="214">
        <f>VLOOKUP(2,Reagents!$B$1:$M$41,2,FALSE)</f>
        <v>0</v>
      </c>
      <c r="AM2" s="214">
        <f>VLOOKUP(2,Reagents!$B$1:$M$41,3,FALSE)</f>
        <v>0</v>
      </c>
      <c r="AN2" s="214" t="str">
        <f>IF(VLOOKUP(2,Reagents!$B$1:$M$41,5,FALSE)=0, "NULL", VLOOKUP(2,Reagents!$B$1:$M$41,5,FALSE))</f>
        <v>NULL</v>
      </c>
      <c r="AO2" s="214" t="str">
        <f>IF(OR(Reagents!$Q$3="Stock slurry",Reagents!$Q$3="Stock solution"),VLOOKUP(2,Reagents!$B$1:$R$41,13,FALSE), "NULL")</f>
        <v/>
      </c>
      <c r="AP2" s="362" t="str">
        <f>IF(OR(Reagents!$Q$3="Stock slurry",Reagents!$Q$3="Stock solution"),VLOOKUP(2,Reagents!$B$1:$R$41,14,FALSE), VLOOKUP(2,Reagents!$B$1:$R$41,11,FALSE))</f>
        <v/>
      </c>
      <c r="AQ2" s="214">
        <f>VLOOKUP(2,Reagents!$B$1:$R$41,17,FALSE)</f>
        <v>0</v>
      </c>
      <c r="AR2" s="284" t="e">
        <f>IF(OR(VLOOKUP(2,Reagents!$B$1:$M$41,4,FALSE)="solvent_2",VLOOKUP(2,Reagents!$B$1:$M$41,4,FALSE)="solvent_3"),VLOOKUP(2,Reagents!$B$1:$M$41,12,FALSE),IF(OR(Reagents!$Q$3="Stock slurry",Reagents!$Q$3="Stock solution"),AP2*AO2, AP2/VLOOKUP(2,Reagents!$B$1:$R$41,6,FALSE)*1000))</f>
        <v>#VALUE!</v>
      </c>
      <c r="AS2" s="214">
        <f>VLOOKUP(3,Reagents!$B$1:$M$41,2,FALSE)</f>
        <v>0</v>
      </c>
      <c r="AT2" s="214">
        <f>VLOOKUP(3,Reagents!$B$1:$M$41,3,FALSE)</f>
        <v>0</v>
      </c>
      <c r="AU2" s="214" t="str">
        <f>IF(VLOOKUP(3,Reagents!$B$1:$M$41,5,FALSE)=0, "NULL", VLOOKUP(3,Reagents!$B$1:$M$41,5,FALSE))</f>
        <v>NULL</v>
      </c>
      <c r="AV2" s="214" t="str">
        <f>IF(OR(Reagents!$Q$4="Stock slurry",Reagents!$Q$4="Stock solution"),VLOOKUP(3,Reagents!$B$1:$R$41,13,FALSE), "NULL")</f>
        <v/>
      </c>
      <c r="AW2" s="362" t="str">
        <f>IF(OR(Reagents!$Q$4="Stock slurry",Reagents!$Q$4="Stock solution"),VLOOKUP(3,Reagents!$B$1:$R$41,14,FALSE), VLOOKUP(3,Reagents!$B$1:$R$41,11,FALSE))</f>
        <v/>
      </c>
      <c r="AX2" s="214">
        <f>VLOOKUP(3,Reagents!$B$1:$R$41,17,FALSE)</f>
        <v>0</v>
      </c>
      <c r="AY2" s="284" t="e">
        <f>IF(OR(VLOOKUP(3,Reagents!$B$1:$M$41,4,FALSE)="solvent_2",VLOOKUP(3,Reagents!$B$1:$M$41,4,FALSE)="solvent_3"),VLOOKUP(3,Reagents!$B$1:$M$41,12,FALSE),IF(OR(Reagents!$Q$4="Stock slurry",Reagents!$Q$4="Stock solution"),AW2*AV2, AW2/VLOOKUP(3,Reagents!$B$1:$R$41,6,FALSE)*1000))</f>
        <v>#VALUE!</v>
      </c>
      <c r="AZ2" s="214">
        <f>VLOOKUP(4,Reagents!$B$1:$M$41,2,FALSE)</f>
        <v>0</v>
      </c>
      <c r="BA2" s="214">
        <f>VLOOKUP(4,Reagents!$B$1:$M$41,3,FALSE)</f>
        <v>0</v>
      </c>
      <c r="BB2" s="214" t="str">
        <f>IF(VLOOKUP(4,Reagents!$B$1:$M$41,5,FALSE)=0, "NULL", VLOOKUP(4,Reagents!$B$1:$M$41,5,FALSE))</f>
        <v>NULL</v>
      </c>
      <c r="BC2" s="214" t="str">
        <f>IF(OR(Reagents!$Q$5="Stock slurry",Reagents!$Q$5="Stock solution"),VLOOKUP(4,Reagents!$B$1:$R$41,13,FALSE), "NULL")</f>
        <v/>
      </c>
      <c r="BD2" s="362" t="str">
        <f>IF(OR(Reagents!$Q$5="Stock slurry",Reagents!$Q$5="Stock solution"),VLOOKUP(4,Reagents!$B$1:$R$41,14,FALSE), VLOOKUP(4,Reagents!$B$1:$R$41,11,FALSE))</f>
        <v/>
      </c>
      <c r="BE2" s="214">
        <f>VLOOKUP(4,Reagents!$B$1:$R$41,17,FALSE)</f>
        <v>0</v>
      </c>
      <c r="BF2" s="284" t="e">
        <f>IF(OR(VLOOKUP(4,Reagents!$B$1:$M$41,4,FALSE)="solvent_2",VLOOKUP(4,Reagents!$B$1:$M$41,4,FALSE)="solvent_3"),VLOOKUP(4,Reagents!$B$1:$M$41,12,FALSE),IF(OR(Reagents!$Q$5="Stock slurry",Reagents!$Q$5="Stock solution"),BD2*BC2, BD2/VLOOKUP(4,Reagents!$B$1:$R$41,6,FALSE)*1000))</f>
        <v>#VALUE!</v>
      </c>
      <c r="BG2" s="214">
        <f>VLOOKUP(5,Reagents!$B$1:$M$41,2,FALSE)</f>
        <v>0</v>
      </c>
      <c r="BH2" s="214">
        <f>VLOOKUP(5,Reagents!$B$1:$M$41,3,FALSE)</f>
        <v>0</v>
      </c>
      <c r="BI2" s="214" t="str">
        <f>IF(VLOOKUP(5,Reagents!$B$1:$M$41,5,FALSE)=0, "NULL", VLOOKUP(5,Reagents!$B$1:$M$41,5,FALSE))</f>
        <v>NULL</v>
      </c>
      <c r="BJ2" s="214" t="str">
        <f>IF(OR(Reagents!$Q$6="Stock slurry",Reagents!$Q$6="Stock solution"),VLOOKUP(5,Reagents!$B$1:$R$41,13,FALSE), "NULL")</f>
        <v/>
      </c>
      <c r="BK2" s="362" t="str">
        <f>IF(OR(Reagents!$Q$6="Stock slurry",Reagents!$Q$6="Stock solution"),VLOOKUP(5,Reagents!$B$1:$R$41,14,FALSE), VLOOKUP(5,Reagents!$B$1:$R$41,11,FALSE))</f>
        <v/>
      </c>
      <c r="BL2" s="214">
        <f>VLOOKUP(5,Reagents!$B$1:$R$41,17,FALSE)</f>
        <v>0</v>
      </c>
      <c r="BM2" s="284" t="e">
        <f>IF(OR(VLOOKUP(5,Reagents!$B$1:$M$41,4,FALSE)="solvent_2",VLOOKUP(5,Reagents!$B$1:$M$41,4,FALSE)="solvent_3"),VLOOKUP(5,Reagents!$B$1:$M$41,12,FALSE),IF(OR(Reagents!$Q$6="Stock slurry",Reagents!$Q$6="Stock solution"),BK2*BJ2, BK2/VLOOKUP(5,Reagents!$B$1:$R$41,6,FALSE)*1000))</f>
        <v>#VALUE!</v>
      </c>
      <c r="BN2" s="214">
        <f>VLOOKUP(6,Reagents!$B$1:$M$41,2,FALSE)</f>
        <v>0</v>
      </c>
      <c r="BO2" s="214">
        <f>VLOOKUP(6,Reagents!$B$1:$M$41,3,FALSE)</f>
        <v>0</v>
      </c>
      <c r="BP2" s="214" t="str">
        <f>IF(VLOOKUP(6,Reagents!$B$1:$M$41,5,FALSE)=0, "NULL", VLOOKUP(6,Reagents!$B$1:$M$41,5,FALSE))</f>
        <v>NULL</v>
      </c>
      <c r="BQ2" s="214" t="str">
        <f>IF(OR(Reagents!$Q$7="Stock slurry",Reagents!$Q$7="Stock solution"),VLOOKUP(6,Reagents!$B$1:$R$41,13,FALSE), "NULL")</f>
        <v/>
      </c>
      <c r="BR2" s="362" t="str">
        <f>IF(OR(Reagents!$Q$7="Stock slurry",Reagents!$Q$7="Stock solution"),VLOOKUP(6,Reagents!$B$1:$R$41,14,FALSE), VLOOKUP(6,Reagents!$B$1:$R$41,11,FALSE))</f>
        <v/>
      </c>
      <c r="BS2" s="214">
        <f>VLOOKUP(6,Reagents!$B$1:$R$41,17,FALSE)</f>
        <v>0</v>
      </c>
      <c r="BT2" s="284" t="e">
        <f>IF(OR(VLOOKUP(6,Reagents!$B$1:$M$41,4,FALSE)="solvent_2",VLOOKUP(6,Reagents!$B$1:$M$41,4,FALSE)="solvent_3"),VLOOKUP(6,Reagents!$B$1:$M$41,12,FALSE),IF(OR(Reagents!$Q$7="Stock slurry",Reagents!$Q$7="Stock solution"),BR2*BQ2, BR2/VLOOKUP(6,Reagents!$B$1:$R$41,6,FALSE)*1000))</f>
        <v>#VALUE!</v>
      </c>
      <c r="BU2" s="214">
        <f>VLOOKUP(7,Reagents!$B$1:$M$41,2,FALSE)</f>
        <v>0</v>
      </c>
      <c r="BV2" s="214">
        <f>VLOOKUP(7,Reagents!$B$1:$M$41,3,FALSE)</f>
        <v>0</v>
      </c>
      <c r="BW2" s="214" t="str">
        <f>IF(VLOOKUP(7,Reagents!$B$1:$M$41,5,FALSE)=0, "NULL", VLOOKUP(7,Reagents!$B$1:$M$41,5,FALSE))</f>
        <v>NULL</v>
      </c>
      <c r="BX2" s="214" t="str">
        <f>IF(OR(Reagents!$Q$8="Stock slurry",Reagents!$Q$8="Stock solution"),VLOOKUP(7,Reagents!$B$1:$R$41,13,FALSE), "NULL")</f>
        <v/>
      </c>
      <c r="BY2" s="362" t="str">
        <f>IF(OR(Reagents!$Q$8="Stock slurry",Reagents!$Q$8="Stock solution"),VLOOKUP(7,Reagents!$B$1:$R$41,14,FALSE), VLOOKUP(7,Reagents!$B$1:$R$41,11,FALSE))</f>
        <v/>
      </c>
      <c r="BZ2" s="214">
        <f>VLOOKUP(7,Reagents!$B$1:$R$41,17,FALSE)</f>
        <v>0</v>
      </c>
      <c r="CA2" s="284" t="e">
        <f>IF(OR(VLOOKUP(7,Reagents!$B$1:$M$41,4,FALSE)="solvent_2",VLOOKUP(7,Reagents!$B$1:$M$41,4,FALSE)="solvent_3"),VLOOKUP(7,Reagents!$B$1:$M$41,12,FALSE),IF(OR(Reagents!$Q$8="Stock slurry",Reagents!$Q$8="Stock solution"),BY2*BX2, BY2/VLOOKUP(7,Reagents!$B$1:$R$41,6,FALSE)*1000))</f>
        <v>#VALUE!</v>
      </c>
      <c r="CB2" s="214">
        <f>VLOOKUP(8,Reagents!$B$1:$M$41,2,FALSE)</f>
        <v>0</v>
      </c>
      <c r="CC2" s="214">
        <f>VLOOKUP(8,Reagents!$B$1:$M$41,3,FALSE)</f>
        <v>0</v>
      </c>
      <c r="CD2" s="214" t="str">
        <f>IF(VLOOKUP(8,Reagents!$B$1:$M$41,5,FALSE)=0, "NULL", VLOOKUP(8,Reagents!$B$1:$M$41,5,FALSE))</f>
        <v>NULL</v>
      </c>
      <c r="CE2" s="214" t="str">
        <f>IF(OR(Reagents!$Q$9="Stock slurry",Reagents!$Q$9="Stock solution"),VLOOKUP(8,Reagents!$B$1:$R$41,13,FALSE), "NULL")</f>
        <v/>
      </c>
      <c r="CF2" s="362" t="str">
        <f>IF(OR(Reagents!$Q$9="Stock slurry",Reagents!$Q$9="Stock solution"),VLOOKUP(8,Reagents!$B$1:$R$41,14,FALSE), VLOOKUP(8,Reagents!$B$1:$R$41,11,FALSE))</f>
        <v/>
      </c>
      <c r="CG2" s="214">
        <f>VLOOKUP(8,Reagents!$B$1:$R$41,17,FALSE)</f>
        <v>0</v>
      </c>
      <c r="CH2" s="284" t="e">
        <f>IF(OR(VLOOKUP(8,Reagents!$B$1:$M$41,4,FALSE)="solvent_2",VLOOKUP(8,Reagents!$B$1:$M$41,4,FALSE)="solvent_3"),VLOOKUP(8,Reagents!$B$1:$M$41,12,FALSE),IF(OR(Reagents!$Q$9="Stock slurry",Reagents!$Q$9="Stock solution"),CF2*CE2, CF2/VLOOKUP(8,Reagents!$B$1:$R$41,6,FALSE)*1000))</f>
        <v>#VALUE!</v>
      </c>
      <c r="CI2" s="214">
        <f>VLOOKUP(9,Reagents!$B$1:$M$41,2,FALSE)</f>
        <v>0</v>
      </c>
      <c r="CJ2" s="214">
        <f>VLOOKUP(9,Reagents!$B$1:$M$41,3,FALSE)</f>
        <v>0</v>
      </c>
      <c r="CK2" s="214" t="str">
        <f>IF(VLOOKUP(9,Reagents!$B$1:$M$41,5,FALSE)=0, "NULL", VLOOKUP(9,Reagents!$B$1:$M$41,5,FALSE))</f>
        <v>NULL</v>
      </c>
      <c r="CL2" s="214" t="str">
        <f>IF(OR(Reagents!$Q$10="Stock slurry",Reagents!$Q$10="Stock solution"),VLOOKUP(9,Reagents!$B$1:$R$41,13,FALSE), "NULL")</f>
        <v/>
      </c>
      <c r="CM2" s="362" t="str">
        <f>IF(OR(Reagents!$Q$10="Stock slurry",Reagents!$Q$10="Stock solution"),VLOOKUP(9,Reagents!$B$1:$R$41,14,FALSE), VLOOKUP(9,Reagents!$B$1:$R$41,11,FALSE))</f>
        <v/>
      </c>
      <c r="CN2" s="214">
        <f>VLOOKUP(9,Reagents!$B$1:$R$41,17,FALSE)</f>
        <v>0</v>
      </c>
      <c r="CO2" s="284" t="e">
        <f>IF(OR(VLOOKUP(9,Reagents!$B$1:$M$41,4,FALSE)="solvent_2",VLOOKUP(9,Reagents!$B$1:$M$41,4,FALSE)="solvent_3"),VLOOKUP(9,Reagents!$B$1:$M$41,12,FALSE),IF(OR(Reagents!$Q$10="Stock slurry",Reagents!$Q$10="Stock solution"),CM2*CL2, CM2/VLOOKUP(9,Reagents!$B$1:$R$41,6,FALSE)*1000))</f>
        <v>#VALUE!</v>
      </c>
      <c r="CP2" s="214">
        <f>VLOOKUP(10,Reagents!$B$1:$M$41,2,FALSE)</f>
        <v>0</v>
      </c>
      <c r="CQ2" s="214">
        <f>VLOOKUP(10,Reagents!$B$1:$M$41,3,FALSE)</f>
        <v>0</v>
      </c>
      <c r="CR2" s="214" t="str">
        <f>IF(VLOOKUP(10,Reagents!$B$1:$M$41,5,FALSE)=0, "NULL", VLOOKUP(10,Reagents!$B$1:$M$41,5,FALSE))</f>
        <v>NULL</v>
      </c>
      <c r="CS2" s="214" t="str">
        <f>IF(OR(Reagents!$Q$11="Stock slurry",Reagents!$Q$11="Stock solution"),VLOOKUP(10,Reagents!$B$1:$R$41,13,FALSE), "NULL")</f>
        <v/>
      </c>
      <c r="CT2" s="362" t="str">
        <f>IF(OR(Reagents!$Q$11="Stock slurry",Reagents!$Q$11="Stock solution"),VLOOKUP(10,Reagents!$B$1:$R$41,14,FALSE), VLOOKUP(10,Reagents!$B$1:$R$41,11,FALSE))</f>
        <v/>
      </c>
      <c r="CU2" s="214">
        <f>VLOOKUP(10,Reagents!$B$1:$R$41,17,FALSE)</f>
        <v>0</v>
      </c>
      <c r="CV2" s="284" t="e">
        <f>IF(OR(VLOOKUP(10,Reagents!$B$1:$M$41,4,FALSE)="solvent_2",VLOOKUP(10,Reagents!$B$1:$M$41,4,FALSE)="solvent_3"),VLOOKUP(10,Reagents!$B$1:$M$41,12,FALSE),IF(OR(Reagents!$Q$11="Stock slurry",Reagents!$Q$11="Stock solution"),CT2*CS2, CT2/VLOOKUP(10,Reagents!$B$1:$R$41,6,FALSE)*1000))</f>
        <v>#VALUE!</v>
      </c>
      <c r="CW2" s="214" t="str">
        <f>VLOOKUP(B2+10,Reagents!$B$1:$R$41,2,FALSE)</f>
        <v/>
      </c>
      <c r="CX2" s="214">
        <f>VLOOKUP(B2+10,Reagents!$B$1:$R$41,3,FALSE)</f>
        <v>0</v>
      </c>
      <c r="CY2" s="214" t="str">
        <f>IF(VLOOKUP(B2+10,Reagents!$B$1:$M$41,5,FALSE)=0, "NULL", VLOOKUP(B2+10,Reagents!$B$1:$M$41,5,FALSE))</f>
        <v>NULL</v>
      </c>
      <c r="CZ2" s="214" t="str">
        <f>IF(OR(Reagents!$Q$12="Stock slurry",Reagents!$Q$12="Stock solution"),VLOOKUP(B2+10,Reagents!$B$1:$R$41,13,FALSE), "NULL")</f>
        <v/>
      </c>
      <c r="DA2" s="362" t="str">
        <f>IF(OR(Reagents!$Q$12="Stock slurry",Reagents!$Q$12="Stock solution"),VLOOKUP(B2+10,Reagents!$B$1:$R$41,14,FALSE), VLOOKUP(B2+10,Reagents!$B$1:$R$41,11,FALSE))</f>
        <v/>
      </c>
      <c r="DB2" s="214">
        <f>VLOOKUP(B2+10,Reagents!$B$1:$R$41,17,FALSE)</f>
        <v>0</v>
      </c>
      <c r="DC2" s="284" t="e">
        <f>IF(OR(v1_col="solvent_2",v1_col="solvent_3"),VLOOKUP(B2+10,Reagents!$B$1:$M$41,12,FALSE),IF(OR(Reagents!$Q$12="Stock slurry",Reagents!$Q$12="Stock solution"),DA2*CZ2, DA2/VLOOKUP(B2+10,Reagents!$B$1:$R$41,6,FALSE)*1000))</f>
        <v>#VALUE!</v>
      </c>
      <c r="DD2" s="214" t="str">
        <f>VLOOKUP(B2+22,Reagents!$B$1:$M$41,2,FALSE)</f>
        <v/>
      </c>
      <c r="DE2" s="214">
        <f>VLOOKUP(B2+22,Reagents!$B$1:$R$41,3,FALSE)</f>
        <v>0</v>
      </c>
      <c r="DF2" s="214" t="str">
        <f>IF(VLOOKUP(B2+22,Reagents!$B$1:$M$41,5,FALSE)=0, "NULL", VLOOKUP(B2+22,Reagents!$B$1:$M$41,5,FALSE))</f>
        <v>NULL</v>
      </c>
      <c r="DG2" s="214" t="str">
        <f>IF(OR(Reagents!$Q$18="Stock slurry",Reagents!$Q$12="Stock solution"),VLOOKUP(B2+22,Reagents!$B$1:$R$41,13,FALSE), "NULL")</f>
        <v/>
      </c>
      <c r="DH2" s="362" t="str">
        <f>IF(OR(Reagents!$Q$18="Stock slurry",Reagents!$Q$18="Stock solution"),VLOOKUP(B2+22,Reagents!$B$1:$R$41,14,FALSE), VLOOKUP(B2+22,Reagents!$B$1:$R$41,11,FALSE))</f>
        <v/>
      </c>
      <c r="DI2" s="214">
        <f>VLOOKUP(B2+22,Reagents!$B$1:$R$41,17,FALSE)</f>
        <v>0</v>
      </c>
      <c r="DJ2" s="284" t="e">
        <f>IF(OR(v2_col="solvent_2",v2_col="solvent_3"),VLOOKUP(B2+22,Reagents!$B$1:$M$41,12,FALSE),IF(OR(Reagents!$Q$18="Stock slurry",Reagents!$Q$18="Stock solution"),DH2*DG2, DH2/VLOOKUP(B2+22,Reagents!$B$1:$R$41,6,FALSE)*1000))</f>
        <v>#VALUE!</v>
      </c>
      <c r="DK2" s="214" t="str">
        <f>VLOOKUP(B2+34,Reagents!$B$1:$M$41,2,FALSE)</f>
        <v/>
      </c>
      <c r="DL2" s="214">
        <f>VLOOKUP(B2+34,Reagents!$B$1:$R$41,3,FALSE)</f>
        <v>0</v>
      </c>
      <c r="DM2" s="214" t="str">
        <f>IF(VLOOKUP(B2+34,Reagents!$B$1:$M$41,5,FALSE)=0, "NULL", VLOOKUP(B2+34,Reagents!$B$1:$M$41,5,FALSE))</f>
        <v>NULL</v>
      </c>
      <c r="DN2" s="214" t="str">
        <f>IF(OR(Reagents!$Q$24="Stock slurry",Reagents!$Q$12="Stock solution"),VLOOKUP(B2+34,Reagents!$B$1:$R$41,13,FALSE), "NULL")</f>
        <v/>
      </c>
      <c r="DO2" s="362" t="str">
        <f>IF(OR(Reagents!$Q$24="Stock slurry",Reagents!$Q$24="Stock solution"),VLOOKUP(B2+34,Reagents!$B$1:$R$41,14,FALSE), VLOOKUP(B2+34,Reagents!$B$1:$R$41,11,FALSE))</f>
        <v/>
      </c>
      <c r="DP2" s="214">
        <f>VLOOKUP(B2+34,Reagents!$B$1:$R$41,17,FALSE)</f>
        <v>0</v>
      </c>
      <c r="DQ2" s="284" t="e">
        <f>IF(OR(v3_col="solvent_2",v3_col="solvent_3"),VLOOKUP(B2+34,Reagents!$B$1:$M$41,12,FALSE),IF(OR(Reagents!$Q$24="Stock slurry",Reagents!$Q$24="Stock solution"),DO2*DN2, DO2/VLOOKUP(B2+34,Reagents!$B$1:$R$41,6,FALSE)*1000))</f>
        <v>#VALUE!</v>
      </c>
      <c r="DR2" s="214" t="str">
        <f>VLOOKUP(C2+46,Reagents!$B$1:$M$41,2,FALSE)</f>
        <v/>
      </c>
      <c r="DS2" s="214">
        <f>VLOOKUP(C2+46,Reagents!$B$1:$M$41,3,FALSE)</f>
        <v>0</v>
      </c>
      <c r="DT2" s="214" t="str">
        <f>IF(VLOOKUP(C2+46,Reagents!$B$1:$M$41,5,FALSE)=0, "NULL", VLOOKUP(C2+46,Reagents!$B$1:$M$41,5,FALSE))</f>
        <v>NULL</v>
      </c>
      <c r="DU2" s="214" t="str">
        <f>IF(OR(Reagents!$Q$30="Stock slurry",Reagents!$Q$30="Stock solution"),VLOOKUP(C2+46,Reagents!$B$1:$R$41,13,FALSE), "NULL")</f>
        <v/>
      </c>
      <c r="DV2" s="362" t="str">
        <f>IF(OR(Reagents!$Q$30="Stock slurry",Reagents!$Q$30="Stock solution"),VLOOKUP(C2+46,Reagents!$B$1:$R$41,14,FALSE), VLOOKUP(C2+46,Reagents!$B$1:$R$41,11,FALSE))</f>
        <v/>
      </c>
      <c r="DW2" s="214">
        <f>VLOOKUP(C2+46,Reagents!$B$1:$R$41,17,FALSE)</f>
        <v>0</v>
      </c>
      <c r="DX2" s="284" t="e">
        <f>IF(OR(v4_row="solvent_2",v4_row="solvent_3"),VLOOKUP(C2+46,Reagents!$B$1:$M$41,12,FALSE),IF(OR(Reagents!$Q$30="Stock slurry",Reagents!$Q$30="Stock solution"),DV2*DU2, DV2/VLOOKUP(C2+46,Reagents!$B$1:$R$41,6,FALSE)*1000))</f>
        <v>#VALUE!</v>
      </c>
      <c r="DY2" s="214" t="str">
        <f>VLOOKUP(C2+54,Reagents!$B$1:$M$41,2,FALSE)</f>
        <v/>
      </c>
      <c r="DZ2" s="214">
        <f>VLOOKUP(C2+54,Reagents!$B$1:$M$41,3,FALSE)</f>
        <v>0</v>
      </c>
      <c r="EA2" s="214" t="str">
        <f>IF(VLOOKUP(C2+54,Reagents!$B$1:$M$41,5,FALSE)=0, "NULL", VLOOKUP(C2+54,Reagents!$B$1:$M$41,5,FALSE))</f>
        <v>NULL</v>
      </c>
      <c r="EB2" s="214" t="str">
        <f>IF(OR(Reagents!$Q$34="Stock slurry",Reagents!$Q$34="Stock solution"),VLOOKUP(C2+54,Reagents!$B$1:$R$41,13,FALSE), "NULL")</f>
        <v/>
      </c>
      <c r="EC2" s="362" t="str">
        <f>IF(OR(Reagents!$Q$34="Stock slurry",Reagents!$Q$34="Stock solution"),VLOOKUP(C2+54,Reagents!$B$1:$R$41,14,FALSE), VLOOKUP(C2+54,Reagents!$B$1:$R$41,11,FALSE))</f>
        <v/>
      </c>
      <c r="ED2" s="214">
        <f>VLOOKUP(C2+54,Reagents!$B$1:$R$41,17,FALSE)</f>
        <v>0</v>
      </c>
      <c r="EE2" s="284" t="e">
        <f>IF(OR(v5_row="solvent_2",v5_row="solvent_3"),VLOOKUP(C2+54,Reagents!$B$1:$M$41,12,FALSE),IF(OR(Reagents!$Q$34="Stock slurry",Reagents!$Q$34="Stock solution"),EC2*EB2, EC2/VLOOKUP(C2+54,Reagents!$B$1:$R$41,6,FALSE)*1000))</f>
        <v>#VALUE!</v>
      </c>
      <c r="EF2" s="214" t="str">
        <f>VLOOKUP(C2+62,Reagents!$B$1:$M$41,2,FALSE)</f>
        <v/>
      </c>
      <c r="EG2" s="214">
        <f>VLOOKUP(C2+62,Reagents!$B$1:$M$41,3,FALSE)</f>
        <v>0</v>
      </c>
      <c r="EH2" s="214" t="str">
        <f>IF(VLOOKUP(C2+62,Reagents!$B$1:$M$41,5,FALSE)=0, "NULL", VLOOKUP(C2+62,Reagents!$B$1:$M$41,5,FALSE))</f>
        <v>NULL</v>
      </c>
      <c r="EI2" s="214" t="str">
        <f>IF(OR(Reagents!$Q$38="Stock slurry",Reagents!$Q$38="Stock solution"),VLOOKUP(C2+62,Reagents!$B$1:$R$41,13,FALSE), "NULL")</f>
        <v/>
      </c>
      <c r="EJ2" s="362" t="str">
        <f>IF(OR(Reagents!$Q$38="Stock slurry",Reagents!$Q$38="Stock solution"),VLOOKUP(C2+62,Reagents!$B$1:$R$41,14,FALSE), VLOOKUP(C2+62,Reagents!$B$1:$R$41,11,FALSE))</f>
        <v/>
      </c>
      <c r="EK2" s="214">
        <f>VLOOKUP(C2+62,Reagents!$B$1:$R$41,17,FALSE)</f>
        <v>0</v>
      </c>
      <c r="EL2" s="284" t="e">
        <f>IF(OR(v6_row="solvent_2",v6_row="solvent_3"),VLOOKUP(C2+62,Reagents!$B$1:$M$41,12,FALSE),IF(OR(Reagents!$Q$38="Stock slurry",Reagents!$Q$38="Stock solution"),EJ2*EI2, EJ2/VLOOKUP(C2+62,Reagents!$B$1:$R$41,6,FALSE)*1000))</f>
        <v>#VALUE!</v>
      </c>
      <c r="EM2" s="214">
        <f>VLOOKUP(19,'Plate Planning'!$A$1:$T$35,13,FALSE)</f>
        <v>0</v>
      </c>
      <c r="EN2" s="214">
        <f>VLOOKUP(19,'Plate Planning'!$A$1:$T$35,14,FALSE)</f>
        <v>0</v>
      </c>
      <c r="EO2" s="214">
        <f>VLOOKUP(19,'Plate Planning'!$A$1:$T$35,15,FALSE)</f>
        <v>0</v>
      </c>
      <c r="EP2" s="214">
        <f>VLOOKUP(A2,'Uncorrected Area Counts'!$A$1:$AS$27,3,FALSE)</f>
        <v>0</v>
      </c>
      <c r="EQ2" s="214" t="str">
        <f>VLOOKUP(A2,'Uncorrected Area Counts'!$A$1:$AS$27,4,FALSE)</f>
        <v/>
      </c>
      <c r="ER2" s="214" t="str">
        <f>VLOOKUP(A2,'Uncorrected Area Counts'!$A$1:$AS$27,5,FALSE)</f>
        <v/>
      </c>
      <c r="ES2" s="214">
        <f>VLOOKUP(20,'Plate Planning'!$A$1:$T$35,15,FALSE)</f>
        <v>0</v>
      </c>
      <c r="ET2" s="214">
        <f>VLOOKUP(A2,'Uncorrected Area Counts'!$A$1:$AS$27,7,FALSE)</f>
        <v>0</v>
      </c>
      <c r="EU2" s="214" t="e">
        <f>VLOOKUP(A2,'Uncorrected Area Counts'!$A$1:$AS$27,7,FALSE)/VLOOKUP(A2,'Uncorrected Area Counts'!$A$1:$AS$27,3,FALSE)</f>
        <v>#DIV/0!</v>
      </c>
      <c r="EV2" s="214" t="str">
        <f>IFERROR(VLOOKUP(A2,'Yields &amp; LCAPs'!$A$1:$V$27,3,FALSE), "NULL")</f>
        <v>NULL</v>
      </c>
      <c r="EW2" s="284" t="str">
        <f>IFERROR(VLOOKUP(A2,'Yields &amp; LCAPs'!$A$1:$V$27,4,FALSE), "NULL")</f>
        <v>NULL</v>
      </c>
      <c r="EX2" s="214" t="str">
        <f>VLOOKUP(A2,'Uncorrected Area Counts'!$A$1:$AS$27,8,FALSE)</f>
        <v/>
      </c>
      <c r="EY2" s="214" t="str">
        <f>VLOOKUP(A2,'Uncorrected Area Counts'!$A$1:$AS$27,9,FALSE)</f>
        <v/>
      </c>
      <c r="EZ2" s="214">
        <f>VLOOKUP(22,'Plate Planning'!$A$1:$T$35,15,FALSE)</f>
        <v>0</v>
      </c>
      <c r="FA2" s="214">
        <f>VLOOKUP(A2,'Uncorrected Area Counts'!$A$1:$AS$27,11,FALSE)</f>
        <v>0</v>
      </c>
      <c r="FB2" s="214" t="e">
        <f>VLOOKUP(A2,'Uncorrected Area Counts'!$A$1:$AS$27,11,FALSE)/VLOOKUP(A2,'Uncorrected Area Counts'!$A$1:$AS$27,3,FALSE)</f>
        <v>#DIV/0!</v>
      </c>
      <c r="FC2" s="214" t="str">
        <f>IFERROR(VLOOKUP(A2,'Yields &amp; LCAPs'!$A$1:$V$27,5,FALSE), "NULL")</f>
        <v>NULL</v>
      </c>
      <c r="FD2" s="284" t="str">
        <f>IFERROR(VLOOKUP(A2,'Yields &amp; LCAPs'!$A$1:$V$27,6,FALSE), "NULL")</f>
        <v>NULL</v>
      </c>
      <c r="FE2" s="214" t="str">
        <f>VLOOKUP(A2,'Uncorrected Area Counts'!$A$1:$AS$27,12,FALSE)</f>
        <v/>
      </c>
      <c r="FF2" s="214" t="str">
        <f>VLOOKUP(A2,'Uncorrected Area Counts'!$A$1:$AS$27,13,FALSE)</f>
        <v/>
      </c>
      <c r="FG2" s="214">
        <f>VLOOKUP(24,'Plate Planning'!$A$1:$T$35,15,FALSE)</f>
        <v>0</v>
      </c>
      <c r="FH2" s="214">
        <f>VLOOKUP(A2,'Uncorrected Area Counts'!$A$1:$AS$27,15,FALSE)</f>
        <v>0</v>
      </c>
      <c r="FI2" s="214" t="e">
        <f>VLOOKUP(A2,'Uncorrected Area Counts'!$A$1:$AS$27,15,FALSE)/VLOOKUP(A2,'Uncorrected Area Counts'!$A$1:$AS$27,3,FALSE)</f>
        <v>#DIV/0!</v>
      </c>
      <c r="FJ2" s="214" t="str">
        <f>IFERROR(VLOOKUP(A2,'Yields &amp; LCAPs'!$A$1:$V$27,7,FALSE), "NULL")</f>
        <v>NULL</v>
      </c>
      <c r="FK2" s="284" t="str">
        <f>IFERROR(VLOOKUP(A2,'Yields &amp; LCAPs'!$A$1:$V$27,8,FALSE), "NULL")</f>
        <v>NULL</v>
      </c>
      <c r="FL2" s="214" t="str">
        <f>VLOOKUP(A2,'Uncorrected Area Counts'!$A$1:$AS$27,16,FALSE)</f>
        <v/>
      </c>
      <c r="FM2" s="214" t="str">
        <f>VLOOKUP(A2,'Uncorrected Area Counts'!$A$1:$AS$27,17,FALSE)</f>
        <v/>
      </c>
      <c r="FN2" s="214">
        <f>VLOOKUP(26,'Plate Planning'!$A$1:$T$35,15,FALSE)</f>
        <v>0</v>
      </c>
      <c r="FO2" s="214">
        <f>VLOOKUP(A2,'Uncorrected Area Counts'!$A$1:$AS$27,19,FALSE)</f>
        <v>0</v>
      </c>
      <c r="FP2" s="214" t="e">
        <f>VLOOKUP(A2,'Uncorrected Area Counts'!$A$1:$AS$27,19,FALSE)/VLOOKUP(A2,'Uncorrected Area Counts'!$A$1:$AS$27,3,FALSE)</f>
        <v>#DIV/0!</v>
      </c>
      <c r="FQ2" s="214" t="str">
        <f>IFERROR(VLOOKUP(A2,'Yields &amp; LCAPs'!$A$1:$V$27,9,FALSE), "NULL")</f>
        <v>NULL</v>
      </c>
      <c r="FR2" s="284" t="str">
        <f>IFERROR(VLOOKUP(A2,'Yields &amp; LCAPs'!$A$1:$V$27,10,FALSE), "NULL")</f>
        <v>NULL</v>
      </c>
      <c r="FS2" s="214" t="str">
        <f>VLOOKUP(A2,'Uncorrected Area Counts'!$A$1:$AS$27,20,FALSE)</f>
        <v/>
      </c>
      <c r="FT2" s="214" t="str">
        <f>VLOOKUP(A2,'Uncorrected Area Counts'!$A$1:$AS$27,21,FALSE)</f>
        <v/>
      </c>
      <c r="FU2" s="214">
        <f>VLOOKUP(27,'Plate Planning'!$A$1:$T$35,15,FALSE)</f>
        <v>0</v>
      </c>
      <c r="FV2" s="214">
        <f>VLOOKUP(A2,'Uncorrected Area Counts'!$A$1:$AS$27,23,FALSE)</f>
        <v>0</v>
      </c>
      <c r="FW2" s="214" t="e">
        <f>VLOOKUP(A2,'Uncorrected Area Counts'!$A$1:$AS$27,23,FALSE)/VLOOKUP(A2,'Uncorrected Area Counts'!$A$1:$AS$27,3,FALSE)</f>
        <v>#DIV/0!</v>
      </c>
      <c r="FX2" s="214" t="str">
        <f>IFERROR(VLOOKUP(A2,'Yields &amp; LCAPs'!$A$1:$V$27,11,FALSE), "NULL")</f>
        <v>NULL</v>
      </c>
      <c r="FY2" s="284" t="str">
        <f>IFERROR(VLOOKUP(A2,'Yields &amp; LCAPs'!$A$1:$V$27,12,FALSE), "NULL")</f>
        <v>NULL</v>
      </c>
      <c r="FZ2" s="411" t="str">
        <f>VLOOKUP(A2,'Uncorrected Area Counts'!$A$1:$AS$27,24,FALSE)</f>
        <v/>
      </c>
      <c r="GA2" s="214" t="str">
        <f>VLOOKUP(A2,'Uncorrected Area Counts'!$A$1:$AS$27,25,FALSE)</f>
        <v/>
      </c>
      <c r="GB2" s="214">
        <f>VLOOKUP(28,'Plate Planning'!$A$1:$T$35,15,FALSE)</f>
        <v>0</v>
      </c>
      <c r="GC2" s="214">
        <f>VLOOKUP(A2,'Uncorrected Area Counts'!$A$1:$AS$27,27,FALSE)</f>
        <v>0</v>
      </c>
      <c r="GD2" s="214" t="e">
        <f>VLOOKUP(A2,'Uncorrected Area Counts'!$A$1:$AS$27,27,FALSE)/VLOOKUP(A2,'Uncorrected Area Counts'!$A$1:$AS$27,3,FALSE)</f>
        <v>#DIV/0!</v>
      </c>
      <c r="GE2" s="214" t="str">
        <f>IFERROR(VLOOKUP(A2,'Yields &amp; LCAPs'!$A$1:$V$27,13,FALSE), "NULL")</f>
        <v>NULL</v>
      </c>
      <c r="GF2" s="284" t="str">
        <f>IFERROR(VLOOKUP(A2,'Yields &amp; LCAPs'!$A$1:$V$27,14,FALSE), "NULL")</f>
        <v>NULL</v>
      </c>
      <c r="GG2" s="214" t="str">
        <f>VLOOKUP(A2,'Uncorrected Area Counts'!$A$1:$AS$27,28,FALSE)</f>
        <v/>
      </c>
      <c r="GH2" s="214" t="str">
        <f>VLOOKUP(A2,'Uncorrected Area Counts'!$A$1:$AS$27,29,FALSE)</f>
        <v/>
      </c>
      <c r="GI2" s="214">
        <f>VLOOKUP(29,'Plate Planning'!$A$1:$T$35,15,FALSE)</f>
        <v>0</v>
      </c>
      <c r="GJ2" s="214">
        <f>VLOOKUP(A2,'Uncorrected Area Counts'!$A$1:$AS$27,31,FALSE)</f>
        <v>0</v>
      </c>
      <c r="GK2" s="214" t="e">
        <f>VLOOKUP(A2,'Uncorrected Area Counts'!$A$1:$AS$27,31,FALSE)/VLOOKUP(A2,'Uncorrected Area Counts'!$A$1:$AS$27,3,FALSE)</f>
        <v>#DIV/0!</v>
      </c>
      <c r="GL2" s="214" t="str">
        <f>IFERROR(VLOOKUP(A2,'Yields &amp; LCAPs'!$A$1:$V$27,15,FALSE), "NULL")</f>
        <v>NULL</v>
      </c>
      <c r="GM2" s="284" t="str">
        <f>IFERROR(VLOOKUP(A2,'Yields &amp; LCAPs'!$A$1:$V$27,16,FALSE), "NULL")</f>
        <v>NULL</v>
      </c>
      <c r="GN2" s="214" t="str">
        <f>VLOOKUP(A2,'Uncorrected Area Counts'!$A$1:$AS$27,32,FALSE)</f>
        <v/>
      </c>
      <c r="GO2" s="214" t="str">
        <f>VLOOKUP(A2,'Uncorrected Area Counts'!$A$1:$AS$27,33,FALSE)</f>
        <v/>
      </c>
      <c r="GP2" s="214">
        <f>VLOOKUP(30,'Plate Planning'!$A$1:$T$35,15,FALSE)</f>
        <v>0</v>
      </c>
      <c r="GQ2" s="214">
        <f>VLOOKUP(A2,'Uncorrected Area Counts'!$A$1:$AS$27,35,FALSE)</f>
        <v>0</v>
      </c>
      <c r="GR2" s="214" t="e">
        <f>VLOOKUP(A2,'Uncorrected Area Counts'!$A$1:$AS$27,35,FALSE)/VLOOKUP(A2,'Uncorrected Area Counts'!$A$1:$AS$27,3,FALSE)</f>
        <v>#DIV/0!</v>
      </c>
      <c r="GS2" s="214" t="str">
        <f>IFERROR(VLOOKUP(A2,'Yields &amp; LCAPs'!$A$1:$V$27,17,FALSE), "NULL")</f>
        <v>NULL</v>
      </c>
      <c r="GT2" s="284" t="str">
        <f>IFERROR(VLOOKUP(A2,'Yields &amp; LCAPs'!$A$1:$V$27,18,FALSE), "NULL")</f>
        <v>NULL</v>
      </c>
      <c r="GU2" s="214" t="str">
        <f>VLOOKUP(A2,'Uncorrected Area Counts'!$A$1:$AS$27,36,FALSE)</f>
        <v/>
      </c>
      <c r="GV2" s="214" t="str">
        <f>VLOOKUP(A2,'Uncorrected Area Counts'!$A$1:$AS$27,37,FALSE)</f>
        <v/>
      </c>
      <c r="GW2" s="214">
        <f>VLOOKUP(31,'Plate Planning'!$A$1:$T$35,15,FALSE)</f>
        <v>0</v>
      </c>
      <c r="GX2" s="214">
        <f>VLOOKUP(A2,'Uncorrected Area Counts'!$A$1:$AS$27,39,FALSE)</f>
        <v>0</v>
      </c>
      <c r="GY2" s="214" t="e">
        <f>VLOOKUP(A2,'Uncorrected Area Counts'!$A$1:$AS$27,39,FALSE)/VLOOKUP(A2,'Uncorrected Area Counts'!$A$1:$AS$27,3,FALSE)</f>
        <v>#DIV/0!</v>
      </c>
      <c r="GZ2" s="214" t="str">
        <f>IFERROR(VLOOKUP(A2,'Yields &amp; LCAPs'!$A$1:$V$27,19,FALSE), "NULL")</f>
        <v>NULL</v>
      </c>
      <c r="HA2" s="284" t="str">
        <f>IFERROR(VLOOKUP(A2,'Yields &amp; LCAPs'!$A$1:$V$27,20,FALSE), "NULL")</f>
        <v>NULL</v>
      </c>
      <c r="HB2" s="214" t="str">
        <f>VLOOKUP(A2,'Uncorrected Area Counts'!$A$1:$AS$27,40,FALSE)</f>
        <v/>
      </c>
      <c r="HC2" s="214" t="str">
        <f>VLOOKUP(A2,'Uncorrected Area Counts'!$A$1:$AS$27,41,FALSE)</f>
        <v/>
      </c>
      <c r="HD2" s="214">
        <f>VLOOKUP(32,'Plate Planning'!$A$1:$T$35,15,FALSE)</f>
        <v>0</v>
      </c>
      <c r="HE2" s="214">
        <f>VLOOKUP(A2,'Uncorrected Area Counts'!$A$1:$AS$27,43,FALSE)</f>
        <v>0</v>
      </c>
      <c r="HF2" s="214" t="e">
        <f>VLOOKUP(A2,'Uncorrected Area Counts'!$A$1:$AS$27,43,FALSE)/VLOOKUP(A2,'Uncorrected Area Counts'!$A$1:$AS$27,3,FALSE)</f>
        <v>#DIV/0!</v>
      </c>
      <c r="HG2" s="214" t="str">
        <f>IFERROR(VLOOKUP(A2,'Yields &amp; LCAPs'!$A$1:$V$27,21,FALSE), "NULL")</f>
        <v>NULL</v>
      </c>
      <c r="HH2" s="284" t="str">
        <f>IFERROR(VLOOKUP(A2,'Yields &amp; LCAPs'!$A$1:$V$27,22,FALSE), "NULL")</f>
        <v>NULL</v>
      </c>
      <c r="HI2" s="362"/>
      <c r="HJ2" s="362"/>
      <c r="HK2" s="362"/>
      <c r="HL2" s="362"/>
      <c r="HM2" s="363"/>
      <c r="HN2" s="362"/>
      <c r="HO2" s="362"/>
      <c r="HP2" s="362"/>
      <c r="HQ2" s="362"/>
      <c r="HR2" s="363"/>
    </row>
    <row r="3" spans="1:230">
      <c r="A3" s="216" t="s">
        <v>1162</v>
      </c>
      <c r="B3" s="214">
        <v>2</v>
      </c>
      <c r="C3" s="214">
        <v>1</v>
      </c>
      <c r="D3" s="214" t="str">
        <f>VLOOKUP(18,'Plate Planning'!$A$1:$T$35,10,FALSE)&amp;"_"&amp;VLOOKUP(19,'Plate Planning'!$A$1:$T$35,10,FALSE)&amp;"_"&amp;A3</f>
        <v>__A2</v>
      </c>
      <c r="E3" s="214" t="str">
        <f>IF(VLOOKUP(18,'Plate Planning'!$A$1:$T$35,10,FALSE)="", "NULL", VLOOKUP(18,'Plate Planning'!$A$1:$T$35,10,FALSE))</f>
        <v>NULL</v>
      </c>
      <c r="F3" s="214" t="str">
        <f>IF(VLOOKUP(19,'Plate Planning'!$A$1:$T$35,10,FALSE)="", "NULL", VLOOKUP(19,'Plate Planning'!$A$1:$T$35,10,FALSE))</f>
        <v>NULL</v>
      </c>
      <c r="G3" s="214" t="str">
        <f>IF(VLOOKUP(20,'Plate Planning'!$A$1:$T$35,10,FALSE)="", "NULL", VLOOKUP(20,'Plate Planning'!$A$1:$T$35,10,FALSE))</f>
        <v>NULL</v>
      </c>
      <c r="H3" s="214" t="str">
        <f>IF(VLOOKUP(21,'Plate Planning'!$A$1:$T$35,10,FALSE)="", "NULL", VLOOKUP(21,'Plate Planning'!$A$1:$T$35,10,FALSE))</f>
        <v>NULL</v>
      </c>
      <c r="I3" s="214" t="str">
        <f>IF(VLOOKUP(23,'Plate Planning'!$A$1:$T$35,10,FALSE)="", "NULL", VLOOKUP(23,'Plate Planning'!$A$1:$T$35,10,FALSE))</f>
        <v>NULL</v>
      </c>
      <c r="J3" s="214" t="str">
        <f>IF(VLOOKUP(22,'Plate Planning'!$A$1:$T$35,10,FALSE)="", "NULL", VLOOKUP(22,'Plate Planning'!$A$1:$T$35,10,FALSE))</f>
        <v>NULL</v>
      </c>
      <c r="K3" s="214" t="str">
        <f>VLOOKUP(24,'Plate Planning'!$A$1:$T$35,10,FALSE)</f>
        <v>Glovebox</v>
      </c>
      <c r="L3" s="214" t="str">
        <f>IF(VLOOKUP(25,'Plate Planning'!$A$1:$T$35,10,FALSE)="","NULL",VLOOKUP(25,'Plate Planning'!$A$1:$T$35,10,FALSE))</f>
        <v>NULL</v>
      </c>
      <c r="M3" s="214" t="str">
        <f>VLOOKUP(26,'Plate Planning'!$A$1:$T$35,10,FALSE)</f>
        <v>ambient</v>
      </c>
      <c r="N3" s="214" t="str">
        <f>IF(VLOOKUP(27,'Plate Planning'!$A$1:$T$35,10,FALSE)=0,"NULL", VLOOKUP(27,'Plate Planning'!$A$1:$T$35,10,FALSE))</f>
        <v>NULL</v>
      </c>
      <c r="O3" s="214" t="str">
        <f>IF(VLOOKUP(3,'Plate Planning'!$A$2:$S$35,18,FALSE)="", "NULL", VLOOKUP(3,'Plate Planning'!$A$2:$S$35,18,FALSE))</f>
        <v>NULL</v>
      </c>
      <c r="P3" s="214" t="str">
        <f>IF(VLOOKUP(4,'Plate Planning'!$A$2:$S$35,18,FALSE)="", "NULL", VLOOKUP(4,'Plate Planning'!$A$2:$S$35,18,FALSE))</f>
        <v>NULL</v>
      </c>
      <c r="Q3" s="214" t="str">
        <f>IF(VLOOKUP(5,'Plate Planning'!$A$2:$S$35,18,FALSE)="", "NULL", VLOOKUP(5,'Plate Planning'!$A$2:$S$35,18,FALSE))</f>
        <v>NULL</v>
      </c>
      <c r="R3" s="214" t="str">
        <f>IF(VLOOKUP(6,'Plate Planning'!$A$2:$S$35,18,FALSE)="", "NULL", VLOOKUP(6,'Plate Planning'!$A$2:$S$35,18,FALSE))</f>
        <v>NULL</v>
      </c>
      <c r="S3" s="214" t="str">
        <f>IF(VLOOKUP(7,'Plate Planning'!$A$2:$S$35,18,FALSE)="", "NULL", VLOOKUP(7,'Plate Planning'!$A$2:$S$35,18,FALSE))</f>
        <v>NULL</v>
      </c>
      <c r="T3" s="214" t="str">
        <f>IF(VLOOKUP(28,'Plate Planning'!$A$1:$T$35,10,FALSE)=0,"NULL",VLOOKUP(28,'Plate Planning'!$A$1:$T$35,10,FALSE))</f>
        <v>NULL</v>
      </c>
      <c r="U3" s="214" t="str">
        <f>IFERROR(VLOOKUP(VLOOKUP(28,'Plate Planning'!$A$1:$T$35,10,FALSE),Dictionaries!$Q$2:$R$72,2,FALSE), "NULL")</f>
        <v>NULL</v>
      </c>
      <c r="V3" s="214" t="str">
        <f>IF(VLOOKUP(28,'Plate Planning'!$A$1:$T$35,10,FALSE)=0,"NULL",VLOOKUP(32,'Plate Planning'!$A$1:$T$35,10,FALSE))</f>
        <v>NULL</v>
      </c>
      <c r="W3" s="214" t="str">
        <f>IF(VLOOKUP(C3+3,'Plate Planning'!$A$1:$S$35,B3+4,FALSE)=0, "", VLOOKUP(C3+3,'Plate Planning'!$A$1:$S$35,B3+4,FALSE))</f>
        <v/>
      </c>
      <c r="X3" s="214" t="str">
        <f>IFERROR(VLOOKUP(W3,'Complex Variable'!$A$2:$S$25,2,FALSE), "")</f>
        <v/>
      </c>
      <c r="Y3" s="327" t="str">
        <f>IFERROR(VLOOKUP(W3,'Complex Variable'!$A$2:$S$25,3,FALSE), "")</f>
        <v/>
      </c>
      <c r="Z3" s="327" t="str">
        <f>IFERROR(VLOOKUP(W3,'Complex Variable'!$A$2:$S$25,5,FALSE), "")</f>
        <v/>
      </c>
      <c r="AA3" s="327" t="str">
        <f>IFERROR(VLOOKUP(W3,'Complex Variable'!$A$2:$S$25,14,FALSE), "")</f>
        <v/>
      </c>
      <c r="AB3" s="602" t="str">
        <f>IFERROR(VLOOKUP(W3,'Complex Variable'!$A$2:$S$25,19,FALSE), "")</f>
        <v/>
      </c>
      <c r="AC3" s="327" t="str">
        <f>IFERROR(VLOOKUP(W3,'Complex Variable'!$A$2:$S$25,13,FALSE), "")</f>
        <v/>
      </c>
      <c r="AD3" s="604" t="str">
        <f t="shared" ref="AD3:AD25" si="0">IFERROR(AB3*AA3, "")</f>
        <v/>
      </c>
      <c r="AE3" s="214">
        <f>VLOOKUP(1,Reagents!$B$1:$M$41,2,FALSE)</f>
        <v>0</v>
      </c>
      <c r="AF3" s="214">
        <f>VLOOKUP(1,Reagents!$B$1:$M$41,3,FALSE)</f>
        <v>0</v>
      </c>
      <c r="AG3" s="214" t="str">
        <f>IF(VLOOKUP(1,Reagents!$B$1:$M$41,5,FALSE)=0, "NULL", VLOOKUP(1,Reagents!$B$1:$M$41,5,FALSE))</f>
        <v>NULL</v>
      </c>
      <c r="AH3" s="214" t="str">
        <f>IF(OR(Reagents!$Q$2="Stock slurry",Reagents!$Q$2="Stock solution"),VLOOKUP(1,Reagents!$B$1:$R$41,13,FALSE), "NULL")</f>
        <v/>
      </c>
      <c r="AI3" s="362" t="str">
        <f>IF(OR(Reagents!$Q$2="Stock slurry",Reagents!$Q$2="Stock solution"),VLOOKUP(1,Reagents!$B$1:$R$41,14,FALSE), VLOOKUP(1,Reagents!$B$1:$R$41,11,FALSE))</f>
        <v/>
      </c>
      <c r="AJ3" s="214">
        <f>VLOOKUP(1,Reagents!$B$1:$R$41,17,FALSE)</f>
        <v>0</v>
      </c>
      <c r="AK3" s="284" t="e">
        <f>IF(OR(VLOOKUP(1,Reagents!$B$1:$M$41,4,FALSE)="solvent_2",VLOOKUP(1,Reagents!$B$1:$M$41,4,FALSE)="solvent_3"),VLOOKUP(1,Reagents!$B$1:$M$41,12,FALSE),IF(OR(Reagents!$Q$2="Stock slurry",Reagents!$Q$2="Stock solution"),AI3*AH3, AI3/VLOOKUP(1,Reagents!$B$1:$R$41,6,FALSE)*1000))</f>
        <v>#VALUE!</v>
      </c>
      <c r="AL3" s="214">
        <f>VLOOKUP(2,Reagents!$B$1:$M$41,2,FALSE)</f>
        <v>0</v>
      </c>
      <c r="AM3" s="214">
        <f>VLOOKUP(2,Reagents!$B$1:$M$41,3,FALSE)</f>
        <v>0</v>
      </c>
      <c r="AN3" s="214" t="str">
        <f>IF(VLOOKUP(2,Reagents!$B$1:$M$41,5,FALSE)=0, "NULL", VLOOKUP(2,Reagents!$B$1:$M$41,5,FALSE))</f>
        <v>NULL</v>
      </c>
      <c r="AO3" s="214" t="str">
        <f>IF(OR(Reagents!$Q$3="Stock slurry",Reagents!$Q$3="Stock solution"),VLOOKUP(2,Reagents!$B$1:$R$41,13,FALSE), "NULL")</f>
        <v/>
      </c>
      <c r="AP3" s="362" t="str">
        <f>IF(OR(Reagents!$Q$3="Stock slurry",Reagents!$Q$3="Stock solution"),VLOOKUP(2,Reagents!$B$1:$R$41,14,FALSE), VLOOKUP(2,Reagents!$B$1:$R$41,11,FALSE))</f>
        <v/>
      </c>
      <c r="AQ3" s="214">
        <f>VLOOKUP(2,Reagents!$B$1:$R$41,17,FALSE)</f>
        <v>0</v>
      </c>
      <c r="AR3" s="284" t="e">
        <f>IF(OR(VLOOKUP(2,Reagents!$B$1:$M$41,4,FALSE)="solvent_2",VLOOKUP(2,Reagents!$B$1:$M$41,4,FALSE)="solvent_3"),VLOOKUP(2,Reagents!$B$1:$M$41,12,FALSE),IF(OR(Reagents!$Q$3="Stock slurry",Reagents!$Q$3="Stock solution"),AP3*AO3, AP3/VLOOKUP(2,Reagents!$B$1:$R$41,6,FALSE)*1000))</f>
        <v>#VALUE!</v>
      </c>
      <c r="AS3" s="214">
        <f>VLOOKUP(3,Reagents!$B$1:$M$41,2,FALSE)</f>
        <v>0</v>
      </c>
      <c r="AT3" s="214">
        <f>VLOOKUP(3,Reagents!$B$1:$M$41,3,FALSE)</f>
        <v>0</v>
      </c>
      <c r="AU3" s="214" t="str">
        <f>IF(VLOOKUP(3,Reagents!$B$1:$M$41,5,FALSE)=0, "NULL", VLOOKUP(3,Reagents!$B$1:$M$41,5,FALSE))</f>
        <v>NULL</v>
      </c>
      <c r="AV3" s="214" t="str">
        <f>IF(OR(Reagents!$Q$4="Stock slurry",Reagents!$Q$4="Stock solution"),VLOOKUP(3,Reagents!$B$1:$R$41,13,FALSE), "NULL")</f>
        <v/>
      </c>
      <c r="AW3" s="362" t="str">
        <f>IF(OR(Reagents!$Q$4="Stock slurry",Reagents!$Q$4="Stock solution"),VLOOKUP(3,Reagents!$B$1:$R$41,14,FALSE), VLOOKUP(3,Reagents!$B$1:$R$41,11,FALSE))</f>
        <v/>
      </c>
      <c r="AX3" s="214">
        <f>VLOOKUP(3,Reagents!$B$1:$R$41,17,FALSE)</f>
        <v>0</v>
      </c>
      <c r="AY3" s="284" t="e">
        <f>IF(OR(VLOOKUP(3,Reagents!$B$1:$M$41,4,FALSE)="solvent_2",VLOOKUP(3,Reagents!$B$1:$M$41,4,FALSE)="solvent_3"),VLOOKUP(3,Reagents!$B$1:$M$41,12,FALSE),IF(OR(Reagents!$Q$4="Stock slurry",Reagents!$Q$4="Stock solution"),AW3*AV3, AW3/VLOOKUP(3,Reagents!$B$1:$R$41,6,FALSE)*1000))</f>
        <v>#VALUE!</v>
      </c>
      <c r="AZ3" s="214">
        <f>VLOOKUP(4,Reagents!$B$1:$M$41,2,FALSE)</f>
        <v>0</v>
      </c>
      <c r="BA3" s="214">
        <f>VLOOKUP(4,Reagents!$B$1:$M$41,3,FALSE)</f>
        <v>0</v>
      </c>
      <c r="BB3" s="214" t="str">
        <f>IF(VLOOKUP(4,Reagents!$B$1:$M$41,5,FALSE)=0, "NULL", VLOOKUP(4,Reagents!$B$1:$M$41,5,FALSE))</f>
        <v>NULL</v>
      </c>
      <c r="BC3" s="214" t="str">
        <f>IF(OR(Reagents!$Q$5="Stock slurry",Reagents!$Q$5="Stock solution"),VLOOKUP(4,Reagents!$B$1:$R$41,13,FALSE), "NULL")</f>
        <v/>
      </c>
      <c r="BD3" s="362" t="str">
        <f>IF(OR(Reagents!$Q$5="Stock slurry",Reagents!$Q$5="Stock solution"),VLOOKUP(4,Reagents!$B$1:$R$41,14,FALSE), VLOOKUP(4,Reagents!$B$1:$R$41,11,FALSE))</f>
        <v/>
      </c>
      <c r="BE3" s="214">
        <f>VLOOKUP(4,Reagents!$B$1:$R$41,17,FALSE)</f>
        <v>0</v>
      </c>
      <c r="BF3" s="284" t="e">
        <f>IF(OR(VLOOKUP(4,Reagents!$B$1:$M$41,4,FALSE)="solvent_2",VLOOKUP(4,Reagents!$B$1:$M$41,4,FALSE)="solvent_3"),VLOOKUP(4,Reagents!$B$1:$M$41,12,FALSE),IF(OR(Reagents!$Q$5="Stock slurry",Reagents!$Q$5="Stock solution"),BD3*BC3, BD3/VLOOKUP(4,Reagents!$B$1:$R$41,6,FALSE)*1000))</f>
        <v>#VALUE!</v>
      </c>
      <c r="BG3" s="214">
        <f>VLOOKUP(5,Reagents!$B$1:$M$41,2,FALSE)</f>
        <v>0</v>
      </c>
      <c r="BH3" s="214">
        <f>VLOOKUP(5,Reagents!$B$1:$M$41,3,FALSE)</f>
        <v>0</v>
      </c>
      <c r="BI3" s="214" t="str">
        <f>IF(VLOOKUP(5,Reagents!$B$1:$M$41,5,FALSE)=0, "NULL", VLOOKUP(5,Reagents!$B$1:$M$41,5,FALSE))</f>
        <v>NULL</v>
      </c>
      <c r="BJ3" s="214" t="str">
        <f>IF(OR(Reagents!$Q$6="Stock slurry",Reagents!$Q$6="Stock solution"),VLOOKUP(5,Reagents!$B$1:$R$41,13,FALSE), "NULL")</f>
        <v/>
      </c>
      <c r="BK3" s="362" t="str">
        <f>IF(OR(Reagents!$Q$6="Stock slurry",Reagents!$Q$6="Stock solution"),VLOOKUP(5,Reagents!$B$1:$R$41,14,FALSE), VLOOKUP(5,Reagents!$B$1:$R$41,11,FALSE))</f>
        <v/>
      </c>
      <c r="BL3" s="214">
        <f>VLOOKUP(5,Reagents!$B$1:$R$41,17,FALSE)</f>
        <v>0</v>
      </c>
      <c r="BM3" s="284" t="e">
        <f>IF(OR(VLOOKUP(5,Reagents!$B$1:$M$41,4,FALSE)="solvent_2",VLOOKUP(5,Reagents!$B$1:$M$41,4,FALSE)="solvent_3"),VLOOKUP(5,Reagents!$B$1:$M$41,12,FALSE),IF(OR(Reagents!$Q$6="Stock slurry",Reagents!$Q$6="Stock solution"),BK3*BJ3, BK3/VLOOKUP(5,Reagents!$B$1:$R$41,6,FALSE)*1000))</f>
        <v>#VALUE!</v>
      </c>
      <c r="BN3" s="214">
        <f>VLOOKUP(6,Reagents!$B$1:$M$41,2,FALSE)</f>
        <v>0</v>
      </c>
      <c r="BO3" s="214">
        <f>VLOOKUP(6,Reagents!$B$1:$M$41,3,FALSE)</f>
        <v>0</v>
      </c>
      <c r="BP3" s="214" t="str">
        <f>IF(VLOOKUP(6,Reagents!$B$1:$M$41,5,FALSE)=0, "NULL", VLOOKUP(6,Reagents!$B$1:$M$41,5,FALSE))</f>
        <v>NULL</v>
      </c>
      <c r="BQ3" s="214" t="str">
        <f>IF(OR(Reagents!$Q$7="Stock slurry",Reagents!$Q$7="Stock solution"),VLOOKUP(6,Reagents!$B$1:$R$41,13,FALSE), "NULL")</f>
        <v/>
      </c>
      <c r="BR3" s="362" t="str">
        <f>IF(OR(Reagents!$Q$7="Stock slurry",Reagents!$Q$7="Stock solution"),VLOOKUP(6,Reagents!$B$1:$R$41,14,FALSE), VLOOKUP(6,Reagents!$B$1:$R$41,11,FALSE))</f>
        <v/>
      </c>
      <c r="BS3" s="214">
        <f>VLOOKUP(6,Reagents!$B$1:$R$41,17,FALSE)</f>
        <v>0</v>
      </c>
      <c r="BT3" s="284" t="e">
        <f>IF(OR(VLOOKUP(6,Reagents!$B$1:$M$41,4,FALSE)="solvent_2",VLOOKUP(6,Reagents!$B$1:$M$41,4,FALSE)="solvent_3"),VLOOKUP(6,Reagents!$B$1:$M$41,12,FALSE),IF(OR(Reagents!$Q$7="Stock slurry",Reagents!$Q$7="Stock solution"),BR3*BQ3, BR3/VLOOKUP(6,Reagents!$B$1:$R$41,6,FALSE)*1000))</f>
        <v>#VALUE!</v>
      </c>
      <c r="BU3" s="214">
        <f>VLOOKUP(7,Reagents!$B$1:$M$41,2,FALSE)</f>
        <v>0</v>
      </c>
      <c r="BV3" s="214">
        <f>VLOOKUP(7,Reagents!$B$1:$M$41,3,FALSE)</f>
        <v>0</v>
      </c>
      <c r="BW3" s="214" t="str">
        <f>IF(VLOOKUP(7,Reagents!$B$1:$M$41,5,FALSE)=0, "NULL", VLOOKUP(7,Reagents!$B$1:$M$41,5,FALSE))</f>
        <v>NULL</v>
      </c>
      <c r="BX3" s="214" t="str">
        <f>IF(OR(Reagents!$Q$8="Stock slurry",Reagents!$Q$8="Stock solution"),VLOOKUP(7,Reagents!$B$1:$R$41,13,FALSE), "NULL")</f>
        <v/>
      </c>
      <c r="BY3" s="362" t="str">
        <f>IF(OR(Reagents!$Q$8="Stock slurry",Reagents!$Q$8="Stock solution"),VLOOKUP(7,Reagents!$B$1:$R$41,14,FALSE), VLOOKUP(7,Reagents!$B$1:$R$41,11,FALSE))</f>
        <v/>
      </c>
      <c r="BZ3" s="214">
        <f>VLOOKUP(7,Reagents!$B$1:$R$41,17,FALSE)</f>
        <v>0</v>
      </c>
      <c r="CA3" s="284" t="e">
        <f>IF(OR(VLOOKUP(7,Reagents!$B$1:$M$41,4,FALSE)="solvent_2",VLOOKUP(7,Reagents!$B$1:$M$41,4,FALSE)="solvent_3"),VLOOKUP(7,Reagents!$B$1:$M$41,12,FALSE),IF(OR(Reagents!$Q$8="Stock slurry",Reagents!$Q$8="Stock solution"),BY3*BX3, BY3/VLOOKUP(7,Reagents!$B$1:$R$41,6,FALSE)*1000))</f>
        <v>#VALUE!</v>
      </c>
      <c r="CB3" s="214">
        <f>VLOOKUP(8,Reagents!$B$1:$M$41,2,FALSE)</f>
        <v>0</v>
      </c>
      <c r="CC3" s="214">
        <f>VLOOKUP(8,Reagents!$B$1:$M$41,3,FALSE)</f>
        <v>0</v>
      </c>
      <c r="CD3" s="214" t="str">
        <f>IF(VLOOKUP(8,Reagents!$B$1:$M$41,5,FALSE)=0, "NULL", VLOOKUP(8,Reagents!$B$1:$M$41,5,FALSE))</f>
        <v>NULL</v>
      </c>
      <c r="CE3" s="214" t="str">
        <f>IF(OR(Reagents!$Q$9="Stock slurry",Reagents!$Q$9="Stock solution"),VLOOKUP(8,Reagents!$B$1:$R$41,13,FALSE), "NULL")</f>
        <v/>
      </c>
      <c r="CF3" s="362" t="str">
        <f>IF(OR(Reagents!$Q$9="Stock slurry",Reagents!$Q$9="Stock solution"),VLOOKUP(8,Reagents!$B$1:$R$41,14,FALSE), VLOOKUP(8,Reagents!$B$1:$R$41,11,FALSE))</f>
        <v/>
      </c>
      <c r="CG3" s="214">
        <f>VLOOKUP(8,Reagents!$B$1:$R$41,17,FALSE)</f>
        <v>0</v>
      </c>
      <c r="CH3" s="284" t="e">
        <f>IF(OR(VLOOKUP(8,Reagents!$B$1:$M$41,4,FALSE)="solvent_2",VLOOKUP(8,Reagents!$B$1:$M$41,4,FALSE)="solvent_3"),VLOOKUP(8,Reagents!$B$1:$M$41,12,FALSE),IF(OR(Reagents!$Q$9="Stock slurry",Reagents!$Q$9="Stock solution"),CF3*CE3, CF3/VLOOKUP(8,Reagents!$B$1:$R$41,6,FALSE)*1000))</f>
        <v>#VALUE!</v>
      </c>
      <c r="CI3" s="214">
        <f>VLOOKUP(9,Reagents!$B$1:$M$41,2,FALSE)</f>
        <v>0</v>
      </c>
      <c r="CJ3" s="214">
        <f>VLOOKUP(9,Reagents!$B$1:$M$41,3,FALSE)</f>
        <v>0</v>
      </c>
      <c r="CK3" s="214" t="str">
        <f>IF(VLOOKUP(9,Reagents!$B$1:$M$41,5,FALSE)=0, "NULL", VLOOKUP(9,Reagents!$B$1:$M$41,5,FALSE))</f>
        <v>NULL</v>
      </c>
      <c r="CL3" s="214" t="str">
        <f>IF(OR(Reagents!$Q$10="Stock slurry",Reagents!$Q$10="Stock solution"),VLOOKUP(9,Reagents!$B$1:$R$41,13,FALSE), "NULL")</f>
        <v/>
      </c>
      <c r="CM3" s="362" t="str">
        <f>IF(OR(Reagents!$Q$10="Stock slurry",Reagents!$Q$10="Stock solution"),VLOOKUP(9,Reagents!$B$1:$R$41,14,FALSE), VLOOKUP(9,Reagents!$B$1:$R$41,11,FALSE))</f>
        <v/>
      </c>
      <c r="CN3" s="214">
        <f>VLOOKUP(9,Reagents!$B$1:$R$41,17,FALSE)</f>
        <v>0</v>
      </c>
      <c r="CO3" s="284" t="e">
        <f>IF(OR(VLOOKUP(9,Reagents!$B$1:$M$41,4,FALSE)="solvent_2",VLOOKUP(9,Reagents!$B$1:$M$41,4,FALSE)="solvent_3"),VLOOKUP(9,Reagents!$B$1:$M$41,12,FALSE),IF(OR(Reagents!$Q$10="Stock slurry",Reagents!$Q$10="Stock solution"),CM3*CL3, CM3/VLOOKUP(9,Reagents!$B$1:$R$41,6,FALSE)*1000))</f>
        <v>#VALUE!</v>
      </c>
      <c r="CP3" s="214">
        <f>VLOOKUP(10,Reagents!$B$1:$M$41,2,FALSE)</f>
        <v>0</v>
      </c>
      <c r="CQ3" s="214">
        <f>VLOOKUP(10,Reagents!$B$1:$M$41,3,FALSE)</f>
        <v>0</v>
      </c>
      <c r="CR3" s="214" t="str">
        <f>IF(VLOOKUP(10,Reagents!$B$1:$M$41,5,FALSE)=0, "NULL", VLOOKUP(10,Reagents!$B$1:$M$41,5,FALSE))</f>
        <v>NULL</v>
      </c>
      <c r="CS3" s="214" t="str">
        <f>IF(OR(Reagents!$Q$11="Stock slurry",Reagents!$Q$11="Stock solution"),VLOOKUP(10,Reagents!$B$1:$R$41,13,FALSE), "NULL")</f>
        <v/>
      </c>
      <c r="CT3" s="362" t="str">
        <f>IF(OR(Reagents!$Q$11="Stock slurry",Reagents!$Q$11="Stock solution"),VLOOKUP(10,Reagents!$B$1:$R$41,14,FALSE), VLOOKUP(10,Reagents!$B$1:$R$41,11,FALSE))</f>
        <v/>
      </c>
      <c r="CU3" s="214">
        <f>VLOOKUP(10,Reagents!$B$1:$R$41,17,FALSE)</f>
        <v>0</v>
      </c>
      <c r="CV3" s="284" t="e">
        <f>IF(OR(VLOOKUP(10,Reagents!$B$1:$M$41,4,FALSE)="solvent_2",VLOOKUP(10,Reagents!$B$1:$M$41,4,FALSE)="solvent_3"),VLOOKUP(10,Reagents!$B$1:$M$41,12,FALSE),IF(OR(Reagents!$Q$11="Stock slurry",Reagents!$Q$11="Stock solution"),CT3*CS3, CT3/VLOOKUP(10,Reagents!$B$1:$R$41,6,FALSE)*1000))</f>
        <v>#VALUE!</v>
      </c>
      <c r="CW3" s="214" t="str">
        <f>VLOOKUP(B3+10,Reagents!$B$1:$R$41,2,FALSE)</f>
        <v/>
      </c>
      <c r="CX3" s="214">
        <f>VLOOKUP(B3+10,Reagents!$B$1:$R$41,3,FALSE)</f>
        <v>0</v>
      </c>
      <c r="CY3" s="214" t="str">
        <f>IF(VLOOKUP(B3+10,Reagents!$B$1:$M$41,5,FALSE)=0, "NULL", VLOOKUP(B3+10,Reagents!$B$1:$M$41,5,FALSE))</f>
        <v>NULL</v>
      </c>
      <c r="CZ3" s="214" t="str">
        <f>IF(OR(Reagents!$Q$12="Stock slurry",Reagents!$Q$12="Stock solution"),VLOOKUP(B3+10,Reagents!$B$1:$R$41,13,FALSE), "NULL")</f>
        <v/>
      </c>
      <c r="DA3" s="362" t="str">
        <f>IF(OR(Reagents!$Q$12="Stock slurry",Reagents!$Q$12="Stock solution"),VLOOKUP(B3+10,Reagents!$B$1:$R$41,14,FALSE), VLOOKUP(B3+10,Reagents!$B$1:$R$41,11,FALSE))</f>
        <v/>
      </c>
      <c r="DB3" s="214">
        <f>VLOOKUP(B3+10,Reagents!$B$1:$R$41,17,FALSE)</f>
        <v>0</v>
      </c>
      <c r="DC3" s="284" t="e">
        <f>IF(OR(v1_col="solvent_2",v1_col="solvent_3"),VLOOKUP(B3+10,Reagents!$B$1:$M$41,12,FALSE),IF(OR(Reagents!$Q$12="Stock slurry",Reagents!$Q$12="Stock solution"),DA3*CZ3, DA3/VLOOKUP(B3+10,Reagents!$B$1:$R$41,6,FALSE)*1000))</f>
        <v>#VALUE!</v>
      </c>
      <c r="DD3" s="214" t="str">
        <f>VLOOKUP(B3+22,Reagents!$B$1:$M$41,2,FALSE)</f>
        <v/>
      </c>
      <c r="DE3" s="214">
        <f>VLOOKUP(B3+22,Reagents!$B$1:$R$41,3,FALSE)</f>
        <v>0</v>
      </c>
      <c r="DF3" s="214" t="str">
        <f>IF(VLOOKUP(B3+22,Reagents!$B$1:$M$41,5,FALSE)=0, "NULL", VLOOKUP(B3+22,Reagents!$B$1:$M$41,5,FALSE))</f>
        <v>NULL</v>
      </c>
      <c r="DG3" s="214" t="str">
        <f>IF(OR(Reagents!$Q$18="Stock slurry",Reagents!$Q$12="Stock solution"),VLOOKUP(B3+22,Reagents!$B$1:$R$41,13,FALSE), "NULL")</f>
        <v/>
      </c>
      <c r="DH3" s="362" t="str">
        <f>IF(OR(Reagents!$Q$18="Stock slurry",Reagents!$Q$18="Stock solution"),VLOOKUP(B3+22,Reagents!$B$1:$R$41,14,FALSE), VLOOKUP(B3+22,Reagents!$B$1:$R$41,11,FALSE))</f>
        <v/>
      </c>
      <c r="DI3" s="214">
        <f>VLOOKUP(B3+22,Reagents!$B$1:$R$41,17,FALSE)</f>
        <v>0</v>
      </c>
      <c r="DJ3" s="284" t="e">
        <f>IF(OR(v2_col="solvent_2",v2_col="solvent_3"),VLOOKUP(B3+22,Reagents!$B$1:$M$41,12,FALSE),IF(OR(Reagents!$Q$18="Stock slurry",Reagents!$Q$18="Stock solution"),DH3*DG3, DH3/VLOOKUP(B3+22,Reagents!$B$1:$R$41,6,FALSE)*1000))</f>
        <v>#VALUE!</v>
      </c>
      <c r="DK3" s="214" t="str">
        <f>VLOOKUP(B3+34,Reagents!$B$1:$M$41,2,FALSE)</f>
        <v/>
      </c>
      <c r="DL3" s="214">
        <f>VLOOKUP(B3+34,Reagents!$B$1:$R$41,3,FALSE)</f>
        <v>0</v>
      </c>
      <c r="DM3" s="214" t="str">
        <f>IF(VLOOKUP(B3+34,Reagents!$B$1:$M$41,5,FALSE)=0, "NULL", VLOOKUP(B3+34,Reagents!$B$1:$M$41,5,FALSE))</f>
        <v>NULL</v>
      </c>
      <c r="DN3" s="214" t="str">
        <f>IF(OR(Reagents!$Q$24="Stock slurry",Reagents!$Q$12="Stock solution"),VLOOKUP(B3+34,Reagents!$B$1:$R$41,13,FALSE), "NULL")</f>
        <v/>
      </c>
      <c r="DO3" s="362" t="str">
        <f>IF(OR(Reagents!$Q$24="Stock slurry",Reagents!$Q$24="Stock solution"),VLOOKUP(B3+34,Reagents!$B$1:$R$41,14,FALSE), VLOOKUP(B3+34,Reagents!$B$1:$R$41,11,FALSE))</f>
        <v/>
      </c>
      <c r="DP3" s="214">
        <f>VLOOKUP(B3+34,Reagents!$B$1:$R$41,17,FALSE)</f>
        <v>0</v>
      </c>
      <c r="DQ3" s="284" t="e">
        <f>IF(OR(v3_col="solvent_2",v3_col="solvent_3"),VLOOKUP(B3+34,Reagents!$B$1:$M$41,12,FALSE),IF(OR(Reagents!$Q$24="Stock slurry",Reagents!$Q$24="Stock solution"),DO3*DN3, DO3/VLOOKUP(B3+34,Reagents!$B$1:$R$41,6,FALSE)*1000))</f>
        <v>#VALUE!</v>
      </c>
      <c r="DR3" s="214" t="str">
        <f>VLOOKUP(C3+46,Reagents!$B$1:$M$41,2,FALSE)</f>
        <v/>
      </c>
      <c r="DS3" s="214">
        <f>VLOOKUP(C3+46,Reagents!$B$1:$M$41,3,FALSE)</f>
        <v>0</v>
      </c>
      <c r="DT3" s="214" t="str">
        <f>IF(VLOOKUP(C3+46,Reagents!$B$1:$M$41,5,FALSE)=0, "NULL", VLOOKUP(C3+46,Reagents!$B$1:$M$41,5,FALSE))</f>
        <v>NULL</v>
      </c>
      <c r="DU3" s="214" t="str">
        <f>IF(OR(Reagents!$Q$30="Stock slurry",Reagents!$Q$30="Stock solution"),VLOOKUP(C3+46,Reagents!$B$1:$R$41,13,FALSE), "NULL")</f>
        <v/>
      </c>
      <c r="DV3" s="362" t="str">
        <f>IF(OR(Reagents!$Q$30="Stock slurry",Reagents!$Q$30="Stock solution"),VLOOKUP(C3+46,Reagents!$B$1:$R$41,14,FALSE), VLOOKUP(C3+46,Reagents!$B$1:$R$41,11,FALSE))</f>
        <v/>
      </c>
      <c r="DW3" s="214">
        <f>VLOOKUP(C3+46,Reagents!$B$1:$R$41,17,FALSE)</f>
        <v>0</v>
      </c>
      <c r="DX3" s="284" t="e">
        <f>IF(OR(v4_row="solvent_2",v4_row="solvent_3"),VLOOKUP(C3+46,Reagents!$B$1:$M$41,12,FALSE),IF(OR(Reagents!$Q$30="Stock slurry",Reagents!$Q$30="Stock solution"),DV3*DU3, DV3/VLOOKUP(C3+46,Reagents!$B$1:$R$41,6,FALSE)*1000))</f>
        <v>#VALUE!</v>
      </c>
      <c r="DY3" s="214" t="str">
        <f>VLOOKUP(C3+54,Reagents!$B$1:$M$41,2,FALSE)</f>
        <v/>
      </c>
      <c r="DZ3" s="214">
        <f>VLOOKUP(C3+54,Reagents!$B$1:$M$41,3,FALSE)</f>
        <v>0</v>
      </c>
      <c r="EA3" s="214" t="str">
        <f>IF(VLOOKUP(C3+54,Reagents!$B$1:$M$41,5,FALSE)=0, "NULL", VLOOKUP(C3+54,Reagents!$B$1:$M$41,5,FALSE))</f>
        <v>NULL</v>
      </c>
      <c r="EB3" s="214" t="str">
        <f>IF(OR(Reagents!$Q$34="Stock slurry",Reagents!$Q$34="Stock solution"),VLOOKUP(C3+54,Reagents!$B$1:$R$41,13,FALSE), "NULL")</f>
        <v/>
      </c>
      <c r="EC3" s="362" t="str">
        <f>IF(OR(Reagents!$Q$34="Stock slurry",Reagents!$Q$34="Stock solution"),VLOOKUP(C3+54,Reagents!$B$1:$R$41,14,FALSE), VLOOKUP(C3+54,Reagents!$B$1:$R$41,11,FALSE))</f>
        <v/>
      </c>
      <c r="ED3" s="214">
        <f>VLOOKUP(C3+54,Reagents!$B$1:$R$41,17,FALSE)</f>
        <v>0</v>
      </c>
      <c r="EE3" s="284" t="e">
        <f>IF(OR(v5_row="solvent_2",v5_row="solvent_3"),VLOOKUP(C3+54,Reagents!$B$1:$M$41,12,FALSE),IF(OR(Reagents!$Q$34="Stock slurry",Reagents!$Q$34="Stock solution"),EC3*EB3, EC3/VLOOKUP(C3+54,Reagents!$B$1:$R$41,6,FALSE)*1000))</f>
        <v>#VALUE!</v>
      </c>
      <c r="EF3" s="214" t="str">
        <f>VLOOKUP(C3+62,Reagents!$B$1:$M$41,2,FALSE)</f>
        <v/>
      </c>
      <c r="EG3" s="214">
        <f>VLOOKUP(C3+62,Reagents!$B$1:$M$41,3,FALSE)</f>
        <v>0</v>
      </c>
      <c r="EH3" s="214" t="str">
        <f>IF(VLOOKUP(C3+62,Reagents!$B$1:$M$41,5,FALSE)=0, "NULL", VLOOKUP(C3+62,Reagents!$B$1:$M$41,5,FALSE))</f>
        <v>NULL</v>
      </c>
      <c r="EI3" s="214" t="str">
        <f>IF(OR(Reagents!$Q$38="Stock slurry",Reagents!$Q$38="Stock solution"),VLOOKUP(C3+62,Reagents!$B$1:$R$41,13,FALSE), "NULL")</f>
        <v/>
      </c>
      <c r="EJ3" s="362" t="str">
        <f>IF(OR(Reagents!$Q$38="Stock slurry",Reagents!$Q$38="Stock solution"),VLOOKUP(C3+62,Reagents!$B$1:$R$41,14,FALSE), VLOOKUP(C3+62,Reagents!$B$1:$R$41,11,FALSE))</f>
        <v/>
      </c>
      <c r="EK3" s="214">
        <f>VLOOKUP(C3+62,Reagents!$B$1:$R$41,17,FALSE)</f>
        <v>0</v>
      </c>
      <c r="EL3" s="284" t="e">
        <f>IF(OR(v6_row="solvent_2",v6_row="solvent_3"),VLOOKUP(C3+62,Reagents!$B$1:$M$41,12,FALSE),IF(OR(Reagents!$Q$38="Stock slurry",Reagents!$Q$38="Stock solution"),EJ3*EI3, EJ3/VLOOKUP(C3+62,Reagents!$B$1:$R$41,6,FALSE)*1000))</f>
        <v>#VALUE!</v>
      </c>
      <c r="EM3" s="214">
        <f>VLOOKUP(19,'Plate Planning'!$A$1:$T$35,13,FALSE)</f>
        <v>0</v>
      </c>
      <c r="EN3" s="214">
        <f>VLOOKUP(19,'Plate Planning'!$A$1:$T$35,14,FALSE)</f>
        <v>0</v>
      </c>
      <c r="EO3" s="214">
        <f>VLOOKUP(19,'Plate Planning'!$A$1:$T$35,15,FALSE)</f>
        <v>0</v>
      </c>
      <c r="EP3" s="214">
        <f>VLOOKUP(A3,'Uncorrected Area Counts'!$A$1:$AS$27,3,FALSE)</f>
        <v>0</v>
      </c>
      <c r="EQ3" s="214" t="str">
        <f>VLOOKUP(A3,'Uncorrected Area Counts'!$A$1:$AS$27,4,FALSE)</f>
        <v/>
      </c>
      <c r="ER3" s="214" t="str">
        <f>VLOOKUP(A3,'Uncorrected Area Counts'!$A$1:$AS$27,5,FALSE)</f>
        <v/>
      </c>
      <c r="ES3" s="214">
        <f>VLOOKUP(20,'Plate Planning'!$A$1:$T$35,15,FALSE)</f>
        <v>0</v>
      </c>
      <c r="ET3" s="214">
        <f>VLOOKUP(A3,'Uncorrected Area Counts'!$A$1:$AS$27,7,FALSE)</f>
        <v>0</v>
      </c>
      <c r="EU3" s="214" t="e">
        <f>VLOOKUP(A3,'Uncorrected Area Counts'!$A$1:$AS$27,7,FALSE)/VLOOKUP(A3,'Uncorrected Area Counts'!$A$1:$AS$27,3,FALSE)</f>
        <v>#DIV/0!</v>
      </c>
      <c r="EV3" s="214" t="str">
        <f>IFERROR(VLOOKUP(A3,'Yields &amp; LCAPs'!$A$1:$V$27,3,FALSE), "NULL")</f>
        <v>NULL</v>
      </c>
      <c r="EW3" s="284" t="str">
        <f>IFERROR(VLOOKUP(A3,'Yields &amp; LCAPs'!$A$1:$V$27,4,FALSE), "NULL")</f>
        <v>NULL</v>
      </c>
      <c r="EX3" s="214" t="str">
        <f>VLOOKUP(A3,'Uncorrected Area Counts'!$A$1:$AS$27,8,FALSE)</f>
        <v/>
      </c>
      <c r="EY3" s="214" t="str">
        <f>VLOOKUP(A3,'Uncorrected Area Counts'!$A$1:$AS$27,9,FALSE)</f>
        <v/>
      </c>
      <c r="EZ3" s="214">
        <f>VLOOKUP(22,'Plate Planning'!$A$1:$T$35,15,FALSE)</f>
        <v>0</v>
      </c>
      <c r="FA3" s="214">
        <f>VLOOKUP(A3,'Uncorrected Area Counts'!$A$1:$AS$27,11,FALSE)</f>
        <v>0</v>
      </c>
      <c r="FB3" s="214" t="e">
        <f>VLOOKUP(A3,'Uncorrected Area Counts'!$A$1:$AS$27,11,FALSE)/VLOOKUP(A3,'Uncorrected Area Counts'!$A$1:$AS$27,3,FALSE)</f>
        <v>#DIV/0!</v>
      </c>
      <c r="FC3" s="214" t="str">
        <f>IFERROR(VLOOKUP(A3,'Yields &amp; LCAPs'!$A$1:$V$27,5,FALSE), "NULL")</f>
        <v>NULL</v>
      </c>
      <c r="FD3" s="284" t="str">
        <f>IFERROR(VLOOKUP(A3,'Yields &amp; LCAPs'!$A$1:$V$27,6,FALSE), "NULL")</f>
        <v>NULL</v>
      </c>
      <c r="FE3" s="214" t="str">
        <f>VLOOKUP(A3,'Uncorrected Area Counts'!$A$1:$AS$27,12,FALSE)</f>
        <v/>
      </c>
      <c r="FF3" s="214" t="str">
        <f>VLOOKUP(A3,'Uncorrected Area Counts'!$A$1:$AS$27,13,FALSE)</f>
        <v/>
      </c>
      <c r="FG3" s="214">
        <f>VLOOKUP(24,'Plate Planning'!$A$1:$T$35,15,FALSE)</f>
        <v>0</v>
      </c>
      <c r="FH3" s="214">
        <f>VLOOKUP(A3,'Uncorrected Area Counts'!$A$1:$AS$27,15,FALSE)</f>
        <v>0</v>
      </c>
      <c r="FI3" s="214" t="e">
        <f>VLOOKUP(A3,'Uncorrected Area Counts'!$A$1:$AS$27,15,FALSE)/VLOOKUP(A3,'Uncorrected Area Counts'!$A$1:$AS$27,3,FALSE)</f>
        <v>#DIV/0!</v>
      </c>
      <c r="FJ3" s="214" t="str">
        <f>IFERROR(VLOOKUP(A3,'Yields &amp; LCAPs'!$A$1:$V$27,7,FALSE), "NULL")</f>
        <v>NULL</v>
      </c>
      <c r="FK3" s="284" t="str">
        <f>IFERROR(VLOOKUP(A3,'Yields &amp; LCAPs'!$A$1:$V$27,8,FALSE), "NULL")</f>
        <v>NULL</v>
      </c>
      <c r="FL3" s="214" t="str">
        <f>VLOOKUP(A3,'Uncorrected Area Counts'!$A$1:$AS$27,16,FALSE)</f>
        <v/>
      </c>
      <c r="FM3" s="214" t="str">
        <f>VLOOKUP(A3,'Uncorrected Area Counts'!$A$1:$AS$27,17,FALSE)</f>
        <v/>
      </c>
      <c r="FN3" s="214">
        <f>VLOOKUP(26,'Plate Planning'!$A$1:$T$35,15,FALSE)</f>
        <v>0</v>
      </c>
      <c r="FO3" s="214">
        <f>VLOOKUP(A3,'Uncorrected Area Counts'!$A$1:$AS$27,19,FALSE)</f>
        <v>0</v>
      </c>
      <c r="FP3" s="214" t="e">
        <f>VLOOKUP(A3,'Uncorrected Area Counts'!$A$1:$AS$27,19,FALSE)/VLOOKUP(A3,'Uncorrected Area Counts'!$A$1:$AS$27,3,FALSE)</f>
        <v>#DIV/0!</v>
      </c>
      <c r="FQ3" s="214" t="str">
        <f>IFERROR(VLOOKUP(A3,'Yields &amp; LCAPs'!$A$1:$V$27,9,FALSE), "NULL")</f>
        <v>NULL</v>
      </c>
      <c r="FR3" s="284" t="str">
        <f>IFERROR(VLOOKUP(A3,'Yields &amp; LCAPs'!$A$1:$V$27,10,FALSE), "NULL")</f>
        <v>NULL</v>
      </c>
      <c r="FS3" s="214" t="str">
        <f>VLOOKUP(A3,'Uncorrected Area Counts'!$A$1:$AS$27,20,FALSE)</f>
        <v/>
      </c>
      <c r="FT3" s="214" t="str">
        <f>VLOOKUP(A3,'Uncorrected Area Counts'!$A$1:$AS$27,21,FALSE)</f>
        <v/>
      </c>
      <c r="FU3" s="214">
        <f>VLOOKUP(27,'Plate Planning'!$A$1:$T$35,15,FALSE)</f>
        <v>0</v>
      </c>
      <c r="FV3" s="214">
        <f>VLOOKUP(A3,'Uncorrected Area Counts'!$A$1:$AS$27,23,FALSE)</f>
        <v>0</v>
      </c>
      <c r="FW3" s="214" t="e">
        <f>VLOOKUP(A3,'Uncorrected Area Counts'!$A$1:$AS$27,23,FALSE)/VLOOKUP(A3,'Uncorrected Area Counts'!$A$1:$AS$27,3,FALSE)</f>
        <v>#DIV/0!</v>
      </c>
      <c r="FX3" s="214" t="str">
        <f>IFERROR(VLOOKUP(A3,'Yields &amp; LCAPs'!$A$1:$V$27,11,FALSE), "NULL")</f>
        <v>NULL</v>
      </c>
      <c r="FY3" s="284" t="str">
        <f>IFERROR(VLOOKUP(A3,'Yields &amp; LCAPs'!$A$1:$V$27,12,FALSE), "NULL")</f>
        <v>NULL</v>
      </c>
      <c r="FZ3" s="411" t="str">
        <f>VLOOKUP(A3,'Uncorrected Area Counts'!$A$1:$AS$27,24,FALSE)</f>
        <v/>
      </c>
      <c r="GA3" s="214" t="str">
        <f>VLOOKUP(A3,'Uncorrected Area Counts'!$A$1:$AS$27,25,FALSE)</f>
        <v/>
      </c>
      <c r="GB3" s="214">
        <f>VLOOKUP(28,'Plate Planning'!$A$1:$T$35,15,FALSE)</f>
        <v>0</v>
      </c>
      <c r="GC3" s="214">
        <f>VLOOKUP(A3,'Uncorrected Area Counts'!$A$1:$AS$27,27,FALSE)</f>
        <v>0</v>
      </c>
      <c r="GD3" s="214" t="e">
        <f>VLOOKUP(A3,'Uncorrected Area Counts'!$A$1:$AS$27,27,FALSE)/VLOOKUP(A3,'Uncorrected Area Counts'!$A$1:$AS$27,3,FALSE)</f>
        <v>#DIV/0!</v>
      </c>
      <c r="GE3" s="214" t="str">
        <f>IFERROR(VLOOKUP(A3,'Yields &amp; LCAPs'!$A$1:$V$27,13,FALSE), "NULL")</f>
        <v>NULL</v>
      </c>
      <c r="GF3" s="284" t="str">
        <f>IFERROR(VLOOKUP(A3,'Yields &amp; LCAPs'!$A$1:$V$27,14,FALSE), "NULL")</f>
        <v>NULL</v>
      </c>
      <c r="GG3" s="214" t="str">
        <f>VLOOKUP(A3,'Uncorrected Area Counts'!$A$1:$AS$27,28,FALSE)</f>
        <v/>
      </c>
      <c r="GH3" s="214" t="str">
        <f>VLOOKUP(A3,'Uncorrected Area Counts'!$A$1:$AS$27,29,FALSE)</f>
        <v/>
      </c>
      <c r="GI3" s="214">
        <f>VLOOKUP(29,'Plate Planning'!$A$1:$T$35,15,FALSE)</f>
        <v>0</v>
      </c>
      <c r="GJ3" s="214">
        <f>VLOOKUP(A3,'Uncorrected Area Counts'!$A$1:$AS$27,31,FALSE)</f>
        <v>0</v>
      </c>
      <c r="GK3" s="214" t="e">
        <f>VLOOKUP(A3,'Uncorrected Area Counts'!$A$1:$AS$27,31,FALSE)/VLOOKUP(A3,'Uncorrected Area Counts'!$A$1:$AS$27,3,FALSE)</f>
        <v>#DIV/0!</v>
      </c>
      <c r="GL3" s="214" t="str">
        <f>IFERROR(VLOOKUP(A3,'Yields &amp; LCAPs'!$A$1:$V$27,15,FALSE), "NULL")</f>
        <v>NULL</v>
      </c>
      <c r="GM3" s="284" t="str">
        <f>IFERROR(VLOOKUP(A3,'Yields &amp; LCAPs'!$A$1:$V$27,16,FALSE), "NULL")</f>
        <v>NULL</v>
      </c>
      <c r="GN3" s="214" t="str">
        <f>VLOOKUP(A3,'Uncorrected Area Counts'!$A$1:$AS$27,32,FALSE)</f>
        <v/>
      </c>
      <c r="GO3" s="214" t="str">
        <f>VLOOKUP(A3,'Uncorrected Area Counts'!$A$1:$AS$27,33,FALSE)</f>
        <v/>
      </c>
      <c r="GP3" s="214">
        <f>VLOOKUP(30,'Plate Planning'!$A$1:$T$35,15,FALSE)</f>
        <v>0</v>
      </c>
      <c r="GQ3" s="214">
        <f>VLOOKUP(A3,'Uncorrected Area Counts'!$A$1:$AS$27,35,FALSE)</f>
        <v>0</v>
      </c>
      <c r="GR3" s="214" t="e">
        <f>VLOOKUP(A3,'Uncorrected Area Counts'!$A$1:$AS$27,35,FALSE)/VLOOKUP(A3,'Uncorrected Area Counts'!$A$1:$AS$27,3,FALSE)</f>
        <v>#DIV/0!</v>
      </c>
      <c r="GS3" s="214" t="str">
        <f>IFERROR(VLOOKUP(A3,'Yields &amp; LCAPs'!$A$1:$V$27,17,FALSE), "NULL")</f>
        <v>NULL</v>
      </c>
      <c r="GT3" s="284" t="str">
        <f>IFERROR(VLOOKUP(A3,'Yields &amp; LCAPs'!$A$1:$V$27,18,FALSE), "NULL")</f>
        <v>NULL</v>
      </c>
      <c r="GU3" s="214" t="str">
        <f>VLOOKUP(A3,'Uncorrected Area Counts'!$A$1:$AS$27,36,FALSE)</f>
        <v/>
      </c>
      <c r="GV3" s="214" t="str">
        <f>VLOOKUP(A3,'Uncorrected Area Counts'!$A$1:$AS$27,37,FALSE)</f>
        <v/>
      </c>
      <c r="GW3" s="214">
        <f>VLOOKUP(31,'Plate Planning'!$A$1:$T$35,15,FALSE)</f>
        <v>0</v>
      </c>
      <c r="GX3" s="214">
        <f>VLOOKUP(A3,'Uncorrected Area Counts'!$A$1:$AS$27,39,FALSE)</f>
        <v>0</v>
      </c>
      <c r="GY3" s="214" t="e">
        <f>VLOOKUP(A3,'Uncorrected Area Counts'!$A$1:$AS$27,39,FALSE)/VLOOKUP(A3,'Uncorrected Area Counts'!$A$1:$AS$27,3,FALSE)</f>
        <v>#DIV/0!</v>
      </c>
      <c r="GZ3" s="214" t="str">
        <f>IFERROR(VLOOKUP(A3,'Yields &amp; LCAPs'!$A$1:$V$27,19,FALSE), "NULL")</f>
        <v>NULL</v>
      </c>
      <c r="HA3" s="284" t="str">
        <f>IFERROR(VLOOKUP(A3,'Yields &amp; LCAPs'!$A$1:$V$27,20,FALSE), "NULL")</f>
        <v>NULL</v>
      </c>
      <c r="HB3" s="214" t="str">
        <f>VLOOKUP(A3,'Uncorrected Area Counts'!$A$1:$AS$27,40,FALSE)</f>
        <v/>
      </c>
      <c r="HC3" s="214" t="str">
        <f>VLOOKUP(A3,'Uncorrected Area Counts'!$A$1:$AS$27,41,FALSE)</f>
        <v/>
      </c>
      <c r="HD3" s="214">
        <f>VLOOKUP(32,'Plate Planning'!$A$1:$T$35,15,FALSE)</f>
        <v>0</v>
      </c>
      <c r="HE3" s="214">
        <f>VLOOKUP(A3,'Uncorrected Area Counts'!$A$1:$AS$27,43,FALSE)</f>
        <v>0</v>
      </c>
      <c r="HF3" s="214" t="e">
        <f>VLOOKUP(A3,'Uncorrected Area Counts'!$A$1:$AS$27,43,FALSE)/VLOOKUP(A3,'Uncorrected Area Counts'!$A$1:$AS$27,3,FALSE)</f>
        <v>#DIV/0!</v>
      </c>
      <c r="HG3" s="214" t="str">
        <f>IFERROR(VLOOKUP(A3,'Yields &amp; LCAPs'!$A$1:$V$27,21,FALSE), "NULL")</f>
        <v>NULL</v>
      </c>
      <c r="HH3" s="284" t="str">
        <f>IFERROR(VLOOKUP(A3,'Yields &amp; LCAPs'!$A$1:$V$27,22,FALSE), "NULL")</f>
        <v>NULL</v>
      </c>
      <c r="HI3" s="362"/>
      <c r="HJ3" s="362"/>
      <c r="HK3" s="362"/>
      <c r="HL3" s="362"/>
      <c r="HM3" s="363"/>
      <c r="HN3" s="362"/>
      <c r="HO3" s="362"/>
      <c r="HP3" s="362"/>
      <c r="HQ3" s="362"/>
      <c r="HR3" s="363"/>
    </row>
    <row r="4" spans="1:230">
      <c r="A4" s="216" t="s">
        <v>1163</v>
      </c>
      <c r="B4" s="214">
        <v>3</v>
      </c>
      <c r="C4" s="214">
        <v>1</v>
      </c>
      <c r="D4" s="214" t="str">
        <f>VLOOKUP(18,'Plate Planning'!$A$1:$T$35,10,FALSE)&amp;"_"&amp;VLOOKUP(19,'Plate Planning'!$A$1:$T$35,10,FALSE)&amp;"_"&amp;A4</f>
        <v>__A3</v>
      </c>
      <c r="E4" s="214" t="str">
        <f>IF(VLOOKUP(18,'Plate Planning'!$A$1:$T$35,10,FALSE)="", "NULL", VLOOKUP(18,'Plate Planning'!$A$1:$T$35,10,FALSE))</f>
        <v>NULL</v>
      </c>
      <c r="F4" s="214" t="str">
        <f>IF(VLOOKUP(19,'Plate Planning'!$A$1:$T$35,10,FALSE)="", "NULL", VLOOKUP(19,'Plate Planning'!$A$1:$T$35,10,FALSE))</f>
        <v>NULL</v>
      </c>
      <c r="G4" s="214" t="str">
        <f>IF(VLOOKUP(20,'Plate Planning'!$A$1:$T$35,10,FALSE)="", "NULL", VLOOKUP(20,'Plate Planning'!$A$1:$T$35,10,FALSE))</f>
        <v>NULL</v>
      </c>
      <c r="H4" s="214" t="str">
        <f>IF(VLOOKUP(21,'Plate Planning'!$A$1:$T$35,10,FALSE)="", "NULL", VLOOKUP(21,'Plate Planning'!$A$1:$T$35,10,FALSE))</f>
        <v>NULL</v>
      </c>
      <c r="I4" s="214" t="str">
        <f>IF(VLOOKUP(23,'Plate Planning'!$A$1:$T$35,10,FALSE)="", "NULL", VLOOKUP(23,'Plate Planning'!$A$1:$T$35,10,FALSE))</f>
        <v>NULL</v>
      </c>
      <c r="J4" s="214" t="str">
        <f>IF(VLOOKUP(22,'Plate Planning'!$A$1:$T$35,10,FALSE)="", "NULL", VLOOKUP(22,'Plate Planning'!$A$1:$T$35,10,FALSE))</f>
        <v>NULL</v>
      </c>
      <c r="K4" s="214" t="str">
        <f>VLOOKUP(24,'Plate Planning'!$A$1:$T$35,10,FALSE)</f>
        <v>Glovebox</v>
      </c>
      <c r="L4" s="214" t="str">
        <f>IF(VLOOKUP(25,'Plate Planning'!$A$1:$T$35,10,FALSE)="","NULL",VLOOKUP(25,'Plate Planning'!$A$1:$T$35,10,FALSE))</f>
        <v>NULL</v>
      </c>
      <c r="M4" s="214" t="str">
        <f>VLOOKUP(26,'Plate Planning'!$A$1:$T$35,10,FALSE)</f>
        <v>ambient</v>
      </c>
      <c r="N4" s="214" t="str">
        <f>IF(VLOOKUP(27,'Plate Planning'!$A$1:$T$35,10,FALSE)=0,"NULL", VLOOKUP(27,'Plate Planning'!$A$1:$T$35,10,FALSE))</f>
        <v>NULL</v>
      </c>
      <c r="O4" s="214" t="str">
        <f>IF(VLOOKUP(3,'Plate Planning'!$A$2:$S$35,18,FALSE)="", "NULL", VLOOKUP(3,'Plate Planning'!$A$2:$S$35,18,FALSE))</f>
        <v>NULL</v>
      </c>
      <c r="P4" s="214" t="str">
        <f>IF(VLOOKUP(4,'Plate Planning'!$A$2:$S$35,18,FALSE)="", "NULL", VLOOKUP(4,'Plate Planning'!$A$2:$S$35,18,FALSE))</f>
        <v>NULL</v>
      </c>
      <c r="Q4" s="214" t="str">
        <f>IF(VLOOKUP(5,'Plate Planning'!$A$2:$S$35,18,FALSE)="", "NULL", VLOOKUP(5,'Plate Planning'!$A$2:$S$35,18,FALSE))</f>
        <v>NULL</v>
      </c>
      <c r="R4" s="214" t="str">
        <f>IF(VLOOKUP(6,'Plate Planning'!$A$2:$S$35,18,FALSE)="", "NULL", VLOOKUP(6,'Plate Planning'!$A$2:$S$35,18,FALSE))</f>
        <v>NULL</v>
      </c>
      <c r="S4" s="214" t="str">
        <f>IF(VLOOKUP(7,'Plate Planning'!$A$2:$S$35,18,FALSE)="", "NULL", VLOOKUP(7,'Plate Planning'!$A$2:$S$35,18,FALSE))</f>
        <v>NULL</v>
      </c>
      <c r="T4" s="214" t="str">
        <f>IF(VLOOKUP(28,'Plate Planning'!$A$1:$T$35,10,FALSE)=0,"NULL",VLOOKUP(28,'Plate Planning'!$A$1:$T$35,10,FALSE))</f>
        <v>NULL</v>
      </c>
      <c r="U4" s="214" t="str">
        <f>IFERROR(VLOOKUP(VLOOKUP(28,'Plate Planning'!$A$1:$T$35,10,FALSE),Dictionaries!$Q$2:$R$72,2,FALSE), "NULL")</f>
        <v>NULL</v>
      </c>
      <c r="V4" s="214" t="str">
        <f>IF(VLOOKUP(28,'Plate Planning'!$A$1:$T$35,10,FALSE)=0,"NULL",VLOOKUP(32,'Plate Planning'!$A$1:$T$35,10,FALSE))</f>
        <v>NULL</v>
      </c>
      <c r="W4" s="214" t="str">
        <f>IF(VLOOKUP(C4+3,'Plate Planning'!$A$1:$S$35,B4+4,FALSE)=0, "", VLOOKUP(C4+3,'Plate Planning'!$A$1:$S$35,B4+4,FALSE))</f>
        <v/>
      </c>
      <c r="X4" s="214" t="str">
        <f>IFERROR(VLOOKUP(W4,'Complex Variable'!$A$2:$S$25,2,FALSE), "")</f>
        <v/>
      </c>
      <c r="Y4" s="327" t="str">
        <f>IFERROR(VLOOKUP(W4,'Complex Variable'!$A$2:$S$25,3,FALSE), "")</f>
        <v/>
      </c>
      <c r="Z4" s="327" t="str">
        <f>IFERROR(VLOOKUP(W4,'Complex Variable'!$A$2:$S$25,5,FALSE), "")</f>
        <v/>
      </c>
      <c r="AA4" s="327" t="str">
        <f>IFERROR(VLOOKUP(W4,'Complex Variable'!$A$2:$S$25,14,FALSE), "")</f>
        <v/>
      </c>
      <c r="AB4" s="602" t="str">
        <f>IFERROR(VLOOKUP(W4,'Complex Variable'!$A$2:$S$25,19,FALSE), "")</f>
        <v/>
      </c>
      <c r="AC4" s="327" t="str">
        <f>IFERROR(VLOOKUP(W4,'Complex Variable'!$A$2:$S$25,13,FALSE), "")</f>
        <v/>
      </c>
      <c r="AD4" s="604" t="str">
        <f t="shared" si="0"/>
        <v/>
      </c>
      <c r="AE4" s="214">
        <f>VLOOKUP(1,Reagents!$B$1:$M$41,2,FALSE)</f>
        <v>0</v>
      </c>
      <c r="AF4" s="214">
        <f>VLOOKUP(1,Reagents!$B$1:$M$41,3,FALSE)</f>
        <v>0</v>
      </c>
      <c r="AG4" s="214" t="str">
        <f>IF(VLOOKUP(1,Reagents!$B$1:$M$41,5,FALSE)=0, "NULL", VLOOKUP(1,Reagents!$B$1:$M$41,5,FALSE))</f>
        <v>NULL</v>
      </c>
      <c r="AH4" s="214" t="str">
        <f>IF(OR(Reagents!$Q$2="Stock slurry",Reagents!$Q$2="Stock solution"),VLOOKUP(1,Reagents!$B$1:$R$41,13,FALSE), "NULL")</f>
        <v/>
      </c>
      <c r="AI4" s="362" t="str">
        <f>IF(OR(Reagents!$Q$2="Stock slurry",Reagents!$Q$2="Stock solution"),VLOOKUP(1,Reagents!$B$1:$R$41,14,FALSE), VLOOKUP(1,Reagents!$B$1:$R$41,11,FALSE))</f>
        <v/>
      </c>
      <c r="AJ4" s="214">
        <f>VLOOKUP(1,Reagents!$B$1:$R$41,17,FALSE)</f>
        <v>0</v>
      </c>
      <c r="AK4" s="284" t="e">
        <f>IF(OR(VLOOKUP(1,Reagents!$B$1:$M$41,4,FALSE)="solvent_2",VLOOKUP(1,Reagents!$B$1:$M$41,4,FALSE)="solvent_3"),VLOOKUP(1,Reagents!$B$1:$M$41,12,FALSE),IF(OR(Reagents!$Q$2="Stock slurry",Reagents!$Q$2="Stock solution"),AI4*AH4, AI4/VLOOKUP(1,Reagents!$B$1:$R$41,6,FALSE)*1000))</f>
        <v>#VALUE!</v>
      </c>
      <c r="AL4" s="214">
        <f>VLOOKUP(2,Reagents!$B$1:$M$41,2,FALSE)</f>
        <v>0</v>
      </c>
      <c r="AM4" s="214">
        <f>VLOOKUP(2,Reagents!$B$1:$M$41,3,FALSE)</f>
        <v>0</v>
      </c>
      <c r="AN4" s="214" t="str">
        <f>IF(VLOOKUP(2,Reagents!$B$1:$M$41,5,FALSE)=0, "NULL", VLOOKUP(2,Reagents!$B$1:$M$41,5,FALSE))</f>
        <v>NULL</v>
      </c>
      <c r="AO4" s="214" t="str">
        <f>IF(OR(Reagents!$Q$3="Stock slurry",Reagents!$Q$3="Stock solution"),VLOOKUP(2,Reagents!$B$1:$R$41,13,FALSE), "NULL")</f>
        <v/>
      </c>
      <c r="AP4" s="362" t="str">
        <f>IF(OR(Reagents!$Q$3="Stock slurry",Reagents!$Q$3="Stock solution"),VLOOKUP(2,Reagents!$B$1:$R$41,14,FALSE), VLOOKUP(2,Reagents!$B$1:$R$41,11,FALSE))</f>
        <v/>
      </c>
      <c r="AQ4" s="214">
        <f>VLOOKUP(2,Reagents!$B$1:$R$41,17,FALSE)</f>
        <v>0</v>
      </c>
      <c r="AR4" s="284" t="e">
        <f>IF(OR(VLOOKUP(2,Reagents!$B$1:$M$41,4,FALSE)="solvent_2",VLOOKUP(2,Reagents!$B$1:$M$41,4,FALSE)="solvent_3"),VLOOKUP(2,Reagents!$B$1:$M$41,12,FALSE),IF(OR(Reagents!$Q$3="Stock slurry",Reagents!$Q$3="Stock solution"),AP4*AO4, AP4/VLOOKUP(2,Reagents!$B$1:$R$41,6,FALSE)*1000))</f>
        <v>#VALUE!</v>
      </c>
      <c r="AS4" s="214">
        <f>VLOOKUP(3,Reagents!$B$1:$M$41,2,FALSE)</f>
        <v>0</v>
      </c>
      <c r="AT4" s="214">
        <f>VLOOKUP(3,Reagents!$B$1:$M$41,3,FALSE)</f>
        <v>0</v>
      </c>
      <c r="AU4" s="214" t="str">
        <f>IF(VLOOKUP(3,Reagents!$B$1:$M$41,5,FALSE)=0, "NULL", VLOOKUP(3,Reagents!$B$1:$M$41,5,FALSE))</f>
        <v>NULL</v>
      </c>
      <c r="AV4" s="214" t="str">
        <f>IF(OR(Reagents!$Q$4="Stock slurry",Reagents!$Q$4="Stock solution"),VLOOKUP(3,Reagents!$B$1:$R$41,13,FALSE), "NULL")</f>
        <v/>
      </c>
      <c r="AW4" s="362" t="str">
        <f>IF(OR(Reagents!$Q$4="Stock slurry",Reagents!$Q$4="Stock solution"),VLOOKUP(3,Reagents!$B$1:$R$41,14,FALSE), VLOOKUP(3,Reagents!$B$1:$R$41,11,FALSE))</f>
        <v/>
      </c>
      <c r="AX4" s="214">
        <f>VLOOKUP(3,Reagents!$B$1:$R$41,17,FALSE)</f>
        <v>0</v>
      </c>
      <c r="AY4" s="284" t="e">
        <f>IF(OR(VLOOKUP(3,Reagents!$B$1:$M$41,4,FALSE)="solvent_2",VLOOKUP(3,Reagents!$B$1:$M$41,4,FALSE)="solvent_3"),VLOOKUP(3,Reagents!$B$1:$M$41,12,FALSE),IF(OR(Reagents!$Q$4="Stock slurry",Reagents!$Q$4="Stock solution"),AW4*AV4, AW4/VLOOKUP(3,Reagents!$B$1:$R$41,6,FALSE)*1000))</f>
        <v>#VALUE!</v>
      </c>
      <c r="AZ4" s="214">
        <f>VLOOKUP(4,Reagents!$B$1:$M$41,2,FALSE)</f>
        <v>0</v>
      </c>
      <c r="BA4" s="214">
        <f>VLOOKUP(4,Reagents!$B$1:$M$41,3,FALSE)</f>
        <v>0</v>
      </c>
      <c r="BB4" s="214" t="str">
        <f>IF(VLOOKUP(4,Reagents!$B$1:$M$41,5,FALSE)=0, "NULL", VLOOKUP(4,Reagents!$B$1:$M$41,5,FALSE))</f>
        <v>NULL</v>
      </c>
      <c r="BC4" s="214" t="str">
        <f>IF(OR(Reagents!$Q$5="Stock slurry",Reagents!$Q$5="Stock solution"),VLOOKUP(4,Reagents!$B$1:$R$41,13,FALSE), "NULL")</f>
        <v/>
      </c>
      <c r="BD4" s="362" t="str">
        <f>IF(OR(Reagents!$Q$5="Stock slurry",Reagents!$Q$5="Stock solution"),VLOOKUP(4,Reagents!$B$1:$R$41,14,FALSE), VLOOKUP(4,Reagents!$B$1:$R$41,11,FALSE))</f>
        <v/>
      </c>
      <c r="BE4" s="214">
        <f>VLOOKUP(4,Reagents!$B$1:$R$41,17,FALSE)</f>
        <v>0</v>
      </c>
      <c r="BF4" s="284" t="e">
        <f>IF(OR(VLOOKUP(4,Reagents!$B$1:$M$41,4,FALSE)="solvent_2",VLOOKUP(4,Reagents!$B$1:$M$41,4,FALSE)="solvent_3"),VLOOKUP(4,Reagents!$B$1:$M$41,12,FALSE),IF(OR(Reagents!$Q$5="Stock slurry",Reagents!$Q$5="Stock solution"),BD4*BC4, BD4/VLOOKUP(4,Reagents!$B$1:$R$41,6,FALSE)*1000))</f>
        <v>#VALUE!</v>
      </c>
      <c r="BG4" s="214">
        <f>VLOOKUP(5,Reagents!$B$1:$M$41,2,FALSE)</f>
        <v>0</v>
      </c>
      <c r="BH4" s="214">
        <f>VLOOKUP(5,Reagents!$B$1:$M$41,3,FALSE)</f>
        <v>0</v>
      </c>
      <c r="BI4" s="214" t="str">
        <f>IF(VLOOKUP(5,Reagents!$B$1:$M$41,5,FALSE)=0, "NULL", VLOOKUP(5,Reagents!$B$1:$M$41,5,FALSE))</f>
        <v>NULL</v>
      </c>
      <c r="BJ4" s="214" t="str">
        <f>IF(OR(Reagents!$Q$6="Stock slurry",Reagents!$Q$6="Stock solution"),VLOOKUP(5,Reagents!$B$1:$R$41,13,FALSE), "NULL")</f>
        <v/>
      </c>
      <c r="BK4" s="362" t="str">
        <f>IF(OR(Reagents!$Q$6="Stock slurry",Reagents!$Q$6="Stock solution"),VLOOKUP(5,Reagents!$B$1:$R$41,14,FALSE), VLOOKUP(5,Reagents!$B$1:$R$41,11,FALSE))</f>
        <v/>
      </c>
      <c r="BL4" s="214">
        <f>VLOOKUP(5,Reagents!$B$1:$R$41,17,FALSE)</f>
        <v>0</v>
      </c>
      <c r="BM4" s="284" t="e">
        <f>IF(OR(VLOOKUP(5,Reagents!$B$1:$M$41,4,FALSE)="solvent_2",VLOOKUP(5,Reagents!$B$1:$M$41,4,FALSE)="solvent_3"),VLOOKUP(5,Reagents!$B$1:$M$41,12,FALSE),IF(OR(Reagents!$Q$6="Stock slurry",Reagents!$Q$6="Stock solution"),BK4*BJ4, BK4/VLOOKUP(5,Reagents!$B$1:$R$41,6,FALSE)*1000))</f>
        <v>#VALUE!</v>
      </c>
      <c r="BN4" s="214">
        <f>VLOOKUP(6,Reagents!$B$1:$M$41,2,FALSE)</f>
        <v>0</v>
      </c>
      <c r="BO4" s="214">
        <f>VLOOKUP(6,Reagents!$B$1:$M$41,3,FALSE)</f>
        <v>0</v>
      </c>
      <c r="BP4" s="214" t="str">
        <f>IF(VLOOKUP(6,Reagents!$B$1:$M$41,5,FALSE)=0, "NULL", VLOOKUP(6,Reagents!$B$1:$M$41,5,FALSE))</f>
        <v>NULL</v>
      </c>
      <c r="BQ4" s="214" t="str">
        <f>IF(OR(Reagents!$Q$7="Stock slurry",Reagents!$Q$7="Stock solution"),VLOOKUP(6,Reagents!$B$1:$R$41,13,FALSE), "NULL")</f>
        <v/>
      </c>
      <c r="BR4" s="362" t="str">
        <f>IF(OR(Reagents!$Q$7="Stock slurry",Reagents!$Q$7="Stock solution"),VLOOKUP(6,Reagents!$B$1:$R$41,14,FALSE), VLOOKUP(6,Reagents!$B$1:$R$41,11,FALSE))</f>
        <v/>
      </c>
      <c r="BS4" s="214">
        <f>VLOOKUP(6,Reagents!$B$1:$R$41,17,FALSE)</f>
        <v>0</v>
      </c>
      <c r="BT4" s="284" t="e">
        <f>IF(OR(VLOOKUP(6,Reagents!$B$1:$M$41,4,FALSE)="solvent_2",VLOOKUP(6,Reagents!$B$1:$M$41,4,FALSE)="solvent_3"),VLOOKUP(6,Reagents!$B$1:$M$41,12,FALSE),IF(OR(Reagents!$Q$7="Stock slurry",Reagents!$Q$7="Stock solution"),BR4*BQ4, BR4/VLOOKUP(6,Reagents!$B$1:$R$41,6,FALSE)*1000))</f>
        <v>#VALUE!</v>
      </c>
      <c r="BU4" s="214">
        <f>VLOOKUP(7,Reagents!$B$1:$M$41,2,FALSE)</f>
        <v>0</v>
      </c>
      <c r="BV4" s="214">
        <f>VLOOKUP(7,Reagents!$B$1:$M$41,3,FALSE)</f>
        <v>0</v>
      </c>
      <c r="BW4" s="214" t="str">
        <f>IF(VLOOKUP(7,Reagents!$B$1:$M$41,5,FALSE)=0, "NULL", VLOOKUP(7,Reagents!$B$1:$M$41,5,FALSE))</f>
        <v>NULL</v>
      </c>
      <c r="BX4" s="214" t="str">
        <f>IF(OR(Reagents!$Q$8="Stock slurry",Reagents!$Q$8="Stock solution"),VLOOKUP(7,Reagents!$B$1:$R$41,13,FALSE), "NULL")</f>
        <v/>
      </c>
      <c r="BY4" s="362" t="str">
        <f>IF(OR(Reagents!$Q$8="Stock slurry",Reagents!$Q$8="Stock solution"),VLOOKUP(7,Reagents!$B$1:$R$41,14,FALSE), VLOOKUP(7,Reagents!$B$1:$R$41,11,FALSE))</f>
        <v/>
      </c>
      <c r="BZ4" s="214">
        <f>VLOOKUP(7,Reagents!$B$1:$R$41,17,FALSE)</f>
        <v>0</v>
      </c>
      <c r="CA4" s="284" t="e">
        <f>IF(OR(VLOOKUP(7,Reagents!$B$1:$M$41,4,FALSE)="solvent_2",VLOOKUP(7,Reagents!$B$1:$M$41,4,FALSE)="solvent_3"),VLOOKUP(7,Reagents!$B$1:$M$41,12,FALSE),IF(OR(Reagents!$Q$8="Stock slurry",Reagents!$Q$8="Stock solution"),BY4*BX4, BY4/VLOOKUP(7,Reagents!$B$1:$R$41,6,FALSE)*1000))</f>
        <v>#VALUE!</v>
      </c>
      <c r="CB4" s="214">
        <f>VLOOKUP(8,Reagents!$B$1:$M$41,2,FALSE)</f>
        <v>0</v>
      </c>
      <c r="CC4" s="214">
        <f>VLOOKUP(8,Reagents!$B$1:$M$41,3,FALSE)</f>
        <v>0</v>
      </c>
      <c r="CD4" s="214" t="str">
        <f>IF(VLOOKUP(8,Reagents!$B$1:$M$41,5,FALSE)=0, "NULL", VLOOKUP(8,Reagents!$B$1:$M$41,5,FALSE))</f>
        <v>NULL</v>
      </c>
      <c r="CE4" s="214" t="str">
        <f>IF(OR(Reagents!$Q$9="Stock slurry",Reagents!$Q$9="Stock solution"),VLOOKUP(8,Reagents!$B$1:$R$41,13,FALSE), "NULL")</f>
        <v/>
      </c>
      <c r="CF4" s="362" t="str">
        <f>IF(OR(Reagents!$Q$9="Stock slurry",Reagents!$Q$9="Stock solution"),VLOOKUP(8,Reagents!$B$1:$R$41,14,FALSE), VLOOKUP(8,Reagents!$B$1:$R$41,11,FALSE))</f>
        <v/>
      </c>
      <c r="CG4" s="214">
        <f>VLOOKUP(8,Reagents!$B$1:$R$41,17,FALSE)</f>
        <v>0</v>
      </c>
      <c r="CH4" s="284" t="e">
        <f>IF(OR(VLOOKUP(8,Reagents!$B$1:$M$41,4,FALSE)="solvent_2",VLOOKUP(8,Reagents!$B$1:$M$41,4,FALSE)="solvent_3"),VLOOKUP(8,Reagents!$B$1:$M$41,12,FALSE),IF(OR(Reagents!$Q$9="Stock slurry",Reagents!$Q$9="Stock solution"),CF4*CE4, CF4/VLOOKUP(8,Reagents!$B$1:$R$41,6,FALSE)*1000))</f>
        <v>#VALUE!</v>
      </c>
      <c r="CI4" s="214">
        <f>VLOOKUP(9,Reagents!$B$1:$M$41,2,FALSE)</f>
        <v>0</v>
      </c>
      <c r="CJ4" s="214">
        <f>VLOOKUP(9,Reagents!$B$1:$M$41,3,FALSE)</f>
        <v>0</v>
      </c>
      <c r="CK4" s="214" t="str">
        <f>IF(VLOOKUP(9,Reagents!$B$1:$M$41,5,FALSE)=0, "NULL", VLOOKUP(9,Reagents!$B$1:$M$41,5,FALSE))</f>
        <v>NULL</v>
      </c>
      <c r="CL4" s="214" t="str">
        <f>IF(OR(Reagents!$Q$10="Stock slurry",Reagents!$Q$10="Stock solution"),VLOOKUP(9,Reagents!$B$1:$R$41,13,FALSE), "NULL")</f>
        <v/>
      </c>
      <c r="CM4" s="362" t="str">
        <f>IF(OR(Reagents!$Q$10="Stock slurry",Reagents!$Q$10="Stock solution"),VLOOKUP(9,Reagents!$B$1:$R$41,14,FALSE), VLOOKUP(9,Reagents!$B$1:$R$41,11,FALSE))</f>
        <v/>
      </c>
      <c r="CN4" s="214">
        <f>VLOOKUP(9,Reagents!$B$1:$R$41,17,FALSE)</f>
        <v>0</v>
      </c>
      <c r="CO4" s="284" t="e">
        <f>IF(OR(VLOOKUP(9,Reagents!$B$1:$M$41,4,FALSE)="solvent_2",VLOOKUP(9,Reagents!$B$1:$M$41,4,FALSE)="solvent_3"),VLOOKUP(9,Reagents!$B$1:$M$41,12,FALSE),IF(OR(Reagents!$Q$10="Stock slurry",Reagents!$Q$10="Stock solution"),CM4*CL4, CM4/VLOOKUP(9,Reagents!$B$1:$R$41,6,FALSE)*1000))</f>
        <v>#VALUE!</v>
      </c>
      <c r="CP4" s="214">
        <f>VLOOKUP(10,Reagents!$B$1:$M$41,2,FALSE)</f>
        <v>0</v>
      </c>
      <c r="CQ4" s="214">
        <f>VLOOKUP(10,Reagents!$B$1:$M$41,3,FALSE)</f>
        <v>0</v>
      </c>
      <c r="CR4" s="214" t="str">
        <f>IF(VLOOKUP(10,Reagents!$B$1:$M$41,5,FALSE)=0, "NULL", VLOOKUP(10,Reagents!$B$1:$M$41,5,FALSE))</f>
        <v>NULL</v>
      </c>
      <c r="CS4" s="214" t="str">
        <f>IF(OR(Reagents!$Q$11="Stock slurry",Reagents!$Q$11="Stock solution"),VLOOKUP(10,Reagents!$B$1:$R$41,13,FALSE), "NULL")</f>
        <v/>
      </c>
      <c r="CT4" s="362" t="str">
        <f>IF(OR(Reagents!$Q$11="Stock slurry",Reagents!$Q$11="Stock solution"),VLOOKUP(10,Reagents!$B$1:$R$41,14,FALSE), VLOOKUP(10,Reagents!$B$1:$R$41,11,FALSE))</f>
        <v/>
      </c>
      <c r="CU4" s="214">
        <f>VLOOKUP(10,Reagents!$B$1:$R$41,17,FALSE)</f>
        <v>0</v>
      </c>
      <c r="CV4" s="284" t="e">
        <f>IF(OR(VLOOKUP(10,Reagents!$B$1:$M$41,4,FALSE)="solvent_2",VLOOKUP(10,Reagents!$B$1:$M$41,4,FALSE)="solvent_3"),VLOOKUP(10,Reagents!$B$1:$M$41,12,FALSE),IF(OR(Reagents!$Q$11="Stock slurry",Reagents!$Q$11="Stock solution"),CT4*CS4, CT4/VLOOKUP(10,Reagents!$B$1:$R$41,6,FALSE)*1000))</f>
        <v>#VALUE!</v>
      </c>
      <c r="CW4" s="214" t="str">
        <f>VLOOKUP(B4+10,Reagents!$B$1:$R$41,2,FALSE)</f>
        <v/>
      </c>
      <c r="CX4" s="214">
        <f>VLOOKUP(B4+10,Reagents!$B$1:$R$41,3,FALSE)</f>
        <v>0</v>
      </c>
      <c r="CY4" s="214" t="str">
        <f>IF(VLOOKUP(B4+10,Reagents!$B$1:$M$41,5,FALSE)=0, "NULL", VLOOKUP(B4+10,Reagents!$B$1:$M$41,5,FALSE))</f>
        <v>NULL</v>
      </c>
      <c r="CZ4" s="214" t="str">
        <f>IF(OR(Reagents!$Q$12="Stock slurry",Reagents!$Q$12="Stock solution"),VLOOKUP(B4+10,Reagents!$B$1:$R$41,13,FALSE), "NULL")</f>
        <v/>
      </c>
      <c r="DA4" s="362" t="str">
        <f>IF(OR(Reagents!$Q$12="Stock slurry",Reagents!$Q$12="Stock solution"),VLOOKUP(B4+10,Reagents!$B$1:$R$41,14,FALSE), VLOOKUP(B4+10,Reagents!$B$1:$R$41,11,FALSE))</f>
        <v/>
      </c>
      <c r="DB4" s="214">
        <f>VLOOKUP(B4+10,Reagents!$B$1:$R$41,17,FALSE)</f>
        <v>0</v>
      </c>
      <c r="DC4" s="284" t="e">
        <f>IF(OR(v1_col="solvent_2",v1_col="solvent_3"),VLOOKUP(B4+10,Reagents!$B$1:$M$41,12,FALSE),IF(OR(Reagents!$Q$12="Stock slurry",Reagents!$Q$12="Stock solution"),DA4*CZ4, DA4/VLOOKUP(B4+10,Reagents!$B$1:$R$41,6,FALSE)*1000))</f>
        <v>#VALUE!</v>
      </c>
      <c r="DD4" s="214" t="str">
        <f>VLOOKUP(B4+22,Reagents!$B$1:$M$41,2,FALSE)</f>
        <v/>
      </c>
      <c r="DE4" s="214">
        <f>VLOOKUP(B4+22,Reagents!$B$1:$R$41,3,FALSE)</f>
        <v>0</v>
      </c>
      <c r="DF4" s="214" t="str">
        <f>IF(VLOOKUP(B4+22,Reagents!$B$1:$M$41,5,FALSE)=0, "NULL", VLOOKUP(B4+22,Reagents!$B$1:$M$41,5,FALSE))</f>
        <v>NULL</v>
      </c>
      <c r="DG4" s="214" t="str">
        <f>IF(OR(Reagents!$Q$18="Stock slurry",Reagents!$Q$12="Stock solution"),VLOOKUP(B4+22,Reagents!$B$1:$R$41,13,FALSE), "NULL")</f>
        <v/>
      </c>
      <c r="DH4" s="362" t="str">
        <f>IF(OR(Reagents!$Q$18="Stock slurry",Reagents!$Q$18="Stock solution"),VLOOKUP(B4+22,Reagents!$B$1:$R$41,14,FALSE), VLOOKUP(B4+22,Reagents!$B$1:$R$41,11,FALSE))</f>
        <v/>
      </c>
      <c r="DI4" s="214">
        <f>VLOOKUP(B4+22,Reagents!$B$1:$R$41,17,FALSE)</f>
        <v>0</v>
      </c>
      <c r="DJ4" s="284" t="e">
        <f>IF(OR(v2_col="solvent_2",v2_col="solvent_3"),VLOOKUP(B4+22,Reagents!$B$1:$M$41,12,FALSE),IF(OR(Reagents!$Q$18="Stock slurry",Reagents!$Q$18="Stock solution"),DH4*DG4, DH4/VLOOKUP(B4+22,Reagents!$B$1:$R$41,6,FALSE)*1000))</f>
        <v>#VALUE!</v>
      </c>
      <c r="DK4" s="214" t="str">
        <f>VLOOKUP(B4+34,Reagents!$B$1:$M$41,2,FALSE)</f>
        <v/>
      </c>
      <c r="DL4" s="214">
        <f>VLOOKUP(B4+34,Reagents!$B$1:$R$41,3,FALSE)</f>
        <v>0</v>
      </c>
      <c r="DM4" s="214" t="str">
        <f>IF(VLOOKUP(B4+34,Reagents!$B$1:$M$41,5,FALSE)=0, "NULL", VLOOKUP(B4+34,Reagents!$B$1:$M$41,5,FALSE))</f>
        <v>NULL</v>
      </c>
      <c r="DN4" s="214" t="str">
        <f>IF(OR(Reagents!$Q$24="Stock slurry",Reagents!$Q$12="Stock solution"),VLOOKUP(B4+34,Reagents!$B$1:$R$41,13,FALSE), "NULL")</f>
        <v/>
      </c>
      <c r="DO4" s="362" t="str">
        <f>IF(OR(Reagents!$Q$24="Stock slurry",Reagents!$Q$24="Stock solution"),VLOOKUP(B4+34,Reagents!$B$1:$R$41,14,FALSE), VLOOKUP(B4+34,Reagents!$B$1:$R$41,11,FALSE))</f>
        <v/>
      </c>
      <c r="DP4" s="214">
        <f>VLOOKUP(B4+34,Reagents!$B$1:$R$41,17,FALSE)</f>
        <v>0</v>
      </c>
      <c r="DQ4" s="284" t="e">
        <f>IF(OR(v3_col="solvent_2",v3_col="solvent_3"),VLOOKUP(B4+34,Reagents!$B$1:$M$41,12,FALSE),IF(OR(Reagents!$Q$24="Stock slurry",Reagents!$Q$24="Stock solution"),DO4*DN4, DO4/VLOOKUP(B4+34,Reagents!$B$1:$R$41,6,FALSE)*1000))</f>
        <v>#VALUE!</v>
      </c>
      <c r="DR4" s="214" t="str">
        <f>VLOOKUP(C4+46,Reagents!$B$1:$M$41,2,FALSE)</f>
        <v/>
      </c>
      <c r="DS4" s="214">
        <f>VLOOKUP(C4+46,Reagents!$B$1:$M$41,3,FALSE)</f>
        <v>0</v>
      </c>
      <c r="DT4" s="214" t="str">
        <f>IF(VLOOKUP(C4+46,Reagents!$B$1:$M$41,5,FALSE)=0, "NULL", VLOOKUP(C4+46,Reagents!$B$1:$M$41,5,FALSE))</f>
        <v>NULL</v>
      </c>
      <c r="DU4" s="214" t="str">
        <f>IF(OR(Reagents!$Q$30="Stock slurry",Reagents!$Q$30="Stock solution"),VLOOKUP(C4+46,Reagents!$B$1:$R$41,13,FALSE), "NULL")</f>
        <v/>
      </c>
      <c r="DV4" s="362" t="str">
        <f>IF(OR(Reagents!$Q$30="Stock slurry",Reagents!$Q$30="Stock solution"),VLOOKUP(C4+46,Reagents!$B$1:$R$41,14,FALSE), VLOOKUP(C4+46,Reagents!$B$1:$R$41,11,FALSE))</f>
        <v/>
      </c>
      <c r="DW4" s="214">
        <f>VLOOKUP(C4+46,Reagents!$B$1:$R$41,17,FALSE)</f>
        <v>0</v>
      </c>
      <c r="DX4" s="284" t="e">
        <f>IF(OR(v4_row="solvent_2",v4_row="solvent_3"),VLOOKUP(C4+46,Reagents!$B$1:$M$41,12,FALSE),IF(OR(Reagents!$Q$30="Stock slurry",Reagents!$Q$30="Stock solution"),DV4*DU4, DV4/VLOOKUP(C4+46,Reagents!$B$1:$R$41,6,FALSE)*1000))</f>
        <v>#VALUE!</v>
      </c>
      <c r="DY4" s="214" t="str">
        <f>VLOOKUP(C4+54,Reagents!$B$1:$M$41,2,FALSE)</f>
        <v/>
      </c>
      <c r="DZ4" s="214">
        <f>VLOOKUP(C4+54,Reagents!$B$1:$M$41,3,FALSE)</f>
        <v>0</v>
      </c>
      <c r="EA4" s="214" t="str">
        <f>IF(VLOOKUP(C4+54,Reagents!$B$1:$M$41,5,FALSE)=0, "NULL", VLOOKUP(C4+54,Reagents!$B$1:$M$41,5,FALSE))</f>
        <v>NULL</v>
      </c>
      <c r="EB4" s="214" t="str">
        <f>IF(OR(Reagents!$Q$34="Stock slurry",Reagents!$Q$34="Stock solution"),VLOOKUP(C4+54,Reagents!$B$1:$R$41,13,FALSE), "NULL")</f>
        <v/>
      </c>
      <c r="EC4" s="362" t="str">
        <f>IF(OR(Reagents!$Q$34="Stock slurry",Reagents!$Q$34="Stock solution"),VLOOKUP(C4+54,Reagents!$B$1:$R$41,14,FALSE), VLOOKUP(C4+54,Reagents!$B$1:$R$41,11,FALSE))</f>
        <v/>
      </c>
      <c r="ED4" s="214">
        <f>VLOOKUP(C4+54,Reagents!$B$1:$R$41,17,FALSE)</f>
        <v>0</v>
      </c>
      <c r="EE4" s="284" t="e">
        <f>IF(OR(v5_row="solvent_2",v5_row="solvent_3"),VLOOKUP(C4+54,Reagents!$B$1:$M$41,12,FALSE),IF(OR(Reagents!$Q$34="Stock slurry",Reagents!$Q$34="Stock solution"),EC4*EB4, EC4/VLOOKUP(C4+54,Reagents!$B$1:$R$41,6,FALSE)*1000))</f>
        <v>#VALUE!</v>
      </c>
      <c r="EF4" s="214" t="str">
        <f>VLOOKUP(C4+62,Reagents!$B$1:$M$41,2,FALSE)</f>
        <v/>
      </c>
      <c r="EG4" s="214">
        <f>VLOOKUP(C4+62,Reagents!$B$1:$M$41,3,FALSE)</f>
        <v>0</v>
      </c>
      <c r="EH4" s="214" t="str">
        <f>IF(VLOOKUP(C4+62,Reagents!$B$1:$M$41,5,FALSE)=0, "NULL", VLOOKUP(C4+62,Reagents!$B$1:$M$41,5,FALSE))</f>
        <v>NULL</v>
      </c>
      <c r="EI4" s="214" t="str">
        <f>IF(OR(Reagents!$Q$38="Stock slurry",Reagents!$Q$38="Stock solution"),VLOOKUP(C4+62,Reagents!$B$1:$R$41,13,FALSE), "NULL")</f>
        <v/>
      </c>
      <c r="EJ4" s="362" t="str">
        <f>IF(OR(Reagents!$Q$38="Stock slurry",Reagents!$Q$38="Stock solution"),VLOOKUP(C4+62,Reagents!$B$1:$R$41,14,FALSE), VLOOKUP(C4+62,Reagents!$B$1:$R$41,11,FALSE))</f>
        <v/>
      </c>
      <c r="EK4" s="214">
        <f>VLOOKUP(C4+62,Reagents!$B$1:$R$41,17,FALSE)</f>
        <v>0</v>
      </c>
      <c r="EL4" s="284" t="e">
        <f>IF(OR(v6_row="solvent_2",v6_row="solvent_3"),VLOOKUP(C4+62,Reagents!$B$1:$M$41,12,FALSE),IF(OR(Reagents!$Q$38="Stock slurry",Reagents!$Q$38="Stock solution"),EJ4*EI4, EJ4/VLOOKUP(C4+62,Reagents!$B$1:$R$41,6,FALSE)*1000))</f>
        <v>#VALUE!</v>
      </c>
      <c r="EM4" s="214">
        <f>VLOOKUP(19,'Plate Planning'!$A$1:$T$35,13,FALSE)</f>
        <v>0</v>
      </c>
      <c r="EN4" s="214">
        <f>VLOOKUP(19,'Plate Planning'!$A$1:$T$35,14,FALSE)</f>
        <v>0</v>
      </c>
      <c r="EO4" s="214">
        <f>VLOOKUP(19,'Plate Planning'!$A$1:$T$35,15,FALSE)</f>
        <v>0</v>
      </c>
      <c r="EP4" s="214">
        <f>VLOOKUP(A4,'Uncorrected Area Counts'!$A$1:$AS$27,3,FALSE)</f>
        <v>0</v>
      </c>
      <c r="EQ4" s="214" t="str">
        <f>VLOOKUP(A4,'Uncorrected Area Counts'!$A$1:$AS$27,4,FALSE)</f>
        <v/>
      </c>
      <c r="ER4" s="214" t="str">
        <f>VLOOKUP(A4,'Uncorrected Area Counts'!$A$1:$AS$27,5,FALSE)</f>
        <v/>
      </c>
      <c r="ES4" s="214">
        <f>VLOOKUP(20,'Plate Planning'!$A$1:$T$35,15,FALSE)</f>
        <v>0</v>
      </c>
      <c r="ET4" s="214">
        <f>VLOOKUP(A4,'Uncorrected Area Counts'!$A$1:$AS$27,7,FALSE)</f>
        <v>0</v>
      </c>
      <c r="EU4" s="214" t="e">
        <f>VLOOKUP(A4,'Uncorrected Area Counts'!$A$1:$AS$27,7,FALSE)/VLOOKUP(A4,'Uncorrected Area Counts'!$A$1:$AS$27,3,FALSE)</f>
        <v>#DIV/0!</v>
      </c>
      <c r="EV4" s="214" t="str">
        <f>IFERROR(VLOOKUP(A4,'Yields &amp; LCAPs'!$A$1:$V$27,3,FALSE), "NULL")</f>
        <v>NULL</v>
      </c>
      <c r="EW4" s="284" t="str">
        <f>IFERROR(VLOOKUP(A4,'Yields &amp; LCAPs'!$A$1:$V$27,4,FALSE), "NULL")</f>
        <v>NULL</v>
      </c>
      <c r="EX4" s="214" t="str">
        <f>VLOOKUP(A4,'Uncorrected Area Counts'!$A$1:$AS$27,8,FALSE)</f>
        <v/>
      </c>
      <c r="EY4" s="214" t="str">
        <f>VLOOKUP(A4,'Uncorrected Area Counts'!$A$1:$AS$27,9,FALSE)</f>
        <v/>
      </c>
      <c r="EZ4" s="214">
        <f>VLOOKUP(22,'Plate Planning'!$A$1:$T$35,15,FALSE)</f>
        <v>0</v>
      </c>
      <c r="FA4" s="214">
        <f>VLOOKUP(A4,'Uncorrected Area Counts'!$A$1:$AS$27,11,FALSE)</f>
        <v>0</v>
      </c>
      <c r="FB4" s="214" t="e">
        <f>VLOOKUP(A4,'Uncorrected Area Counts'!$A$1:$AS$27,11,FALSE)/VLOOKUP(A4,'Uncorrected Area Counts'!$A$1:$AS$27,3,FALSE)</f>
        <v>#DIV/0!</v>
      </c>
      <c r="FC4" s="214" t="str">
        <f>IFERROR(VLOOKUP(A4,'Yields &amp; LCAPs'!$A$1:$V$27,5,FALSE), "NULL")</f>
        <v>NULL</v>
      </c>
      <c r="FD4" s="284" t="str">
        <f>IFERROR(VLOOKUP(A4,'Yields &amp; LCAPs'!$A$1:$V$27,6,FALSE), "NULL")</f>
        <v>NULL</v>
      </c>
      <c r="FE4" s="214" t="str">
        <f>VLOOKUP(A4,'Uncorrected Area Counts'!$A$1:$AS$27,12,FALSE)</f>
        <v/>
      </c>
      <c r="FF4" s="214" t="str">
        <f>VLOOKUP(A4,'Uncorrected Area Counts'!$A$1:$AS$27,13,FALSE)</f>
        <v/>
      </c>
      <c r="FG4" s="214">
        <f>VLOOKUP(24,'Plate Planning'!$A$1:$T$35,15,FALSE)</f>
        <v>0</v>
      </c>
      <c r="FH4" s="214">
        <f>VLOOKUP(A4,'Uncorrected Area Counts'!$A$1:$AS$27,15,FALSE)</f>
        <v>0</v>
      </c>
      <c r="FI4" s="214" t="e">
        <f>VLOOKUP(A4,'Uncorrected Area Counts'!$A$1:$AS$27,15,FALSE)/VLOOKUP(A4,'Uncorrected Area Counts'!$A$1:$AS$27,3,FALSE)</f>
        <v>#DIV/0!</v>
      </c>
      <c r="FJ4" s="214" t="str">
        <f>IFERROR(VLOOKUP(A4,'Yields &amp; LCAPs'!$A$1:$V$27,7,FALSE), "NULL")</f>
        <v>NULL</v>
      </c>
      <c r="FK4" s="284" t="str">
        <f>IFERROR(VLOOKUP(A4,'Yields &amp; LCAPs'!$A$1:$V$27,8,FALSE), "NULL")</f>
        <v>NULL</v>
      </c>
      <c r="FL4" s="214" t="str">
        <f>VLOOKUP(A4,'Uncorrected Area Counts'!$A$1:$AS$27,16,FALSE)</f>
        <v/>
      </c>
      <c r="FM4" s="214" t="str">
        <f>VLOOKUP(A4,'Uncorrected Area Counts'!$A$1:$AS$27,17,FALSE)</f>
        <v/>
      </c>
      <c r="FN4" s="214">
        <f>VLOOKUP(26,'Plate Planning'!$A$1:$T$35,15,FALSE)</f>
        <v>0</v>
      </c>
      <c r="FO4" s="214">
        <f>VLOOKUP(A4,'Uncorrected Area Counts'!$A$1:$AS$27,19,FALSE)</f>
        <v>0</v>
      </c>
      <c r="FP4" s="214" t="e">
        <f>VLOOKUP(A4,'Uncorrected Area Counts'!$A$1:$AS$27,19,FALSE)/VLOOKUP(A4,'Uncorrected Area Counts'!$A$1:$AS$27,3,FALSE)</f>
        <v>#DIV/0!</v>
      </c>
      <c r="FQ4" s="214" t="str">
        <f>IFERROR(VLOOKUP(A4,'Yields &amp; LCAPs'!$A$1:$V$27,9,FALSE), "NULL")</f>
        <v>NULL</v>
      </c>
      <c r="FR4" s="284" t="str">
        <f>IFERROR(VLOOKUP(A4,'Yields &amp; LCAPs'!$A$1:$V$27,10,FALSE), "NULL")</f>
        <v>NULL</v>
      </c>
      <c r="FS4" s="214" t="str">
        <f>VLOOKUP(A4,'Uncorrected Area Counts'!$A$1:$AS$27,20,FALSE)</f>
        <v/>
      </c>
      <c r="FT4" s="214" t="str">
        <f>VLOOKUP(A4,'Uncorrected Area Counts'!$A$1:$AS$27,21,FALSE)</f>
        <v/>
      </c>
      <c r="FU4" s="214">
        <f>VLOOKUP(27,'Plate Planning'!$A$1:$T$35,15,FALSE)</f>
        <v>0</v>
      </c>
      <c r="FV4" s="214">
        <f>VLOOKUP(A4,'Uncorrected Area Counts'!$A$1:$AS$27,23,FALSE)</f>
        <v>0</v>
      </c>
      <c r="FW4" s="214" t="e">
        <f>VLOOKUP(A4,'Uncorrected Area Counts'!$A$1:$AS$27,23,FALSE)/VLOOKUP(A4,'Uncorrected Area Counts'!$A$1:$AS$27,3,FALSE)</f>
        <v>#DIV/0!</v>
      </c>
      <c r="FX4" s="214" t="str">
        <f>IFERROR(VLOOKUP(A4,'Yields &amp; LCAPs'!$A$1:$V$27,11,FALSE), "NULL")</f>
        <v>NULL</v>
      </c>
      <c r="FY4" s="284" t="str">
        <f>IFERROR(VLOOKUP(A4,'Yields &amp; LCAPs'!$A$1:$V$27,12,FALSE), "NULL")</f>
        <v>NULL</v>
      </c>
      <c r="FZ4" s="411" t="str">
        <f>VLOOKUP(A4,'Uncorrected Area Counts'!$A$1:$AS$27,24,FALSE)</f>
        <v/>
      </c>
      <c r="GA4" s="214" t="str">
        <f>VLOOKUP(A4,'Uncorrected Area Counts'!$A$1:$AS$27,25,FALSE)</f>
        <v/>
      </c>
      <c r="GB4" s="214">
        <f>VLOOKUP(28,'Plate Planning'!$A$1:$T$35,15,FALSE)</f>
        <v>0</v>
      </c>
      <c r="GC4" s="214">
        <f>VLOOKUP(A4,'Uncorrected Area Counts'!$A$1:$AS$27,27,FALSE)</f>
        <v>0</v>
      </c>
      <c r="GD4" s="214" t="e">
        <f>VLOOKUP(A4,'Uncorrected Area Counts'!$A$1:$AS$27,27,FALSE)/VLOOKUP(A4,'Uncorrected Area Counts'!$A$1:$AS$27,3,FALSE)</f>
        <v>#DIV/0!</v>
      </c>
      <c r="GE4" s="214" t="str">
        <f>IFERROR(VLOOKUP(A4,'Yields &amp; LCAPs'!$A$1:$V$27,13,FALSE), "NULL")</f>
        <v>NULL</v>
      </c>
      <c r="GF4" s="284" t="str">
        <f>IFERROR(VLOOKUP(A4,'Yields &amp; LCAPs'!$A$1:$V$27,14,FALSE), "NULL")</f>
        <v>NULL</v>
      </c>
      <c r="GG4" s="214" t="str">
        <f>VLOOKUP(A4,'Uncorrected Area Counts'!$A$1:$AS$27,28,FALSE)</f>
        <v/>
      </c>
      <c r="GH4" s="214" t="str">
        <f>VLOOKUP(A4,'Uncorrected Area Counts'!$A$1:$AS$27,29,FALSE)</f>
        <v/>
      </c>
      <c r="GI4" s="214">
        <f>VLOOKUP(29,'Plate Planning'!$A$1:$T$35,15,FALSE)</f>
        <v>0</v>
      </c>
      <c r="GJ4" s="214">
        <f>VLOOKUP(A4,'Uncorrected Area Counts'!$A$1:$AS$27,31,FALSE)</f>
        <v>0</v>
      </c>
      <c r="GK4" s="214" t="e">
        <f>VLOOKUP(A4,'Uncorrected Area Counts'!$A$1:$AS$27,31,FALSE)/VLOOKUP(A4,'Uncorrected Area Counts'!$A$1:$AS$27,3,FALSE)</f>
        <v>#DIV/0!</v>
      </c>
      <c r="GL4" s="214" t="str">
        <f>IFERROR(VLOOKUP(A4,'Yields &amp; LCAPs'!$A$1:$V$27,15,FALSE), "NULL")</f>
        <v>NULL</v>
      </c>
      <c r="GM4" s="284" t="str">
        <f>IFERROR(VLOOKUP(A4,'Yields &amp; LCAPs'!$A$1:$V$27,16,FALSE), "NULL")</f>
        <v>NULL</v>
      </c>
      <c r="GN4" s="214" t="str">
        <f>VLOOKUP(A4,'Uncorrected Area Counts'!$A$1:$AS$27,32,FALSE)</f>
        <v/>
      </c>
      <c r="GO4" s="214" t="str">
        <f>VLOOKUP(A4,'Uncorrected Area Counts'!$A$1:$AS$27,33,FALSE)</f>
        <v/>
      </c>
      <c r="GP4" s="214">
        <f>VLOOKUP(30,'Plate Planning'!$A$1:$T$35,15,FALSE)</f>
        <v>0</v>
      </c>
      <c r="GQ4" s="214">
        <f>VLOOKUP(A4,'Uncorrected Area Counts'!$A$1:$AS$27,35,FALSE)</f>
        <v>0</v>
      </c>
      <c r="GR4" s="214" t="e">
        <f>VLOOKUP(A4,'Uncorrected Area Counts'!$A$1:$AS$27,35,FALSE)/VLOOKUP(A4,'Uncorrected Area Counts'!$A$1:$AS$27,3,FALSE)</f>
        <v>#DIV/0!</v>
      </c>
      <c r="GS4" s="214" t="str">
        <f>IFERROR(VLOOKUP(A4,'Yields &amp; LCAPs'!$A$1:$V$27,17,FALSE), "NULL")</f>
        <v>NULL</v>
      </c>
      <c r="GT4" s="284" t="str">
        <f>IFERROR(VLOOKUP(A4,'Yields &amp; LCAPs'!$A$1:$V$27,18,FALSE), "NULL")</f>
        <v>NULL</v>
      </c>
      <c r="GU4" s="214" t="str">
        <f>VLOOKUP(A4,'Uncorrected Area Counts'!$A$1:$AS$27,36,FALSE)</f>
        <v/>
      </c>
      <c r="GV4" s="214" t="str">
        <f>VLOOKUP(A4,'Uncorrected Area Counts'!$A$1:$AS$27,37,FALSE)</f>
        <v/>
      </c>
      <c r="GW4" s="214">
        <f>VLOOKUP(31,'Plate Planning'!$A$1:$T$35,15,FALSE)</f>
        <v>0</v>
      </c>
      <c r="GX4" s="214">
        <f>VLOOKUP(A4,'Uncorrected Area Counts'!$A$1:$AS$27,39,FALSE)</f>
        <v>0</v>
      </c>
      <c r="GY4" s="214" t="e">
        <f>VLOOKUP(A4,'Uncorrected Area Counts'!$A$1:$AS$27,39,FALSE)/VLOOKUP(A4,'Uncorrected Area Counts'!$A$1:$AS$27,3,FALSE)</f>
        <v>#DIV/0!</v>
      </c>
      <c r="GZ4" s="214" t="str">
        <f>IFERROR(VLOOKUP(A4,'Yields &amp; LCAPs'!$A$1:$V$27,19,FALSE), "NULL")</f>
        <v>NULL</v>
      </c>
      <c r="HA4" s="284" t="str">
        <f>IFERROR(VLOOKUP(A4,'Yields &amp; LCAPs'!$A$1:$V$27,20,FALSE), "NULL")</f>
        <v>NULL</v>
      </c>
      <c r="HB4" s="214" t="str">
        <f>VLOOKUP(A4,'Uncorrected Area Counts'!$A$1:$AS$27,40,FALSE)</f>
        <v/>
      </c>
      <c r="HC4" s="214" t="str">
        <f>VLOOKUP(A4,'Uncorrected Area Counts'!$A$1:$AS$27,41,FALSE)</f>
        <v/>
      </c>
      <c r="HD4" s="214">
        <f>VLOOKUP(32,'Plate Planning'!$A$1:$T$35,15,FALSE)</f>
        <v>0</v>
      </c>
      <c r="HE4" s="214">
        <f>VLOOKUP(A4,'Uncorrected Area Counts'!$A$1:$AS$27,43,FALSE)</f>
        <v>0</v>
      </c>
      <c r="HF4" s="214" t="e">
        <f>VLOOKUP(A4,'Uncorrected Area Counts'!$A$1:$AS$27,43,FALSE)/VLOOKUP(A4,'Uncorrected Area Counts'!$A$1:$AS$27,3,FALSE)</f>
        <v>#DIV/0!</v>
      </c>
      <c r="HG4" s="214" t="str">
        <f>IFERROR(VLOOKUP(A4,'Yields &amp; LCAPs'!$A$1:$V$27,21,FALSE), "NULL")</f>
        <v>NULL</v>
      </c>
      <c r="HH4" s="284" t="str">
        <f>IFERROR(VLOOKUP(A4,'Yields &amp; LCAPs'!$A$1:$V$27,22,FALSE), "NULL")</f>
        <v>NULL</v>
      </c>
      <c r="HI4" s="362"/>
      <c r="HJ4" s="362"/>
      <c r="HK4" s="362"/>
      <c r="HL4" s="362"/>
      <c r="HM4" s="363"/>
      <c r="HN4" s="362"/>
      <c r="HO4" s="362"/>
      <c r="HP4" s="362"/>
      <c r="HQ4" s="362"/>
      <c r="HR4" s="363"/>
    </row>
    <row r="5" spans="1:230">
      <c r="A5" s="216" t="s">
        <v>1164</v>
      </c>
      <c r="B5" s="214">
        <v>4</v>
      </c>
      <c r="C5" s="214">
        <v>1</v>
      </c>
      <c r="D5" s="214" t="str">
        <f>VLOOKUP(18,'Plate Planning'!$A$1:$T$35,10,FALSE)&amp;"_"&amp;VLOOKUP(19,'Plate Planning'!$A$1:$T$35,10,FALSE)&amp;"_"&amp;A5</f>
        <v>__A4</v>
      </c>
      <c r="E5" s="214" t="str">
        <f>IF(VLOOKUP(18,'Plate Planning'!$A$1:$T$35,10,FALSE)="", "NULL", VLOOKUP(18,'Plate Planning'!$A$1:$T$35,10,FALSE))</f>
        <v>NULL</v>
      </c>
      <c r="F5" s="214" t="str">
        <f>IF(VLOOKUP(19,'Plate Planning'!$A$1:$T$35,10,FALSE)="", "NULL", VLOOKUP(19,'Plate Planning'!$A$1:$T$35,10,FALSE))</f>
        <v>NULL</v>
      </c>
      <c r="G5" s="214" t="str">
        <f>IF(VLOOKUP(20,'Plate Planning'!$A$1:$T$35,10,FALSE)="", "NULL", VLOOKUP(20,'Plate Planning'!$A$1:$T$35,10,FALSE))</f>
        <v>NULL</v>
      </c>
      <c r="H5" s="214" t="str">
        <f>IF(VLOOKUP(21,'Plate Planning'!$A$1:$T$35,10,FALSE)="", "NULL", VLOOKUP(21,'Plate Planning'!$A$1:$T$35,10,FALSE))</f>
        <v>NULL</v>
      </c>
      <c r="I5" s="214" t="str">
        <f>IF(VLOOKUP(23,'Plate Planning'!$A$1:$T$35,10,FALSE)="", "NULL", VLOOKUP(23,'Plate Planning'!$A$1:$T$35,10,FALSE))</f>
        <v>NULL</v>
      </c>
      <c r="J5" s="214" t="str">
        <f>IF(VLOOKUP(22,'Plate Planning'!$A$1:$T$35,10,FALSE)="", "NULL", VLOOKUP(22,'Plate Planning'!$A$1:$T$35,10,FALSE))</f>
        <v>NULL</v>
      </c>
      <c r="K5" s="214" t="str">
        <f>VLOOKUP(24,'Plate Planning'!$A$1:$T$35,10,FALSE)</f>
        <v>Glovebox</v>
      </c>
      <c r="L5" s="214" t="str">
        <f>IF(VLOOKUP(25,'Plate Planning'!$A$1:$T$35,10,FALSE)="","NULL",VLOOKUP(25,'Plate Planning'!$A$1:$T$35,10,FALSE))</f>
        <v>NULL</v>
      </c>
      <c r="M5" s="214" t="str">
        <f>VLOOKUP(26,'Plate Planning'!$A$1:$T$35,10,FALSE)</f>
        <v>ambient</v>
      </c>
      <c r="N5" s="214" t="str">
        <f>IF(VLOOKUP(27,'Plate Planning'!$A$1:$T$35,10,FALSE)=0,"NULL", VLOOKUP(27,'Plate Planning'!$A$1:$T$35,10,FALSE))</f>
        <v>NULL</v>
      </c>
      <c r="O5" s="214" t="str">
        <f>IF(VLOOKUP(3,'Plate Planning'!$A$2:$S$35,18,FALSE)="", "NULL", VLOOKUP(3,'Plate Planning'!$A$2:$S$35,18,FALSE))</f>
        <v>NULL</v>
      </c>
      <c r="P5" s="214" t="str">
        <f>IF(VLOOKUP(4,'Plate Planning'!$A$2:$S$35,18,FALSE)="", "NULL", VLOOKUP(4,'Plate Planning'!$A$2:$S$35,18,FALSE))</f>
        <v>NULL</v>
      </c>
      <c r="Q5" s="214" t="str">
        <f>IF(VLOOKUP(5,'Plate Planning'!$A$2:$S$35,18,FALSE)="", "NULL", VLOOKUP(5,'Plate Planning'!$A$2:$S$35,18,FALSE))</f>
        <v>NULL</v>
      </c>
      <c r="R5" s="214" t="str">
        <f>IF(VLOOKUP(6,'Plate Planning'!$A$2:$S$35,18,FALSE)="", "NULL", VLOOKUP(6,'Plate Planning'!$A$2:$S$35,18,FALSE))</f>
        <v>NULL</v>
      </c>
      <c r="S5" s="214" t="str">
        <f>IF(VLOOKUP(7,'Plate Planning'!$A$2:$S$35,18,FALSE)="", "NULL", VLOOKUP(7,'Plate Planning'!$A$2:$S$35,18,FALSE))</f>
        <v>NULL</v>
      </c>
      <c r="T5" s="214" t="str">
        <f>IF(VLOOKUP(28,'Plate Planning'!$A$1:$T$35,10,FALSE)=0,"NULL",VLOOKUP(28,'Plate Planning'!$A$1:$T$35,10,FALSE))</f>
        <v>NULL</v>
      </c>
      <c r="U5" s="214" t="str">
        <f>IFERROR(VLOOKUP(VLOOKUP(28,'Plate Planning'!$A$1:$T$35,10,FALSE),Dictionaries!$Q$2:$R$72,2,FALSE), "NULL")</f>
        <v>NULL</v>
      </c>
      <c r="V5" s="214" t="str">
        <f>IF(VLOOKUP(28,'Plate Planning'!$A$1:$T$35,10,FALSE)=0,"NULL",VLOOKUP(32,'Plate Planning'!$A$1:$T$35,10,FALSE))</f>
        <v>NULL</v>
      </c>
      <c r="W5" s="214" t="str">
        <f>IF(VLOOKUP(C5+3,'Plate Planning'!$A$1:$S$35,B5+4,FALSE)=0, "", VLOOKUP(C5+3,'Plate Planning'!$A$1:$S$35,B5+4,FALSE))</f>
        <v/>
      </c>
      <c r="X5" s="214" t="str">
        <f>IFERROR(VLOOKUP(W5,'Complex Variable'!$A$2:$S$25,2,FALSE), "")</f>
        <v/>
      </c>
      <c r="Y5" s="327" t="str">
        <f>IFERROR(VLOOKUP(W5,'Complex Variable'!$A$2:$S$25,3,FALSE), "")</f>
        <v/>
      </c>
      <c r="Z5" s="327" t="str">
        <f>IFERROR(VLOOKUP(W5,'Complex Variable'!$A$2:$S$25,5,FALSE), "")</f>
        <v/>
      </c>
      <c r="AA5" s="327" t="str">
        <f>IFERROR(VLOOKUP(W5,'Complex Variable'!$A$2:$S$25,14,FALSE), "")</f>
        <v/>
      </c>
      <c r="AB5" s="602" t="str">
        <f>IFERROR(VLOOKUP(W5,'Complex Variable'!$A$2:$S$25,19,FALSE), "")</f>
        <v/>
      </c>
      <c r="AC5" s="327" t="str">
        <f>IFERROR(VLOOKUP(W5,'Complex Variable'!$A$2:$S$25,13,FALSE), "")</f>
        <v/>
      </c>
      <c r="AD5" s="604" t="str">
        <f t="shared" si="0"/>
        <v/>
      </c>
      <c r="AE5" s="214">
        <f>VLOOKUP(1,Reagents!$B$1:$M$41,2,FALSE)</f>
        <v>0</v>
      </c>
      <c r="AF5" s="214">
        <f>VLOOKUP(1,Reagents!$B$1:$M$41,3,FALSE)</f>
        <v>0</v>
      </c>
      <c r="AG5" s="214" t="str">
        <f>IF(VLOOKUP(1,Reagents!$B$1:$M$41,5,FALSE)=0, "NULL", VLOOKUP(1,Reagents!$B$1:$M$41,5,FALSE))</f>
        <v>NULL</v>
      </c>
      <c r="AH5" s="214" t="str">
        <f>IF(OR(Reagents!$Q$2="Stock slurry",Reagents!$Q$2="Stock solution"),VLOOKUP(1,Reagents!$B$1:$R$41,13,FALSE), "NULL")</f>
        <v/>
      </c>
      <c r="AI5" s="362" t="str">
        <f>IF(OR(Reagents!$Q$2="Stock slurry",Reagents!$Q$2="Stock solution"),VLOOKUP(1,Reagents!$B$1:$R$41,14,FALSE), VLOOKUP(1,Reagents!$B$1:$R$41,11,FALSE))</f>
        <v/>
      </c>
      <c r="AJ5" s="214">
        <f>VLOOKUP(1,Reagents!$B$1:$R$41,17,FALSE)</f>
        <v>0</v>
      </c>
      <c r="AK5" s="284" t="e">
        <f>IF(OR(VLOOKUP(1,Reagents!$B$1:$M$41,4,FALSE)="solvent_2",VLOOKUP(1,Reagents!$B$1:$M$41,4,FALSE)="solvent_3"),VLOOKUP(1,Reagents!$B$1:$M$41,12,FALSE),IF(OR(Reagents!$Q$2="Stock slurry",Reagents!$Q$2="Stock solution"),AI5*AH5, AI5/VLOOKUP(1,Reagents!$B$1:$R$41,6,FALSE)*1000))</f>
        <v>#VALUE!</v>
      </c>
      <c r="AL5" s="214">
        <f>VLOOKUP(2,Reagents!$B$1:$M$41,2,FALSE)</f>
        <v>0</v>
      </c>
      <c r="AM5" s="214">
        <f>VLOOKUP(2,Reagents!$B$1:$M$41,3,FALSE)</f>
        <v>0</v>
      </c>
      <c r="AN5" s="214" t="str">
        <f>IF(VLOOKUP(2,Reagents!$B$1:$M$41,5,FALSE)=0, "NULL", VLOOKUP(2,Reagents!$B$1:$M$41,5,FALSE))</f>
        <v>NULL</v>
      </c>
      <c r="AO5" s="214" t="str">
        <f>IF(OR(Reagents!$Q$3="Stock slurry",Reagents!$Q$3="Stock solution"),VLOOKUP(2,Reagents!$B$1:$R$41,13,FALSE), "NULL")</f>
        <v/>
      </c>
      <c r="AP5" s="362" t="str">
        <f>IF(OR(Reagents!$Q$3="Stock slurry",Reagents!$Q$3="Stock solution"),VLOOKUP(2,Reagents!$B$1:$R$41,14,FALSE), VLOOKUP(2,Reagents!$B$1:$R$41,11,FALSE))</f>
        <v/>
      </c>
      <c r="AQ5" s="214">
        <f>VLOOKUP(2,Reagents!$B$1:$R$41,17,FALSE)</f>
        <v>0</v>
      </c>
      <c r="AR5" s="284" t="e">
        <f>IF(OR(VLOOKUP(2,Reagents!$B$1:$M$41,4,FALSE)="solvent_2",VLOOKUP(2,Reagents!$B$1:$M$41,4,FALSE)="solvent_3"),VLOOKUP(2,Reagents!$B$1:$M$41,12,FALSE),IF(OR(Reagents!$Q$3="Stock slurry",Reagents!$Q$3="Stock solution"),AP5*AO5, AP5/VLOOKUP(2,Reagents!$B$1:$R$41,6,FALSE)*1000))</f>
        <v>#VALUE!</v>
      </c>
      <c r="AS5" s="214">
        <f>VLOOKUP(3,Reagents!$B$1:$M$41,2,FALSE)</f>
        <v>0</v>
      </c>
      <c r="AT5" s="214">
        <f>VLOOKUP(3,Reagents!$B$1:$M$41,3,FALSE)</f>
        <v>0</v>
      </c>
      <c r="AU5" s="214" t="str">
        <f>IF(VLOOKUP(3,Reagents!$B$1:$M$41,5,FALSE)=0, "NULL", VLOOKUP(3,Reagents!$B$1:$M$41,5,FALSE))</f>
        <v>NULL</v>
      </c>
      <c r="AV5" s="214" t="str">
        <f>IF(OR(Reagents!$Q$4="Stock slurry",Reagents!$Q$4="Stock solution"),VLOOKUP(3,Reagents!$B$1:$R$41,13,FALSE), "NULL")</f>
        <v/>
      </c>
      <c r="AW5" s="362" t="str">
        <f>IF(OR(Reagents!$Q$4="Stock slurry",Reagents!$Q$4="Stock solution"),VLOOKUP(3,Reagents!$B$1:$R$41,14,FALSE), VLOOKUP(3,Reagents!$B$1:$R$41,11,FALSE))</f>
        <v/>
      </c>
      <c r="AX5" s="214">
        <f>VLOOKUP(3,Reagents!$B$1:$R$41,17,FALSE)</f>
        <v>0</v>
      </c>
      <c r="AY5" s="284" t="e">
        <f>IF(OR(VLOOKUP(3,Reagents!$B$1:$M$41,4,FALSE)="solvent_2",VLOOKUP(3,Reagents!$B$1:$M$41,4,FALSE)="solvent_3"),VLOOKUP(3,Reagents!$B$1:$M$41,12,FALSE),IF(OR(Reagents!$Q$4="Stock slurry",Reagents!$Q$4="Stock solution"),AW5*AV5, AW5/VLOOKUP(3,Reagents!$B$1:$R$41,6,FALSE)*1000))</f>
        <v>#VALUE!</v>
      </c>
      <c r="AZ5" s="214">
        <f>VLOOKUP(4,Reagents!$B$1:$M$41,2,FALSE)</f>
        <v>0</v>
      </c>
      <c r="BA5" s="214">
        <f>VLOOKUP(4,Reagents!$B$1:$M$41,3,FALSE)</f>
        <v>0</v>
      </c>
      <c r="BB5" s="214" t="str">
        <f>IF(VLOOKUP(4,Reagents!$B$1:$M$41,5,FALSE)=0, "NULL", VLOOKUP(4,Reagents!$B$1:$M$41,5,FALSE))</f>
        <v>NULL</v>
      </c>
      <c r="BC5" s="214" t="str">
        <f>IF(OR(Reagents!$Q$5="Stock slurry",Reagents!$Q$5="Stock solution"),VLOOKUP(4,Reagents!$B$1:$R$41,13,FALSE), "NULL")</f>
        <v/>
      </c>
      <c r="BD5" s="362" t="str">
        <f>IF(OR(Reagents!$Q$5="Stock slurry",Reagents!$Q$5="Stock solution"),VLOOKUP(4,Reagents!$B$1:$R$41,14,FALSE), VLOOKUP(4,Reagents!$B$1:$R$41,11,FALSE))</f>
        <v/>
      </c>
      <c r="BE5" s="214">
        <f>VLOOKUP(4,Reagents!$B$1:$R$41,17,FALSE)</f>
        <v>0</v>
      </c>
      <c r="BF5" s="284" t="e">
        <f>IF(OR(VLOOKUP(4,Reagents!$B$1:$M$41,4,FALSE)="solvent_2",VLOOKUP(4,Reagents!$B$1:$M$41,4,FALSE)="solvent_3"),VLOOKUP(4,Reagents!$B$1:$M$41,12,FALSE),IF(OR(Reagents!$Q$5="Stock slurry",Reagents!$Q$5="Stock solution"),BD5*BC5, BD5/VLOOKUP(4,Reagents!$B$1:$R$41,6,FALSE)*1000))</f>
        <v>#VALUE!</v>
      </c>
      <c r="BG5" s="214">
        <f>VLOOKUP(5,Reagents!$B$1:$M$41,2,FALSE)</f>
        <v>0</v>
      </c>
      <c r="BH5" s="214">
        <f>VLOOKUP(5,Reagents!$B$1:$M$41,3,FALSE)</f>
        <v>0</v>
      </c>
      <c r="BI5" s="214" t="str">
        <f>IF(VLOOKUP(5,Reagents!$B$1:$M$41,5,FALSE)=0, "NULL", VLOOKUP(5,Reagents!$B$1:$M$41,5,FALSE))</f>
        <v>NULL</v>
      </c>
      <c r="BJ5" s="214" t="str">
        <f>IF(OR(Reagents!$Q$6="Stock slurry",Reagents!$Q$6="Stock solution"),VLOOKUP(5,Reagents!$B$1:$R$41,13,FALSE), "NULL")</f>
        <v/>
      </c>
      <c r="BK5" s="362" t="str">
        <f>IF(OR(Reagents!$Q$6="Stock slurry",Reagents!$Q$6="Stock solution"),VLOOKUP(5,Reagents!$B$1:$R$41,14,FALSE), VLOOKUP(5,Reagents!$B$1:$R$41,11,FALSE))</f>
        <v/>
      </c>
      <c r="BL5" s="214">
        <f>VLOOKUP(5,Reagents!$B$1:$R$41,17,FALSE)</f>
        <v>0</v>
      </c>
      <c r="BM5" s="284" t="e">
        <f>IF(OR(VLOOKUP(5,Reagents!$B$1:$M$41,4,FALSE)="solvent_2",VLOOKUP(5,Reagents!$B$1:$M$41,4,FALSE)="solvent_3"),VLOOKUP(5,Reagents!$B$1:$M$41,12,FALSE),IF(OR(Reagents!$Q$6="Stock slurry",Reagents!$Q$6="Stock solution"),BK5*BJ5, BK5/VLOOKUP(5,Reagents!$B$1:$R$41,6,FALSE)*1000))</f>
        <v>#VALUE!</v>
      </c>
      <c r="BN5" s="214">
        <f>VLOOKUP(6,Reagents!$B$1:$M$41,2,FALSE)</f>
        <v>0</v>
      </c>
      <c r="BO5" s="214">
        <f>VLOOKUP(6,Reagents!$B$1:$M$41,3,FALSE)</f>
        <v>0</v>
      </c>
      <c r="BP5" s="214" t="str">
        <f>IF(VLOOKUP(6,Reagents!$B$1:$M$41,5,FALSE)=0, "NULL", VLOOKUP(6,Reagents!$B$1:$M$41,5,FALSE))</f>
        <v>NULL</v>
      </c>
      <c r="BQ5" s="214" t="str">
        <f>IF(OR(Reagents!$Q$7="Stock slurry",Reagents!$Q$7="Stock solution"),VLOOKUP(6,Reagents!$B$1:$R$41,13,FALSE), "NULL")</f>
        <v/>
      </c>
      <c r="BR5" s="362" t="str">
        <f>IF(OR(Reagents!$Q$7="Stock slurry",Reagents!$Q$7="Stock solution"),VLOOKUP(6,Reagents!$B$1:$R$41,14,FALSE), VLOOKUP(6,Reagents!$B$1:$R$41,11,FALSE))</f>
        <v/>
      </c>
      <c r="BS5" s="214">
        <f>VLOOKUP(6,Reagents!$B$1:$R$41,17,FALSE)</f>
        <v>0</v>
      </c>
      <c r="BT5" s="284" t="e">
        <f>IF(OR(VLOOKUP(6,Reagents!$B$1:$M$41,4,FALSE)="solvent_2",VLOOKUP(6,Reagents!$B$1:$M$41,4,FALSE)="solvent_3"),VLOOKUP(6,Reagents!$B$1:$M$41,12,FALSE),IF(OR(Reagents!$Q$7="Stock slurry",Reagents!$Q$7="Stock solution"),BR5*BQ5, BR5/VLOOKUP(6,Reagents!$B$1:$R$41,6,FALSE)*1000))</f>
        <v>#VALUE!</v>
      </c>
      <c r="BU5" s="214">
        <f>VLOOKUP(7,Reagents!$B$1:$M$41,2,FALSE)</f>
        <v>0</v>
      </c>
      <c r="BV5" s="214">
        <f>VLOOKUP(7,Reagents!$B$1:$M$41,3,FALSE)</f>
        <v>0</v>
      </c>
      <c r="BW5" s="214" t="str">
        <f>IF(VLOOKUP(7,Reagents!$B$1:$M$41,5,FALSE)=0, "NULL", VLOOKUP(7,Reagents!$B$1:$M$41,5,FALSE))</f>
        <v>NULL</v>
      </c>
      <c r="BX5" s="214" t="str">
        <f>IF(OR(Reagents!$Q$8="Stock slurry",Reagents!$Q$8="Stock solution"),VLOOKUP(7,Reagents!$B$1:$R$41,13,FALSE), "NULL")</f>
        <v/>
      </c>
      <c r="BY5" s="362" t="str">
        <f>IF(OR(Reagents!$Q$8="Stock slurry",Reagents!$Q$8="Stock solution"),VLOOKUP(7,Reagents!$B$1:$R$41,14,FALSE), VLOOKUP(7,Reagents!$B$1:$R$41,11,FALSE))</f>
        <v/>
      </c>
      <c r="BZ5" s="214">
        <f>VLOOKUP(7,Reagents!$B$1:$R$41,17,FALSE)</f>
        <v>0</v>
      </c>
      <c r="CA5" s="284" t="e">
        <f>IF(OR(VLOOKUP(7,Reagents!$B$1:$M$41,4,FALSE)="solvent_2",VLOOKUP(7,Reagents!$B$1:$M$41,4,FALSE)="solvent_3"),VLOOKUP(7,Reagents!$B$1:$M$41,12,FALSE),IF(OR(Reagents!$Q$8="Stock slurry",Reagents!$Q$8="Stock solution"),BY5*BX5, BY5/VLOOKUP(7,Reagents!$B$1:$R$41,6,FALSE)*1000))</f>
        <v>#VALUE!</v>
      </c>
      <c r="CB5" s="214">
        <f>VLOOKUP(8,Reagents!$B$1:$M$41,2,FALSE)</f>
        <v>0</v>
      </c>
      <c r="CC5" s="214">
        <f>VLOOKUP(8,Reagents!$B$1:$M$41,3,FALSE)</f>
        <v>0</v>
      </c>
      <c r="CD5" s="214" t="str">
        <f>IF(VLOOKUP(8,Reagents!$B$1:$M$41,5,FALSE)=0, "NULL", VLOOKUP(8,Reagents!$B$1:$M$41,5,FALSE))</f>
        <v>NULL</v>
      </c>
      <c r="CE5" s="214" t="str">
        <f>IF(OR(Reagents!$Q$9="Stock slurry",Reagents!$Q$9="Stock solution"),VLOOKUP(8,Reagents!$B$1:$R$41,13,FALSE), "NULL")</f>
        <v/>
      </c>
      <c r="CF5" s="362" t="str">
        <f>IF(OR(Reagents!$Q$9="Stock slurry",Reagents!$Q$9="Stock solution"),VLOOKUP(8,Reagents!$B$1:$R$41,14,FALSE), VLOOKUP(8,Reagents!$B$1:$R$41,11,FALSE))</f>
        <v/>
      </c>
      <c r="CG5" s="214">
        <f>VLOOKUP(8,Reagents!$B$1:$R$41,17,FALSE)</f>
        <v>0</v>
      </c>
      <c r="CH5" s="284" t="e">
        <f>IF(OR(VLOOKUP(8,Reagents!$B$1:$M$41,4,FALSE)="solvent_2",VLOOKUP(8,Reagents!$B$1:$M$41,4,FALSE)="solvent_3"),VLOOKUP(8,Reagents!$B$1:$M$41,12,FALSE),IF(OR(Reagents!$Q$9="Stock slurry",Reagents!$Q$9="Stock solution"),CF5*CE5, CF5/VLOOKUP(8,Reagents!$B$1:$R$41,6,FALSE)*1000))</f>
        <v>#VALUE!</v>
      </c>
      <c r="CI5" s="214">
        <f>VLOOKUP(9,Reagents!$B$1:$M$41,2,FALSE)</f>
        <v>0</v>
      </c>
      <c r="CJ5" s="214">
        <f>VLOOKUP(9,Reagents!$B$1:$M$41,3,FALSE)</f>
        <v>0</v>
      </c>
      <c r="CK5" s="214" t="str">
        <f>IF(VLOOKUP(9,Reagents!$B$1:$M$41,5,FALSE)=0, "NULL", VLOOKUP(9,Reagents!$B$1:$M$41,5,FALSE))</f>
        <v>NULL</v>
      </c>
      <c r="CL5" s="214" t="str">
        <f>IF(OR(Reagents!$Q$10="Stock slurry",Reagents!$Q$10="Stock solution"),VLOOKUP(9,Reagents!$B$1:$R$41,13,FALSE), "NULL")</f>
        <v/>
      </c>
      <c r="CM5" s="362" t="str">
        <f>IF(OR(Reagents!$Q$10="Stock slurry",Reagents!$Q$10="Stock solution"),VLOOKUP(9,Reagents!$B$1:$R$41,14,FALSE), VLOOKUP(9,Reagents!$B$1:$R$41,11,FALSE))</f>
        <v/>
      </c>
      <c r="CN5" s="214">
        <f>VLOOKUP(9,Reagents!$B$1:$R$41,17,FALSE)</f>
        <v>0</v>
      </c>
      <c r="CO5" s="284" t="e">
        <f>IF(OR(VLOOKUP(9,Reagents!$B$1:$M$41,4,FALSE)="solvent_2",VLOOKUP(9,Reagents!$B$1:$M$41,4,FALSE)="solvent_3"),VLOOKUP(9,Reagents!$B$1:$M$41,12,FALSE),IF(OR(Reagents!$Q$10="Stock slurry",Reagents!$Q$10="Stock solution"),CM5*CL5, CM5/VLOOKUP(9,Reagents!$B$1:$R$41,6,FALSE)*1000))</f>
        <v>#VALUE!</v>
      </c>
      <c r="CP5" s="214">
        <f>VLOOKUP(10,Reagents!$B$1:$M$41,2,FALSE)</f>
        <v>0</v>
      </c>
      <c r="CQ5" s="214">
        <f>VLOOKUP(10,Reagents!$B$1:$M$41,3,FALSE)</f>
        <v>0</v>
      </c>
      <c r="CR5" s="214" t="str">
        <f>IF(VLOOKUP(10,Reagents!$B$1:$M$41,5,FALSE)=0, "NULL", VLOOKUP(10,Reagents!$B$1:$M$41,5,FALSE))</f>
        <v>NULL</v>
      </c>
      <c r="CS5" s="214" t="str">
        <f>IF(OR(Reagents!$Q$11="Stock slurry",Reagents!$Q$11="Stock solution"),VLOOKUP(10,Reagents!$B$1:$R$41,13,FALSE), "NULL")</f>
        <v/>
      </c>
      <c r="CT5" s="362" t="str">
        <f>IF(OR(Reagents!$Q$11="Stock slurry",Reagents!$Q$11="Stock solution"),VLOOKUP(10,Reagents!$B$1:$R$41,14,FALSE), VLOOKUP(10,Reagents!$B$1:$R$41,11,FALSE))</f>
        <v/>
      </c>
      <c r="CU5" s="214">
        <f>VLOOKUP(10,Reagents!$B$1:$R$41,17,FALSE)</f>
        <v>0</v>
      </c>
      <c r="CV5" s="284" t="e">
        <f>IF(OR(VLOOKUP(10,Reagents!$B$1:$M$41,4,FALSE)="solvent_2",VLOOKUP(10,Reagents!$B$1:$M$41,4,FALSE)="solvent_3"),VLOOKUP(10,Reagents!$B$1:$M$41,12,FALSE),IF(OR(Reagents!$Q$11="Stock slurry",Reagents!$Q$11="Stock solution"),CT5*CS5, CT5/VLOOKUP(10,Reagents!$B$1:$R$41,6,FALSE)*1000))</f>
        <v>#VALUE!</v>
      </c>
      <c r="CW5" s="214" t="str">
        <f>VLOOKUP(B5+10,Reagents!$B$1:$R$41,2,FALSE)</f>
        <v/>
      </c>
      <c r="CX5" s="214">
        <f>VLOOKUP(B5+10,Reagents!$B$1:$R$41,3,FALSE)</f>
        <v>0</v>
      </c>
      <c r="CY5" s="214" t="str">
        <f>IF(VLOOKUP(B5+10,Reagents!$B$1:$M$41,5,FALSE)=0, "NULL", VLOOKUP(B5+10,Reagents!$B$1:$M$41,5,FALSE))</f>
        <v>NULL</v>
      </c>
      <c r="CZ5" s="214" t="str">
        <f>IF(OR(Reagents!$Q$12="Stock slurry",Reagents!$Q$12="Stock solution"),VLOOKUP(B5+10,Reagents!$B$1:$R$41,13,FALSE), "NULL")</f>
        <v/>
      </c>
      <c r="DA5" s="362" t="str">
        <f>IF(OR(Reagents!$Q$12="Stock slurry",Reagents!$Q$12="Stock solution"),VLOOKUP(B5+10,Reagents!$B$1:$R$41,14,FALSE), VLOOKUP(B5+10,Reagents!$B$1:$R$41,11,FALSE))</f>
        <v/>
      </c>
      <c r="DB5" s="214">
        <f>VLOOKUP(B5+10,Reagents!$B$1:$R$41,17,FALSE)</f>
        <v>0</v>
      </c>
      <c r="DC5" s="284" t="e">
        <f>IF(OR(v1_col="solvent_2",v1_col="solvent_3"),VLOOKUP(B5+10,Reagents!$B$1:$M$41,12,FALSE),IF(OR(Reagents!$Q$12="Stock slurry",Reagents!$Q$12="Stock solution"),DA5*CZ5, DA5/VLOOKUP(B5+10,Reagents!$B$1:$R$41,6,FALSE)*1000))</f>
        <v>#VALUE!</v>
      </c>
      <c r="DD5" s="214" t="str">
        <f>VLOOKUP(B5+22,Reagents!$B$1:$M$41,2,FALSE)</f>
        <v/>
      </c>
      <c r="DE5" s="214">
        <f>VLOOKUP(B5+22,Reagents!$B$1:$R$41,3,FALSE)</f>
        <v>0</v>
      </c>
      <c r="DF5" s="214" t="str">
        <f>IF(VLOOKUP(B5+22,Reagents!$B$1:$M$41,5,FALSE)=0, "NULL", VLOOKUP(B5+22,Reagents!$B$1:$M$41,5,FALSE))</f>
        <v>NULL</v>
      </c>
      <c r="DG5" s="214" t="str">
        <f>IF(OR(Reagents!$Q$18="Stock slurry",Reagents!$Q$12="Stock solution"),VLOOKUP(B5+22,Reagents!$B$1:$R$41,13,FALSE), "NULL")</f>
        <v/>
      </c>
      <c r="DH5" s="362" t="str">
        <f>IF(OR(Reagents!$Q$18="Stock slurry",Reagents!$Q$18="Stock solution"),VLOOKUP(B5+22,Reagents!$B$1:$R$41,14,FALSE), VLOOKUP(B5+22,Reagents!$B$1:$R$41,11,FALSE))</f>
        <v/>
      </c>
      <c r="DI5" s="214">
        <f>VLOOKUP(B5+22,Reagents!$B$1:$R$41,17,FALSE)</f>
        <v>0</v>
      </c>
      <c r="DJ5" s="284" t="e">
        <f>IF(OR(v2_col="solvent_2",v2_col="solvent_3"),VLOOKUP(B5+22,Reagents!$B$1:$M$41,12,FALSE),IF(OR(Reagents!$Q$18="Stock slurry",Reagents!$Q$18="Stock solution"),DH5*DG5, DH5/VLOOKUP(B5+22,Reagents!$B$1:$R$41,6,FALSE)*1000))</f>
        <v>#VALUE!</v>
      </c>
      <c r="DK5" s="214" t="str">
        <f>VLOOKUP(B5+34,Reagents!$B$1:$M$41,2,FALSE)</f>
        <v/>
      </c>
      <c r="DL5" s="214">
        <f>VLOOKUP(B5+34,Reagents!$B$1:$R$41,3,FALSE)</f>
        <v>0</v>
      </c>
      <c r="DM5" s="214" t="str">
        <f>IF(VLOOKUP(B5+34,Reagents!$B$1:$M$41,5,FALSE)=0, "NULL", VLOOKUP(B5+34,Reagents!$B$1:$M$41,5,FALSE))</f>
        <v>NULL</v>
      </c>
      <c r="DN5" s="214" t="str">
        <f>IF(OR(Reagents!$Q$24="Stock slurry",Reagents!$Q$12="Stock solution"),VLOOKUP(B5+34,Reagents!$B$1:$R$41,13,FALSE), "NULL")</f>
        <v/>
      </c>
      <c r="DO5" s="362" t="str">
        <f>IF(OR(Reagents!$Q$24="Stock slurry",Reagents!$Q$24="Stock solution"),VLOOKUP(B5+34,Reagents!$B$1:$R$41,14,FALSE), VLOOKUP(B5+34,Reagents!$B$1:$R$41,11,FALSE))</f>
        <v/>
      </c>
      <c r="DP5" s="214">
        <f>VLOOKUP(B5+34,Reagents!$B$1:$R$41,17,FALSE)</f>
        <v>0</v>
      </c>
      <c r="DQ5" s="284" t="e">
        <f>IF(OR(v3_col="solvent_2",v3_col="solvent_3"),VLOOKUP(B5+34,Reagents!$B$1:$M$41,12,FALSE),IF(OR(Reagents!$Q$24="Stock slurry",Reagents!$Q$24="Stock solution"),DO5*DN5, DO5/VLOOKUP(B5+34,Reagents!$B$1:$R$41,6,FALSE)*1000))</f>
        <v>#VALUE!</v>
      </c>
      <c r="DR5" s="214" t="str">
        <f>VLOOKUP(C5+46,Reagents!$B$1:$M$41,2,FALSE)</f>
        <v/>
      </c>
      <c r="DS5" s="214">
        <f>VLOOKUP(C5+46,Reagents!$B$1:$M$41,3,FALSE)</f>
        <v>0</v>
      </c>
      <c r="DT5" s="214" t="str">
        <f>IF(VLOOKUP(C5+46,Reagents!$B$1:$M$41,5,FALSE)=0, "NULL", VLOOKUP(C5+46,Reagents!$B$1:$M$41,5,FALSE))</f>
        <v>NULL</v>
      </c>
      <c r="DU5" s="214" t="str">
        <f>IF(OR(Reagents!$Q$30="Stock slurry",Reagents!$Q$30="Stock solution"),VLOOKUP(C5+46,Reagents!$B$1:$R$41,13,FALSE), "NULL")</f>
        <v/>
      </c>
      <c r="DV5" s="362" t="str">
        <f>IF(OR(Reagents!$Q$30="Stock slurry",Reagents!$Q$30="Stock solution"),VLOOKUP(C5+46,Reagents!$B$1:$R$41,14,FALSE), VLOOKUP(C5+46,Reagents!$B$1:$R$41,11,FALSE))</f>
        <v/>
      </c>
      <c r="DW5" s="214">
        <f>VLOOKUP(C5+46,Reagents!$B$1:$R$41,17,FALSE)</f>
        <v>0</v>
      </c>
      <c r="DX5" s="284" t="e">
        <f>IF(OR(v4_row="solvent_2",v4_row="solvent_3"),VLOOKUP(C5+46,Reagents!$B$1:$M$41,12,FALSE),IF(OR(Reagents!$Q$30="Stock slurry",Reagents!$Q$30="Stock solution"),DV5*DU5, DV5/VLOOKUP(C5+46,Reagents!$B$1:$R$41,6,FALSE)*1000))</f>
        <v>#VALUE!</v>
      </c>
      <c r="DY5" s="214" t="str">
        <f>VLOOKUP(C5+54,Reagents!$B$1:$M$41,2,FALSE)</f>
        <v/>
      </c>
      <c r="DZ5" s="214">
        <f>VLOOKUP(C5+54,Reagents!$B$1:$M$41,3,FALSE)</f>
        <v>0</v>
      </c>
      <c r="EA5" s="214" t="str">
        <f>IF(VLOOKUP(C5+54,Reagents!$B$1:$M$41,5,FALSE)=0, "NULL", VLOOKUP(C5+54,Reagents!$B$1:$M$41,5,FALSE))</f>
        <v>NULL</v>
      </c>
      <c r="EB5" s="214" t="str">
        <f>IF(OR(Reagents!$Q$34="Stock slurry",Reagents!$Q$34="Stock solution"),VLOOKUP(C5+54,Reagents!$B$1:$R$41,13,FALSE), "NULL")</f>
        <v/>
      </c>
      <c r="EC5" s="362" t="str">
        <f>IF(OR(Reagents!$Q$34="Stock slurry",Reagents!$Q$34="Stock solution"),VLOOKUP(C5+54,Reagents!$B$1:$R$41,14,FALSE), VLOOKUP(C5+54,Reagents!$B$1:$R$41,11,FALSE))</f>
        <v/>
      </c>
      <c r="ED5" s="214">
        <f>VLOOKUP(C5+54,Reagents!$B$1:$R$41,17,FALSE)</f>
        <v>0</v>
      </c>
      <c r="EE5" s="284" t="e">
        <f>IF(OR(v5_row="solvent_2",v5_row="solvent_3"),VLOOKUP(C5+54,Reagents!$B$1:$M$41,12,FALSE),IF(OR(Reagents!$Q$34="Stock slurry",Reagents!$Q$34="Stock solution"),EC5*EB5, EC5/VLOOKUP(C5+54,Reagents!$B$1:$R$41,6,FALSE)*1000))</f>
        <v>#VALUE!</v>
      </c>
      <c r="EF5" s="214" t="str">
        <f>VLOOKUP(C5+62,Reagents!$B$1:$M$41,2,FALSE)</f>
        <v/>
      </c>
      <c r="EG5" s="214">
        <f>VLOOKUP(C5+62,Reagents!$B$1:$M$41,3,FALSE)</f>
        <v>0</v>
      </c>
      <c r="EH5" s="214" t="str">
        <f>IF(VLOOKUP(C5+62,Reagents!$B$1:$M$41,5,FALSE)=0, "NULL", VLOOKUP(C5+62,Reagents!$B$1:$M$41,5,FALSE))</f>
        <v>NULL</v>
      </c>
      <c r="EI5" s="214" t="str">
        <f>IF(OR(Reagents!$Q$38="Stock slurry",Reagents!$Q$38="Stock solution"),VLOOKUP(C5+62,Reagents!$B$1:$R$41,13,FALSE), "NULL")</f>
        <v/>
      </c>
      <c r="EJ5" s="362" t="str">
        <f>IF(OR(Reagents!$Q$38="Stock slurry",Reagents!$Q$38="Stock solution"),VLOOKUP(C5+62,Reagents!$B$1:$R$41,14,FALSE), VLOOKUP(C5+62,Reagents!$B$1:$R$41,11,FALSE))</f>
        <v/>
      </c>
      <c r="EK5" s="214">
        <f>VLOOKUP(C5+62,Reagents!$B$1:$R$41,17,FALSE)</f>
        <v>0</v>
      </c>
      <c r="EL5" s="284" t="e">
        <f>IF(OR(v6_row="solvent_2",v6_row="solvent_3"),VLOOKUP(C5+62,Reagents!$B$1:$M$41,12,FALSE),IF(OR(Reagents!$Q$38="Stock slurry",Reagents!$Q$38="Stock solution"),EJ5*EI5, EJ5/VLOOKUP(C5+62,Reagents!$B$1:$R$41,6,FALSE)*1000))</f>
        <v>#VALUE!</v>
      </c>
      <c r="EM5" s="214">
        <f>VLOOKUP(19,'Plate Planning'!$A$1:$T$35,13,FALSE)</f>
        <v>0</v>
      </c>
      <c r="EN5" s="214">
        <f>VLOOKUP(19,'Plate Planning'!$A$1:$T$35,14,FALSE)</f>
        <v>0</v>
      </c>
      <c r="EO5" s="214">
        <f>VLOOKUP(19,'Plate Planning'!$A$1:$T$35,15,FALSE)</f>
        <v>0</v>
      </c>
      <c r="EP5" s="214">
        <f>VLOOKUP(A5,'Uncorrected Area Counts'!$A$1:$AS$27,3,FALSE)</f>
        <v>0</v>
      </c>
      <c r="EQ5" s="214" t="str">
        <f>VLOOKUP(A5,'Uncorrected Area Counts'!$A$1:$AS$27,4,FALSE)</f>
        <v/>
      </c>
      <c r="ER5" s="214" t="str">
        <f>VLOOKUP(A5,'Uncorrected Area Counts'!$A$1:$AS$27,5,FALSE)</f>
        <v/>
      </c>
      <c r="ES5" s="214">
        <f>VLOOKUP(20,'Plate Planning'!$A$1:$T$35,15,FALSE)</f>
        <v>0</v>
      </c>
      <c r="ET5" s="214">
        <f>VLOOKUP(A5,'Uncorrected Area Counts'!$A$1:$AS$27,7,FALSE)</f>
        <v>0</v>
      </c>
      <c r="EU5" s="214" t="e">
        <f>VLOOKUP(A5,'Uncorrected Area Counts'!$A$1:$AS$27,7,FALSE)/VLOOKUP(A5,'Uncorrected Area Counts'!$A$1:$AS$27,3,FALSE)</f>
        <v>#DIV/0!</v>
      </c>
      <c r="EV5" s="214" t="str">
        <f>IFERROR(VLOOKUP(A5,'Yields &amp; LCAPs'!$A$1:$V$27,3,FALSE), "NULL")</f>
        <v>NULL</v>
      </c>
      <c r="EW5" s="284" t="str">
        <f>IFERROR(VLOOKUP(A5,'Yields &amp; LCAPs'!$A$1:$V$27,4,FALSE), "NULL")</f>
        <v>NULL</v>
      </c>
      <c r="EX5" s="214" t="str">
        <f>VLOOKUP(A5,'Uncorrected Area Counts'!$A$1:$AS$27,8,FALSE)</f>
        <v/>
      </c>
      <c r="EY5" s="214" t="str">
        <f>VLOOKUP(A5,'Uncorrected Area Counts'!$A$1:$AS$27,9,FALSE)</f>
        <v/>
      </c>
      <c r="EZ5" s="214">
        <f>VLOOKUP(22,'Plate Planning'!$A$1:$T$35,15,FALSE)</f>
        <v>0</v>
      </c>
      <c r="FA5" s="214">
        <f>VLOOKUP(A5,'Uncorrected Area Counts'!$A$1:$AS$27,11,FALSE)</f>
        <v>0</v>
      </c>
      <c r="FB5" s="214" t="e">
        <f>VLOOKUP(A5,'Uncorrected Area Counts'!$A$1:$AS$27,11,FALSE)/VLOOKUP(A5,'Uncorrected Area Counts'!$A$1:$AS$27,3,FALSE)</f>
        <v>#DIV/0!</v>
      </c>
      <c r="FC5" s="214" t="str">
        <f>IFERROR(VLOOKUP(A5,'Yields &amp; LCAPs'!$A$1:$V$27,5,FALSE), "NULL")</f>
        <v>NULL</v>
      </c>
      <c r="FD5" s="284" t="str">
        <f>IFERROR(VLOOKUP(A5,'Yields &amp; LCAPs'!$A$1:$V$27,6,FALSE), "NULL")</f>
        <v>NULL</v>
      </c>
      <c r="FE5" s="214" t="str">
        <f>VLOOKUP(A5,'Uncorrected Area Counts'!$A$1:$AS$27,12,FALSE)</f>
        <v/>
      </c>
      <c r="FF5" s="214" t="str">
        <f>VLOOKUP(A5,'Uncorrected Area Counts'!$A$1:$AS$27,13,FALSE)</f>
        <v/>
      </c>
      <c r="FG5" s="214">
        <f>VLOOKUP(24,'Plate Planning'!$A$1:$T$35,15,FALSE)</f>
        <v>0</v>
      </c>
      <c r="FH5" s="214">
        <f>VLOOKUP(A5,'Uncorrected Area Counts'!$A$1:$AS$27,15,FALSE)</f>
        <v>0</v>
      </c>
      <c r="FI5" s="214" t="e">
        <f>VLOOKUP(A5,'Uncorrected Area Counts'!$A$1:$AS$27,15,FALSE)/VLOOKUP(A5,'Uncorrected Area Counts'!$A$1:$AS$27,3,FALSE)</f>
        <v>#DIV/0!</v>
      </c>
      <c r="FJ5" s="214" t="str">
        <f>IFERROR(VLOOKUP(A5,'Yields &amp; LCAPs'!$A$1:$V$27,7,FALSE), "NULL")</f>
        <v>NULL</v>
      </c>
      <c r="FK5" s="284" t="str">
        <f>IFERROR(VLOOKUP(A5,'Yields &amp; LCAPs'!$A$1:$V$27,8,FALSE), "NULL")</f>
        <v>NULL</v>
      </c>
      <c r="FL5" s="214" t="str">
        <f>VLOOKUP(A5,'Uncorrected Area Counts'!$A$1:$AS$27,16,FALSE)</f>
        <v/>
      </c>
      <c r="FM5" s="214" t="str">
        <f>VLOOKUP(A5,'Uncorrected Area Counts'!$A$1:$AS$27,17,FALSE)</f>
        <v/>
      </c>
      <c r="FN5" s="214">
        <f>VLOOKUP(26,'Plate Planning'!$A$1:$T$35,15,FALSE)</f>
        <v>0</v>
      </c>
      <c r="FO5" s="214">
        <f>VLOOKUP(A5,'Uncorrected Area Counts'!$A$1:$AS$27,19,FALSE)</f>
        <v>0</v>
      </c>
      <c r="FP5" s="214" t="e">
        <f>VLOOKUP(A5,'Uncorrected Area Counts'!$A$1:$AS$27,19,FALSE)/VLOOKUP(A5,'Uncorrected Area Counts'!$A$1:$AS$27,3,FALSE)</f>
        <v>#DIV/0!</v>
      </c>
      <c r="FQ5" s="214" t="str">
        <f>IFERROR(VLOOKUP(A5,'Yields &amp; LCAPs'!$A$1:$V$27,9,FALSE), "NULL")</f>
        <v>NULL</v>
      </c>
      <c r="FR5" s="284" t="str">
        <f>IFERROR(VLOOKUP(A5,'Yields &amp; LCAPs'!$A$1:$V$27,10,FALSE), "NULL")</f>
        <v>NULL</v>
      </c>
      <c r="FS5" s="214" t="str">
        <f>VLOOKUP(A5,'Uncorrected Area Counts'!$A$1:$AS$27,20,FALSE)</f>
        <v/>
      </c>
      <c r="FT5" s="214" t="str">
        <f>VLOOKUP(A5,'Uncorrected Area Counts'!$A$1:$AS$27,21,FALSE)</f>
        <v/>
      </c>
      <c r="FU5" s="214">
        <f>VLOOKUP(27,'Plate Planning'!$A$1:$T$35,15,FALSE)</f>
        <v>0</v>
      </c>
      <c r="FV5" s="214">
        <f>VLOOKUP(A5,'Uncorrected Area Counts'!$A$1:$AS$27,23,FALSE)</f>
        <v>0</v>
      </c>
      <c r="FW5" s="214" t="e">
        <f>VLOOKUP(A5,'Uncorrected Area Counts'!$A$1:$AS$27,23,FALSE)/VLOOKUP(A5,'Uncorrected Area Counts'!$A$1:$AS$27,3,FALSE)</f>
        <v>#DIV/0!</v>
      </c>
      <c r="FX5" s="214" t="str">
        <f>IFERROR(VLOOKUP(A5,'Yields &amp; LCAPs'!$A$1:$V$27,11,FALSE), "NULL")</f>
        <v>NULL</v>
      </c>
      <c r="FY5" s="284" t="str">
        <f>IFERROR(VLOOKUP(A5,'Yields &amp; LCAPs'!$A$1:$V$27,12,FALSE), "NULL")</f>
        <v>NULL</v>
      </c>
      <c r="FZ5" s="411" t="str">
        <f>VLOOKUP(A5,'Uncorrected Area Counts'!$A$1:$AS$27,24,FALSE)</f>
        <v/>
      </c>
      <c r="GA5" s="214" t="str">
        <f>VLOOKUP(A5,'Uncorrected Area Counts'!$A$1:$AS$27,25,FALSE)</f>
        <v/>
      </c>
      <c r="GB5" s="214">
        <f>VLOOKUP(28,'Plate Planning'!$A$1:$T$35,15,FALSE)</f>
        <v>0</v>
      </c>
      <c r="GC5" s="214">
        <f>VLOOKUP(A5,'Uncorrected Area Counts'!$A$1:$AS$27,27,FALSE)</f>
        <v>0</v>
      </c>
      <c r="GD5" s="214" t="e">
        <f>VLOOKUP(A5,'Uncorrected Area Counts'!$A$1:$AS$27,27,FALSE)/VLOOKUP(A5,'Uncorrected Area Counts'!$A$1:$AS$27,3,FALSE)</f>
        <v>#DIV/0!</v>
      </c>
      <c r="GE5" s="214" t="str">
        <f>IFERROR(VLOOKUP(A5,'Yields &amp; LCAPs'!$A$1:$V$27,13,FALSE), "NULL")</f>
        <v>NULL</v>
      </c>
      <c r="GF5" s="284" t="str">
        <f>IFERROR(VLOOKUP(A5,'Yields &amp; LCAPs'!$A$1:$V$27,14,FALSE), "NULL")</f>
        <v>NULL</v>
      </c>
      <c r="GG5" s="214" t="str">
        <f>VLOOKUP(A5,'Uncorrected Area Counts'!$A$1:$AS$27,28,FALSE)</f>
        <v/>
      </c>
      <c r="GH5" s="214" t="str">
        <f>VLOOKUP(A5,'Uncorrected Area Counts'!$A$1:$AS$27,29,FALSE)</f>
        <v/>
      </c>
      <c r="GI5" s="214">
        <f>VLOOKUP(29,'Plate Planning'!$A$1:$T$35,15,FALSE)</f>
        <v>0</v>
      </c>
      <c r="GJ5" s="214">
        <f>VLOOKUP(A5,'Uncorrected Area Counts'!$A$1:$AS$27,31,FALSE)</f>
        <v>0</v>
      </c>
      <c r="GK5" s="214" t="e">
        <f>VLOOKUP(A5,'Uncorrected Area Counts'!$A$1:$AS$27,31,FALSE)/VLOOKUP(A5,'Uncorrected Area Counts'!$A$1:$AS$27,3,FALSE)</f>
        <v>#DIV/0!</v>
      </c>
      <c r="GL5" s="214" t="str">
        <f>IFERROR(VLOOKUP(A5,'Yields &amp; LCAPs'!$A$1:$V$27,15,FALSE), "NULL")</f>
        <v>NULL</v>
      </c>
      <c r="GM5" s="284" t="str">
        <f>IFERROR(VLOOKUP(A5,'Yields &amp; LCAPs'!$A$1:$V$27,16,FALSE), "NULL")</f>
        <v>NULL</v>
      </c>
      <c r="GN5" s="214" t="str">
        <f>VLOOKUP(A5,'Uncorrected Area Counts'!$A$1:$AS$27,32,FALSE)</f>
        <v/>
      </c>
      <c r="GO5" s="214" t="str">
        <f>VLOOKUP(A5,'Uncorrected Area Counts'!$A$1:$AS$27,33,FALSE)</f>
        <v/>
      </c>
      <c r="GP5" s="214">
        <f>VLOOKUP(30,'Plate Planning'!$A$1:$T$35,15,FALSE)</f>
        <v>0</v>
      </c>
      <c r="GQ5" s="214">
        <f>VLOOKUP(A5,'Uncorrected Area Counts'!$A$1:$AS$27,35,FALSE)</f>
        <v>0</v>
      </c>
      <c r="GR5" s="214" t="e">
        <f>VLOOKUP(A5,'Uncorrected Area Counts'!$A$1:$AS$27,35,FALSE)/VLOOKUP(A5,'Uncorrected Area Counts'!$A$1:$AS$27,3,FALSE)</f>
        <v>#DIV/0!</v>
      </c>
      <c r="GS5" s="214" t="str">
        <f>IFERROR(VLOOKUP(A5,'Yields &amp; LCAPs'!$A$1:$V$27,17,FALSE), "NULL")</f>
        <v>NULL</v>
      </c>
      <c r="GT5" s="284" t="str">
        <f>IFERROR(VLOOKUP(A5,'Yields &amp; LCAPs'!$A$1:$V$27,18,FALSE), "NULL")</f>
        <v>NULL</v>
      </c>
      <c r="GU5" s="214" t="str">
        <f>VLOOKUP(A5,'Uncorrected Area Counts'!$A$1:$AS$27,36,FALSE)</f>
        <v/>
      </c>
      <c r="GV5" s="214" t="str">
        <f>VLOOKUP(A5,'Uncorrected Area Counts'!$A$1:$AS$27,37,FALSE)</f>
        <v/>
      </c>
      <c r="GW5" s="214">
        <f>VLOOKUP(31,'Plate Planning'!$A$1:$T$35,15,FALSE)</f>
        <v>0</v>
      </c>
      <c r="GX5" s="214">
        <f>VLOOKUP(A5,'Uncorrected Area Counts'!$A$1:$AS$27,39,FALSE)</f>
        <v>0</v>
      </c>
      <c r="GY5" s="214" t="e">
        <f>VLOOKUP(A5,'Uncorrected Area Counts'!$A$1:$AS$27,39,FALSE)/VLOOKUP(A5,'Uncorrected Area Counts'!$A$1:$AS$27,3,FALSE)</f>
        <v>#DIV/0!</v>
      </c>
      <c r="GZ5" s="214" t="str">
        <f>IFERROR(VLOOKUP(A5,'Yields &amp; LCAPs'!$A$1:$V$27,19,FALSE), "NULL")</f>
        <v>NULL</v>
      </c>
      <c r="HA5" s="284" t="str">
        <f>IFERROR(VLOOKUP(A5,'Yields &amp; LCAPs'!$A$1:$V$27,20,FALSE), "NULL")</f>
        <v>NULL</v>
      </c>
      <c r="HB5" s="214" t="str">
        <f>VLOOKUP(A5,'Uncorrected Area Counts'!$A$1:$AS$27,40,FALSE)</f>
        <v/>
      </c>
      <c r="HC5" s="214" t="str">
        <f>VLOOKUP(A5,'Uncorrected Area Counts'!$A$1:$AS$27,41,FALSE)</f>
        <v/>
      </c>
      <c r="HD5" s="214">
        <f>VLOOKUP(32,'Plate Planning'!$A$1:$T$35,15,FALSE)</f>
        <v>0</v>
      </c>
      <c r="HE5" s="214">
        <f>VLOOKUP(A5,'Uncorrected Area Counts'!$A$1:$AS$27,43,FALSE)</f>
        <v>0</v>
      </c>
      <c r="HF5" s="214" t="e">
        <f>VLOOKUP(A5,'Uncorrected Area Counts'!$A$1:$AS$27,43,FALSE)/VLOOKUP(A5,'Uncorrected Area Counts'!$A$1:$AS$27,3,FALSE)</f>
        <v>#DIV/0!</v>
      </c>
      <c r="HG5" s="214" t="str">
        <f>IFERROR(VLOOKUP(A5,'Yields &amp; LCAPs'!$A$1:$V$27,21,FALSE), "NULL")</f>
        <v>NULL</v>
      </c>
      <c r="HH5" s="284" t="str">
        <f>IFERROR(VLOOKUP(A5,'Yields &amp; LCAPs'!$A$1:$V$27,22,FALSE), "NULL")</f>
        <v>NULL</v>
      </c>
      <c r="HI5" s="362"/>
      <c r="HJ5" s="362"/>
      <c r="HK5" s="362"/>
      <c r="HL5" s="362"/>
      <c r="HM5" s="363"/>
      <c r="HN5" s="362"/>
      <c r="HO5" s="362"/>
      <c r="HP5" s="362"/>
      <c r="HQ5" s="362"/>
      <c r="HR5" s="363"/>
    </row>
    <row r="6" spans="1:230">
      <c r="A6" s="216" t="s">
        <v>1165</v>
      </c>
      <c r="B6" s="214">
        <v>5</v>
      </c>
      <c r="C6" s="214">
        <v>1</v>
      </c>
      <c r="D6" s="214" t="str">
        <f>VLOOKUP(18,'Plate Planning'!$A$1:$T$35,10,FALSE)&amp;"_"&amp;VLOOKUP(19,'Plate Planning'!$A$1:$T$35,10,FALSE)&amp;"_"&amp;A6</f>
        <v>__A5</v>
      </c>
      <c r="E6" s="214" t="str">
        <f>IF(VLOOKUP(18,'Plate Planning'!$A$1:$T$35,10,FALSE)="", "NULL", VLOOKUP(18,'Plate Planning'!$A$1:$T$35,10,FALSE))</f>
        <v>NULL</v>
      </c>
      <c r="F6" s="214" t="str">
        <f>IF(VLOOKUP(19,'Plate Planning'!$A$1:$T$35,10,FALSE)="", "NULL", VLOOKUP(19,'Plate Planning'!$A$1:$T$35,10,FALSE))</f>
        <v>NULL</v>
      </c>
      <c r="G6" s="214" t="str">
        <f>IF(VLOOKUP(20,'Plate Planning'!$A$1:$T$35,10,FALSE)="", "NULL", VLOOKUP(20,'Plate Planning'!$A$1:$T$35,10,FALSE))</f>
        <v>NULL</v>
      </c>
      <c r="H6" s="214" t="str">
        <f>IF(VLOOKUP(21,'Plate Planning'!$A$1:$T$35,10,FALSE)="", "NULL", VLOOKUP(21,'Plate Planning'!$A$1:$T$35,10,FALSE))</f>
        <v>NULL</v>
      </c>
      <c r="I6" s="214" t="str">
        <f>IF(VLOOKUP(23,'Plate Planning'!$A$1:$T$35,10,FALSE)="", "NULL", VLOOKUP(23,'Plate Planning'!$A$1:$T$35,10,FALSE))</f>
        <v>NULL</v>
      </c>
      <c r="J6" s="214" t="str">
        <f>IF(VLOOKUP(22,'Plate Planning'!$A$1:$T$35,10,FALSE)="", "NULL", VLOOKUP(22,'Plate Planning'!$A$1:$T$35,10,FALSE))</f>
        <v>NULL</v>
      </c>
      <c r="K6" s="214" t="str">
        <f>VLOOKUP(24,'Plate Planning'!$A$1:$T$35,10,FALSE)</f>
        <v>Glovebox</v>
      </c>
      <c r="L6" s="214" t="str">
        <f>IF(VLOOKUP(25,'Plate Planning'!$A$1:$T$35,10,FALSE)="","NULL",VLOOKUP(25,'Plate Planning'!$A$1:$T$35,10,FALSE))</f>
        <v>NULL</v>
      </c>
      <c r="M6" s="214" t="str">
        <f>VLOOKUP(26,'Plate Planning'!$A$1:$T$35,10,FALSE)</f>
        <v>ambient</v>
      </c>
      <c r="N6" s="214" t="str">
        <f>IF(VLOOKUP(27,'Plate Planning'!$A$1:$T$35,10,FALSE)=0,"NULL", VLOOKUP(27,'Plate Planning'!$A$1:$T$35,10,FALSE))</f>
        <v>NULL</v>
      </c>
      <c r="O6" s="214" t="str">
        <f>IF(VLOOKUP(3,'Plate Planning'!$A$2:$S$35,18,FALSE)="", "NULL", VLOOKUP(3,'Plate Planning'!$A$2:$S$35,18,FALSE))</f>
        <v>NULL</v>
      </c>
      <c r="P6" s="214" t="str">
        <f>IF(VLOOKUP(4,'Plate Planning'!$A$2:$S$35,18,FALSE)="", "NULL", VLOOKUP(4,'Plate Planning'!$A$2:$S$35,18,FALSE))</f>
        <v>NULL</v>
      </c>
      <c r="Q6" s="214" t="str">
        <f>IF(VLOOKUP(5,'Plate Planning'!$A$2:$S$35,18,FALSE)="", "NULL", VLOOKUP(5,'Plate Planning'!$A$2:$S$35,18,FALSE))</f>
        <v>NULL</v>
      </c>
      <c r="R6" s="214" t="str">
        <f>IF(VLOOKUP(6,'Plate Planning'!$A$2:$S$35,18,FALSE)="", "NULL", VLOOKUP(6,'Plate Planning'!$A$2:$S$35,18,FALSE))</f>
        <v>NULL</v>
      </c>
      <c r="S6" s="214" t="str">
        <f>IF(VLOOKUP(7,'Plate Planning'!$A$2:$S$35,18,FALSE)="", "NULL", VLOOKUP(7,'Plate Planning'!$A$2:$S$35,18,FALSE))</f>
        <v>NULL</v>
      </c>
      <c r="T6" s="214" t="str">
        <f>IF(VLOOKUP(28,'Plate Planning'!$A$1:$T$35,10,FALSE)=0,"NULL",VLOOKUP(28,'Plate Planning'!$A$1:$T$35,10,FALSE))</f>
        <v>NULL</v>
      </c>
      <c r="U6" s="214" t="str">
        <f>IFERROR(VLOOKUP(VLOOKUP(28,'Plate Planning'!$A$1:$T$35,10,FALSE),Dictionaries!$Q$2:$R$72,2,FALSE), "NULL")</f>
        <v>NULL</v>
      </c>
      <c r="V6" s="214" t="str">
        <f>IF(VLOOKUP(28,'Plate Planning'!$A$1:$T$35,10,FALSE)=0,"NULL",VLOOKUP(32,'Plate Planning'!$A$1:$T$35,10,FALSE))</f>
        <v>NULL</v>
      </c>
      <c r="W6" s="214" t="str">
        <f>IF(VLOOKUP(C6+3,'Plate Planning'!$A$1:$S$35,B6+4,FALSE)=0, "", VLOOKUP(C6+3,'Plate Planning'!$A$1:$S$35,B6+4,FALSE))</f>
        <v/>
      </c>
      <c r="X6" s="214" t="str">
        <f>IFERROR(VLOOKUP(W6,'Complex Variable'!$A$2:$S$25,2,FALSE), "")</f>
        <v/>
      </c>
      <c r="Y6" s="327" t="str">
        <f>IFERROR(VLOOKUP(W6,'Complex Variable'!$A$2:$S$25,3,FALSE), "")</f>
        <v/>
      </c>
      <c r="Z6" s="327" t="str">
        <f>IFERROR(VLOOKUP(W6,'Complex Variable'!$A$2:$S$25,5,FALSE), "")</f>
        <v/>
      </c>
      <c r="AA6" s="327" t="str">
        <f>IFERROR(VLOOKUP(W6,'Complex Variable'!$A$2:$S$25,14,FALSE), "")</f>
        <v/>
      </c>
      <c r="AB6" s="602" t="str">
        <f>IFERROR(VLOOKUP(W6,'Complex Variable'!$A$2:$S$25,19,FALSE), "")</f>
        <v/>
      </c>
      <c r="AC6" s="327" t="str">
        <f>IFERROR(VLOOKUP(W6,'Complex Variable'!$A$2:$S$25,13,FALSE), "")</f>
        <v/>
      </c>
      <c r="AD6" s="604" t="str">
        <f t="shared" si="0"/>
        <v/>
      </c>
      <c r="AE6" s="214">
        <f>VLOOKUP(1,Reagents!$B$1:$M$41,2,FALSE)</f>
        <v>0</v>
      </c>
      <c r="AF6" s="214">
        <f>VLOOKUP(1,Reagents!$B$1:$M$41,3,FALSE)</f>
        <v>0</v>
      </c>
      <c r="AG6" s="214" t="str">
        <f>IF(VLOOKUP(1,Reagents!$B$1:$M$41,5,FALSE)=0, "NULL", VLOOKUP(1,Reagents!$B$1:$M$41,5,FALSE))</f>
        <v>NULL</v>
      </c>
      <c r="AH6" s="214" t="str">
        <f>IF(OR(Reagents!$Q$2="Stock slurry",Reagents!$Q$2="Stock solution"),VLOOKUP(1,Reagents!$B$1:$R$41,13,FALSE), "NULL")</f>
        <v/>
      </c>
      <c r="AI6" s="362" t="str">
        <f>IF(OR(Reagents!$Q$2="Stock slurry",Reagents!$Q$2="Stock solution"),VLOOKUP(1,Reagents!$B$1:$R$41,14,FALSE), VLOOKUP(1,Reagents!$B$1:$R$41,11,FALSE))</f>
        <v/>
      </c>
      <c r="AJ6" s="214">
        <f>VLOOKUP(1,Reagents!$B$1:$R$41,17,FALSE)</f>
        <v>0</v>
      </c>
      <c r="AK6" s="284" t="e">
        <f>IF(OR(VLOOKUP(1,Reagents!$B$1:$M$41,4,FALSE)="solvent_2",VLOOKUP(1,Reagents!$B$1:$M$41,4,FALSE)="solvent_3"),VLOOKUP(1,Reagents!$B$1:$M$41,12,FALSE),IF(OR(Reagents!$Q$2="Stock slurry",Reagents!$Q$2="Stock solution"),AI6*AH6, AI6/VLOOKUP(1,Reagents!$B$1:$R$41,6,FALSE)*1000))</f>
        <v>#VALUE!</v>
      </c>
      <c r="AL6" s="214">
        <f>VLOOKUP(2,Reagents!$B$1:$M$41,2,FALSE)</f>
        <v>0</v>
      </c>
      <c r="AM6" s="214">
        <f>VLOOKUP(2,Reagents!$B$1:$M$41,3,FALSE)</f>
        <v>0</v>
      </c>
      <c r="AN6" s="214" t="str">
        <f>IF(VLOOKUP(2,Reagents!$B$1:$M$41,5,FALSE)=0, "NULL", VLOOKUP(2,Reagents!$B$1:$M$41,5,FALSE))</f>
        <v>NULL</v>
      </c>
      <c r="AO6" s="214" t="str">
        <f>IF(OR(Reagents!$Q$3="Stock slurry",Reagents!$Q$3="Stock solution"),VLOOKUP(2,Reagents!$B$1:$R$41,13,FALSE), "NULL")</f>
        <v/>
      </c>
      <c r="AP6" s="362" t="str">
        <f>IF(OR(Reagents!$Q$3="Stock slurry",Reagents!$Q$3="Stock solution"),VLOOKUP(2,Reagents!$B$1:$R$41,14,FALSE), VLOOKUP(2,Reagents!$B$1:$R$41,11,FALSE))</f>
        <v/>
      </c>
      <c r="AQ6" s="214">
        <f>VLOOKUP(2,Reagents!$B$1:$R$41,17,FALSE)</f>
        <v>0</v>
      </c>
      <c r="AR6" s="284" t="e">
        <f>IF(OR(VLOOKUP(2,Reagents!$B$1:$M$41,4,FALSE)="solvent_2",VLOOKUP(2,Reagents!$B$1:$M$41,4,FALSE)="solvent_3"),VLOOKUP(2,Reagents!$B$1:$M$41,12,FALSE),IF(OR(Reagents!$Q$3="Stock slurry",Reagents!$Q$3="Stock solution"),AP6*AO6, AP6/VLOOKUP(2,Reagents!$B$1:$R$41,6,FALSE)*1000))</f>
        <v>#VALUE!</v>
      </c>
      <c r="AS6" s="214">
        <f>VLOOKUP(3,Reagents!$B$1:$M$41,2,FALSE)</f>
        <v>0</v>
      </c>
      <c r="AT6" s="214">
        <f>VLOOKUP(3,Reagents!$B$1:$M$41,3,FALSE)</f>
        <v>0</v>
      </c>
      <c r="AU6" s="214" t="str">
        <f>IF(VLOOKUP(3,Reagents!$B$1:$M$41,5,FALSE)=0, "NULL", VLOOKUP(3,Reagents!$B$1:$M$41,5,FALSE))</f>
        <v>NULL</v>
      </c>
      <c r="AV6" s="214" t="str">
        <f>IF(OR(Reagents!$Q$4="Stock slurry",Reagents!$Q$4="Stock solution"),VLOOKUP(3,Reagents!$B$1:$R$41,13,FALSE), "NULL")</f>
        <v/>
      </c>
      <c r="AW6" s="362" t="str">
        <f>IF(OR(Reagents!$Q$4="Stock slurry",Reagents!$Q$4="Stock solution"),VLOOKUP(3,Reagents!$B$1:$R$41,14,FALSE), VLOOKUP(3,Reagents!$B$1:$R$41,11,FALSE))</f>
        <v/>
      </c>
      <c r="AX6" s="214">
        <f>VLOOKUP(3,Reagents!$B$1:$R$41,17,FALSE)</f>
        <v>0</v>
      </c>
      <c r="AY6" s="284" t="e">
        <f>IF(OR(VLOOKUP(3,Reagents!$B$1:$M$41,4,FALSE)="solvent_2",VLOOKUP(3,Reagents!$B$1:$M$41,4,FALSE)="solvent_3"),VLOOKUP(3,Reagents!$B$1:$M$41,12,FALSE),IF(OR(Reagents!$Q$4="Stock slurry",Reagents!$Q$4="Stock solution"),AW6*AV6, AW6/VLOOKUP(3,Reagents!$B$1:$R$41,6,FALSE)*1000))</f>
        <v>#VALUE!</v>
      </c>
      <c r="AZ6" s="214">
        <f>VLOOKUP(4,Reagents!$B$1:$M$41,2,FALSE)</f>
        <v>0</v>
      </c>
      <c r="BA6" s="214">
        <f>VLOOKUP(4,Reagents!$B$1:$M$41,3,FALSE)</f>
        <v>0</v>
      </c>
      <c r="BB6" s="214" t="str">
        <f>IF(VLOOKUP(4,Reagents!$B$1:$M$41,5,FALSE)=0, "NULL", VLOOKUP(4,Reagents!$B$1:$M$41,5,FALSE))</f>
        <v>NULL</v>
      </c>
      <c r="BC6" s="214" t="str">
        <f>IF(OR(Reagents!$Q$5="Stock slurry",Reagents!$Q$5="Stock solution"),VLOOKUP(4,Reagents!$B$1:$R$41,13,FALSE), "NULL")</f>
        <v/>
      </c>
      <c r="BD6" s="362" t="str">
        <f>IF(OR(Reagents!$Q$5="Stock slurry",Reagents!$Q$5="Stock solution"),VLOOKUP(4,Reagents!$B$1:$R$41,14,FALSE), VLOOKUP(4,Reagents!$B$1:$R$41,11,FALSE))</f>
        <v/>
      </c>
      <c r="BE6" s="214">
        <f>VLOOKUP(4,Reagents!$B$1:$R$41,17,FALSE)</f>
        <v>0</v>
      </c>
      <c r="BF6" s="284" t="e">
        <f>IF(OR(VLOOKUP(4,Reagents!$B$1:$M$41,4,FALSE)="solvent_2",VLOOKUP(4,Reagents!$B$1:$M$41,4,FALSE)="solvent_3"),VLOOKUP(4,Reagents!$B$1:$M$41,12,FALSE),IF(OR(Reagents!$Q$5="Stock slurry",Reagents!$Q$5="Stock solution"),BD6*BC6, BD6/VLOOKUP(4,Reagents!$B$1:$R$41,6,FALSE)*1000))</f>
        <v>#VALUE!</v>
      </c>
      <c r="BG6" s="214">
        <f>VLOOKUP(5,Reagents!$B$1:$M$41,2,FALSE)</f>
        <v>0</v>
      </c>
      <c r="BH6" s="214">
        <f>VLOOKUP(5,Reagents!$B$1:$M$41,3,FALSE)</f>
        <v>0</v>
      </c>
      <c r="BI6" s="214" t="str">
        <f>IF(VLOOKUP(5,Reagents!$B$1:$M$41,5,FALSE)=0, "NULL", VLOOKUP(5,Reagents!$B$1:$M$41,5,FALSE))</f>
        <v>NULL</v>
      </c>
      <c r="BJ6" s="214" t="str">
        <f>IF(OR(Reagents!$Q$6="Stock slurry",Reagents!$Q$6="Stock solution"),VLOOKUP(5,Reagents!$B$1:$R$41,13,FALSE), "NULL")</f>
        <v/>
      </c>
      <c r="BK6" s="362" t="str">
        <f>IF(OR(Reagents!$Q$6="Stock slurry",Reagents!$Q$6="Stock solution"),VLOOKUP(5,Reagents!$B$1:$R$41,14,FALSE), VLOOKUP(5,Reagents!$B$1:$R$41,11,FALSE))</f>
        <v/>
      </c>
      <c r="BL6" s="214">
        <f>VLOOKUP(5,Reagents!$B$1:$R$41,17,FALSE)</f>
        <v>0</v>
      </c>
      <c r="BM6" s="284" t="e">
        <f>IF(OR(VLOOKUP(5,Reagents!$B$1:$M$41,4,FALSE)="solvent_2",VLOOKUP(5,Reagents!$B$1:$M$41,4,FALSE)="solvent_3"),VLOOKUP(5,Reagents!$B$1:$M$41,12,FALSE),IF(OR(Reagents!$Q$6="Stock slurry",Reagents!$Q$6="Stock solution"),BK6*BJ6, BK6/VLOOKUP(5,Reagents!$B$1:$R$41,6,FALSE)*1000))</f>
        <v>#VALUE!</v>
      </c>
      <c r="BN6" s="214">
        <f>VLOOKUP(6,Reagents!$B$1:$M$41,2,FALSE)</f>
        <v>0</v>
      </c>
      <c r="BO6" s="214">
        <f>VLOOKUP(6,Reagents!$B$1:$M$41,3,FALSE)</f>
        <v>0</v>
      </c>
      <c r="BP6" s="214" t="str">
        <f>IF(VLOOKUP(6,Reagents!$B$1:$M$41,5,FALSE)=0, "NULL", VLOOKUP(6,Reagents!$B$1:$M$41,5,FALSE))</f>
        <v>NULL</v>
      </c>
      <c r="BQ6" s="214" t="str">
        <f>IF(OR(Reagents!$Q$7="Stock slurry",Reagents!$Q$7="Stock solution"),VLOOKUP(6,Reagents!$B$1:$R$41,13,FALSE), "NULL")</f>
        <v/>
      </c>
      <c r="BR6" s="362" t="str">
        <f>IF(OR(Reagents!$Q$7="Stock slurry",Reagents!$Q$7="Stock solution"),VLOOKUP(6,Reagents!$B$1:$R$41,14,FALSE), VLOOKUP(6,Reagents!$B$1:$R$41,11,FALSE))</f>
        <v/>
      </c>
      <c r="BS6" s="214">
        <f>VLOOKUP(6,Reagents!$B$1:$R$41,17,FALSE)</f>
        <v>0</v>
      </c>
      <c r="BT6" s="284" t="e">
        <f>IF(OR(VLOOKUP(6,Reagents!$B$1:$M$41,4,FALSE)="solvent_2",VLOOKUP(6,Reagents!$B$1:$M$41,4,FALSE)="solvent_3"),VLOOKUP(6,Reagents!$B$1:$M$41,12,FALSE),IF(OR(Reagents!$Q$7="Stock slurry",Reagents!$Q$7="Stock solution"),BR6*BQ6, BR6/VLOOKUP(6,Reagents!$B$1:$R$41,6,FALSE)*1000))</f>
        <v>#VALUE!</v>
      </c>
      <c r="BU6" s="214">
        <f>VLOOKUP(7,Reagents!$B$1:$M$41,2,FALSE)</f>
        <v>0</v>
      </c>
      <c r="BV6" s="214">
        <f>VLOOKUP(7,Reagents!$B$1:$M$41,3,FALSE)</f>
        <v>0</v>
      </c>
      <c r="BW6" s="214" t="str">
        <f>IF(VLOOKUP(7,Reagents!$B$1:$M$41,5,FALSE)=0, "NULL", VLOOKUP(7,Reagents!$B$1:$M$41,5,FALSE))</f>
        <v>NULL</v>
      </c>
      <c r="BX6" s="214" t="str">
        <f>IF(OR(Reagents!$Q$8="Stock slurry",Reagents!$Q$8="Stock solution"),VLOOKUP(7,Reagents!$B$1:$R$41,13,FALSE), "NULL")</f>
        <v/>
      </c>
      <c r="BY6" s="362" t="str">
        <f>IF(OR(Reagents!$Q$8="Stock slurry",Reagents!$Q$8="Stock solution"),VLOOKUP(7,Reagents!$B$1:$R$41,14,FALSE), VLOOKUP(7,Reagents!$B$1:$R$41,11,FALSE))</f>
        <v/>
      </c>
      <c r="BZ6" s="214">
        <f>VLOOKUP(7,Reagents!$B$1:$R$41,17,FALSE)</f>
        <v>0</v>
      </c>
      <c r="CA6" s="284" t="e">
        <f>IF(OR(VLOOKUP(7,Reagents!$B$1:$M$41,4,FALSE)="solvent_2",VLOOKUP(7,Reagents!$B$1:$M$41,4,FALSE)="solvent_3"),VLOOKUP(7,Reagents!$B$1:$M$41,12,FALSE),IF(OR(Reagents!$Q$8="Stock slurry",Reagents!$Q$8="Stock solution"),BY6*BX6, BY6/VLOOKUP(7,Reagents!$B$1:$R$41,6,FALSE)*1000))</f>
        <v>#VALUE!</v>
      </c>
      <c r="CB6" s="214">
        <f>VLOOKUP(8,Reagents!$B$1:$M$41,2,FALSE)</f>
        <v>0</v>
      </c>
      <c r="CC6" s="214">
        <f>VLOOKUP(8,Reagents!$B$1:$M$41,3,FALSE)</f>
        <v>0</v>
      </c>
      <c r="CD6" s="214" t="str">
        <f>IF(VLOOKUP(8,Reagents!$B$1:$M$41,5,FALSE)=0, "NULL", VLOOKUP(8,Reagents!$B$1:$M$41,5,FALSE))</f>
        <v>NULL</v>
      </c>
      <c r="CE6" s="214" t="str">
        <f>IF(OR(Reagents!$Q$9="Stock slurry",Reagents!$Q$9="Stock solution"),VLOOKUP(8,Reagents!$B$1:$R$41,13,FALSE), "NULL")</f>
        <v/>
      </c>
      <c r="CF6" s="362" t="str">
        <f>IF(OR(Reagents!$Q$9="Stock slurry",Reagents!$Q$9="Stock solution"),VLOOKUP(8,Reagents!$B$1:$R$41,14,FALSE), VLOOKUP(8,Reagents!$B$1:$R$41,11,FALSE))</f>
        <v/>
      </c>
      <c r="CG6" s="214">
        <f>VLOOKUP(8,Reagents!$B$1:$R$41,17,FALSE)</f>
        <v>0</v>
      </c>
      <c r="CH6" s="284" t="e">
        <f>IF(OR(VLOOKUP(8,Reagents!$B$1:$M$41,4,FALSE)="solvent_2",VLOOKUP(8,Reagents!$B$1:$M$41,4,FALSE)="solvent_3"),VLOOKUP(8,Reagents!$B$1:$M$41,12,FALSE),IF(OR(Reagents!$Q$9="Stock slurry",Reagents!$Q$9="Stock solution"),CF6*CE6, CF6/VLOOKUP(8,Reagents!$B$1:$R$41,6,FALSE)*1000))</f>
        <v>#VALUE!</v>
      </c>
      <c r="CI6" s="214">
        <f>VLOOKUP(9,Reagents!$B$1:$M$41,2,FALSE)</f>
        <v>0</v>
      </c>
      <c r="CJ6" s="214">
        <f>VLOOKUP(9,Reagents!$B$1:$M$41,3,FALSE)</f>
        <v>0</v>
      </c>
      <c r="CK6" s="214" t="str">
        <f>IF(VLOOKUP(9,Reagents!$B$1:$M$41,5,FALSE)=0, "NULL", VLOOKUP(9,Reagents!$B$1:$M$41,5,FALSE))</f>
        <v>NULL</v>
      </c>
      <c r="CL6" s="214" t="str">
        <f>IF(OR(Reagents!$Q$10="Stock slurry",Reagents!$Q$10="Stock solution"),VLOOKUP(9,Reagents!$B$1:$R$41,13,FALSE), "NULL")</f>
        <v/>
      </c>
      <c r="CM6" s="362" t="str">
        <f>IF(OR(Reagents!$Q$10="Stock slurry",Reagents!$Q$10="Stock solution"),VLOOKUP(9,Reagents!$B$1:$R$41,14,FALSE), VLOOKUP(9,Reagents!$B$1:$R$41,11,FALSE))</f>
        <v/>
      </c>
      <c r="CN6" s="214">
        <f>VLOOKUP(9,Reagents!$B$1:$R$41,17,FALSE)</f>
        <v>0</v>
      </c>
      <c r="CO6" s="284" t="e">
        <f>IF(OR(VLOOKUP(9,Reagents!$B$1:$M$41,4,FALSE)="solvent_2",VLOOKUP(9,Reagents!$B$1:$M$41,4,FALSE)="solvent_3"),VLOOKUP(9,Reagents!$B$1:$M$41,12,FALSE),IF(OR(Reagents!$Q$10="Stock slurry",Reagents!$Q$10="Stock solution"),CM6*CL6, CM6/VLOOKUP(9,Reagents!$B$1:$R$41,6,FALSE)*1000))</f>
        <v>#VALUE!</v>
      </c>
      <c r="CP6" s="214">
        <f>VLOOKUP(10,Reagents!$B$1:$M$41,2,FALSE)</f>
        <v>0</v>
      </c>
      <c r="CQ6" s="214">
        <f>VLOOKUP(10,Reagents!$B$1:$M$41,3,FALSE)</f>
        <v>0</v>
      </c>
      <c r="CR6" s="214" t="str">
        <f>IF(VLOOKUP(10,Reagents!$B$1:$M$41,5,FALSE)=0, "NULL", VLOOKUP(10,Reagents!$B$1:$M$41,5,FALSE))</f>
        <v>NULL</v>
      </c>
      <c r="CS6" s="214" t="str">
        <f>IF(OR(Reagents!$Q$11="Stock slurry",Reagents!$Q$11="Stock solution"),VLOOKUP(10,Reagents!$B$1:$R$41,13,FALSE), "NULL")</f>
        <v/>
      </c>
      <c r="CT6" s="362" t="str">
        <f>IF(OR(Reagents!$Q$11="Stock slurry",Reagents!$Q$11="Stock solution"),VLOOKUP(10,Reagents!$B$1:$R$41,14,FALSE), VLOOKUP(10,Reagents!$B$1:$R$41,11,FALSE))</f>
        <v/>
      </c>
      <c r="CU6" s="214">
        <f>VLOOKUP(10,Reagents!$B$1:$R$41,17,FALSE)</f>
        <v>0</v>
      </c>
      <c r="CV6" s="284" t="e">
        <f>IF(OR(VLOOKUP(10,Reagents!$B$1:$M$41,4,FALSE)="solvent_2",VLOOKUP(10,Reagents!$B$1:$M$41,4,FALSE)="solvent_3"),VLOOKUP(10,Reagents!$B$1:$M$41,12,FALSE),IF(OR(Reagents!$Q$11="Stock slurry",Reagents!$Q$11="Stock solution"),CT6*CS6, CT6/VLOOKUP(10,Reagents!$B$1:$R$41,6,FALSE)*1000))</f>
        <v>#VALUE!</v>
      </c>
      <c r="CW6" s="214" t="str">
        <f>VLOOKUP(B6+10,Reagents!$B$1:$R$41,2,FALSE)</f>
        <v/>
      </c>
      <c r="CX6" s="214">
        <f>VLOOKUP(B6+10,Reagents!$B$1:$R$41,3,FALSE)</f>
        <v>0</v>
      </c>
      <c r="CY6" s="214" t="str">
        <f>IF(VLOOKUP(B6+10,Reagents!$B$1:$M$41,5,FALSE)=0, "NULL", VLOOKUP(B6+10,Reagents!$B$1:$M$41,5,FALSE))</f>
        <v>NULL</v>
      </c>
      <c r="CZ6" s="214" t="str">
        <f>IF(OR(Reagents!$Q$12="Stock slurry",Reagents!$Q$12="Stock solution"),VLOOKUP(B6+10,Reagents!$B$1:$R$41,13,FALSE), "NULL")</f>
        <v/>
      </c>
      <c r="DA6" s="362" t="str">
        <f>IF(OR(Reagents!$Q$12="Stock slurry",Reagents!$Q$12="Stock solution"),VLOOKUP(B6+10,Reagents!$B$1:$R$41,14,FALSE), VLOOKUP(B6+10,Reagents!$B$1:$R$41,11,FALSE))</f>
        <v/>
      </c>
      <c r="DB6" s="214">
        <f>VLOOKUP(B6+10,Reagents!$B$1:$R$41,17,FALSE)</f>
        <v>0</v>
      </c>
      <c r="DC6" s="284" t="e">
        <f>IF(OR(v1_col="solvent_2",v1_col="solvent_3"),VLOOKUP(B6+10,Reagents!$B$1:$M$41,12,FALSE),IF(OR(Reagents!$Q$12="Stock slurry",Reagents!$Q$12="Stock solution"),DA6*CZ6, DA6/VLOOKUP(B6+10,Reagents!$B$1:$R$41,6,FALSE)*1000))</f>
        <v>#VALUE!</v>
      </c>
      <c r="DD6" s="214" t="str">
        <f>VLOOKUP(B6+22,Reagents!$B$1:$M$41,2,FALSE)</f>
        <v/>
      </c>
      <c r="DE6" s="214">
        <f>VLOOKUP(B6+22,Reagents!$B$1:$R$41,3,FALSE)</f>
        <v>0</v>
      </c>
      <c r="DF6" s="214" t="str">
        <f>IF(VLOOKUP(B6+22,Reagents!$B$1:$M$41,5,FALSE)=0, "NULL", VLOOKUP(B6+22,Reagents!$B$1:$M$41,5,FALSE))</f>
        <v>NULL</v>
      </c>
      <c r="DG6" s="214" t="str">
        <f>IF(OR(Reagents!$Q$18="Stock slurry",Reagents!$Q$12="Stock solution"),VLOOKUP(B6+22,Reagents!$B$1:$R$41,13,FALSE), "NULL")</f>
        <v/>
      </c>
      <c r="DH6" s="362" t="str">
        <f>IF(OR(Reagents!$Q$18="Stock slurry",Reagents!$Q$18="Stock solution"),VLOOKUP(B6+22,Reagents!$B$1:$R$41,14,FALSE), VLOOKUP(B6+22,Reagents!$B$1:$R$41,11,FALSE))</f>
        <v/>
      </c>
      <c r="DI6" s="214">
        <f>VLOOKUP(B6+22,Reagents!$B$1:$R$41,17,FALSE)</f>
        <v>0</v>
      </c>
      <c r="DJ6" s="284" t="e">
        <f>IF(OR(v2_col="solvent_2",v2_col="solvent_3"),VLOOKUP(B6+22,Reagents!$B$1:$M$41,12,FALSE),IF(OR(Reagents!$Q$18="Stock slurry",Reagents!$Q$18="Stock solution"),DH6*DG6, DH6/VLOOKUP(B6+22,Reagents!$B$1:$R$41,6,FALSE)*1000))</f>
        <v>#VALUE!</v>
      </c>
      <c r="DK6" s="214" t="str">
        <f>VLOOKUP(B6+34,Reagents!$B$1:$M$41,2,FALSE)</f>
        <v/>
      </c>
      <c r="DL6" s="214">
        <f>VLOOKUP(B6+34,Reagents!$B$1:$R$41,3,FALSE)</f>
        <v>0</v>
      </c>
      <c r="DM6" s="214" t="str">
        <f>IF(VLOOKUP(B6+34,Reagents!$B$1:$M$41,5,FALSE)=0, "NULL", VLOOKUP(B6+34,Reagents!$B$1:$M$41,5,FALSE))</f>
        <v>NULL</v>
      </c>
      <c r="DN6" s="214" t="str">
        <f>IF(OR(Reagents!$Q$24="Stock slurry",Reagents!$Q$12="Stock solution"),VLOOKUP(B6+34,Reagents!$B$1:$R$41,13,FALSE), "NULL")</f>
        <v/>
      </c>
      <c r="DO6" s="362" t="str">
        <f>IF(OR(Reagents!$Q$24="Stock slurry",Reagents!$Q$24="Stock solution"),VLOOKUP(B6+34,Reagents!$B$1:$R$41,14,FALSE), VLOOKUP(B6+34,Reagents!$B$1:$R$41,11,FALSE))</f>
        <v/>
      </c>
      <c r="DP6" s="214">
        <f>VLOOKUP(B6+34,Reagents!$B$1:$R$41,17,FALSE)</f>
        <v>0</v>
      </c>
      <c r="DQ6" s="284" t="e">
        <f>IF(OR(v3_col="solvent_2",v3_col="solvent_3"),VLOOKUP(B6+34,Reagents!$B$1:$M$41,12,FALSE),IF(OR(Reagents!$Q$24="Stock slurry",Reagents!$Q$24="Stock solution"),DO6*DN6, DO6/VLOOKUP(B6+34,Reagents!$B$1:$R$41,6,FALSE)*1000))</f>
        <v>#VALUE!</v>
      </c>
      <c r="DR6" s="214" t="str">
        <f>VLOOKUP(C6+46,Reagents!$B$1:$M$41,2,FALSE)</f>
        <v/>
      </c>
      <c r="DS6" s="214">
        <f>VLOOKUP(C6+46,Reagents!$B$1:$M$41,3,FALSE)</f>
        <v>0</v>
      </c>
      <c r="DT6" s="214" t="str">
        <f>IF(VLOOKUP(C6+46,Reagents!$B$1:$M$41,5,FALSE)=0, "NULL", VLOOKUP(C6+46,Reagents!$B$1:$M$41,5,FALSE))</f>
        <v>NULL</v>
      </c>
      <c r="DU6" s="214" t="str">
        <f>IF(OR(Reagents!$Q$30="Stock slurry",Reagents!$Q$30="Stock solution"),VLOOKUP(C6+46,Reagents!$B$1:$R$41,13,FALSE), "NULL")</f>
        <v/>
      </c>
      <c r="DV6" s="362" t="str">
        <f>IF(OR(Reagents!$Q$30="Stock slurry",Reagents!$Q$30="Stock solution"),VLOOKUP(C6+46,Reagents!$B$1:$R$41,14,FALSE), VLOOKUP(C6+46,Reagents!$B$1:$R$41,11,FALSE))</f>
        <v/>
      </c>
      <c r="DW6" s="214">
        <f>VLOOKUP(C6+46,Reagents!$B$1:$R$41,17,FALSE)</f>
        <v>0</v>
      </c>
      <c r="DX6" s="284" t="e">
        <f>IF(OR(v4_row="solvent_2",v4_row="solvent_3"),VLOOKUP(C6+46,Reagents!$B$1:$M$41,12,FALSE),IF(OR(Reagents!$Q$30="Stock slurry",Reagents!$Q$30="Stock solution"),DV6*DU6, DV6/VLOOKUP(C6+46,Reagents!$B$1:$R$41,6,FALSE)*1000))</f>
        <v>#VALUE!</v>
      </c>
      <c r="DY6" s="214" t="str">
        <f>VLOOKUP(C6+54,Reagents!$B$1:$M$41,2,FALSE)</f>
        <v/>
      </c>
      <c r="DZ6" s="214">
        <f>VLOOKUP(C6+54,Reagents!$B$1:$M$41,3,FALSE)</f>
        <v>0</v>
      </c>
      <c r="EA6" s="214" t="str">
        <f>IF(VLOOKUP(C6+54,Reagents!$B$1:$M$41,5,FALSE)=0, "NULL", VLOOKUP(C6+54,Reagents!$B$1:$M$41,5,FALSE))</f>
        <v>NULL</v>
      </c>
      <c r="EB6" s="214" t="str">
        <f>IF(OR(Reagents!$Q$34="Stock slurry",Reagents!$Q$34="Stock solution"),VLOOKUP(C6+54,Reagents!$B$1:$R$41,13,FALSE), "NULL")</f>
        <v/>
      </c>
      <c r="EC6" s="362" t="str">
        <f>IF(OR(Reagents!$Q$34="Stock slurry",Reagents!$Q$34="Stock solution"),VLOOKUP(C6+54,Reagents!$B$1:$R$41,14,FALSE), VLOOKUP(C6+54,Reagents!$B$1:$R$41,11,FALSE))</f>
        <v/>
      </c>
      <c r="ED6" s="214">
        <f>VLOOKUP(C6+54,Reagents!$B$1:$R$41,17,FALSE)</f>
        <v>0</v>
      </c>
      <c r="EE6" s="284" t="e">
        <f>IF(OR(v5_row="solvent_2",v5_row="solvent_3"),VLOOKUP(C6+54,Reagents!$B$1:$M$41,12,FALSE),IF(OR(Reagents!$Q$34="Stock slurry",Reagents!$Q$34="Stock solution"),EC6*EB6, EC6/VLOOKUP(C6+54,Reagents!$B$1:$R$41,6,FALSE)*1000))</f>
        <v>#VALUE!</v>
      </c>
      <c r="EF6" s="214" t="str">
        <f>VLOOKUP(C6+62,Reagents!$B$1:$M$41,2,FALSE)</f>
        <v/>
      </c>
      <c r="EG6" s="214">
        <f>VLOOKUP(C6+62,Reagents!$B$1:$M$41,3,FALSE)</f>
        <v>0</v>
      </c>
      <c r="EH6" s="214" t="str">
        <f>IF(VLOOKUP(C6+62,Reagents!$B$1:$M$41,5,FALSE)=0, "NULL", VLOOKUP(C6+62,Reagents!$B$1:$M$41,5,FALSE))</f>
        <v>NULL</v>
      </c>
      <c r="EI6" s="214" t="str">
        <f>IF(OR(Reagents!$Q$38="Stock slurry",Reagents!$Q$38="Stock solution"),VLOOKUP(C6+62,Reagents!$B$1:$R$41,13,FALSE), "NULL")</f>
        <v/>
      </c>
      <c r="EJ6" s="362" t="str">
        <f>IF(OR(Reagents!$Q$38="Stock slurry",Reagents!$Q$38="Stock solution"),VLOOKUP(C6+62,Reagents!$B$1:$R$41,14,FALSE), VLOOKUP(C6+62,Reagents!$B$1:$R$41,11,FALSE))</f>
        <v/>
      </c>
      <c r="EK6" s="214">
        <f>VLOOKUP(C6+62,Reagents!$B$1:$R$41,17,FALSE)</f>
        <v>0</v>
      </c>
      <c r="EL6" s="284" t="e">
        <f>IF(OR(v6_row="solvent_2",v6_row="solvent_3"),VLOOKUP(C6+62,Reagents!$B$1:$M$41,12,FALSE),IF(OR(Reagents!$Q$38="Stock slurry",Reagents!$Q$38="Stock solution"),EJ6*EI6, EJ6/VLOOKUP(C6+62,Reagents!$B$1:$R$41,6,FALSE)*1000))</f>
        <v>#VALUE!</v>
      </c>
      <c r="EM6" s="214">
        <f>VLOOKUP(19,'Plate Planning'!$A$1:$T$35,13,FALSE)</f>
        <v>0</v>
      </c>
      <c r="EN6" s="214">
        <f>VLOOKUP(19,'Plate Planning'!$A$1:$T$35,14,FALSE)</f>
        <v>0</v>
      </c>
      <c r="EO6" s="214">
        <f>VLOOKUP(19,'Plate Planning'!$A$1:$T$35,15,FALSE)</f>
        <v>0</v>
      </c>
      <c r="EP6" s="214">
        <f>VLOOKUP(A6,'Uncorrected Area Counts'!$A$1:$AS$27,3,FALSE)</f>
        <v>0</v>
      </c>
      <c r="EQ6" s="214" t="str">
        <f>VLOOKUP(A6,'Uncorrected Area Counts'!$A$1:$AS$27,4,FALSE)</f>
        <v/>
      </c>
      <c r="ER6" s="214" t="str">
        <f>VLOOKUP(A6,'Uncorrected Area Counts'!$A$1:$AS$27,5,FALSE)</f>
        <v/>
      </c>
      <c r="ES6" s="214">
        <f>VLOOKUP(20,'Plate Planning'!$A$1:$T$35,15,FALSE)</f>
        <v>0</v>
      </c>
      <c r="ET6" s="214">
        <f>VLOOKUP(A6,'Uncorrected Area Counts'!$A$1:$AS$27,7,FALSE)</f>
        <v>0</v>
      </c>
      <c r="EU6" s="214" t="e">
        <f>VLOOKUP(A6,'Uncorrected Area Counts'!$A$1:$AS$27,7,FALSE)/VLOOKUP(A6,'Uncorrected Area Counts'!$A$1:$AS$27,3,FALSE)</f>
        <v>#DIV/0!</v>
      </c>
      <c r="EV6" s="214" t="str">
        <f>IFERROR(VLOOKUP(A6,'Yields &amp; LCAPs'!$A$1:$V$27,3,FALSE), "NULL")</f>
        <v>NULL</v>
      </c>
      <c r="EW6" s="284" t="str">
        <f>IFERROR(VLOOKUP(A6,'Yields &amp; LCAPs'!$A$1:$V$27,4,FALSE), "NULL")</f>
        <v>NULL</v>
      </c>
      <c r="EX6" s="214" t="str">
        <f>VLOOKUP(A6,'Uncorrected Area Counts'!$A$1:$AS$27,8,FALSE)</f>
        <v/>
      </c>
      <c r="EY6" s="214" t="str">
        <f>VLOOKUP(A6,'Uncorrected Area Counts'!$A$1:$AS$27,9,FALSE)</f>
        <v/>
      </c>
      <c r="EZ6" s="214">
        <f>VLOOKUP(22,'Plate Planning'!$A$1:$T$35,15,FALSE)</f>
        <v>0</v>
      </c>
      <c r="FA6" s="214">
        <f>VLOOKUP(A6,'Uncorrected Area Counts'!$A$1:$AS$27,11,FALSE)</f>
        <v>0</v>
      </c>
      <c r="FB6" s="214" t="e">
        <f>VLOOKUP(A6,'Uncorrected Area Counts'!$A$1:$AS$27,11,FALSE)/VLOOKUP(A6,'Uncorrected Area Counts'!$A$1:$AS$27,3,FALSE)</f>
        <v>#DIV/0!</v>
      </c>
      <c r="FC6" s="214" t="str">
        <f>IFERROR(VLOOKUP(A6,'Yields &amp; LCAPs'!$A$1:$V$27,5,FALSE), "NULL")</f>
        <v>NULL</v>
      </c>
      <c r="FD6" s="284" t="str">
        <f>IFERROR(VLOOKUP(A6,'Yields &amp; LCAPs'!$A$1:$V$27,6,FALSE), "NULL")</f>
        <v>NULL</v>
      </c>
      <c r="FE6" s="214" t="str">
        <f>VLOOKUP(A6,'Uncorrected Area Counts'!$A$1:$AS$27,12,FALSE)</f>
        <v/>
      </c>
      <c r="FF6" s="214" t="str">
        <f>VLOOKUP(A6,'Uncorrected Area Counts'!$A$1:$AS$27,13,FALSE)</f>
        <v/>
      </c>
      <c r="FG6" s="214">
        <f>VLOOKUP(24,'Plate Planning'!$A$1:$T$35,15,FALSE)</f>
        <v>0</v>
      </c>
      <c r="FH6" s="214">
        <f>VLOOKUP(A6,'Uncorrected Area Counts'!$A$1:$AS$27,15,FALSE)</f>
        <v>0</v>
      </c>
      <c r="FI6" s="214" t="e">
        <f>VLOOKUP(A6,'Uncorrected Area Counts'!$A$1:$AS$27,15,FALSE)/VLOOKUP(A6,'Uncorrected Area Counts'!$A$1:$AS$27,3,FALSE)</f>
        <v>#DIV/0!</v>
      </c>
      <c r="FJ6" s="214" t="str">
        <f>IFERROR(VLOOKUP(A6,'Yields &amp; LCAPs'!$A$1:$V$27,7,FALSE), "NULL")</f>
        <v>NULL</v>
      </c>
      <c r="FK6" s="284" t="str">
        <f>IFERROR(VLOOKUP(A6,'Yields &amp; LCAPs'!$A$1:$V$27,8,FALSE), "NULL")</f>
        <v>NULL</v>
      </c>
      <c r="FL6" s="214" t="str">
        <f>VLOOKUP(A6,'Uncorrected Area Counts'!$A$1:$AS$27,16,FALSE)</f>
        <v/>
      </c>
      <c r="FM6" s="214" t="str">
        <f>VLOOKUP(A6,'Uncorrected Area Counts'!$A$1:$AS$27,17,FALSE)</f>
        <v/>
      </c>
      <c r="FN6" s="214">
        <f>VLOOKUP(26,'Plate Planning'!$A$1:$T$35,15,FALSE)</f>
        <v>0</v>
      </c>
      <c r="FO6" s="214">
        <f>VLOOKUP(A6,'Uncorrected Area Counts'!$A$1:$AS$27,19,FALSE)</f>
        <v>0</v>
      </c>
      <c r="FP6" s="214" t="e">
        <f>VLOOKUP(A6,'Uncorrected Area Counts'!$A$1:$AS$27,19,FALSE)/VLOOKUP(A6,'Uncorrected Area Counts'!$A$1:$AS$27,3,FALSE)</f>
        <v>#DIV/0!</v>
      </c>
      <c r="FQ6" s="214" t="str">
        <f>IFERROR(VLOOKUP(A6,'Yields &amp; LCAPs'!$A$1:$V$27,9,FALSE), "NULL")</f>
        <v>NULL</v>
      </c>
      <c r="FR6" s="284" t="str">
        <f>IFERROR(VLOOKUP(A6,'Yields &amp; LCAPs'!$A$1:$V$27,10,FALSE), "NULL")</f>
        <v>NULL</v>
      </c>
      <c r="FS6" s="214" t="str">
        <f>VLOOKUP(A6,'Uncorrected Area Counts'!$A$1:$AS$27,20,FALSE)</f>
        <v/>
      </c>
      <c r="FT6" s="214" t="str">
        <f>VLOOKUP(A6,'Uncorrected Area Counts'!$A$1:$AS$27,21,FALSE)</f>
        <v/>
      </c>
      <c r="FU6" s="214">
        <f>VLOOKUP(27,'Plate Planning'!$A$1:$T$35,15,FALSE)</f>
        <v>0</v>
      </c>
      <c r="FV6" s="214">
        <f>VLOOKUP(A6,'Uncorrected Area Counts'!$A$1:$AS$27,23,FALSE)</f>
        <v>0</v>
      </c>
      <c r="FW6" s="214" t="e">
        <f>VLOOKUP(A6,'Uncorrected Area Counts'!$A$1:$AS$27,23,FALSE)/VLOOKUP(A6,'Uncorrected Area Counts'!$A$1:$AS$27,3,FALSE)</f>
        <v>#DIV/0!</v>
      </c>
      <c r="FX6" s="214" t="str">
        <f>IFERROR(VLOOKUP(A6,'Yields &amp; LCAPs'!$A$1:$V$27,11,FALSE), "NULL")</f>
        <v>NULL</v>
      </c>
      <c r="FY6" s="284" t="str">
        <f>IFERROR(VLOOKUP(A6,'Yields &amp; LCAPs'!$A$1:$V$27,12,FALSE), "NULL")</f>
        <v>NULL</v>
      </c>
      <c r="FZ6" s="411" t="str">
        <f>VLOOKUP(A6,'Uncorrected Area Counts'!$A$1:$AS$27,24,FALSE)</f>
        <v/>
      </c>
      <c r="GA6" s="214" t="str">
        <f>VLOOKUP(A6,'Uncorrected Area Counts'!$A$1:$AS$27,25,FALSE)</f>
        <v/>
      </c>
      <c r="GB6" s="214">
        <f>VLOOKUP(28,'Plate Planning'!$A$1:$T$35,15,FALSE)</f>
        <v>0</v>
      </c>
      <c r="GC6" s="214">
        <f>VLOOKUP(A6,'Uncorrected Area Counts'!$A$1:$AS$27,27,FALSE)</f>
        <v>0</v>
      </c>
      <c r="GD6" s="214" t="e">
        <f>VLOOKUP(A6,'Uncorrected Area Counts'!$A$1:$AS$27,27,FALSE)/VLOOKUP(A6,'Uncorrected Area Counts'!$A$1:$AS$27,3,FALSE)</f>
        <v>#DIV/0!</v>
      </c>
      <c r="GE6" s="214" t="str">
        <f>IFERROR(VLOOKUP(A6,'Yields &amp; LCAPs'!$A$1:$V$27,13,FALSE), "NULL")</f>
        <v>NULL</v>
      </c>
      <c r="GF6" s="284" t="str">
        <f>IFERROR(VLOOKUP(A6,'Yields &amp; LCAPs'!$A$1:$V$27,14,FALSE), "NULL")</f>
        <v>NULL</v>
      </c>
      <c r="GG6" s="214" t="str">
        <f>VLOOKUP(A6,'Uncorrected Area Counts'!$A$1:$AS$27,28,FALSE)</f>
        <v/>
      </c>
      <c r="GH6" s="214" t="str">
        <f>VLOOKUP(A6,'Uncorrected Area Counts'!$A$1:$AS$27,29,FALSE)</f>
        <v/>
      </c>
      <c r="GI6" s="214">
        <f>VLOOKUP(29,'Plate Planning'!$A$1:$T$35,15,FALSE)</f>
        <v>0</v>
      </c>
      <c r="GJ6" s="214">
        <f>VLOOKUP(A6,'Uncorrected Area Counts'!$A$1:$AS$27,31,FALSE)</f>
        <v>0</v>
      </c>
      <c r="GK6" s="214" t="e">
        <f>VLOOKUP(A6,'Uncorrected Area Counts'!$A$1:$AS$27,31,FALSE)/VLOOKUP(A6,'Uncorrected Area Counts'!$A$1:$AS$27,3,FALSE)</f>
        <v>#DIV/0!</v>
      </c>
      <c r="GL6" s="214" t="str">
        <f>IFERROR(VLOOKUP(A6,'Yields &amp; LCAPs'!$A$1:$V$27,15,FALSE), "NULL")</f>
        <v>NULL</v>
      </c>
      <c r="GM6" s="284" t="str">
        <f>IFERROR(VLOOKUP(A6,'Yields &amp; LCAPs'!$A$1:$V$27,16,FALSE), "NULL")</f>
        <v>NULL</v>
      </c>
      <c r="GN6" s="214" t="str">
        <f>VLOOKUP(A6,'Uncorrected Area Counts'!$A$1:$AS$27,32,FALSE)</f>
        <v/>
      </c>
      <c r="GO6" s="214" t="str">
        <f>VLOOKUP(A6,'Uncorrected Area Counts'!$A$1:$AS$27,33,FALSE)</f>
        <v/>
      </c>
      <c r="GP6" s="214">
        <f>VLOOKUP(30,'Plate Planning'!$A$1:$T$35,15,FALSE)</f>
        <v>0</v>
      </c>
      <c r="GQ6" s="214">
        <f>VLOOKUP(A6,'Uncorrected Area Counts'!$A$1:$AS$27,35,FALSE)</f>
        <v>0</v>
      </c>
      <c r="GR6" s="214" t="e">
        <f>VLOOKUP(A6,'Uncorrected Area Counts'!$A$1:$AS$27,35,FALSE)/VLOOKUP(A6,'Uncorrected Area Counts'!$A$1:$AS$27,3,FALSE)</f>
        <v>#DIV/0!</v>
      </c>
      <c r="GS6" s="214" t="str">
        <f>IFERROR(VLOOKUP(A6,'Yields &amp; LCAPs'!$A$1:$V$27,17,FALSE), "NULL")</f>
        <v>NULL</v>
      </c>
      <c r="GT6" s="284" t="str">
        <f>IFERROR(VLOOKUP(A6,'Yields &amp; LCAPs'!$A$1:$V$27,18,FALSE), "NULL")</f>
        <v>NULL</v>
      </c>
      <c r="GU6" s="214" t="str">
        <f>VLOOKUP(A6,'Uncorrected Area Counts'!$A$1:$AS$27,36,FALSE)</f>
        <v/>
      </c>
      <c r="GV6" s="214" t="str">
        <f>VLOOKUP(A6,'Uncorrected Area Counts'!$A$1:$AS$27,37,FALSE)</f>
        <v/>
      </c>
      <c r="GW6" s="214">
        <f>VLOOKUP(31,'Plate Planning'!$A$1:$T$35,15,FALSE)</f>
        <v>0</v>
      </c>
      <c r="GX6" s="214">
        <f>VLOOKUP(A6,'Uncorrected Area Counts'!$A$1:$AS$27,39,FALSE)</f>
        <v>0</v>
      </c>
      <c r="GY6" s="214" t="e">
        <f>VLOOKUP(A6,'Uncorrected Area Counts'!$A$1:$AS$27,39,FALSE)/VLOOKUP(A6,'Uncorrected Area Counts'!$A$1:$AS$27,3,FALSE)</f>
        <v>#DIV/0!</v>
      </c>
      <c r="GZ6" s="214" t="str">
        <f>IFERROR(VLOOKUP(A6,'Yields &amp; LCAPs'!$A$1:$V$27,19,FALSE), "NULL")</f>
        <v>NULL</v>
      </c>
      <c r="HA6" s="284" t="str">
        <f>IFERROR(VLOOKUP(A6,'Yields &amp; LCAPs'!$A$1:$V$27,20,FALSE), "NULL")</f>
        <v>NULL</v>
      </c>
      <c r="HB6" s="214" t="str">
        <f>VLOOKUP(A6,'Uncorrected Area Counts'!$A$1:$AS$27,40,FALSE)</f>
        <v/>
      </c>
      <c r="HC6" s="214" t="str">
        <f>VLOOKUP(A6,'Uncorrected Area Counts'!$A$1:$AS$27,41,FALSE)</f>
        <v/>
      </c>
      <c r="HD6" s="214">
        <f>VLOOKUP(32,'Plate Planning'!$A$1:$T$35,15,FALSE)</f>
        <v>0</v>
      </c>
      <c r="HE6" s="214">
        <f>VLOOKUP(A6,'Uncorrected Area Counts'!$A$1:$AS$27,43,FALSE)</f>
        <v>0</v>
      </c>
      <c r="HF6" s="214" t="e">
        <f>VLOOKUP(A6,'Uncorrected Area Counts'!$A$1:$AS$27,43,FALSE)/VLOOKUP(A6,'Uncorrected Area Counts'!$A$1:$AS$27,3,FALSE)</f>
        <v>#DIV/0!</v>
      </c>
      <c r="HG6" s="214" t="str">
        <f>IFERROR(VLOOKUP(A6,'Yields &amp; LCAPs'!$A$1:$V$27,21,FALSE), "NULL")</f>
        <v>NULL</v>
      </c>
      <c r="HH6" s="284" t="str">
        <f>IFERROR(VLOOKUP(A6,'Yields &amp; LCAPs'!$A$1:$V$27,22,FALSE), "NULL")</f>
        <v>NULL</v>
      </c>
      <c r="HI6" s="362"/>
      <c r="HJ6" s="362"/>
      <c r="HK6" s="362"/>
      <c r="HL6" s="362"/>
      <c r="HM6" s="363"/>
      <c r="HN6" s="362"/>
      <c r="HO6" s="362"/>
      <c r="HP6" s="362"/>
      <c r="HQ6" s="362"/>
      <c r="HR6" s="363"/>
    </row>
    <row r="7" spans="1:230">
      <c r="A7" s="216" t="s">
        <v>1166</v>
      </c>
      <c r="B7" s="214">
        <v>6</v>
      </c>
      <c r="C7" s="214">
        <v>1</v>
      </c>
      <c r="D7" s="214" t="str">
        <f>VLOOKUP(18,'Plate Planning'!$A$1:$T$35,10,FALSE)&amp;"_"&amp;VLOOKUP(19,'Plate Planning'!$A$1:$T$35,10,FALSE)&amp;"_"&amp;A7</f>
        <v>__A6</v>
      </c>
      <c r="E7" s="214" t="str">
        <f>IF(VLOOKUP(18,'Plate Planning'!$A$1:$T$35,10,FALSE)="", "NULL", VLOOKUP(18,'Plate Planning'!$A$1:$T$35,10,FALSE))</f>
        <v>NULL</v>
      </c>
      <c r="F7" s="214" t="str">
        <f>IF(VLOOKUP(19,'Plate Planning'!$A$1:$T$35,10,FALSE)="", "NULL", VLOOKUP(19,'Plate Planning'!$A$1:$T$35,10,FALSE))</f>
        <v>NULL</v>
      </c>
      <c r="G7" s="214" t="str">
        <f>IF(VLOOKUP(20,'Plate Planning'!$A$1:$T$35,10,FALSE)="", "NULL", VLOOKUP(20,'Plate Planning'!$A$1:$T$35,10,FALSE))</f>
        <v>NULL</v>
      </c>
      <c r="H7" s="214" t="str">
        <f>IF(VLOOKUP(21,'Plate Planning'!$A$1:$T$35,10,FALSE)="", "NULL", VLOOKUP(21,'Plate Planning'!$A$1:$T$35,10,FALSE))</f>
        <v>NULL</v>
      </c>
      <c r="I7" s="214" t="str">
        <f>IF(VLOOKUP(23,'Plate Planning'!$A$1:$T$35,10,FALSE)="", "NULL", VLOOKUP(23,'Plate Planning'!$A$1:$T$35,10,FALSE))</f>
        <v>NULL</v>
      </c>
      <c r="J7" s="214" t="str">
        <f>IF(VLOOKUP(22,'Plate Planning'!$A$1:$T$35,10,FALSE)="", "NULL", VLOOKUP(22,'Plate Planning'!$A$1:$T$35,10,FALSE))</f>
        <v>NULL</v>
      </c>
      <c r="K7" s="214" t="str">
        <f>VLOOKUP(24,'Plate Planning'!$A$1:$T$35,10,FALSE)</f>
        <v>Glovebox</v>
      </c>
      <c r="L7" s="214" t="str">
        <f>IF(VLOOKUP(25,'Plate Planning'!$A$1:$T$35,10,FALSE)="","NULL",VLOOKUP(25,'Plate Planning'!$A$1:$T$35,10,FALSE))</f>
        <v>NULL</v>
      </c>
      <c r="M7" s="214" t="str">
        <f>VLOOKUP(26,'Plate Planning'!$A$1:$T$35,10,FALSE)</f>
        <v>ambient</v>
      </c>
      <c r="N7" s="214" t="str">
        <f>IF(VLOOKUP(27,'Plate Planning'!$A$1:$T$35,10,FALSE)=0,"NULL", VLOOKUP(27,'Plate Planning'!$A$1:$T$35,10,FALSE))</f>
        <v>NULL</v>
      </c>
      <c r="O7" s="214" t="str">
        <f>IF(VLOOKUP(3,'Plate Planning'!$A$2:$S$35,18,FALSE)="", "NULL", VLOOKUP(3,'Plate Planning'!$A$2:$S$35,18,FALSE))</f>
        <v>NULL</v>
      </c>
      <c r="P7" s="214" t="str">
        <f>IF(VLOOKUP(4,'Plate Planning'!$A$2:$S$35,18,FALSE)="", "NULL", VLOOKUP(4,'Plate Planning'!$A$2:$S$35,18,FALSE))</f>
        <v>NULL</v>
      </c>
      <c r="Q7" s="214" t="str">
        <f>IF(VLOOKUP(5,'Plate Planning'!$A$2:$S$35,18,FALSE)="", "NULL", VLOOKUP(5,'Plate Planning'!$A$2:$S$35,18,FALSE))</f>
        <v>NULL</v>
      </c>
      <c r="R7" s="214" t="str">
        <f>IF(VLOOKUP(6,'Plate Planning'!$A$2:$S$35,18,FALSE)="", "NULL", VLOOKUP(6,'Plate Planning'!$A$2:$S$35,18,FALSE))</f>
        <v>NULL</v>
      </c>
      <c r="S7" s="214" t="str">
        <f>IF(VLOOKUP(7,'Plate Planning'!$A$2:$S$35,18,FALSE)="", "NULL", VLOOKUP(7,'Plate Planning'!$A$2:$S$35,18,FALSE))</f>
        <v>NULL</v>
      </c>
      <c r="T7" s="214" t="str">
        <f>IF(VLOOKUP(28,'Plate Planning'!$A$1:$T$35,10,FALSE)=0,"NULL",VLOOKUP(28,'Plate Planning'!$A$1:$T$35,10,FALSE))</f>
        <v>NULL</v>
      </c>
      <c r="U7" s="214" t="str">
        <f>IFERROR(VLOOKUP(VLOOKUP(28,'Plate Planning'!$A$1:$T$35,10,FALSE),Dictionaries!$Q$2:$R$72,2,FALSE), "NULL")</f>
        <v>NULL</v>
      </c>
      <c r="V7" s="214" t="str">
        <f>IF(VLOOKUP(28,'Plate Planning'!$A$1:$T$35,10,FALSE)=0,"NULL",VLOOKUP(32,'Plate Planning'!$A$1:$T$35,10,FALSE))</f>
        <v>NULL</v>
      </c>
      <c r="W7" s="214" t="str">
        <f>IF(VLOOKUP(C7+3,'Plate Planning'!$A$1:$S$35,B7+4,FALSE)=0, "", VLOOKUP(C7+3,'Plate Planning'!$A$1:$S$35,B7+4,FALSE))</f>
        <v/>
      </c>
      <c r="X7" s="214" t="str">
        <f>IFERROR(VLOOKUP(W7,'Complex Variable'!$A$2:$S$25,2,FALSE), "")</f>
        <v/>
      </c>
      <c r="Y7" s="327" t="str">
        <f>IFERROR(VLOOKUP(W7,'Complex Variable'!$A$2:$S$25,3,FALSE), "")</f>
        <v/>
      </c>
      <c r="Z7" s="327" t="str">
        <f>IFERROR(VLOOKUP(W7,'Complex Variable'!$A$2:$S$25,5,FALSE), "")</f>
        <v/>
      </c>
      <c r="AA7" s="327" t="str">
        <f>IFERROR(VLOOKUP(W7,'Complex Variable'!$A$2:$S$25,14,FALSE), "")</f>
        <v/>
      </c>
      <c r="AB7" s="602" t="str">
        <f>IFERROR(VLOOKUP(W7,'Complex Variable'!$A$2:$S$25,19,FALSE), "")</f>
        <v/>
      </c>
      <c r="AC7" s="327" t="str">
        <f>IFERROR(VLOOKUP(W7,'Complex Variable'!$A$2:$S$25,13,FALSE), "")</f>
        <v/>
      </c>
      <c r="AD7" s="604" t="str">
        <f t="shared" si="0"/>
        <v/>
      </c>
      <c r="AE7" s="214">
        <f>VLOOKUP(1,Reagents!$B$1:$M$41,2,FALSE)</f>
        <v>0</v>
      </c>
      <c r="AF7" s="214">
        <f>VLOOKUP(1,Reagents!$B$1:$M$41,3,FALSE)</f>
        <v>0</v>
      </c>
      <c r="AG7" s="214" t="str">
        <f>IF(VLOOKUP(1,Reagents!$B$1:$M$41,5,FALSE)=0, "NULL", VLOOKUP(1,Reagents!$B$1:$M$41,5,FALSE))</f>
        <v>NULL</v>
      </c>
      <c r="AH7" s="214" t="str">
        <f>IF(OR(Reagents!$Q$2="Stock slurry",Reagents!$Q$2="Stock solution"),VLOOKUP(1,Reagents!$B$1:$R$41,13,FALSE), "NULL")</f>
        <v/>
      </c>
      <c r="AI7" s="362" t="str">
        <f>IF(OR(Reagents!$Q$2="Stock slurry",Reagents!$Q$2="Stock solution"),VLOOKUP(1,Reagents!$B$1:$R$41,14,FALSE), VLOOKUP(1,Reagents!$B$1:$R$41,11,FALSE))</f>
        <v/>
      </c>
      <c r="AJ7" s="214">
        <f>VLOOKUP(1,Reagents!$B$1:$R$41,17,FALSE)</f>
        <v>0</v>
      </c>
      <c r="AK7" s="284" t="e">
        <f>IF(OR(VLOOKUP(1,Reagents!$B$1:$M$41,4,FALSE)="solvent_2",VLOOKUP(1,Reagents!$B$1:$M$41,4,FALSE)="solvent_3"),VLOOKUP(1,Reagents!$B$1:$M$41,12,FALSE),IF(OR(Reagents!$Q$2="Stock slurry",Reagents!$Q$2="Stock solution"),AI7*AH7, AI7/VLOOKUP(1,Reagents!$B$1:$R$41,6,FALSE)*1000))</f>
        <v>#VALUE!</v>
      </c>
      <c r="AL7" s="214">
        <f>VLOOKUP(2,Reagents!$B$1:$M$41,2,FALSE)</f>
        <v>0</v>
      </c>
      <c r="AM7" s="214">
        <f>VLOOKUP(2,Reagents!$B$1:$M$41,3,FALSE)</f>
        <v>0</v>
      </c>
      <c r="AN7" s="214" t="str">
        <f>IF(VLOOKUP(2,Reagents!$B$1:$M$41,5,FALSE)=0, "NULL", VLOOKUP(2,Reagents!$B$1:$M$41,5,FALSE))</f>
        <v>NULL</v>
      </c>
      <c r="AO7" s="214" t="str">
        <f>IF(OR(Reagents!$Q$3="Stock slurry",Reagents!$Q$3="Stock solution"),VLOOKUP(2,Reagents!$B$1:$R$41,13,FALSE), "NULL")</f>
        <v/>
      </c>
      <c r="AP7" s="362" t="str">
        <f>IF(OR(Reagents!$Q$3="Stock slurry",Reagents!$Q$3="Stock solution"),VLOOKUP(2,Reagents!$B$1:$R$41,14,FALSE), VLOOKUP(2,Reagents!$B$1:$R$41,11,FALSE))</f>
        <v/>
      </c>
      <c r="AQ7" s="214">
        <f>VLOOKUP(2,Reagents!$B$1:$R$41,17,FALSE)</f>
        <v>0</v>
      </c>
      <c r="AR7" s="284" t="e">
        <f>IF(OR(VLOOKUP(2,Reagents!$B$1:$M$41,4,FALSE)="solvent_2",VLOOKUP(2,Reagents!$B$1:$M$41,4,FALSE)="solvent_3"),VLOOKUP(2,Reagents!$B$1:$M$41,12,FALSE),IF(OR(Reagents!$Q$3="Stock slurry",Reagents!$Q$3="Stock solution"),AP7*AO7, AP7/VLOOKUP(2,Reagents!$B$1:$R$41,6,FALSE)*1000))</f>
        <v>#VALUE!</v>
      </c>
      <c r="AS7" s="214">
        <f>VLOOKUP(3,Reagents!$B$1:$M$41,2,FALSE)</f>
        <v>0</v>
      </c>
      <c r="AT7" s="214">
        <f>VLOOKUP(3,Reagents!$B$1:$M$41,3,FALSE)</f>
        <v>0</v>
      </c>
      <c r="AU7" s="214" t="str">
        <f>IF(VLOOKUP(3,Reagents!$B$1:$M$41,5,FALSE)=0, "NULL", VLOOKUP(3,Reagents!$B$1:$M$41,5,FALSE))</f>
        <v>NULL</v>
      </c>
      <c r="AV7" s="214" t="str">
        <f>IF(OR(Reagents!$Q$4="Stock slurry",Reagents!$Q$4="Stock solution"),VLOOKUP(3,Reagents!$B$1:$R$41,13,FALSE), "NULL")</f>
        <v/>
      </c>
      <c r="AW7" s="362" t="str">
        <f>IF(OR(Reagents!$Q$4="Stock slurry",Reagents!$Q$4="Stock solution"),VLOOKUP(3,Reagents!$B$1:$R$41,14,FALSE), VLOOKUP(3,Reagents!$B$1:$R$41,11,FALSE))</f>
        <v/>
      </c>
      <c r="AX7" s="214">
        <f>VLOOKUP(3,Reagents!$B$1:$R$41,17,FALSE)</f>
        <v>0</v>
      </c>
      <c r="AY7" s="284" t="e">
        <f>IF(OR(VLOOKUP(3,Reagents!$B$1:$M$41,4,FALSE)="solvent_2",VLOOKUP(3,Reagents!$B$1:$M$41,4,FALSE)="solvent_3"),VLOOKUP(3,Reagents!$B$1:$M$41,12,FALSE),IF(OR(Reagents!$Q$4="Stock slurry",Reagents!$Q$4="Stock solution"),AW7*AV7, AW7/VLOOKUP(3,Reagents!$B$1:$R$41,6,FALSE)*1000))</f>
        <v>#VALUE!</v>
      </c>
      <c r="AZ7" s="214">
        <f>VLOOKUP(4,Reagents!$B$1:$M$41,2,FALSE)</f>
        <v>0</v>
      </c>
      <c r="BA7" s="214">
        <f>VLOOKUP(4,Reagents!$B$1:$M$41,3,FALSE)</f>
        <v>0</v>
      </c>
      <c r="BB7" s="214" t="str">
        <f>IF(VLOOKUP(4,Reagents!$B$1:$M$41,5,FALSE)=0, "NULL", VLOOKUP(4,Reagents!$B$1:$M$41,5,FALSE))</f>
        <v>NULL</v>
      </c>
      <c r="BC7" s="214" t="str">
        <f>IF(OR(Reagents!$Q$5="Stock slurry",Reagents!$Q$5="Stock solution"),VLOOKUP(4,Reagents!$B$1:$R$41,13,FALSE), "NULL")</f>
        <v/>
      </c>
      <c r="BD7" s="362" t="str">
        <f>IF(OR(Reagents!$Q$5="Stock slurry",Reagents!$Q$5="Stock solution"),VLOOKUP(4,Reagents!$B$1:$R$41,14,FALSE), VLOOKUP(4,Reagents!$B$1:$R$41,11,FALSE))</f>
        <v/>
      </c>
      <c r="BE7" s="214">
        <f>VLOOKUP(4,Reagents!$B$1:$R$41,17,FALSE)</f>
        <v>0</v>
      </c>
      <c r="BF7" s="284" t="e">
        <f>IF(OR(VLOOKUP(4,Reagents!$B$1:$M$41,4,FALSE)="solvent_2",VLOOKUP(4,Reagents!$B$1:$M$41,4,FALSE)="solvent_3"),VLOOKUP(4,Reagents!$B$1:$M$41,12,FALSE),IF(OR(Reagents!$Q$5="Stock slurry",Reagents!$Q$5="Stock solution"),BD7*BC7, BD7/VLOOKUP(4,Reagents!$B$1:$R$41,6,FALSE)*1000))</f>
        <v>#VALUE!</v>
      </c>
      <c r="BG7" s="214">
        <f>VLOOKUP(5,Reagents!$B$1:$M$41,2,FALSE)</f>
        <v>0</v>
      </c>
      <c r="BH7" s="214">
        <f>VLOOKUP(5,Reagents!$B$1:$M$41,3,FALSE)</f>
        <v>0</v>
      </c>
      <c r="BI7" s="214" t="str">
        <f>IF(VLOOKUP(5,Reagents!$B$1:$M$41,5,FALSE)=0, "NULL", VLOOKUP(5,Reagents!$B$1:$M$41,5,FALSE))</f>
        <v>NULL</v>
      </c>
      <c r="BJ7" s="214" t="str">
        <f>IF(OR(Reagents!$Q$6="Stock slurry",Reagents!$Q$6="Stock solution"),VLOOKUP(5,Reagents!$B$1:$R$41,13,FALSE), "NULL")</f>
        <v/>
      </c>
      <c r="BK7" s="362" t="str">
        <f>IF(OR(Reagents!$Q$6="Stock slurry",Reagents!$Q$6="Stock solution"),VLOOKUP(5,Reagents!$B$1:$R$41,14,FALSE), VLOOKUP(5,Reagents!$B$1:$R$41,11,FALSE))</f>
        <v/>
      </c>
      <c r="BL7" s="214">
        <f>VLOOKUP(5,Reagents!$B$1:$R$41,17,FALSE)</f>
        <v>0</v>
      </c>
      <c r="BM7" s="284" t="e">
        <f>IF(OR(VLOOKUP(5,Reagents!$B$1:$M$41,4,FALSE)="solvent_2",VLOOKUP(5,Reagents!$B$1:$M$41,4,FALSE)="solvent_3"),VLOOKUP(5,Reagents!$B$1:$M$41,12,FALSE),IF(OR(Reagents!$Q$6="Stock slurry",Reagents!$Q$6="Stock solution"),BK7*BJ7, BK7/VLOOKUP(5,Reagents!$B$1:$R$41,6,FALSE)*1000))</f>
        <v>#VALUE!</v>
      </c>
      <c r="BN7" s="214">
        <f>VLOOKUP(6,Reagents!$B$1:$M$41,2,FALSE)</f>
        <v>0</v>
      </c>
      <c r="BO7" s="214">
        <f>VLOOKUP(6,Reagents!$B$1:$M$41,3,FALSE)</f>
        <v>0</v>
      </c>
      <c r="BP7" s="214" t="str">
        <f>IF(VLOOKUP(6,Reagents!$B$1:$M$41,5,FALSE)=0, "NULL", VLOOKUP(6,Reagents!$B$1:$M$41,5,FALSE))</f>
        <v>NULL</v>
      </c>
      <c r="BQ7" s="214" t="str">
        <f>IF(OR(Reagents!$Q$7="Stock slurry",Reagents!$Q$7="Stock solution"),VLOOKUP(6,Reagents!$B$1:$R$41,13,FALSE), "NULL")</f>
        <v/>
      </c>
      <c r="BR7" s="362" t="str">
        <f>IF(OR(Reagents!$Q$7="Stock slurry",Reagents!$Q$7="Stock solution"),VLOOKUP(6,Reagents!$B$1:$R$41,14,FALSE), VLOOKUP(6,Reagents!$B$1:$R$41,11,FALSE))</f>
        <v/>
      </c>
      <c r="BS7" s="214">
        <f>VLOOKUP(6,Reagents!$B$1:$R$41,17,FALSE)</f>
        <v>0</v>
      </c>
      <c r="BT7" s="284" t="e">
        <f>IF(OR(VLOOKUP(6,Reagents!$B$1:$M$41,4,FALSE)="solvent_2",VLOOKUP(6,Reagents!$B$1:$M$41,4,FALSE)="solvent_3"),VLOOKUP(6,Reagents!$B$1:$M$41,12,FALSE),IF(OR(Reagents!$Q$7="Stock slurry",Reagents!$Q$7="Stock solution"),BR7*BQ7, BR7/VLOOKUP(6,Reagents!$B$1:$R$41,6,FALSE)*1000))</f>
        <v>#VALUE!</v>
      </c>
      <c r="BU7" s="214">
        <f>VLOOKUP(7,Reagents!$B$1:$M$41,2,FALSE)</f>
        <v>0</v>
      </c>
      <c r="BV7" s="214">
        <f>VLOOKUP(7,Reagents!$B$1:$M$41,3,FALSE)</f>
        <v>0</v>
      </c>
      <c r="BW7" s="214" t="str">
        <f>IF(VLOOKUP(7,Reagents!$B$1:$M$41,5,FALSE)=0, "NULL", VLOOKUP(7,Reagents!$B$1:$M$41,5,FALSE))</f>
        <v>NULL</v>
      </c>
      <c r="BX7" s="214" t="str">
        <f>IF(OR(Reagents!$Q$8="Stock slurry",Reagents!$Q$8="Stock solution"),VLOOKUP(7,Reagents!$B$1:$R$41,13,FALSE), "NULL")</f>
        <v/>
      </c>
      <c r="BY7" s="362" t="str">
        <f>IF(OR(Reagents!$Q$8="Stock slurry",Reagents!$Q$8="Stock solution"),VLOOKUP(7,Reagents!$B$1:$R$41,14,FALSE), VLOOKUP(7,Reagents!$B$1:$R$41,11,FALSE))</f>
        <v/>
      </c>
      <c r="BZ7" s="214">
        <f>VLOOKUP(7,Reagents!$B$1:$R$41,17,FALSE)</f>
        <v>0</v>
      </c>
      <c r="CA7" s="284" t="e">
        <f>IF(OR(VLOOKUP(7,Reagents!$B$1:$M$41,4,FALSE)="solvent_2",VLOOKUP(7,Reagents!$B$1:$M$41,4,FALSE)="solvent_3"),VLOOKUP(7,Reagents!$B$1:$M$41,12,FALSE),IF(OR(Reagents!$Q$8="Stock slurry",Reagents!$Q$8="Stock solution"),BY7*BX7, BY7/VLOOKUP(7,Reagents!$B$1:$R$41,6,FALSE)*1000))</f>
        <v>#VALUE!</v>
      </c>
      <c r="CB7" s="214">
        <f>VLOOKUP(8,Reagents!$B$1:$M$41,2,FALSE)</f>
        <v>0</v>
      </c>
      <c r="CC7" s="214">
        <f>VLOOKUP(8,Reagents!$B$1:$M$41,3,FALSE)</f>
        <v>0</v>
      </c>
      <c r="CD7" s="214" t="str">
        <f>IF(VLOOKUP(8,Reagents!$B$1:$M$41,5,FALSE)=0, "NULL", VLOOKUP(8,Reagents!$B$1:$M$41,5,FALSE))</f>
        <v>NULL</v>
      </c>
      <c r="CE7" s="214" t="str">
        <f>IF(OR(Reagents!$Q$9="Stock slurry",Reagents!$Q$9="Stock solution"),VLOOKUP(8,Reagents!$B$1:$R$41,13,FALSE), "NULL")</f>
        <v/>
      </c>
      <c r="CF7" s="362" t="str">
        <f>IF(OR(Reagents!$Q$9="Stock slurry",Reagents!$Q$9="Stock solution"),VLOOKUP(8,Reagents!$B$1:$R$41,14,FALSE), VLOOKUP(8,Reagents!$B$1:$R$41,11,FALSE))</f>
        <v/>
      </c>
      <c r="CG7" s="214">
        <f>VLOOKUP(8,Reagents!$B$1:$R$41,17,FALSE)</f>
        <v>0</v>
      </c>
      <c r="CH7" s="284" t="e">
        <f>IF(OR(VLOOKUP(8,Reagents!$B$1:$M$41,4,FALSE)="solvent_2",VLOOKUP(8,Reagents!$B$1:$M$41,4,FALSE)="solvent_3"),VLOOKUP(8,Reagents!$B$1:$M$41,12,FALSE),IF(OR(Reagents!$Q$9="Stock slurry",Reagents!$Q$9="Stock solution"),CF7*CE7, CF7/VLOOKUP(8,Reagents!$B$1:$R$41,6,FALSE)*1000))</f>
        <v>#VALUE!</v>
      </c>
      <c r="CI7" s="214">
        <f>VLOOKUP(9,Reagents!$B$1:$M$41,2,FALSE)</f>
        <v>0</v>
      </c>
      <c r="CJ7" s="214">
        <f>VLOOKUP(9,Reagents!$B$1:$M$41,3,FALSE)</f>
        <v>0</v>
      </c>
      <c r="CK7" s="214" t="str">
        <f>IF(VLOOKUP(9,Reagents!$B$1:$M$41,5,FALSE)=0, "NULL", VLOOKUP(9,Reagents!$B$1:$M$41,5,FALSE))</f>
        <v>NULL</v>
      </c>
      <c r="CL7" s="214" t="str">
        <f>IF(OR(Reagents!$Q$10="Stock slurry",Reagents!$Q$10="Stock solution"),VLOOKUP(9,Reagents!$B$1:$R$41,13,FALSE), "NULL")</f>
        <v/>
      </c>
      <c r="CM7" s="362" t="str">
        <f>IF(OR(Reagents!$Q$10="Stock slurry",Reagents!$Q$10="Stock solution"),VLOOKUP(9,Reagents!$B$1:$R$41,14,FALSE), VLOOKUP(9,Reagents!$B$1:$R$41,11,FALSE))</f>
        <v/>
      </c>
      <c r="CN7" s="214">
        <f>VLOOKUP(9,Reagents!$B$1:$R$41,17,FALSE)</f>
        <v>0</v>
      </c>
      <c r="CO7" s="284" t="e">
        <f>IF(OR(VLOOKUP(9,Reagents!$B$1:$M$41,4,FALSE)="solvent_2",VLOOKUP(9,Reagents!$B$1:$M$41,4,FALSE)="solvent_3"),VLOOKUP(9,Reagents!$B$1:$M$41,12,FALSE),IF(OR(Reagents!$Q$10="Stock slurry",Reagents!$Q$10="Stock solution"),CM7*CL7, CM7/VLOOKUP(9,Reagents!$B$1:$R$41,6,FALSE)*1000))</f>
        <v>#VALUE!</v>
      </c>
      <c r="CP7" s="214">
        <f>VLOOKUP(10,Reagents!$B$1:$M$41,2,FALSE)</f>
        <v>0</v>
      </c>
      <c r="CQ7" s="214">
        <f>VLOOKUP(10,Reagents!$B$1:$M$41,3,FALSE)</f>
        <v>0</v>
      </c>
      <c r="CR7" s="214" t="str">
        <f>IF(VLOOKUP(10,Reagents!$B$1:$M$41,5,FALSE)=0, "NULL", VLOOKUP(10,Reagents!$B$1:$M$41,5,FALSE))</f>
        <v>NULL</v>
      </c>
      <c r="CS7" s="214" t="str">
        <f>IF(OR(Reagents!$Q$11="Stock slurry",Reagents!$Q$11="Stock solution"),VLOOKUP(10,Reagents!$B$1:$R$41,13,FALSE), "NULL")</f>
        <v/>
      </c>
      <c r="CT7" s="362" t="str">
        <f>IF(OR(Reagents!$Q$11="Stock slurry",Reagents!$Q$11="Stock solution"),VLOOKUP(10,Reagents!$B$1:$R$41,14,FALSE), VLOOKUP(10,Reagents!$B$1:$R$41,11,FALSE))</f>
        <v/>
      </c>
      <c r="CU7" s="214">
        <f>VLOOKUP(10,Reagents!$B$1:$R$41,17,FALSE)</f>
        <v>0</v>
      </c>
      <c r="CV7" s="284" t="e">
        <f>IF(OR(VLOOKUP(10,Reagents!$B$1:$M$41,4,FALSE)="solvent_2",VLOOKUP(10,Reagents!$B$1:$M$41,4,FALSE)="solvent_3"),VLOOKUP(10,Reagents!$B$1:$M$41,12,FALSE),IF(OR(Reagents!$Q$11="Stock slurry",Reagents!$Q$11="Stock solution"),CT7*CS7, CT7/VLOOKUP(10,Reagents!$B$1:$R$41,6,FALSE)*1000))</f>
        <v>#VALUE!</v>
      </c>
      <c r="CW7" s="214" t="str">
        <f>VLOOKUP(B7+10,Reagents!$B$1:$R$41,2,FALSE)</f>
        <v/>
      </c>
      <c r="CX7" s="214">
        <f>VLOOKUP(B7+10,Reagents!$B$1:$R$41,3,FALSE)</f>
        <v>0</v>
      </c>
      <c r="CY7" s="214" t="str">
        <f>IF(VLOOKUP(B7+10,Reagents!$B$1:$M$41,5,FALSE)=0, "NULL", VLOOKUP(B7+10,Reagents!$B$1:$M$41,5,FALSE))</f>
        <v>NULL</v>
      </c>
      <c r="CZ7" s="214" t="str">
        <f>IF(OR(Reagents!$Q$12="Stock slurry",Reagents!$Q$12="Stock solution"),VLOOKUP(B7+10,Reagents!$B$1:$R$41,13,FALSE), "NULL")</f>
        <v/>
      </c>
      <c r="DA7" s="362" t="str">
        <f>IF(OR(Reagents!$Q$12="Stock slurry",Reagents!$Q$12="Stock solution"),VLOOKUP(B7+10,Reagents!$B$1:$R$41,14,FALSE), VLOOKUP(B7+10,Reagents!$B$1:$R$41,11,FALSE))</f>
        <v/>
      </c>
      <c r="DB7" s="214">
        <f>VLOOKUP(B7+10,Reagents!$B$1:$R$41,17,FALSE)</f>
        <v>0</v>
      </c>
      <c r="DC7" s="284" t="e">
        <f>IF(OR(v1_col="solvent_2",v1_col="solvent_3"),VLOOKUP(B7+10,Reagents!$B$1:$M$41,12,FALSE),IF(OR(Reagents!$Q$12="Stock slurry",Reagents!$Q$12="Stock solution"),DA7*CZ7, DA7/VLOOKUP(B7+10,Reagents!$B$1:$R$41,6,FALSE)*1000))</f>
        <v>#VALUE!</v>
      </c>
      <c r="DD7" s="214" t="str">
        <f>VLOOKUP(B7+22,Reagents!$B$1:$M$41,2,FALSE)</f>
        <v/>
      </c>
      <c r="DE7" s="214">
        <f>VLOOKUP(B7+22,Reagents!$B$1:$R$41,3,FALSE)</f>
        <v>0</v>
      </c>
      <c r="DF7" s="214" t="str">
        <f>IF(VLOOKUP(B7+22,Reagents!$B$1:$M$41,5,FALSE)=0, "NULL", VLOOKUP(B7+22,Reagents!$B$1:$M$41,5,FALSE))</f>
        <v>NULL</v>
      </c>
      <c r="DG7" s="214" t="str">
        <f>IF(OR(Reagents!$Q$18="Stock slurry",Reagents!$Q$12="Stock solution"),VLOOKUP(B7+22,Reagents!$B$1:$R$41,13,FALSE), "NULL")</f>
        <v/>
      </c>
      <c r="DH7" s="362" t="str">
        <f>IF(OR(Reagents!$Q$18="Stock slurry",Reagents!$Q$18="Stock solution"),VLOOKUP(B7+22,Reagents!$B$1:$R$41,14,FALSE), VLOOKUP(B7+22,Reagents!$B$1:$R$41,11,FALSE))</f>
        <v/>
      </c>
      <c r="DI7" s="214">
        <f>VLOOKUP(B7+22,Reagents!$B$1:$R$41,17,FALSE)</f>
        <v>0</v>
      </c>
      <c r="DJ7" s="284" t="e">
        <f>IF(OR(v2_col="solvent_2",v2_col="solvent_3"),VLOOKUP(B7+22,Reagents!$B$1:$M$41,12,FALSE),IF(OR(Reagents!$Q$18="Stock slurry",Reagents!$Q$18="Stock solution"),DH7*DG7, DH7/VLOOKUP(B7+22,Reagents!$B$1:$R$41,6,FALSE)*1000))</f>
        <v>#VALUE!</v>
      </c>
      <c r="DK7" s="214" t="str">
        <f>VLOOKUP(B7+34,Reagents!$B$1:$M$41,2,FALSE)</f>
        <v/>
      </c>
      <c r="DL7" s="214">
        <f>VLOOKUP(B7+34,Reagents!$B$1:$R$41,3,FALSE)</f>
        <v>0</v>
      </c>
      <c r="DM7" s="214" t="str">
        <f>IF(VLOOKUP(B7+34,Reagents!$B$1:$M$41,5,FALSE)=0, "NULL", VLOOKUP(B7+34,Reagents!$B$1:$M$41,5,FALSE))</f>
        <v>NULL</v>
      </c>
      <c r="DN7" s="214" t="str">
        <f>IF(OR(Reagents!$Q$24="Stock slurry",Reagents!$Q$12="Stock solution"),VLOOKUP(B7+34,Reagents!$B$1:$R$41,13,FALSE), "NULL")</f>
        <v/>
      </c>
      <c r="DO7" s="362" t="str">
        <f>IF(OR(Reagents!$Q$24="Stock slurry",Reagents!$Q$24="Stock solution"),VLOOKUP(B7+34,Reagents!$B$1:$R$41,14,FALSE), VLOOKUP(B7+34,Reagents!$B$1:$R$41,11,FALSE))</f>
        <v/>
      </c>
      <c r="DP7" s="214">
        <f>VLOOKUP(B7+34,Reagents!$B$1:$R$41,17,FALSE)</f>
        <v>0</v>
      </c>
      <c r="DQ7" s="284" t="e">
        <f>IF(OR(v3_col="solvent_2",v3_col="solvent_3"),VLOOKUP(B7+34,Reagents!$B$1:$M$41,12,FALSE),IF(OR(Reagents!$Q$24="Stock slurry",Reagents!$Q$24="Stock solution"),DO7*DN7, DO7/VLOOKUP(B7+34,Reagents!$B$1:$R$41,6,FALSE)*1000))</f>
        <v>#VALUE!</v>
      </c>
      <c r="DR7" s="214" t="str">
        <f>VLOOKUP(C7+46,Reagents!$B$1:$M$41,2,FALSE)</f>
        <v/>
      </c>
      <c r="DS7" s="214">
        <f>VLOOKUP(C7+46,Reagents!$B$1:$M$41,3,FALSE)</f>
        <v>0</v>
      </c>
      <c r="DT7" s="214" t="str">
        <f>IF(VLOOKUP(C7+46,Reagents!$B$1:$M$41,5,FALSE)=0, "NULL", VLOOKUP(C7+46,Reagents!$B$1:$M$41,5,FALSE))</f>
        <v>NULL</v>
      </c>
      <c r="DU7" s="214" t="str">
        <f>IF(OR(Reagents!$Q$30="Stock slurry",Reagents!$Q$30="Stock solution"),VLOOKUP(C7+46,Reagents!$B$1:$R$41,13,FALSE), "NULL")</f>
        <v/>
      </c>
      <c r="DV7" s="362" t="str">
        <f>IF(OR(Reagents!$Q$30="Stock slurry",Reagents!$Q$30="Stock solution"),VLOOKUP(C7+46,Reagents!$B$1:$R$41,14,FALSE), VLOOKUP(C7+46,Reagents!$B$1:$R$41,11,FALSE))</f>
        <v/>
      </c>
      <c r="DW7" s="214">
        <f>VLOOKUP(C7+46,Reagents!$B$1:$R$41,17,FALSE)</f>
        <v>0</v>
      </c>
      <c r="DX7" s="284" t="e">
        <f>IF(OR(v4_row="solvent_2",v4_row="solvent_3"),VLOOKUP(C7+46,Reagents!$B$1:$M$41,12,FALSE),IF(OR(Reagents!$Q$30="Stock slurry",Reagents!$Q$30="Stock solution"),DV7*DU7, DV7/VLOOKUP(C7+46,Reagents!$B$1:$R$41,6,FALSE)*1000))</f>
        <v>#VALUE!</v>
      </c>
      <c r="DY7" s="214" t="str">
        <f>VLOOKUP(C7+54,Reagents!$B$1:$M$41,2,FALSE)</f>
        <v/>
      </c>
      <c r="DZ7" s="214">
        <f>VLOOKUP(C7+54,Reagents!$B$1:$M$41,3,FALSE)</f>
        <v>0</v>
      </c>
      <c r="EA7" s="214" t="str">
        <f>IF(VLOOKUP(C7+54,Reagents!$B$1:$M$41,5,FALSE)=0, "NULL", VLOOKUP(C7+54,Reagents!$B$1:$M$41,5,FALSE))</f>
        <v>NULL</v>
      </c>
      <c r="EB7" s="214" t="str">
        <f>IF(OR(Reagents!$Q$34="Stock slurry",Reagents!$Q$34="Stock solution"),VLOOKUP(C7+54,Reagents!$B$1:$R$41,13,FALSE), "NULL")</f>
        <v/>
      </c>
      <c r="EC7" s="362" t="str">
        <f>IF(OR(Reagents!$Q$34="Stock slurry",Reagents!$Q$34="Stock solution"),VLOOKUP(C7+54,Reagents!$B$1:$R$41,14,FALSE), VLOOKUP(C7+54,Reagents!$B$1:$R$41,11,FALSE))</f>
        <v/>
      </c>
      <c r="ED7" s="214">
        <f>VLOOKUP(C7+54,Reagents!$B$1:$R$41,17,FALSE)</f>
        <v>0</v>
      </c>
      <c r="EE7" s="284" t="e">
        <f>IF(OR(v5_row="solvent_2",v5_row="solvent_3"),VLOOKUP(C7+54,Reagents!$B$1:$M$41,12,FALSE),IF(OR(Reagents!$Q$34="Stock slurry",Reagents!$Q$34="Stock solution"),EC7*EB7, EC7/VLOOKUP(C7+54,Reagents!$B$1:$R$41,6,FALSE)*1000))</f>
        <v>#VALUE!</v>
      </c>
      <c r="EF7" s="214" t="str">
        <f>VLOOKUP(C7+62,Reagents!$B$1:$M$41,2,FALSE)</f>
        <v/>
      </c>
      <c r="EG7" s="214">
        <f>VLOOKUP(C7+62,Reagents!$B$1:$M$41,3,FALSE)</f>
        <v>0</v>
      </c>
      <c r="EH7" s="214" t="str">
        <f>IF(VLOOKUP(C7+62,Reagents!$B$1:$M$41,5,FALSE)=0, "NULL", VLOOKUP(C7+62,Reagents!$B$1:$M$41,5,FALSE))</f>
        <v>NULL</v>
      </c>
      <c r="EI7" s="214" t="str">
        <f>IF(OR(Reagents!$Q$38="Stock slurry",Reagents!$Q$38="Stock solution"),VLOOKUP(C7+62,Reagents!$B$1:$R$41,13,FALSE), "NULL")</f>
        <v/>
      </c>
      <c r="EJ7" s="362" t="str">
        <f>IF(OR(Reagents!$Q$38="Stock slurry",Reagents!$Q$38="Stock solution"),VLOOKUP(C7+62,Reagents!$B$1:$R$41,14,FALSE), VLOOKUP(C7+62,Reagents!$B$1:$R$41,11,FALSE))</f>
        <v/>
      </c>
      <c r="EK7" s="214">
        <f>VLOOKUP(C7+62,Reagents!$B$1:$R$41,17,FALSE)</f>
        <v>0</v>
      </c>
      <c r="EL7" s="284" t="e">
        <f>IF(OR(v6_row="solvent_2",v6_row="solvent_3"),VLOOKUP(C7+62,Reagents!$B$1:$M$41,12,FALSE),IF(OR(Reagents!$Q$38="Stock slurry",Reagents!$Q$38="Stock solution"),EJ7*EI7, EJ7/VLOOKUP(C7+62,Reagents!$B$1:$R$41,6,FALSE)*1000))</f>
        <v>#VALUE!</v>
      </c>
      <c r="EM7" s="214">
        <f>VLOOKUP(19,'Plate Planning'!$A$1:$T$35,13,FALSE)</f>
        <v>0</v>
      </c>
      <c r="EN7" s="214">
        <f>VLOOKUP(19,'Plate Planning'!$A$1:$T$35,14,FALSE)</f>
        <v>0</v>
      </c>
      <c r="EO7" s="214">
        <f>VLOOKUP(19,'Plate Planning'!$A$1:$T$35,15,FALSE)</f>
        <v>0</v>
      </c>
      <c r="EP7" s="214">
        <f>VLOOKUP(A7,'Uncorrected Area Counts'!$A$1:$AS$27,3,FALSE)</f>
        <v>0</v>
      </c>
      <c r="EQ7" s="214" t="str">
        <f>VLOOKUP(A7,'Uncorrected Area Counts'!$A$1:$AS$27,4,FALSE)</f>
        <v/>
      </c>
      <c r="ER7" s="214" t="str">
        <f>VLOOKUP(A7,'Uncorrected Area Counts'!$A$1:$AS$27,5,FALSE)</f>
        <v/>
      </c>
      <c r="ES7" s="214">
        <f>VLOOKUP(20,'Plate Planning'!$A$1:$T$35,15,FALSE)</f>
        <v>0</v>
      </c>
      <c r="ET7" s="214">
        <f>VLOOKUP(A7,'Uncorrected Area Counts'!$A$1:$AS$27,7,FALSE)</f>
        <v>0</v>
      </c>
      <c r="EU7" s="214" t="e">
        <f>VLOOKUP(A7,'Uncorrected Area Counts'!$A$1:$AS$27,7,FALSE)/VLOOKUP(A7,'Uncorrected Area Counts'!$A$1:$AS$27,3,FALSE)</f>
        <v>#DIV/0!</v>
      </c>
      <c r="EV7" s="214" t="str">
        <f>IFERROR(VLOOKUP(A7,'Yields &amp; LCAPs'!$A$1:$V$27,3,FALSE), "NULL")</f>
        <v>NULL</v>
      </c>
      <c r="EW7" s="284" t="str">
        <f>IFERROR(VLOOKUP(A7,'Yields &amp; LCAPs'!$A$1:$V$27,4,FALSE), "NULL")</f>
        <v>NULL</v>
      </c>
      <c r="EX7" s="214" t="str">
        <f>VLOOKUP(A7,'Uncorrected Area Counts'!$A$1:$AS$27,8,FALSE)</f>
        <v/>
      </c>
      <c r="EY7" s="214" t="str">
        <f>VLOOKUP(A7,'Uncorrected Area Counts'!$A$1:$AS$27,9,FALSE)</f>
        <v/>
      </c>
      <c r="EZ7" s="214">
        <f>VLOOKUP(22,'Plate Planning'!$A$1:$T$35,15,FALSE)</f>
        <v>0</v>
      </c>
      <c r="FA7" s="214">
        <f>VLOOKUP(A7,'Uncorrected Area Counts'!$A$1:$AS$27,11,FALSE)</f>
        <v>0</v>
      </c>
      <c r="FB7" s="214" t="e">
        <f>VLOOKUP(A7,'Uncorrected Area Counts'!$A$1:$AS$27,11,FALSE)/VLOOKUP(A7,'Uncorrected Area Counts'!$A$1:$AS$27,3,FALSE)</f>
        <v>#DIV/0!</v>
      </c>
      <c r="FC7" s="214" t="str">
        <f>IFERROR(VLOOKUP(A7,'Yields &amp; LCAPs'!$A$1:$V$27,5,FALSE), "NULL")</f>
        <v>NULL</v>
      </c>
      <c r="FD7" s="284" t="str">
        <f>IFERROR(VLOOKUP(A7,'Yields &amp; LCAPs'!$A$1:$V$27,6,FALSE), "NULL")</f>
        <v>NULL</v>
      </c>
      <c r="FE7" s="214" t="str">
        <f>VLOOKUP(A7,'Uncorrected Area Counts'!$A$1:$AS$27,12,FALSE)</f>
        <v/>
      </c>
      <c r="FF7" s="214" t="str">
        <f>VLOOKUP(A7,'Uncorrected Area Counts'!$A$1:$AS$27,13,FALSE)</f>
        <v/>
      </c>
      <c r="FG7" s="214">
        <f>VLOOKUP(24,'Plate Planning'!$A$1:$T$35,15,FALSE)</f>
        <v>0</v>
      </c>
      <c r="FH7" s="214">
        <f>VLOOKUP(A7,'Uncorrected Area Counts'!$A$1:$AS$27,15,FALSE)</f>
        <v>0</v>
      </c>
      <c r="FI7" s="214" t="e">
        <f>VLOOKUP(A7,'Uncorrected Area Counts'!$A$1:$AS$27,15,FALSE)/VLOOKUP(A7,'Uncorrected Area Counts'!$A$1:$AS$27,3,FALSE)</f>
        <v>#DIV/0!</v>
      </c>
      <c r="FJ7" s="214" t="str">
        <f>IFERROR(VLOOKUP(A7,'Yields &amp; LCAPs'!$A$1:$V$27,7,FALSE), "NULL")</f>
        <v>NULL</v>
      </c>
      <c r="FK7" s="284" t="str">
        <f>IFERROR(VLOOKUP(A7,'Yields &amp; LCAPs'!$A$1:$V$27,8,FALSE), "NULL")</f>
        <v>NULL</v>
      </c>
      <c r="FL7" s="214" t="str">
        <f>VLOOKUP(A7,'Uncorrected Area Counts'!$A$1:$AS$27,16,FALSE)</f>
        <v/>
      </c>
      <c r="FM7" s="214" t="str">
        <f>VLOOKUP(A7,'Uncorrected Area Counts'!$A$1:$AS$27,17,FALSE)</f>
        <v/>
      </c>
      <c r="FN7" s="214">
        <f>VLOOKUP(26,'Plate Planning'!$A$1:$T$35,15,FALSE)</f>
        <v>0</v>
      </c>
      <c r="FO7" s="214">
        <f>VLOOKUP(A7,'Uncorrected Area Counts'!$A$1:$AS$27,19,FALSE)</f>
        <v>0</v>
      </c>
      <c r="FP7" s="214" t="e">
        <f>VLOOKUP(A7,'Uncorrected Area Counts'!$A$1:$AS$27,19,FALSE)/VLOOKUP(A7,'Uncorrected Area Counts'!$A$1:$AS$27,3,FALSE)</f>
        <v>#DIV/0!</v>
      </c>
      <c r="FQ7" s="214" t="str">
        <f>IFERROR(VLOOKUP(A7,'Yields &amp; LCAPs'!$A$1:$V$27,9,FALSE), "NULL")</f>
        <v>NULL</v>
      </c>
      <c r="FR7" s="284" t="str">
        <f>IFERROR(VLOOKUP(A7,'Yields &amp; LCAPs'!$A$1:$V$27,10,FALSE), "NULL")</f>
        <v>NULL</v>
      </c>
      <c r="FS7" s="214" t="str">
        <f>VLOOKUP(A7,'Uncorrected Area Counts'!$A$1:$AS$27,20,FALSE)</f>
        <v/>
      </c>
      <c r="FT7" s="214" t="str">
        <f>VLOOKUP(A7,'Uncorrected Area Counts'!$A$1:$AS$27,21,FALSE)</f>
        <v/>
      </c>
      <c r="FU7" s="214">
        <f>VLOOKUP(27,'Plate Planning'!$A$1:$T$35,15,FALSE)</f>
        <v>0</v>
      </c>
      <c r="FV7" s="214">
        <f>VLOOKUP(A7,'Uncorrected Area Counts'!$A$1:$AS$27,23,FALSE)</f>
        <v>0</v>
      </c>
      <c r="FW7" s="214" t="e">
        <f>VLOOKUP(A7,'Uncorrected Area Counts'!$A$1:$AS$27,23,FALSE)/VLOOKUP(A7,'Uncorrected Area Counts'!$A$1:$AS$27,3,FALSE)</f>
        <v>#DIV/0!</v>
      </c>
      <c r="FX7" s="214" t="str">
        <f>IFERROR(VLOOKUP(A7,'Yields &amp; LCAPs'!$A$1:$V$27,11,FALSE), "NULL")</f>
        <v>NULL</v>
      </c>
      <c r="FY7" s="284" t="str">
        <f>IFERROR(VLOOKUP(A7,'Yields &amp; LCAPs'!$A$1:$V$27,12,FALSE), "NULL")</f>
        <v>NULL</v>
      </c>
      <c r="FZ7" s="411" t="str">
        <f>VLOOKUP(A7,'Uncorrected Area Counts'!$A$1:$AS$27,24,FALSE)</f>
        <v/>
      </c>
      <c r="GA7" s="214" t="str">
        <f>VLOOKUP(A7,'Uncorrected Area Counts'!$A$1:$AS$27,25,FALSE)</f>
        <v/>
      </c>
      <c r="GB7" s="214">
        <f>VLOOKUP(28,'Plate Planning'!$A$1:$T$35,15,FALSE)</f>
        <v>0</v>
      </c>
      <c r="GC7" s="214">
        <f>VLOOKUP(A7,'Uncorrected Area Counts'!$A$1:$AS$27,27,FALSE)</f>
        <v>0</v>
      </c>
      <c r="GD7" s="214" t="e">
        <f>VLOOKUP(A7,'Uncorrected Area Counts'!$A$1:$AS$27,27,FALSE)/VLOOKUP(A7,'Uncorrected Area Counts'!$A$1:$AS$27,3,FALSE)</f>
        <v>#DIV/0!</v>
      </c>
      <c r="GE7" s="214" t="str">
        <f>IFERROR(VLOOKUP(A7,'Yields &amp; LCAPs'!$A$1:$V$27,13,FALSE), "NULL")</f>
        <v>NULL</v>
      </c>
      <c r="GF7" s="284" t="str">
        <f>IFERROR(VLOOKUP(A7,'Yields &amp; LCAPs'!$A$1:$V$27,14,FALSE), "NULL")</f>
        <v>NULL</v>
      </c>
      <c r="GG7" s="214" t="str">
        <f>VLOOKUP(A7,'Uncorrected Area Counts'!$A$1:$AS$27,28,FALSE)</f>
        <v/>
      </c>
      <c r="GH7" s="214" t="str">
        <f>VLOOKUP(A7,'Uncorrected Area Counts'!$A$1:$AS$27,29,FALSE)</f>
        <v/>
      </c>
      <c r="GI7" s="214">
        <f>VLOOKUP(29,'Plate Planning'!$A$1:$T$35,15,FALSE)</f>
        <v>0</v>
      </c>
      <c r="GJ7" s="214">
        <f>VLOOKUP(A7,'Uncorrected Area Counts'!$A$1:$AS$27,31,FALSE)</f>
        <v>0</v>
      </c>
      <c r="GK7" s="214" t="e">
        <f>VLOOKUP(A7,'Uncorrected Area Counts'!$A$1:$AS$27,31,FALSE)/VLOOKUP(A7,'Uncorrected Area Counts'!$A$1:$AS$27,3,FALSE)</f>
        <v>#DIV/0!</v>
      </c>
      <c r="GL7" s="214" t="str">
        <f>IFERROR(VLOOKUP(A7,'Yields &amp; LCAPs'!$A$1:$V$27,15,FALSE), "NULL")</f>
        <v>NULL</v>
      </c>
      <c r="GM7" s="284" t="str">
        <f>IFERROR(VLOOKUP(A7,'Yields &amp; LCAPs'!$A$1:$V$27,16,FALSE), "NULL")</f>
        <v>NULL</v>
      </c>
      <c r="GN7" s="214" t="str">
        <f>VLOOKUP(A7,'Uncorrected Area Counts'!$A$1:$AS$27,32,FALSE)</f>
        <v/>
      </c>
      <c r="GO7" s="214" t="str">
        <f>VLOOKUP(A7,'Uncorrected Area Counts'!$A$1:$AS$27,33,FALSE)</f>
        <v/>
      </c>
      <c r="GP7" s="214">
        <f>VLOOKUP(30,'Plate Planning'!$A$1:$T$35,15,FALSE)</f>
        <v>0</v>
      </c>
      <c r="GQ7" s="214">
        <f>VLOOKUP(A7,'Uncorrected Area Counts'!$A$1:$AS$27,35,FALSE)</f>
        <v>0</v>
      </c>
      <c r="GR7" s="214" t="e">
        <f>VLOOKUP(A7,'Uncorrected Area Counts'!$A$1:$AS$27,35,FALSE)/VLOOKUP(A7,'Uncorrected Area Counts'!$A$1:$AS$27,3,FALSE)</f>
        <v>#DIV/0!</v>
      </c>
      <c r="GS7" s="214" t="str">
        <f>IFERROR(VLOOKUP(A7,'Yields &amp; LCAPs'!$A$1:$V$27,17,FALSE), "NULL")</f>
        <v>NULL</v>
      </c>
      <c r="GT7" s="284" t="str">
        <f>IFERROR(VLOOKUP(A7,'Yields &amp; LCAPs'!$A$1:$V$27,18,FALSE), "NULL")</f>
        <v>NULL</v>
      </c>
      <c r="GU7" s="214" t="str">
        <f>VLOOKUP(A7,'Uncorrected Area Counts'!$A$1:$AS$27,36,FALSE)</f>
        <v/>
      </c>
      <c r="GV7" s="214" t="str">
        <f>VLOOKUP(A7,'Uncorrected Area Counts'!$A$1:$AS$27,37,FALSE)</f>
        <v/>
      </c>
      <c r="GW7" s="214">
        <f>VLOOKUP(31,'Plate Planning'!$A$1:$T$35,15,FALSE)</f>
        <v>0</v>
      </c>
      <c r="GX7" s="214">
        <f>VLOOKUP(A7,'Uncorrected Area Counts'!$A$1:$AS$27,39,FALSE)</f>
        <v>0</v>
      </c>
      <c r="GY7" s="214" t="e">
        <f>VLOOKUP(A7,'Uncorrected Area Counts'!$A$1:$AS$27,39,FALSE)/VLOOKUP(A7,'Uncorrected Area Counts'!$A$1:$AS$27,3,FALSE)</f>
        <v>#DIV/0!</v>
      </c>
      <c r="GZ7" s="214" t="str">
        <f>IFERROR(VLOOKUP(A7,'Yields &amp; LCAPs'!$A$1:$V$27,19,FALSE), "NULL")</f>
        <v>NULL</v>
      </c>
      <c r="HA7" s="284" t="str">
        <f>IFERROR(VLOOKUP(A7,'Yields &amp; LCAPs'!$A$1:$V$27,20,FALSE), "NULL")</f>
        <v>NULL</v>
      </c>
      <c r="HB7" s="214" t="str">
        <f>VLOOKUP(A7,'Uncorrected Area Counts'!$A$1:$AS$27,40,FALSE)</f>
        <v/>
      </c>
      <c r="HC7" s="214" t="str">
        <f>VLOOKUP(A7,'Uncorrected Area Counts'!$A$1:$AS$27,41,FALSE)</f>
        <v/>
      </c>
      <c r="HD7" s="214">
        <f>VLOOKUP(32,'Plate Planning'!$A$1:$T$35,15,FALSE)</f>
        <v>0</v>
      </c>
      <c r="HE7" s="214">
        <f>VLOOKUP(A7,'Uncorrected Area Counts'!$A$1:$AS$27,43,FALSE)</f>
        <v>0</v>
      </c>
      <c r="HF7" s="214" t="e">
        <f>VLOOKUP(A7,'Uncorrected Area Counts'!$A$1:$AS$27,43,FALSE)/VLOOKUP(A7,'Uncorrected Area Counts'!$A$1:$AS$27,3,FALSE)</f>
        <v>#DIV/0!</v>
      </c>
      <c r="HG7" s="214" t="str">
        <f>IFERROR(VLOOKUP(A7,'Yields &amp; LCAPs'!$A$1:$V$27,21,FALSE), "NULL")</f>
        <v>NULL</v>
      </c>
      <c r="HH7" s="284" t="str">
        <f>IFERROR(VLOOKUP(A7,'Yields &amp; LCAPs'!$A$1:$V$27,22,FALSE), "NULL")</f>
        <v>NULL</v>
      </c>
      <c r="HI7" s="362"/>
      <c r="HJ7" s="362"/>
      <c r="HK7" s="362"/>
      <c r="HL7" s="362"/>
      <c r="HM7" s="363"/>
      <c r="HN7" s="362"/>
      <c r="HO7" s="362"/>
      <c r="HP7" s="362"/>
      <c r="HQ7" s="362"/>
      <c r="HR7" s="363"/>
    </row>
    <row r="8" spans="1:230">
      <c r="A8" s="216" t="s">
        <v>1173</v>
      </c>
      <c r="B8" s="214">
        <v>1</v>
      </c>
      <c r="C8" s="214">
        <v>2</v>
      </c>
      <c r="D8" s="214" t="str">
        <f>VLOOKUP(18,'Plate Planning'!$A$1:$T$35,10,FALSE)&amp;"_"&amp;VLOOKUP(19,'Plate Planning'!$A$1:$T$35,10,FALSE)&amp;"_"&amp;A8</f>
        <v>__B1</v>
      </c>
      <c r="E8" s="214" t="str">
        <f>IF(VLOOKUP(18,'Plate Planning'!$A$1:$T$35,10,FALSE)="", "NULL", VLOOKUP(18,'Plate Planning'!$A$1:$T$35,10,FALSE))</f>
        <v>NULL</v>
      </c>
      <c r="F8" s="214" t="str">
        <f>IF(VLOOKUP(19,'Plate Planning'!$A$1:$T$35,10,FALSE)="", "NULL", VLOOKUP(19,'Plate Planning'!$A$1:$T$35,10,FALSE))</f>
        <v>NULL</v>
      </c>
      <c r="G8" s="214" t="str">
        <f>IF(VLOOKUP(20,'Plate Planning'!$A$1:$T$35,10,FALSE)="", "NULL", VLOOKUP(20,'Plate Planning'!$A$1:$T$35,10,FALSE))</f>
        <v>NULL</v>
      </c>
      <c r="H8" s="214" t="str">
        <f>IF(VLOOKUP(21,'Plate Planning'!$A$1:$T$35,10,FALSE)="", "NULL", VLOOKUP(21,'Plate Planning'!$A$1:$T$35,10,FALSE))</f>
        <v>NULL</v>
      </c>
      <c r="I8" s="214" t="str">
        <f>IF(VLOOKUP(23,'Plate Planning'!$A$1:$T$35,10,FALSE)="", "NULL", VLOOKUP(23,'Plate Planning'!$A$1:$T$35,10,FALSE))</f>
        <v>NULL</v>
      </c>
      <c r="J8" s="214" t="str">
        <f>IF(VLOOKUP(22,'Plate Planning'!$A$1:$T$35,10,FALSE)="", "NULL", VLOOKUP(22,'Plate Planning'!$A$1:$T$35,10,FALSE))</f>
        <v>NULL</v>
      </c>
      <c r="K8" s="214" t="str">
        <f>VLOOKUP(24,'Plate Planning'!$A$1:$T$35,10,FALSE)</f>
        <v>Glovebox</v>
      </c>
      <c r="L8" s="214" t="str">
        <f>IF(VLOOKUP(25,'Plate Planning'!$A$1:$T$35,10,FALSE)="","NULL",VLOOKUP(25,'Plate Planning'!$A$1:$T$35,10,FALSE))</f>
        <v>NULL</v>
      </c>
      <c r="M8" s="214" t="str">
        <f>VLOOKUP(26,'Plate Planning'!$A$1:$T$35,10,FALSE)</f>
        <v>ambient</v>
      </c>
      <c r="N8" s="214" t="str">
        <f>IF(VLOOKUP(27,'Plate Planning'!$A$1:$T$35,10,FALSE)=0,"NULL", VLOOKUP(27,'Plate Planning'!$A$1:$T$35,10,FALSE))</f>
        <v>NULL</v>
      </c>
      <c r="O8" s="214" t="str">
        <f>IF(VLOOKUP(3,'Plate Planning'!$A$2:$S$35,18,FALSE)="", "NULL", VLOOKUP(3,'Plate Planning'!$A$2:$S$35,18,FALSE))</f>
        <v>NULL</v>
      </c>
      <c r="P8" s="214" t="str">
        <f>IF(VLOOKUP(4,'Plate Planning'!$A$2:$S$35,18,FALSE)="", "NULL", VLOOKUP(4,'Plate Planning'!$A$2:$S$35,18,FALSE))</f>
        <v>NULL</v>
      </c>
      <c r="Q8" s="214" t="str">
        <f>IF(VLOOKUP(5,'Plate Planning'!$A$2:$S$35,18,FALSE)="", "NULL", VLOOKUP(5,'Plate Planning'!$A$2:$S$35,18,FALSE))</f>
        <v>NULL</v>
      </c>
      <c r="R8" s="214" t="str">
        <f>IF(VLOOKUP(6,'Plate Planning'!$A$2:$S$35,18,FALSE)="", "NULL", VLOOKUP(6,'Plate Planning'!$A$2:$S$35,18,FALSE))</f>
        <v>NULL</v>
      </c>
      <c r="S8" s="214" t="str">
        <f>IF(VLOOKUP(7,'Plate Planning'!$A$2:$S$35,18,FALSE)="", "NULL", VLOOKUP(7,'Plate Planning'!$A$2:$S$35,18,FALSE))</f>
        <v>NULL</v>
      </c>
      <c r="T8" s="214" t="str">
        <f>IF(VLOOKUP(28,'Plate Planning'!$A$1:$T$35,10,FALSE)=0,"NULL",VLOOKUP(28,'Plate Planning'!$A$1:$T$35,10,FALSE))</f>
        <v>NULL</v>
      </c>
      <c r="U8" s="214" t="str">
        <f>IFERROR(VLOOKUP(VLOOKUP(28,'Plate Planning'!$A$1:$T$35,10,FALSE),Dictionaries!$Q$2:$R$72,2,FALSE), "NULL")</f>
        <v>NULL</v>
      </c>
      <c r="V8" s="214" t="str">
        <f>IF(VLOOKUP(28,'Plate Planning'!$A$1:$T$35,10,FALSE)=0,"NULL",VLOOKUP(32,'Plate Planning'!$A$1:$T$35,10,FALSE))</f>
        <v>NULL</v>
      </c>
      <c r="W8" s="214" t="str">
        <f>IF(VLOOKUP(C8+3,'Plate Planning'!$A$1:$S$35,B8+4,FALSE)=0, "", VLOOKUP(C8+3,'Plate Planning'!$A$1:$S$35,B8+4,FALSE))</f>
        <v/>
      </c>
      <c r="X8" s="214" t="str">
        <f>IFERROR(VLOOKUP(W8,'Complex Variable'!$A$2:$S$25,2,FALSE), "")</f>
        <v/>
      </c>
      <c r="Y8" s="327" t="str">
        <f>IFERROR(VLOOKUP(W8,'Complex Variable'!$A$2:$S$25,3,FALSE), "")</f>
        <v/>
      </c>
      <c r="Z8" s="327" t="str">
        <f>IFERROR(VLOOKUP(W8,'Complex Variable'!$A$2:$S$25,5,FALSE), "")</f>
        <v/>
      </c>
      <c r="AA8" s="327" t="str">
        <f>IFERROR(VLOOKUP(W8,'Complex Variable'!$A$2:$S$25,14,FALSE), "")</f>
        <v/>
      </c>
      <c r="AB8" s="602" t="str">
        <f>IFERROR(VLOOKUP(W8,'Complex Variable'!$A$2:$S$25,19,FALSE), "")</f>
        <v/>
      </c>
      <c r="AC8" s="327" t="str">
        <f>IFERROR(VLOOKUP(W8,'Complex Variable'!$A$2:$S$25,13,FALSE), "")</f>
        <v/>
      </c>
      <c r="AD8" s="604" t="str">
        <f t="shared" si="0"/>
        <v/>
      </c>
      <c r="AE8" s="214">
        <f>VLOOKUP(1,Reagents!$B$1:$M$41,2,FALSE)</f>
        <v>0</v>
      </c>
      <c r="AF8" s="214">
        <f>VLOOKUP(1,Reagents!$B$1:$M$41,3,FALSE)</f>
        <v>0</v>
      </c>
      <c r="AG8" s="214" t="str">
        <f>IF(VLOOKUP(1,Reagents!$B$1:$M$41,5,FALSE)=0, "NULL", VLOOKUP(1,Reagents!$B$1:$M$41,5,FALSE))</f>
        <v>NULL</v>
      </c>
      <c r="AH8" s="214" t="str">
        <f>IF(OR(Reagents!$Q$2="Stock slurry",Reagents!$Q$2="Stock solution"),VLOOKUP(1,Reagents!$B$1:$R$41,13,FALSE), "NULL")</f>
        <v/>
      </c>
      <c r="AI8" s="362" t="str">
        <f>IF(OR(Reagents!$Q$2="Stock slurry",Reagents!$Q$2="Stock solution"),VLOOKUP(1,Reagents!$B$1:$R$41,14,FALSE), VLOOKUP(1,Reagents!$B$1:$R$41,11,FALSE))</f>
        <v/>
      </c>
      <c r="AJ8" s="214">
        <f>VLOOKUP(1,Reagents!$B$1:$R$41,17,FALSE)</f>
        <v>0</v>
      </c>
      <c r="AK8" s="284" t="e">
        <f>IF(OR(VLOOKUP(1,Reagents!$B$1:$M$41,4,FALSE)="solvent_2",VLOOKUP(1,Reagents!$B$1:$M$41,4,FALSE)="solvent_3"),VLOOKUP(1,Reagents!$B$1:$M$41,12,FALSE),IF(OR(Reagents!$Q$2="Stock slurry",Reagents!$Q$2="Stock solution"),AI8*AH8, AI8/VLOOKUP(1,Reagents!$B$1:$R$41,6,FALSE)*1000))</f>
        <v>#VALUE!</v>
      </c>
      <c r="AL8" s="214">
        <f>VLOOKUP(2,Reagents!$B$1:$M$41,2,FALSE)</f>
        <v>0</v>
      </c>
      <c r="AM8" s="214">
        <f>VLOOKUP(2,Reagents!$B$1:$M$41,3,FALSE)</f>
        <v>0</v>
      </c>
      <c r="AN8" s="214" t="str">
        <f>IF(VLOOKUP(2,Reagents!$B$1:$M$41,5,FALSE)=0, "NULL", VLOOKUP(2,Reagents!$B$1:$M$41,5,FALSE))</f>
        <v>NULL</v>
      </c>
      <c r="AO8" s="214" t="str">
        <f>IF(OR(Reagents!$Q$3="Stock slurry",Reagents!$Q$3="Stock solution"),VLOOKUP(2,Reagents!$B$1:$R$41,13,FALSE), "NULL")</f>
        <v/>
      </c>
      <c r="AP8" s="362" t="str">
        <f>IF(OR(Reagents!$Q$3="Stock slurry",Reagents!$Q$3="Stock solution"),VLOOKUP(2,Reagents!$B$1:$R$41,14,FALSE), VLOOKUP(2,Reagents!$B$1:$R$41,11,FALSE))</f>
        <v/>
      </c>
      <c r="AQ8" s="214">
        <f>VLOOKUP(2,Reagents!$B$1:$R$41,17,FALSE)</f>
        <v>0</v>
      </c>
      <c r="AR8" s="284" t="e">
        <f>IF(OR(VLOOKUP(2,Reagents!$B$1:$M$41,4,FALSE)="solvent_2",VLOOKUP(2,Reagents!$B$1:$M$41,4,FALSE)="solvent_3"),VLOOKUP(2,Reagents!$B$1:$M$41,12,FALSE),IF(OR(Reagents!$Q$3="Stock slurry",Reagents!$Q$3="Stock solution"),AP8*AO8, AP8/VLOOKUP(2,Reagents!$B$1:$R$41,6,FALSE)*1000))</f>
        <v>#VALUE!</v>
      </c>
      <c r="AS8" s="214">
        <f>VLOOKUP(3,Reagents!$B$1:$M$41,2,FALSE)</f>
        <v>0</v>
      </c>
      <c r="AT8" s="214">
        <f>VLOOKUP(3,Reagents!$B$1:$M$41,3,FALSE)</f>
        <v>0</v>
      </c>
      <c r="AU8" s="214" t="str">
        <f>IF(VLOOKUP(3,Reagents!$B$1:$M$41,5,FALSE)=0, "NULL", VLOOKUP(3,Reagents!$B$1:$M$41,5,FALSE))</f>
        <v>NULL</v>
      </c>
      <c r="AV8" s="214" t="str">
        <f>IF(OR(Reagents!$Q$4="Stock slurry",Reagents!$Q$4="Stock solution"),VLOOKUP(3,Reagents!$B$1:$R$41,13,FALSE), "NULL")</f>
        <v/>
      </c>
      <c r="AW8" s="362" t="str">
        <f>IF(OR(Reagents!$Q$4="Stock slurry",Reagents!$Q$4="Stock solution"),VLOOKUP(3,Reagents!$B$1:$R$41,14,FALSE), VLOOKUP(3,Reagents!$B$1:$R$41,11,FALSE))</f>
        <v/>
      </c>
      <c r="AX8" s="214">
        <f>VLOOKUP(3,Reagents!$B$1:$R$41,17,FALSE)</f>
        <v>0</v>
      </c>
      <c r="AY8" s="284" t="e">
        <f>IF(OR(VLOOKUP(3,Reagents!$B$1:$M$41,4,FALSE)="solvent_2",VLOOKUP(3,Reagents!$B$1:$M$41,4,FALSE)="solvent_3"),VLOOKUP(3,Reagents!$B$1:$M$41,12,FALSE),IF(OR(Reagents!$Q$4="Stock slurry",Reagents!$Q$4="Stock solution"),AW8*AV8, AW8/VLOOKUP(3,Reagents!$B$1:$R$41,6,FALSE)*1000))</f>
        <v>#VALUE!</v>
      </c>
      <c r="AZ8" s="214">
        <f>VLOOKUP(4,Reagents!$B$1:$M$41,2,FALSE)</f>
        <v>0</v>
      </c>
      <c r="BA8" s="214">
        <f>VLOOKUP(4,Reagents!$B$1:$M$41,3,FALSE)</f>
        <v>0</v>
      </c>
      <c r="BB8" s="214" t="str">
        <f>IF(VLOOKUP(4,Reagents!$B$1:$M$41,5,FALSE)=0, "NULL", VLOOKUP(4,Reagents!$B$1:$M$41,5,FALSE))</f>
        <v>NULL</v>
      </c>
      <c r="BC8" s="214" t="str">
        <f>IF(OR(Reagents!$Q$5="Stock slurry",Reagents!$Q$5="Stock solution"),VLOOKUP(4,Reagents!$B$1:$R$41,13,FALSE), "NULL")</f>
        <v/>
      </c>
      <c r="BD8" s="362" t="str">
        <f>IF(OR(Reagents!$Q$5="Stock slurry",Reagents!$Q$5="Stock solution"),VLOOKUP(4,Reagents!$B$1:$R$41,14,FALSE), VLOOKUP(4,Reagents!$B$1:$R$41,11,FALSE))</f>
        <v/>
      </c>
      <c r="BE8" s="214">
        <f>VLOOKUP(4,Reagents!$B$1:$R$41,17,FALSE)</f>
        <v>0</v>
      </c>
      <c r="BF8" s="284" t="e">
        <f>IF(OR(VLOOKUP(4,Reagents!$B$1:$M$41,4,FALSE)="solvent_2",VLOOKUP(4,Reagents!$B$1:$M$41,4,FALSE)="solvent_3"),VLOOKUP(4,Reagents!$B$1:$M$41,12,FALSE),IF(OR(Reagents!$Q$5="Stock slurry",Reagents!$Q$5="Stock solution"),BD8*BC8, BD8/VLOOKUP(4,Reagents!$B$1:$R$41,6,FALSE)*1000))</f>
        <v>#VALUE!</v>
      </c>
      <c r="BG8" s="214">
        <f>VLOOKUP(5,Reagents!$B$1:$M$41,2,FALSE)</f>
        <v>0</v>
      </c>
      <c r="BH8" s="214">
        <f>VLOOKUP(5,Reagents!$B$1:$M$41,3,FALSE)</f>
        <v>0</v>
      </c>
      <c r="BI8" s="214" t="str">
        <f>IF(VLOOKUP(5,Reagents!$B$1:$M$41,5,FALSE)=0, "NULL", VLOOKUP(5,Reagents!$B$1:$M$41,5,FALSE))</f>
        <v>NULL</v>
      </c>
      <c r="BJ8" s="214" t="str">
        <f>IF(OR(Reagents!$Q$6="Stock slurry",Reagents!$Q$6="Stock solution"),VLOOKUP(5,Reagents!$B$1:$R$41,13,FALSE), "NULL")</f>
        <v/>
      </c>
      <c r="BK8" s="362" t="str">
        <f>IF(OR(Reagents!$Q$6="Stock slurry",Reagents!$Q$6="Stock solution"),VLOOKUP(5,Reagents!$B$1:$R$41,14,FALSE), VLOOKUP(5,Reagents!$B$1:$R$41,11,FALSE))</f>
        <v/>
      </c>
      <c r="BL8" s="214">
        <f>VLOOKUP(5,Reagents!$B$1:$R$41,17,FALSE)</f>
        <v>0</v>
      </c>
      <c r="BM8" s="284" t="e">
        <f>IF(OR(VLOOKUP(5,Reagents!$B$1:$M$41,4,FALSE)="solvent_2",VLOOKUP(5,Reagents!$B$1:$M$41,4,FALSE)="solvent_3"),VLOOKUP(5,Reagents!$B$1:$M$41,12,FALSE),IF(OR(Reagents!$Q$6="Stock slurry",Reagents!$Q$6="Stock solution"),BK8*BJ8, BK8/VLOOKUP(5,Reagents!$B$1:$R$41,6,FALSE)*1000))</f>
        <v>#VALUE!</v>
      </c>
      <c r="BN8" s="214">
        <f>VLOOKUP(6,Reagents!$B$1:$M$41,2,FALSE)</f>
        <v>0</v>
      </c>
      <c r="BO8" s="214">
        <f>VLOOKUP(6,Reagents!$B$1:$M$41,3,FALSE)</f>
        <v>0</v>
      </c>
      <c r="BP8" s="214" t="str">
        <f>IF(VLOOKUP(6,Reagents!$B$1:$M$41,5,FALSE)=0, "NULL", VLOOKUP(6,Reagents!$B$1:$M$41,5,FALSE))</f>
        <v>NULL</v>
      </c>
      <c r="BQ8" s="214" t="str">
        <f>IF(OR(Reagents!$Q$7="Stock slurry",Reagents!$Q$7="Stock solution"),VLOOKUP(6,Reagents!$B$1:$R$41,13,FALSE), "NULL")</f>
        <v/>
      </c>
      <c r="BR8" s="362" t="str">
        <f>IF(OR(Reagents!$Q$7="Stock slurry",Reagents!$Q$7="Stock solution"),VLOOKUP(6,Reagents!$B$1:$R$41,14,FALSE), VLOOKUP(6,Reagents!$B$1:$R$41,11,FALSE))</f>
        <v/>
      </c>
      <c r="BS8" s="214">
        <f>VLOOKUP(6,Reagents!$B$1:$R$41,17,FALSE)</f>
        <v>0</v>
      </c>
      <c r="BT8" s="284" t="e">
        <f>IF(OR(VLOOKUP(6,Reagents!$B$1:$M$41,4,FALSE)="solvent_2",VLOOKUP(6,Reagents!$B$1:$M$41,4,FALSE)="solvent_3"),VLOOKUP(6,Reagents!$B$1:$M$41,12,FALSE),IF(OR(Reagents!$Q$7="Stock slurry",Reagents!$Q$7="Stock solution"),BR8*BQ8, BR8/VLOOKUP(6,Reagents!$B$1:$R$41,6,FALSE)*1000))</f>
        <v>#VALUE!</v>
      </c>
      <c r="BU8" s="214">
        <f>VLOOKUP(7,Reagents!$B$1:$M$41,2,FALSE)</f>
        <v>0</v>
      </c>
      <c r="BV8" s="214">
        <f>VLOOKUP(7,Reagents!$B$1:$M$41,3,FALSE)</f>
        <v>0</v>
      </c>
      <c r="BW8" s="214" t="str">
        <f>IF(VLOOKUP(7,Reagents!$B$1:$M$41,5,FALSE)=0, "NULL", VLOOKUP(7,Reagents!$B$1:$M$41,5,FALSE))</f>
        <v>NULL</v>
      </c>
      <c r="BX8" s="214" t="str">
        <f>IF(OR(Reagents!$Q$8="Stock slurry",Reagents!$Q$8="Stock solution"),VLOOKUP(7,Reagents!$B$1:$R$41,13,FALSE), "NULL")</f>
        <v/>
      </c>
      <c r="BY8" s="362" t="str">
        <f>IF(OR(Reagents!$Q$8="Stock slurry",Reagents!$Q$8="Stock solution"),VLOOKUP(7,Reagents!$B$1:$R$41,14,FALSE), VLOOKUP(7,Reagents!$B$1:$R$41,11,FALSE))</f>
        <v/>
      </c>
      <c r="BZ8" s="214">
        <f>VLOOKUP(7,Reagents!$B$1:$R$41,17,FALSE)</f>
        <v>0</v>
      </c>
      <c r="CA8" s="284" t="e">
        <f>IF(OR(VLOOKUP(7,Reagents!$B$1:$M$41,4,FALSE)="solvent_2",VLOOKUP(7,Reagents!$B$1:$M$41,4,FALSE)="solvent_3"),VLOOKUP(7,Reagents!$B$1:$M$41,12,FALSE),IF(OR(Reagents!$Q$8="Stock slurry",Reagents!$Q$8="Stock solution"),BY8*BX8, BY8/VLOOKUP(7,Reagents!$B$1:$R$41,6,FALSE)*1000))</f>
        <v>#VALUE!</v>
      </c>
      <c r="CB8" s="214">
        <f>VLOOKUP(8,Reagents!$B$1:$M$41,2,FALSE)</f>
        <v>0</v>
      </c>
      <c r="CC8" s="214">
        <f>VLOOKUP(8,Reagents!$B$1:$M$41,3,FALSE)</f>
        <v>0</v>
      </c>
      <c r="CD8" s="214" t="str">
        <f>IF(VLOOKUP(8,Reagents!$B$1:$M$41,5,FALSE)=0, "NULL", VLOOKUP(8,Reagents!$B$1:$M$41,5,FALSE))</f>
        <v>NULL</v>
      </c>
      <c r="CE8" s="214" t="str">
        <f>IF(OR(Reagents!$Q$9="Stock slurry",Reagents!$Q$9="Stock solution"),VLOOKUP(8,Reagents!$B$1:$R$41,13,FALSE), "NULL")</f>
        <v/>
      </c>
      <c r="CF8" s="362" t="str">
        <f>IF(OR(Reagents!$Q$9="Stock slurry",Reagents!$Q$9="Stock solution"),VLOOKUP(8,Reagents!$B$1:$R$41,14,FALSE), VLOOKUP(8,Reagents!$B$1:$R$41,11,FALSE))</f>
        <v/>
      </c>
      <c r="CG8" s="214">
        <f>VLOOKUP(8,Reagents!$B$1:$R$41,17,FALSE)</f>
        <v>0</v>
      </c>
      <c r="CH8" s="284" t="e">
        <f>IF(OR(VLOOKUP(8,Reagents!$B$1:$M$41,4,FALSE)="solvent_2",VLOOKUP(8,Reagents!$B$1:$M$41,4,FALSE)="solvent_3"),VLOOKUP(8,Reagents!$B$1:$M$41,12,FALSE),IF(OR(Reagents!$Q$9="Stock slurry",Reagents!$Q$9="Stock solution"),CF8*CE8, CF8/VLOOKUP(8,Reagents!$B$1:$R$41,6,FALSE)*1000))</f>
        <v>#VALUE!</v>
      </c>
      <c r="CI8" s="214">
        <f>VLOOKUP(9,Reagents!$B$1:$M$41,2,FALSE)</f>
        <v>0</v>
      </c>
      <c r="CJ8" s="214">
        <f>VLOOKUP(9,Reagents!$B$1:$M$41,3,FALSE)</f>
        <v>0</v>
      </c>
      <c r="CK8" s="214" t="str">
        <f>IF(VLOOKUP(9,Reagents!$B$1:$M$41,5,FALSE)=0, "NULL", VLOOKUP(9,Reagents!$B$1:$M$41,5,FALSE))</f>
        <v>NULL</v>
      </c>
      <c r="CL8" s="214" t="str">
        <f>IF(OR(Reagents!$Q$10="Stock slurry",Reagents!$Q$10="Stock solution"),VLOOKUP(9,Reagents!$B$1:$R$41,13,FALSE), "NULL")</f>
        <v/>
      </c>
      <c r="CM8" s="362" t="str">
        <f>IF(OR(Reagents!$Q$10="Stock slurry",Reagents!$Q$10="Stock solution"),VLOOKUP(9,Reagents!$B$1:$R$41,14,FALSE), VLOOKUP(9,Reagents!$B$1:$R$41,11,FALSE))</f>
        <v/>
      </c>
      <c r="CN8" s="214">
        <f>VLOOKUP(9,Reagents!$B$1:$R$41,17,FALSE)</f>
        <v>0</v>
      </c>
      <c r="CO8" s="284" t="e">
        <f>IF(OR(VLOOKUP(9,Reagents!$B$1:$M$41,4,FALSE)="solvent_2",VLOOKUP(9,Reagents!$B$1:$M$41,4,FALSE)="solvent_3"),VLOOKUP(9,Reagents!$B$1:$M$41,12,FALSE),IF(OR(Reagents!$Q$10="Stock slurry",Reagents!$Q$10="Stock solution"),CM8*CL8, CM8/VLOOKUP(9,Reagents!$B$1:$R$41,6,FALSE)*1000))</f>
        <v>#VALUE!</v>
      </c>
      <c r="CP8" s="214">
        <f>VLOOKUP(10,Reagents!$B$1:$M$41,2,FALSE)</f>
        <v>0</v>
      </c>
      <c r="CQ8" s="214">
        <f>VLOOKUP(10,Reagents!$B$1:$M$41,3,FALSE)</f>
        <v>0</v>
      </c>
      <c r="CR8" s="214" t="str">
        <f>IF(VLOOKUP(10,Reagents!$B$1:$M$41,5,FALSE)=0, "NULL", VLOOKUP(10,Reagents!$B$1:$M$41,5,FALSE))</f>
        <v>NULL</v>
      </c>
      <c r="CS8" s="214" t="str">
        <f>IF(OR(Reagents!$Q$11="Stock slurry",Reagents!$Q$11="Stock solution"),VLOOKUP(10,Reagents!$B$1:$R$41,13,FALSE), "NULL")</f>
        <v/>
      </c>
      <c r="CT8" s="362" t="str">
        <f>IF(OR(Reagents!$Q$11="Stock slurry",Reagents!$Q$11="Stock solution"),VLOOKUP(10,Reagents!$B$1:$R$41,14,FALSE), VLOOKUP(10,Reagents!$B$1:$R$41,11,FALSE))</f>
        <v/>
      </c>
      <c r="CU8" s="214">
        <f>VLOOKUP(10,Reagents!$B$1:$R$41,17,FALSE)</f>
        <v>0</v>
      </c>
      <c r="CV8" s="284" t="e">
        <f>IF(OR(VLOOKUP(10,Reagents!$B$1:$M$41,4,FALSE)="solvent_2",VLOOKUP(10,Reagents!$B$1:$M$41,4,FALSE)="solvent_3"),VLOOKUP(10,Reagents!$B$1:$M$41,12,FALSE),IF(OR(Reagents!$Q$11="Stock slurry",Reagents!$Q$11="Stock solution"),CT8*CS8, CT8/VLOOKUP(10,Reagents!$B$1:$R$41,6,FALSE)*1000))</f>
        <v>#VALUE!</v>
      </c>
      <c r="CW8" s="214" t="str">
        <f>VLOOKUP(B8+10,Reagents!$B$1:$R$41,2,FALSE)</f>
        <v/>
      </c>
      <c r="CX8" s="214">
        <f>VLOOKUP(B8+10,Reagents!$B$1:$R$41,3,FALSE)</f>
        <v>0</v>
      </c>
      <c r="CY8" s="214" t="str">
        <f>IF(VLOOKUP(B8+10,Reagents!$B$1:$M$41,5,FALSE)=0, "NULL", VLOOKUP(B8+10,Reagents!$B$1:$M$41,5,FALSE))</f>
        <v>NULL</v>
      </c>
      <c r="CZ8" s="214" t="str">
        <f>IF(OR(Reagents!$Q$12="Stock slurry",Reagents!$Q$12="Stock solution"),VLOOKUP(B8+10,Reagents!$B$1:$R$41,13,FALSE), "NULL")</f>
        <v/>
      </c>
      <c r="DA8" s="362" t="str">
        <f>IF(OR(Reagents!$Q$12="Stock slurry",Reagents!$Q$12="Stock solution"),VLOOKUP(B8+10,Reagents!$B$1:$R$41,14,FALSE), VLOOKUP(B8+10,Reagents!$B$1:$R$41,11,FALSE))</f>
        <v/>
      </c>
      <c r="DB8" s="214">
        <f>VLOOKUP(B8+10,Reagents!$B$1:$R$41,17,FALSE)</f>
        <v>0</v>
      </c>
      <c r="DC8" s="284" t="e">
        <f>IF(OR(v1_col="solvent_2",v1_col="solvent_3"),VLOOKUP(B8+10,Reagents!$B$1:$M$41,12,FALSE),IF(OR(Reagents!$Q$12="Stock slurry",Reagents!$Q$12="Stock solution"),DA8*CZ8, DA8/VLOOKUP(B8+10,Reagents!$B$1:$R$41,6,FALSE)*1000))</f>
        <v>#VALUE!</v>
      </c>
      <c r="DD8" s="214" t="str">
        <f>VLOOKUP(B8+22,Reagents!$B$1:$M$41,2,FALSE)</f>
        <v/>
      </c>
      <c r="DE8" s="214">
        <f>VLOOKUP(B8+22,Reagents!$B$1:$R$41,3,FALSE)</f>
        <v>0</v>
      </c>
      <c r="DF8" s="214" t="str">
        <f>IF(VLOOKUP(B8+22,Reagents!$B$1:$M$41,5,FALSE)=0, "NULL", VLOOKUP(B8+22,Reagents!$B$1:$M$41,5,FALSE))</f>
        <v>NULL</v>
      </c>
      <c r="DG8" s="214" t="str">
        <f>IF(OR(Reagents!$Q$18="Stock slurry",Reagents!$Q$12="Stock solution"),VLOOKUP(B8+22,Reagents!$B$1:$R$41,13,FALSE), "NULL")</f>
        <v/>
      </c>
      <c r="DH8" s="362" t="str">
        <f>IF(OR(Reagents!$Q$18="Stock slurry",Reagents!$Q$18="Stock solution"),VLOOKUP(B8+22,Reagents!$B$1:$R$41,14,FALSE), VLOOKUP(B8+22,Reagents!$B$1:$R$41,11,FALSE))</f>
        <v/>
      </c>
      <c r="DI8" s="214">
        <f>VLOOKUP(B8+22,Reagents!$B$1:$R$41,17,FALSE)</f>
        <v>0</v>
      </c>
      <c r="DJ8" s="284" t="e">
        <f>IF(OR(v2_col="solvent_2",v2_col="solvent_3"),VLOOKUP(B8+22,Reagents!$B$1:$M$41,12,FALSE),IF(OR(Reagents!$Q$18="Stock slurry",Reagents!$Q$18="Stock solution"),DH8*DG8, DH8/VLOOKUP(B8+22,Reagents!$B$1:$R$41,6,FALSE)*1000))</f>
        <v>#VALUE!</v>
      </c>
      <c r="DK8" s="214" t="str">
        <f>VLOOKUP(B8+34,Reagents!$B$1:$M$41,2,FALSE)</f>
        <v/>
      </c>
      <c r="DL8" s="214">
        <f>VLOOKUP(B8+34,Reagents!$B$1:$R$41,3,FALSE)</f>
        <v>0</v>
      </c>
      <c r="DM8" s="214" t="str">
        <f>IF(VLOOKUP(B8+34,Reagents!$B$1:$M$41,5,FALSE)=0, "NULL", VLOOKUP(B8+34,Reagents!$B$1:$M$41,5,FALSE))</f>
        <v>NULL</v>
      </c>
      <c r="DN8" s="214" t="str">
        <f>IF(OR(Reagents!$Q$24="Stock slurry",Reagents!$Q$12="Stock solution"),VLOOKUP(B8+34,Reagents!$B$1:$R$41,13,FALSE), "NULL")</f>
        <v/>
      </c>
      <c r="DO8" s="362" t="str">
        <f>IF(OR(Reagents!$Q$24="Stock slurry",Reagents!$Q$24="Stock solution"),VLOOKUP(B8+34,Reagents!$B$1:$R$41,14,FALSE), VLOOKUP(B8+34,Reagents!$B$1:$R$41,11,FALSE))</f>
        <v/>
      </c>
      <c r="DP8" s="214">
        <f>VLOOKUP(B8+34,Reagents!$B$1:$R$41,17,FALSE)</f>
        <v>0</v>
      </c>
      <c r="DQ8" s="284" t="e">
        <f>IF(OR(v3_col="solvent_2",v3_col="solvent_3"),VLOOKUP(B8+34,Reagents!$B$1:$M$41,12,FALSE),IF(OR(Reagents!$Q$24="Stock slurry",Reagents!$Q$24="Stock solution"),DO8*DN8, DO8/VLOOKUP(B8+34,Reagents!$B$1:$R$41,6,FALSE)*1000))</f>
        <v>#VALUE!</v>
      </c>
      <c r="DR8" s="214" t="str">
        <f>VLOOKUP(C8+46,Reagents!$B$1:$M$41,2,FALSE)</f>
        <v/>
      </c>
      <c r="DS8" s="214">
        <f>VLOOKUP(C8+46,Reagents!$B$1:$M$41,3,FALSE)</f>
        <v>0</v>
      </c>
      <c r="DT8" s="214" t="str">
        <f>IF(VLOOKUP(C8+46,Reagents!$B$1:$M$41,5,FALSE)=0, "NULL", VLOOKUP(C8+46,Reagents!$B$1:$M$41,5,FALSE))</f>
        <v>NULL</v>
      </c>
      <c r="DU8" s="214" t="str">
        <f>IF(OR(Reagents!$Q$30="Stock slurry",Reagents!$Q$30="Stock solution"),VLOOKUP(C8+46,Reagents!$B$1:$R$41,13,FALSE), "NULL")</f>
        <v/>
      </c>
      <c r="DV8" s="362" t="str">
        <f>IF(OR(Reagents!$Q$30="Stock slurry",Reagents!$Q$30="Stock solution"),VLOOKUP(C8+46,Reagents!$B$1:$R$41,14,FALSE), VLOOKUP(C8+46,Reagents!$B$1:$R$41,11,FALSE))</f>
        <v/>
      </c>
      <c r="DW8" s="214">
        <f>VLOOKUP(C8+46,Reagents!$B$1:$R$41,17,FALSE)</f>
        <v>0</v>
      </c>
      <c r="DX8" s="284" t="e">
        <f>IF(OR(v4_row="solvent_2",v4_row="solvent_3"),VLOOKUP(C8+46,Reagents!$B$1:$M$41,12,FALSE),IF(OR(Reagents!$Q$30="Stock slurry",Reagents!$Q$30="Stock solution"),DV8*DU8, DV8/VLOOKUP(C8+46,Reagents!$B$1:$R$41,6,FALSE)*1000))</f>
        <v>#VALUE!</v>
      </c>
      <c r="DY8" s="214" t="str">
        <f>VLOOKUP(C8+54,Reagents!$B$1:$M$41,2,FALSE)</f>
        <v/>
      </c>
      <c r="DZ8" s="214">
        <f>VLOOKUP(C8+54,Reagents!$B$1:$M$41,3,FALSE)</f>
        <v>0</v>
      </c>
      <c r="EA8" s="214" t="str">
        <f>IF(VLOOKUP(C8+54,Reagents!$B$1:$M$41,5,FALSE)=0, "NULL", VLOOKUP(C8+54,Reagents!$B$1:$M$41,5,FALSE))</f>
        <v>NULL</v>
      </c>
      <c r="EB8" s="214" t="str">
        <f>IF(OR(Reagents!$Q$34="Stock slurry",Reagents!$Q$34="Stock solution"),VLOOKUP(C8+54,Reagents!$B$1:$R$41,13,FALSE), "NULL")</f>
        <v/>
      </c>
      <c r="EC8" s="362" t="str">
        <f>IF(OR(Reagents!$Q$34="Stock slurry",Reagents!$Q$34="Stock solution"),VLOOKUP(C8+54,Reagents!$B$1:$R$41,14,FALSE), VLOOKUP(C8+54,Reagents!$B$1:$R$41,11,FALSE))</f>
        <v/>
      </c>
      <c r="ED8" s="214">
        <f>VLOOKUP(C8+54,Reagents!$B$1:$R$41,17,FALSE)</f>
        <v>0</v>
      </c>
      <c r="EE8" s="284" t="e">
        <f>IF(OR(v5_row="solvent_2",v5_row="solvent_3"),VLOOKUP(C8+54,Reagents!$B$1:$M$41,12,FALSE),IF(OR(Reagents!$Q$34="Stock slurry",Reagents!$Q$34="Stock solution"),EC8*EB8, EC8/VLOOKUP(C8+54,Reagents!$B$1:$R$41,6,FALSE)*1000))</f>
        <v>#VALUE!</v>
      </c>
      <c r="EF8" s="214" t="str">
        <f>VLOOKUP(C8+62,Reagents!$B$1:$M$41,2,FALSE)</f>
        <v/>
      </c>
      <c r="EG8" s="214">
        <f>VLOOKUP(C8+62,Reagents!$B$1:$M$41,3,FALSE)</f>
        <v>0</v>
      </c>
      <c r="EH8" s="214" t="str">
        <f>IF(VLOOKUP(C8+62,Reagents!$B$1:$M$41,5,FALSE)=0, "NULL", VLOOKUP(C8+62,Reagents!$B$1:$M$41,5,FALSE))</f>
        <v>NULL</v>
      </c>
      <c r="EI8" s="214" t="str">
        <f>IF(OR(Reagents!$Q$38="Stock slurry",Reagents!$Q$38="Stock solution"),VLOOKUP(C8+62,Reagents!$B$1:$R$41,13,FALSE), "NULL")</f>
        <v/>
      </c>
      <c r="EJ8" s="362" t="str">
        <f>IF(OR(Reagents!$Q$38="Stock slurry",Reagents!$Q$38="Stock solution"),VLOOKUP(C8+62,Reagents!$B$1:$R$41,14,FALSE), VLOOKUP(C8+62,Reagents!$B$1:$R$41,11,FALSE))</f>
        <v/>
      </c>
      <c r="EK8" s="214">
        <f>VLOOKUP(C8+62,Reagents!$B$1:$R$41,17,FALSE)</f>
        <v>0</v>
      </c>
      <c r="EL8" s="284" t="e">
        <f>IF(OR(v6_row="solvent_2",v6_row="solvent_3"),VLOOKUP(C8+62,Reagents!$B$1:$M$41,12,FALSE),IF(OR(Reagents!$Q$38="Stock slurry",Reagents!$Q$38="Stock solution"),EJ8*EI8, EJ8/VLOOKUP(C8+62,Reagents!$B$1:$R$41,6,FALSE)*1000))</f>
        <v>#VALUE!</v>
      </c>
      <c r="EM8" s="214">
        <f>VLOOKUP(19,'Plate Planning'!$A$1:$T$35,13,FALSE)</f>
        <v>0</v>
      </c>
      <c r="EN8" s="214">
        <f>VLOOKUP(19,'Plate Planning'!$A$1:$T$35,14,FALSE)</f>
        <v>0</v>
      </c>
      <c r="EO8" s="214">
        <f>VLOOKUP(19,'Plate Planning'!$A$1:$T$35,15,FALSE)</f>
        <v>0</v>
      </c>
      <c r="EP8" s="214">
        <f>VLOOKUP(A8,'Uncorrected Area Counts'!$A$1:$AS$27,3,FALSE)</f>
        <v>0</v>
      </c>
      <c r="EQ8" s="214" t="str">
        <f>VLOOKUP(A8,'Uncorrected Area Counts'!$A$1:$AS$27,4,FALSE)</f>
        <v/>
      </c>
      <c r="ER8" s="214" t="str">
        <f>VLOOKUP(A8,'Uncorrected Area Counts'!$A$1:$AS$27,5,FALSE)</f>
        <v/>
      </c>
      <c r="ES8" s="214">
        <f>VLOOKUP(20,'Plate Planning'!$A$1:$T$35,15,FALSE)</f>
        <v>0</v>
      </c>
      <c r="ET8" s="214">
        <f>VLOOKUP(A8,'Uncorrected Area Counts'!$A$1:$AS$27,7,FALSE)</f>
        <v>0</v>
      </c>
      <c r="EU8" s="214" t="e">
        <f>VLOOKUP(A8,'Uncorrected Area Counts'!$A$1:$AS$27,7,FALSE)/VLOOKUP(A8,'Uncorrected Area Counts'!$A$1:$AS$27,3,FALSE)</f>
        <v>#DIV/0!</v>
      </c>
      <c r="EV8" s="214" t="str">
        <f>IFERROR(VLOOKUP(A8,'Yields &amp; LCAPs'!$A$1:$V$27,3,FALSE), "NULL")</f>
        <v>NULL</v>
      </c>
      <c r="EW8" s="284" t="str">
        <f>IFERROR(VLOOKUP(A8,'Yields &amp; LCAPs'!$A$1:$V$27,4,FALSE), "NULL")</f>
        <v>NULL</v>
      </c>
      <c r="EX8" s="214" t="str">
        <f>VLOOKUP(A8,'Uncorrected Area Counts'!$A$1:$AS$27,8,FALSE)</f>
        <v/>
      </c>
      <c r="EY8" s="214" t="str">
        <f>VLOOKUP(A8,'Uncorrected Area Counts'!$A$1:$AS$27,9,FALSE)</f>
        <v/>
      </c>
      <c r="EZ8" s="214">
        <f>VLOOKUP(22,'Plate Planning'!$A$1:$T$35,15,FALSE)</f>
        <v>0</v>
      </c>
      <c r="FA8" s="214">
        <f>VLOOKUP(A8,'Uncorrected Area Counts'!$A$1:$AS$27,11,FALSE)</f>
        <v>0</v>
      </c>
      <c r="FB8" s="214" t="e">
        <f>VLOOKUP(A8,'Uncorrected Area Counts'!$A$1:$AS$27,11,FALSE)/VLOOKUP(A8,'Uncorrected Area Counts'!$A$1:$AS$27,3,FALSE)</f>
        <v>#DIV/0!</v>
      </c>
      <c r="FC8" s="214" t="str">
        <f>IFERROR(VLOOKUP(A8,'Yields &amp; LCAPs'!$A$1:$V$27,5,FALSE), "NULL")</f>
        <v>NULL</v>
      </c>
      <c r="FD8" s="284" t="str">
        <f>IFERROR(VLOOKUP(A8,'Yields &amp; LCAPs'!$A$1:$V$27,6,FALSE), "NULL")</f>
        <v>NULL</v>
      </c>
      <c r="FE8" s="214" t="str">
        <f>VLOOKUP(A8,'Uncorrected Area Counts'!$A$1:$AS$27,12,FALSE)</f>
        <v/>
      </c>
      <c r="FF8" s="214" t="str">
        <f>VLOOKUP(A8,'Uncorrected Area Counts'!$A$1:$AS$27,13,FALSE)</f>
        <v/>
      </c>
      <c r="FG8" s="214">
        <f>VLOOKUP(24,'Plate Planning'!$A$1:$T$35,15,FALSE)</f>
        <v>0</v>
      </c>
      <c r="FH8" s="214">
        <f>VLOOKUP(A8,'Uncorrected Area Counts'!$A$1:$AS$27,15,FALSE)</f>
        <v>0</v>
      </c>
      <c r="FI8" s="214" t="e">
        <f>VLOOKUP(A8,'Uncorrected Area Counts'!$A$1:$AS$27,15,FALSE)/VLOOKUP(A8,'Uncorrected Area Counts'!$A$1:$AS$27,3,FALSE)</f>
        <v>#DIV/0!</v>
      </c>
      <c r="FJ8" s="214" t="str">
        <f>IFERROR(VLOOKUP(A8,'Yields &amp; LCAPs'!$A$1:$V$27,7,FALSE), "NULL")</f>
        <v>NULL</v>
      </c>
      <c r="FK8" s="284" t="str">
        <f>IFERROR(VLOOKUP(A8,'Yields &amp; LCAPs'!$A$1:$V$27,8,FALSE), "NULL")</f>
        <v>NULL</v>
      </c>
      <c r="FL8" s="214" t="str">
        <f>VLOOKUP(A8,'Uncorrected Area Counts'!$A$1:$AS$27,16,FALSE)</f>
        <v/>
      </c>
      <c r="FM8" s="214" t="str">
        <f>VLOOKUP(A8,'Uncorrected Area Counts'!$A$1:$AS$27,17,FALSE)</f>
        <v/>
      </c>
      <c r="FN8" s="214">
        <f>VLOOKUP(26,'Plate Planning'!$A$1:$T$35,15,FALSE)</f>
        <v>0</v>
      </c>
      <c r="FO8" s="214">
        <f>VLOOKUP(A8,'Uncorrected Area Counts'!$A$1:$AS$27,19,FALSE)</f>
        <v>0</v>
      </c>
      <c r="FP8" s="214" t="e">
        <f>VLOOKUP(A8,'Uncorrected Area Counts'!$A$1:$AS$27,19,FALSE)/VLOOKUP(A8,'Uncorrected Area Counts'!$A$1:$AS$27,3,FALSE)</f>
        <v>#DIV/0!</v>
      </c>
      <c r="FQ8" s="214" t="str">
        <f>IFERROR(VLOOKUP(A8,'Yields &amp; LCAPs'!$A$1:$V$27,9,FALSE), "NULL")</f>
        <v>NULL</v>
      </c>
      <c r="FR8" s="284" t="str">
        <f>IFERROR(VLOOKUP(A8,'Yields &amp; LCAPs'!$A$1:$V$27,10,FALSE), "NULL")</f>
        <v>NULL</v>
      </c>
      <c r="FS8" s="214" t="str">
        <f>VLOOKUP(A8,'Uncorrected Area Counts'!$A$1:$AS$27,20,FALSE)</f>
        <v/>
      </c>
      <c r="FT8" s="214" t="str">
        <f>VLOOKUP(A8,'Uncorrected Area Counts'!$A$1:$AS$27,21,FALSE)</f>
        <v/>
      </c>
      <c r="FU8" s="214">
        <f>VLOOKUP(27,'Plate Planning'!$A$1:$T$35,15,FALSE)</f>
        <v>0</v>
      </c>
      <c r="FV8" s="214">
        <f>VLOOKUP(A8,'Uncorrected Area Counts'!$A$1:$AS$27,23,FALSE)</f>
        <v>0</v>
      </c>
      <c r="FW8" s="214" t="e">
        <f>VLOOKUP(A8,'Uncorrected Area Counts'!$A$1:$AS$27,23,FALSE)/VLOOKUP(A8,'Uncorrected Area Counts'!$A$1:$AS$27,3,FALSE)</f>
        <v>#DIV/0!</v>
      </c>
      <c r="FX8" s="214" t="str">
        <f>IFERROR(VLOOKUP(A8,'Yields &amp; LCAPs'!$A$1:$V$27,11,FALSE), "NULL")</f>
        <v>NULL</v>
      </c>
      <c r="FY8" s="284" t="str">
        <f>IFERROR(VLOOKUP(A8,'Yields &amp; LCAPs'!$A$1:$V$27,12,FALSE), "NULL")</f>
        <v>NULL</v>
      </c>
      <c r="FZ8" s="411" t="str">
        <f>VLOOKUP(A8,'Uncorrected Area Counts'!$A$1:$AS$27,24,FALSE)</f>
        <v/>
      </c>
      <c r="GA8" s="214" t="str">
        <f>VLOOKUP(A8,'Uncorrected Area Counts'!$A$1:$AS$27,25,FALSE)</f>
        <v/>
      </c>
      <c r="GB8" s="214">
        <f>VLOOKUP(28,'Plate Planning'!$A$1:$T$35,15,FALSE)</f>
        <v>0</v>
      </c>
      <c r="GC8" s="214">
        <f>VLOOKUP(A8,'Uncorrected Area Counts'!$A$1:$AS$27,27,FALSE)</f>
        <v>0</v>
      </c>
      <c r="GD8" s="214" t="e">
        <f>VLOOKUP(A8,'Uncorrected Area Counts'!$A$1:$AS$27,27,FALSE)/VLOOKUP(A8,'Uncorrected Area Counts'!$A$1:$AS$27,3,FALSE)</f>
        <v>#DIV/0!</v>
      </c>
      <c r="GE8" s="214" t="str">
        <f>IFERROR(VLOOKUP(A8,'Yields &amp; LCAPs'!$A$1:$V$27,13,FALSE), "NULL")</f>
        <v>NULL</v>
      </c>
      <c r="GF8" s="284" t="str">
        <f>IFERROR(VLOOKUP(A8,'Yields &amp; LCAPs'!$A$1:$V$27,14,FALSE), "NULL")</f>
        <v>NULL</v>
      </c>
      <c r="GG8" s="214" t="str">
        <f>VLOOKUP(A8,'Uncorrected Area Counts'!$A$1:$AS$27,28,FALSE)</f>
        <v/>
      </c>
      <c r="GH8" s="214" t="str">
        <f>VLOOKUP(A8,'Uncorrected Area Counts'!$A$1:$AS$27,29,FALSE)</f>
        <v/>
      </c>
      <c r="GI8" s="214">
        <f>VLOOKUP(29,'Plate Planning'!$A$1:$T$35,15,FALSE)</f>
        <v>0</v>
      </c>
      <c r="GJ8" s="214">
        <f>VLOOKUP(A8,'Uncorrected Area Counts'!$A$1:$AS$27,31,FALSE)</f>
        <v>0</v>
      </c>
      <c r="GK8" s="214" t="e">
        <f>VLOOKUP(A8,'Uncorrected Area Counts'!$A$1:$AS$27,31,FALSE)/VLOOKUP(A8,'Uncorrected Area Counts'!$A$1:$AS$27,3,FALSE)</f>
        <v>#DIV/0!</v>
      </c>
      <c r="GL8" s="214" t="str">
        <f>IFERROR(VLOOKUP(A8,'Yields &amp; LCAPs'!$A$1:$V$27,15,FALSE), "NULL")</f>
        <v>NULL</v>
      </c>
      <c r="GM8" s="284" t="str">
        <f>IFERROR(VLOOKUP(A8,'Yields &amp; LCAPs'!$A$1:$V$27,16,FALSE), "NULL")</f>
        <v>NULL</v>
      </c>
      <c r="GN8" s="214" t="str">
        <f>VLOOKUP(A8,'Uncorrected Area Counts'!$A$1:$AS$27,32,FALSE)</f>
        <v/>
      </c>
      <c r="GO8" s="214" t="str">
        <f>VLOOKUP(A8,'Uncorrected Area Counts'!$A$1:$AS$27,33,FALSE)</f>
        <v/>
      </c>
      <c r="GP8" s="214">
        <f>VLOOKUP(30,'Plate Planning'!$A$1:$T$35,15,FALSE)</f>
        <v>0</v>
      </c>
      <c r="GQ8" s="214">
        <f>VLOOKUP(A8,'Uncorrected Area Counts'!$A$1:$AS$27,35,FALSE)</f>
        <v>0</v>
      </c>
      <c r="GR8" s="214" t="e">
        <f>VLOOKUP(A8,'Uncorrected Area Counts'!$A$1:$AS$27,35,FALSE)/VLOOKUP(A8,'Uncorrected Area Counts'!$A$1:$AS$27,3,FALSE)</f>
        <v>#DIV/0!</v>
      </c>
      <c r="GS8" s="214" t="str">
        <f>IFERROR(VLOOKUP(A8,'Yields &amp; LCAPs'!$A$1:$V$27,17,FALSE), "NULL")</f>
        <v>NULL</v>
      </c>
      <c r="GT8" s="284" t="str">
        <f>IFERROR(VLOOKUP(A8,'Yields &amp; LCAPs'!$A$1:$V$27,18,FALSE), "NULL")</f>
        <v>NULL</v>
      </c>
      <c r="GU8" s="214" t="str">
        <f>VLOOKUP(A8,'Uncorrected Area Counts'!$A$1:$AS$27,36,FALSE)</f>
        <v/>
      </c>
      <c r="GV8" s="214" t="str">
        <f>VLOOKUP(A8,'Uncorrected Area Counts'!$A$1:$AS$27,37,FALSE)</f>
        <v/>
      </c>
      <c r="GW8" s="214">
        <f>VLOOKUP(31,'Plate Planning'!$A$1:$T$35,15,FALSE)</f>
        <v>0</v>
      </c>
      <c r="GX8" s="214">
        <f>VLOOKUP(A8,'Uncorrected Area Counts'!$A$1:$AS$27,39,FALSE)</f>
        <v>0</v>
      </c>
      <c r="GY8" s="214" t="e">
        <f>VLOOKUP(A8,'Uncorrected Area Counts'!$A$1:$AS$27,39,FALSE)/VLOOKUP(A8,'Uncorrected Area Counts'!$A$1:$AS$27,3,FALSE)</f>
        <v>#DIV/0!</v>
      </c>
      <c r="GZ8" s="214" t="str">
        <f>IFERROR(VLOOKUP(A8,'Yields &amp; LCAPs'!$A$1:$V$27,19,FALSE), "NULL")</f>
        <v>NULL</v>
      </c>
      <c r="HA8" s="284" t="str">
        <f>IFERROR(VLOOKUP(A8,'Yields &amp; LCAPs'!$A$1:$V$27,20,FALSE), "NULL")</f>
        <v>NULL</v>
      </c>
      <c r="HB8" s="214" t="str">
        <f>VLOOKUP(A8,'Uncorrected Area Counts'!$A$1:$AS$27,40,FALSE)</f>
        <v/>
      </c>
      <c r="HC8" s="214" t="str">
        <f>VLOOKUP(A8,'Uncorrected Area Counts'!$A$1:$AS$27,41,FALSE)</f>
        <v/>
      </c>
      <c r="HD8" s="214">
        <f>VLOOKUP(32,'Plate Planning'!$A$1:$T$35,15,FALSE)</f>
        <v>0</v>
      </c>
      <c r="HE8" s="214">
        <f>VLOOKUP(A8,'Uncorrected Area Counts'!$A$1:$AS$27,43,FALSE)</f>
        <v>0</v>
      </c>
      <c r="HF8" s="214" t="e">
        <f>VLOOKUP(A8,'Uncorrected Area Counts'!$A$1:$AS$27,43,FALSE)/VLOOKUP(A8,'Uncorrected Area Counts'!$A$1:$AS$27,3,FALSE)</f>
        <v>#DIV/0!</v>
      </c>
      <c r="HG8" s="214" t="str">
        <f>IFERROR(VLOOKUP(A8,'Yields &amp; LCAPs'!$A$1:$V$27,21,FALSE), "NULL")</f>
        <v>NULL</v>
      </c>
      <c r="HH8" s="284" t="str">
        <f>IFERROR(VLOOKUP(A8,'Yields &amp; LCAPs'!$A$1:$V$27,22,FALSE), "NULL")</f>
        <v>NULL</v>
      </c>
      <c r="HI8" s="362"/>
      <c r="HJ8" s="362"/>
      <c r="HK8" s="362"/>
      <c r="HL8" s="362"/>
      <c r="HM8" s="363"/>
      <c r="HN8" s="362"/>
      <c r="HO8" s="362"/>
      <c r="HP8" s="362"/>
      <c r="HQ8" s="362"/>
      <c r="HR8" s="363"/>
    </row>
    <row r="9" spans="1:230">
      <c r="A9" s="216" t="s">
        <v>1174</v>
      </c>
      <c r="B9" s="214">
        <v>2</v>
      </c>
      <c r="C9" s="214">
        <v>2</v>
      </c>
      <c r="D9" s="214" t="str">
        <f>VLOOKUP(18,'Plate Planning'!$A$1:$T$35,10,FALSE)&amp;"_"&amp;VLOOKUP(19,'Plate Planning'!$A$1:$T$35,10,FALSE)&amp;"_"&amp;A9</f>
        <v>__B2</v>
      </c>
      <c r="E9" s="214" t="str">
        <f>IF(VLOOKUP(18,'Plate Planning'!$A$1:$T$35,10,FALSE)="", "NULL", VLOOKUP(18,'Plate Planning'!$A$1:$T$35,10,FALSE))</f>
        <v>NULL</v>
      </c>
      <c r="F9" s="214" t="str">
        <f>IF(VLOOKUP(19,'Plate Planning'!$A$1:$T$35,10,FALSE)="", "NULL", VLOOKUP(19,'Plate Planning'!$A$1:$T$35,10,FALSE))</f>
        <v>NULL</v>
      </c>
      <c r="G9" s="214" t="str">
        <f>IF(VLOOKUP(20,'Plate Planning'!$A$1:$T$35,10,FALSE)="", "NULL", VLOOKUP(20,'Plate Planning'!$A$1:$T$35,10,FALSE))</f>
        <v>NULL</v>
      </c>
      <c r="H9" s="214" t="str">
        <f>IF(VLOOKUP(21,'Plate Planning'!$A$1:$T$35,10,FALSE)="", "NULL", VLOOKUP(21,'Plate Planning'!$A$1:$T$35,10,FALSE))</f>
        <v>NULL</v>
      </c>
      <c r="I9" s="214" t="str">
        <f>IF(VLOOKUP(23,'Plate Planning'!$A$1:$T$35,10,FALSE)="", "NULL", VLOOKUP(23,'Plate Planning'!$A$1:$T$35,10,FALSE))</f>
        <v>NULL</v>
      </c>
      <c r="J9" s="214" t="str">
        <f>IF(VLOOKUP(22,'Plate Planning'!$A$1:$T$35,10,FALSE)="", "NULL", VLOOKUP(22,'Plate Planning'!$A$1:$T$35,10,FALSE))</f>
        <v>NULL</v>
      </c>
      <c r="K9" s="214" t="str">
        <f>VLOOKUP(24,'Plate Planning'!$A$1:$T$35,10,FALSE)</f>
        <v>Glovebox</v>
      </c>
      <c r="L9" s="214" t="str">
        <f>IF(VLOOKUP(25,'Plate Planning'!$A$1:$T$35,10,FALSE)="","NULL",VLOOKUP(25,'Plate Planning'!$A$1:$T$35,10,FALSE))</f>
        <v>NULL</v>
      </c>
      <c r="M9" s="214" t="str">
        <f>VLOOKUP(26,'Plate Planning'!$A$1:$T$35,10,FALSE)</f>
        <v>ambient</v>
      </c>
      <c r="N9" s="214" t="str">
        <f>IF(VLOOKUP(27,'Plate Planning'!$A$1:$T$35,10,FALSE)=0,"NULL", VLOOKUP(27,'Plate Planning'!$A$1:$T$35,10,FALSE))</f>
        <v>NULL</v>
      </c>
      <c r="O9" s="214" t="str">
        <f>IF(VLOOKUP(3,'Plate Planning'!$A$2:$S$35,18,FALSE)="", "NULL", VLOOKUP(3,'Plate Planning'!$A$2:$S$35,18,FALSE))</f>
        <v>NULL</v>
      </c>
      <c r="P9" s="214" t="str">
        <f>IF(VLOOKUP(4,'Plate Planning'!$A$2:$S$35,18,FALSE)="", "NULL", VLOOKUP(4,'Plate Planning'!$A$2:$S$35,18,FALSE))</f>
        <v>NULL</v>
      </c>
      <c r="Q9" s="214" t="str">
        <f>IF(VLOOKUP(5,'Plate Planning'!$A$2:$S$35,18,FALSE)="", "NULL", VLOOKUP(5,'Plate Planning'!$A$2:$S$35,18,FALSE))</f>
        <v>NULL</v>
      </c>
      <c r="R9" s="214" t="str">
        <f>IF(VLOOKUP(6,'Plate Planning'!$A$2:$S$35,18,FALSE)="", "NULL", VLOOKUP(6,'Plate Planning'!$A$2:$S$35,18,FALSE))</f>
        <v>NULL</v>
      </c>
      <c r="S9" s="214" t="str">
        <f>IF(VLOOKUP(7,'Plate Planning'!$A$2:$S$35,18,FALSE)="", "NULL", VLOOKUP(7,'Plate Planning'!$A$2:$S$35,18,FALSE))</f>
        <v>NULL</v>
      </c>
      <c r="T9" s="214" t="str">
        <f>IF(VLOOKUP(28,'Plate Planning'!$A$1:$T$35,10,FALSE)=0,"NULL",VLOOKUP(28,'Plate Planning'!$A$1:$T$35,10,FALSE))</f>
        <v>NULL</v>
      </c>
      <c r="U9" s="214" t="str">
        <f>IFERROR(VLOOKUP(VLOOKUP(28,'Plate Planning'!$A$1:$T$35,10,FALSE),Dictionaries!$Q$2:$R$72,2,FALSE), "NULL")</f>
        <v>NULL</v>
      </c>
      <c r="V9" s="214" t="str">
        <f>IF(VLOOKUP(28,'Plate Planning'!$A$1:$T$35,10,FALSE)=0,"NULL",VLOOKUP(32,'Plate Planning'!$A$1:$T$35,10,FALSE))</f>
        <v>NULL</v>
      </c>
      <c r="W9" s="214" t="str">
        <f>IF(VLOOKUP(C9+3,'Plate Planning'!$A$1:$S$35,B9+4,FALSE)=0, "", VLOOKUP(C9+3,'Plate Planning'!$A$1:$S$35,B9+4,FALSE))</f>
        <v/>
      </c>
      <c r="X9" s="214" t="str">
        <f>IFERROR(VLOOKUP(W9,'Complex Variable'!$A$2:$S$25,2,FALSE), "")</f>
        <v/>
      </c>
      <c r="Y9" s="327" t="str">
        <f>IFERROR(VLOOKUP(W9,'Complex Variable'!$A$2:$S$25,3,FALSE), "")</f>
        <v/>
      </c>
      <c r="Z9" s="327" t="str">
        <f>IFERROR(VLOOKUP(W9,'Complex Variable'!$A$2:$S$25,5,FALSE), "")</f>
        <v/>
      </c>
      <c r="AA9" s="327" t="str">
        <f>IFERROR(VLOOKUP(W9,'Complex Variable'!$A$2:$S$25,14,FALSE), "")</f>
        <v/>
      </c>
      <c r="AB9" s="602" t="str">
        <f>IFERROR(VLOOKUP(W9,'Complex Variable'!$A$2:$S$25,19,FALSE), "")</f>
        <v/>
      </c>
      <c r="AC9" s="327" t="str">
        <f>IFERROR(VLOOKUP(W9,'Complex Variable'!$A$2:$S$25,13,FALSE), "")</f>
        <v/>
      </c>
      <c r="AD9" s="604" t="str">
        <f t="shared" si="0"/>
        <v/>
      </c>
      <c r="AE9" s="214">
        <f>VLOOKUP(1,Reagents!$B$1:$M$41,2,FALSE)</f>
        <v>0</v>
      </c>
      <c r="AF9" s="214">
        <f>VLOOKUP(1,Reagents!$B$1:$M$41,3,FALSE)</f>
        <v>0</v>
      </c>
      <c r="AG9" s="214" t="str">
        <f>IF(VLOOKUP(1,Reagents!$B$1:$M$41,5,FALSE)=0, "NULL", VLOOKUP(1,Reagents!$B$1:$M$41,5,FALSE))</f>
        <v>NULL</v>
      </c>
      <c r="AH9" s="214" t="str">
        <f>IF(OR(Reagents!$Q$2="Stock slurry",Reagents!$Q$2="Stock solution"),VLOOKUP(1,Reagents!$B$1:$R$41,13,FALSE), "NULL")</f>
        <v/>
      </c>
      <c r="AI9" s="362" t="str">
        <f>IF(OR(Reagents!$Q$2="Stock slurry",Reagents!$Q$2="Stock solution"),VLOOKUP(1,Reagents!$B$1:$R$41,14,FALSE), VLOOKUP(1,Reagents!$B$1:$R$41,11,FALSE))</f>
        <v/>
      </c>
      <c r="AJ9" s="214">
        <f>VLOOKUP(1,Reagents!$B$1:$R$41,17,FALSE)</f>
        <v>0</v>
      </c>
      <c r="AK9" s="284" t="e">
        <f>IF(OR(VLOOKUP(1,Reagents!$B$1:$M$41,4,FALSE)="solvent_2",VLOOKUP(1,Reagents!$B$1:$M$41,4,FALSE)="solvent_3"),VLOOKUP(1,Reagents!$B$1:$M$41,12,FALSE),IF(OR(Reagents!$Q$2="Stock slurry",Reagents!$Q$2="Stock solution"),AI9*AH9, AI9/VLOOKUP(1,Reagents!$B$1:$R$41,6,FALSE)*1000))</f>
        <v>#VALUE!</v>
      </c>
      <c r="AL9" s="214">
        <f>VLOOKUP(2,Reagents!$B$1:$M$41,2,FALSE)</f>
        <v>0</v>
      </c>
      <c r="AM9" s="214">
        <f>VLOOKUP(2,Reagents!$B$1:$M$41,3,FALSE)</f>
        <v>0</v>
      </c>
      <c r="AN9" s="214" t="str">
        <f>IF(VLOOKUP(2,Reagents!$B$1:$M$41,5,FALSE)=0, "NULL", VLOOKUP(2,Reagents!$B$1:$M$41,5,FALSE))</f>
        <v>NULL</v>
      </c>
      <c r="AO9" s="214" t="str">
        <f>IF(OR(Reagents!$Q$3="Stock slurry",Reagents!$Q$3="Stock solution"),VLOOKUP(2,Reagents!$B$1:$R$41,13,FALSE), "NULL")</f>
        <v/>
      </c>
      <c r="AP9" s="362" t="str">
        <f>IF(OR(Reagents!$Q$3="Stock slurry",Reagents!$Q$3="Stock solution"),VLOOKUP(2,Reagents!$B$1:$R$41,14,FALSE), VLOOKUP(2,Reagents!$B$1:$R$41,11,FALSE))</f>
        <v/>
      </c>
      <c r="AQ9" s="214">
        <f>VLOOKUP(2,Reagents!$B$1:$R$41,17,FALSE)</f>
        <v>0</v>
      </c>
      <c r="AR9" s="284" t="e">
        <f>IF(OR(VLOOKUP(2,Reagents!$B$1:$M$41,4,FALSE)="solvent_2",VLOOKUP(2,Reagents!$B$1:$M$41,4,FALSE)="solvent_3"),VLOOKUP(2,Reagents!$B$1:$M$41,12,FALSE),IF(OR(Reagents!$Q$3="Stock slurry",Reagents!$Q$3="Stock solution"),AP9*AO9, AP9/VLOOKUP(2,Reagents!$B$1:$R$41,6,FALSE)*1000))</f>
        <v>#VALUE!</v>
      </c>
      <c r="AS9" s="214">
        <f>VLOOKUP(3,Reagents!$B$1:$M$41,2,FALSE)</f>
        <v>0</v>
      </c>
      <c r="AT9" s="214">
        <f>VLOOKUP(3,Reagents!$B$1:$M$41,3,FALSE)</f>
        <v>0</v>
      </c>
      <c r="AU9" s="214" t="str">
        <f>IF(VLOOKUP(3,Reagents!$B$1:$M$41,5,FALSE)=0, "NULL", VLOOKUP(3,Reagents!$B$1:$M$41,5,FALSE))</f>
        <v>NULL</v>
      </c>
      <c r="AV9" s="214" t="str">
        <f>IF(OR(Reagents!$Q$4="Stock slurry",Reagents!$Q$4="Stock solution"),VLOOKUP(3,Reagents!$B$1:$R$41,13,FALSE), "NULL")</f>
        <v/>
      </c>
      <c r="AW9" s="362" t="str">
        <f>IF(OR(Reagents!$Q$4="Stock slurry",Reagents!$Q$4="Stock solution"),VLOOKUP(3,Reagents!$B$1:$R$41,14,FALSE), VLOOKUP(3,Reagents!$B$1:$R$41,11,FALSE))</f>
        <v/>
      </c>
      <c r="AX9" s="214">
        <f>VLOOKUP(3,Reagents!$B$1:$R$41,17,FALSE)</f>
        <v>0</v>
      </c>
      <c r="AY9" s="284" t="e">
        <f>IF(OR(VLOOKUP(3,Reagents!$B$1:$M$41,4,FALSE)="solvent_2",VLOOKUP(3,Reagents!$B$1:$M$41,4,FALSE)="solvent_3"),VLOOKUP(3,Reagents!$B$1:$M$41,12,FALSE),IF(OR(Reagents!$Q$4="Stock slurry",Reagents!$Q$4="Stock solution"),AW9*AV9, AW9/VLOOKUP(3,Reagents!$B$1:$R$41,6,FALSE)*1000))</f>
        <v>#VALUE!</v>
      </c>
      <c r="AZ9" s="214">
        <f>VLOOKUP(4,Reagents!$B$1:$M$41,2,FALSE)</f>
        <v>0</v>
      </c>
      <c r="BA9" s="214">
        <f>VLOOKUP(4,Reagents!$B$1:$M$41,3,FALSE)</f>
        <v>0</v>
      </c>
      <c r="BB9" s="214" t="str">
        <f>IF(VLOOKUP(4,Reagents!$B$1:$M$41,5,FALSE)=0, "NULL", VLOOKUP(4,Reagents!$B$1:$M$41,5,FALSE))</f>
        <v>NULL</v>
      </c>
      <c r="BC9" s="214" t="str">
        <f>IF(OR(Reagents!$Q$5="Stock slurry",Reagents!$Q$5="Stock solution"),VLOOKUP(4,Reagents!$B$1:$R$41,13,FALSE), "NULL")</f>
        <v/>
      </c>
      <c r="BD9" s="362" t="str">
        <f>IF(OR(Reagents!$Q$5="Stock slurry",Reagents!$Q$5="Stock solution"),VLOOKUP(4,Reagents!$B$1:$R$41,14,FALSE), VLOOKUP(4,Reagents!$B$1:$R$41,11,FALSE))</f>
        <v/>
      </c>
      <c r="BE9" s="214">
        <f>VLOOKUP(4,Reagents!$B$1:$R$41,17,FALSE)</f>
        <v>0</v>
      </c>
      <c r="BF9" s="284" t="e">
        <f>IF(OR(VLOOKUP(4,Reagents!$B$1:$M$41,4,FALSE)="solvent_2",VLOOKUP(4,Reagents!$B$1:$M$41,4,FALSE)="solvent_3"),VLOOKUP(4,Reagents!$B$1:$M$41,12,FALSE),IF(OR(Reagents!$Q$5="Stock slurry",Reagents!$Q$5="Stock solution"),BD9*BC9, BD9/VLOOKUP(4,Reagents!$B$1:$R$41,6,FALSE)*1000))</f>
        <v>#VALUE!</v>
      </c>
      <c r="BG9" s="214">
        <f>VLOOKUP(5,Reagents!$B$1:$M$41,2,FALSE)</f>
        <v>0</v>
      </c>
      <c r="BH9" s="214">
        <f>VLOOKUP(5,Reagents!$B$1:$M$41,3,FALSE)</f>
        <v>0</v>
      </c>
      <c r="BI9" s="214" t="str">
        <f>IF(VLOOKUP(5,Reagents!$B$1:$M$41,5,FALSE)=0, "NULL", VLOOKUP(5,Reagents!$B$1:$M$41,5,FALSE))</f>
        <v>NULL</v>
      </c>
      <c r="BJ9" s="214" t="str">
        <f>IF(OR(Reagents!$Q$6="Stock slurry",Reagents!$Q$6="Stock solution"),VLOOKUP(5,Reagents!$B$1:$R$41,13,FALSE), "NULL")</f>
        <v/>
      </c>
      <c r="BK9" s="362" t="str">
        <f>IF(OR(Reagents!$Q$6="Stock slurry",Reagents!$Q$6="Stock solution"),VLOOKUP(5,Reagents!$B$1:$R$41,14,FALSE), VLOOKUP(5,Reagents!$B$1:$R$41,11,FALSE))</f>
        <v/>
      </c>
      <c r="BL9" s="214">
        <f>VLOOKUP(5,Reagents!$B$1:$R$41,17,FALSE)</f>
        <v>0</v>
      </c>
      <c r="BM9" s="284" t="e">
        <f>IF(OR(VLOOKUP(5,Reagents!$B$1:$M$41,4,FALSE)="solvent_2",VLOOKUP(5,Reagents!$B$1:$M$41,4,FALSE)="solvent_3"),VLOOKUP(5,Reagents!$B$1:$M$41,12,FALSE),IF(OR(Reagents!$Q$6="Stock slurry",Reagents!$Q$6="Stock solution"),BK9*BJ9, BK9/VLOOKUP(5,Reagents!$B$1:$R$41,6,FALSE)*1000))</f>
        <v>#VALUE!</v>
      </c>
      <c r="BN9" s="214">
        <f>VLOOKUP(6,Reagents!$B$1:$M$41,2,FALSE)</f>
        <v>0</v>
      </c>
      <c r="BO9" s="214">
        <f>VLOOKUP(6,Reagents!$B$1:$M$41,3,FALSE)</f>
        <v>0</v>
      </c>
      <c r="BP9" s="214" t="str">
        <f>IF(VLOOKUP(6,Reagents!$B$1:$M$41,5,FALSE)=0, "NULL", VLOOKUP(6,Reagents!$B$1:$M$41,5,FALSE))</f>
        <v>NULL</v>
      </c>
      <c r="BQ9" s="214" t="str">
        <f>IF(OR(Reagents!$Q$7="Stock slurry",Reagents!$Q$7="Stock solution"),VLOOKUP(6,Reagents!$B$1:$R$41,13,FALSE), "NULL")</f>
        <v/>
      </c>
      <c r="BR9" s="362" t="str">
        <f>IF(OR(Reagents!$Q$7="Stock slurry",Reagents!$Q$7="Stock solution"),VLOOKUP(6,Reagents!$B$1:$R$41,14,FALSE), VLOOKUP(6,Reagents!$B$1:$R$41,11,FALSE))</f>
        <v/>
      </c>
      <c r="BS9" s="214">
        <f>VLOOKUP(6,Reagents!$B$1:$R$41,17,FALSE)</f>
        <v>0</v>
      </c>
      <c r="BT9" s="284" t="e">
        <f>IF(OR(VLOOKUP(6,Reagents!$B$1:$M$41,4,FALSE)="solvent_2",VLOOKUP(6,Reagents!$B$1:$M$41,4,FALSE)="solvent_3"),VLOOKUP(6,Reagents!$B$1:$M$41,12,FALSE),IF(OR(Reagents!$Q$7="Stock slurry",Reagents!$Q$7="Stock solution"),BR9*BQ9, BR9/VLOOKUP(6,Reagents!$B$1:$R$41,6,FALSE)*1000))</f>
        <v>#VALUE!</v>
      </c>
      <c r="BU9" s="214">
        <f>VLOOKUP(7,Reagents!$B$1:$M$41,2,FALSE)</f>
        <v>0</v>
      </c>
      <c r="BV9" s="214">
        <f>VLOOKUP(7,Reagents!$B$1:$M$41,3,FALSE)</f>
        <v>0</v>
      </c>
      <c r="BW9" s="214" t="str">
        <f>IF(VLOOKUP(7,Reagents!$B$1:$M$41,5,FALSE)=0, "NULL", VLOOKUP(7,Reagents!$B$1:$M$41,5,FALSE))</f>
        <v>NULL</v>
      </c>
      <c r="BX9" s="214" t="str">
        <f>IF(OR(Reagents!$Q$8="Stock slurry",Reagents!$Q$8="Stock solution"),VLOOKUP(7,Reagents!$B$1:$R$41,13,FALSE), "NULL")</f>
        <v/>
      </c>
      <c r="BY9" s="362" t="str">
        <f>IF(OR(Reagents!$Q$8="Stock slurry",Reagents!$Q$8="Stock solution"),VLOOKUP(7,Reagents!$B$1:$R$41,14,FALSE), VLOOKUP(7,Reagents!$B$1:$R$41,11,FALSE))</f>
        <v/>
      </c>
      <c r="BZ9" s="214">
        <f>VLOOKUP(7,Reagents!$B$1:$R$41,17,FALSE)</f>
        <v>0</v>
      </c>
      <c r="CA9" s="284" t="e">
        <f>IF(OR(VLOOKUP(7,Reagents!$B$1:$M$41,4,FALSE)="solvent_2",VLOOKUP(7,Reagents!$B$1:$M$41,4,FALSE)="solvent_3"),VLOOKUP(7,Reagents!$B$1:$M$41,12,FALSE),IF(OR(Reagents!$Q$8="Stock slurry",Reagents!$Q$8="Stock solution"),BY9*BX9, BY9/VLOOKUP(7,Reagents!$B$1:$R$41,6,FALSE)*1000))</f>
        <v>#VALUE!</v>
      </c>
      <c r="CB9" s="214">
        <f>VLOOKUP(8,Reagents!$B$1:$M$41,2,FALSE)</f>
        <v>0</v>
      </c>
      <c r="CC9" s="214">
        <f>VLOOKUP(8,Reagents!$B$1:$M$41,3,FALSE)</f>
        <v>0</v>
      </c>
      <c r="CD9" s="214" t="str">
        <f>IF(VLOOKUP(8,Reagents!$B$1:$M$41,5,FALSE)=0, "NULL", VLOOKUP(8,Reagents!$B$1:$M$41,5,FALSE))</f>
        <v>NULL</v>
      </c>
      <c r="CE9" s="214" t="str">
        <f>IF(OR(Reagents!$Q$9="Stock slurry",Reagents!$Q$9="Stock solution"),VLOOKUP(8,Reagents!$B$1:$R$41,13,FALSE), "NULL")</f>
        <v/>
      </c>
      <c r="CF9" s="362" t="str">
        <f>IF(OR(Reagents!$Q$9="Stock slurry",Reagents!$Q$9="Stock solution"),VLOOKUP(8,Reagents!$B$1:$R$41,14,FALSE), VLOOKUP(8,Reagents!$B$1:$R$41,11,FALSE))</f>
        <v/>
      </c>
      <c r="CG9" s="214">
        <f>VLOOKUP(8,Reagents!$B$1:$R$41,17,FALSE)</f>
        <v>0</v>
      </c>
      <c r="CH9" s="284" t="e">
        <f>IF(OR(VLOOKUP(8,Reagents!$B$1:$M$41,4,FALSE)="solvent_2",VLOOKUP(8,Reagents!$B$1:$M$41,4,FALSE)="solvent_3"),VLOOKUP(8,Reagents!$B$1:$M$41,12,FALSE),IF(OR(Reagents!$Q$9="Stock slurry",Reagents!$Q$9="Stock solution"),CF9*CE9, CF9/VLOOKUP(8,Reagents!$B$1:$R$41,6,FALSE)*1000))</f>
        <v>#VALUE!</v>
      </c>
      <c r="CI9" s="214">
        <f>VLOOKUP(9,Reagents!$B$1:$M$41,2,FALSE)</f>
        <v>0</v>
      </c>
      <c r="CJ9" s="214">
        <f>VLOOKUP(9,Reagents!$B$1:$M$41,3,FALSE)</f>
        <v>0</v>
      </c>
      <c r="CK9" s="214" t="str">
        <f>IF(VLOOKUP(9,Reagents!$B$1:$M$41,5,FALSE)=0, "NULL", VLOOKUP(9,Reagents!$B$1:$M$41,5,FALSE))</f>
        <v>NULL</v>
      </c>
      <c r="CL9" s="214" t="str">
        <f>IF(OR(Reagents!$Q$10="Stock slurry",Reagents!$Q$10="Stock solution"),VLOOKUP(9,Reagents!$B$1:$R$41,13,FALSE), "NULL")</f>
        <v/>
      </c>
      <c r="CM9" s="362" t="str">
        <f>IF(OR(Reagents!$Q$10="Stock slurry",Reagents!$Q$10="Stock solution"),VLOOKUP(9,Reagents!$B$1:$R$41,14,FALSE), VLOOKUP(9,Reagents!$B$1:$R$41,11,FALSE))</f>
        <v/>
      </c>
      <c r="CN9" s="214">
        <f>VLOOKUP(9,Reagents!$B$1:$R$41,17,FALSE)</f>
        <v>0</v>
      </c>
      <c r="CO9" s="284" t="e">
        <f>IF(OR(VLOOKUP(9,Reagents!$B$1:$M$41,4,FALSE)="solvent_2",VLOOKUP(9,Reagents!$B$1:$M$41,4,FALSE)="solvent_3"),VLOOKUP(9,Reagents!$B$1:$M$41,12,FALSE),IF(OR(Reagents!$Q$10="Stock slurry",Reagents!$Q$10="Stock solution"),CM9*CL9, CM9/VLOOKUP(9,Reagents!$B$1:$R$41,6,FALSE)*1000))</f>
        <v>#VALUE!</v>
      </c>
      <c r="CP9" s="214">
        <f>VLOOKUP(10,Reagents!$B$1:$M$41,2,FALSE)</f>
        <v>0</v>
      </c>
      <c r="CQ9" s="214">
        <f>VLOOKUP(10,Reagents!$B$1:$M$41,3,FALSE)</f>
        <v>0</v>
      </c>
      <c r="CR9" s="214" t="str">
        <f>IF(VLOOKUP(10,Reagents!$B$1:$M$41,5,FALSE)=0, "NULL", VLOOKUP(10,Reagents!$B$1:$M$41,5,FALSE))</f>
        <v>NULL</v>
      </c>
      <c r="CS9" s="214" t="str">
        <f>IF(OR(Reagents!$Q$11="Stock slurry",Reagents!$Q$11="Stock solution"),VLOOKUP(10,Reagents!$B$1:$R$41,13,FALSE), "NULL")</f>
        <v/>
      </c>
      <c r="CT9" s="362" t="str">
        <f>IF(OR(Reagents!$Q$11="Stock slurry",Reagents!$Q$11="Stock solution"),VLOOKUP(10,Reagents!$B$1:$R$41,14,FALSE), VLOOKUP(10,Reagents!$B$1:$R$41,11,FALSE))</f>
        <v/>
      </c>
      <c r="CU9" s="214">
        <f>VLOOKUP(10,Reagents!$B$1:$R$41,17,FALSE)</f>
        <v>0</v>
      </c>
      <c r="CV9" s="284" t="e">
        <f>IF(OR(VLOOKUP(10,Reagents!$B$1:$M$41,4,FALSE)="solvent_2",VLOOKUP(10,Reagents!$B$1:$M$41,4,FALSE)="solvent_3"),VLOOKUP(10,Reagents!$B$1:$M$41,12,FALSE),IF(OR(Reagents!$Q$11="Stock slurry",Reagents!$Q$11="Stock solution"),CT9*CS9, CT9/VLOOKUP(10,Reagents!$B$1:$R$41,6,FALSE)*1000))</f>
        <v>#VALUE!</v>
      </c>
      <c r="CW9" s="214" t="str">
        <f>VLOOKUP(B9+10,Reagents!$B$1:$R$41,2,FALSE)</f>
        <v/>
      </c>
      <c r="CX9" s="214">
        <f>VLOOKUP(B9+10,Reagents!$B$1:$R$41,3,FALSE)</f>
        <v>0</v>
      </c>
      <c r="CY9" s="214" t="str">
        <f>IF(VLOOKUP(B9+10,Reagents!$B$1:$M$41,5,FALSE)=0, "NULL", VLOOKUP(B9+10,Reagents!$B$1:$M$41,5,FALSE))</f>
        <v>NULL</v>
      </c>
      <c r="CZ9" s="214" t="str">
        <f>IF(OR(Reagents!$Q$12="Stock slurry",Reagents!$Q$12="Stock solution"),VLOOKUP(B9+10,Reagents!$B$1:$R$41,13,FALSE), "NULL")</f>
        <v/>
      </c>
      <c r="DA9" s="362" t="str">
        <f>IF(OR(Reagents!$Q$12="Stock slurry",Reagents!$Q$12="Stock solution"),VLOOKUP(B9+10,Reagents!$B$1:$R$41,14,FALSE), VLOOKUP(B9+10,Reagents!$B$1:$R$41,11,FALSE))</f>
        <v/>
      </c>
      <c r="DB9" s="214">
        <f>VLOOKUP(B9+10,Reagents!$B$1:$R$41,17,FALSE)</f>
        <v>0</v>
      </c>
      <c r="DC9" s="284" t="e">
        <f>IF(OR(v1_col="solvent_2",v1_col="solvent_3"),VLOOKUP(B9+10,Reagents!$B$1:$M$41,12,FALSE),IF(OR(Reagents!$Q$12="Stock slurry",Reagents!$Q$12="Stock solution"),DA9*CZ9, DA9/VLOOKUP(B9+10,Reagents!$B$1:$R$41,6,FALSE)*1000))</f>
        <v>#VALUE!</v>
      </c>
      <c r="DD9" s="214" t="str">
        <f>VLOOKUP(B9+22,Reagents!$B$1:$M$41,2,FALSE)</f>
        <v/>
      </c>
      <c r="DE9" s="214">
        <f>VLOOKUP(B9+22,Reagents!$B$1:$R$41,3,FALSE)</f>
        <v>0</v>
      </c>
      <c r="DF9" s="214" t="str">
        <f>IF(VLOOKUP(B9+22,Reagents!$B$1:$M$41,5,FALSE)=0, "NULL", VLOOKUP(B9+22,Reagents!$B$1:$M$41,5,FALSE))</f>
        <v>NULL</v>
      </c>
      <c r="DG9" s="214" t="str">
        <f>IF(OR(Reagents!$Q$18="Stock slurry",Reagents!$Q$12="Stock solution"),VLOOKUP(B9+22,Reagents!$B$1:$R$41,13,FALSE), "NULL")</f>
        <v/>
      </c>
      <c r="DH9" s="362" t="str">
        <f>IF(OR(Reagents!$Q$18="Stock slurry",Reagents!$Q$18="Stock solution"),VLOOKUP(B9+22,Reagents!$B$1:$R$41,14,FALSE), VLOOKUP(B9+22,Reagents!$B$1:$R$41,11,FALSE))</f>
        <v/>
      </c>
      <c r="DI9" s="214">
        <f>VLOOKUP(B9+22,Reagents!$B$1:$R$41,17,FALSE)</f>
        <v>0</v>
      </c>
      <c r="DJ9" s="284" t="e">
        <f>IF(OR(v2_col="solvent_2",v2_col="solvent_3"),VLOOKUP(B9+22,Reagents!$B$1:$M$41,12,FALSE),IF(OR(Reagents!$Q$18="Stock slurry",Reagents!$Q$18="Stock solution"),DH9*DG9, DH9/VLOOKUP(B9+22,Reagents!$B$1:$R$41,6,FALSE)*1000))</f>
        <v>#VALUE!</v>
      </c>
      <c r="DK9" s="214" t="str">
        <f>VLOOKUP(B9+34,Reagents!$B$1:$M$41,2,FALSE)</f>
        <v/>
      </c>
      <c r="DL9" s="214">
        <f>VLOOKUP(B9+34,Reagents!$B$1:$R$41,3,FALSE)</f>
        <v>0</v>
      </c>
      <c r="DM9" s="214" t="str">
        <f>IF(VLOOKUP(B9+34,Reagents!$B$1:$M$41,5,FALSE)=0, "NULL", VLOOKUP(B9+34,Reagents!$B$1:$M$41,5,FALSE))</f>
        <v>NULL</v>
      </c>
      <c r="DN9" s="214" t="str">
        <f>IF(OR(Reagents!$Q$24="Stock slurry",Reagents!$Q$12="Stock solution"),VLOOKUP(B9+34,Reagents!$B$1:$R$41,13,FALSE), "NULL")</f>
        <v/>
      </c>
      <c r="DO9" s="362" t="str">
        <f>IF(OR(Reagents!$Q$24="Stock slurry",Reagents!$Q$24="Stock solution"),VLOOKUP(B9+34,Reagents!$B$1:$R$41,14,FALSE), VLOOKUP(B9+34,Reagents!$B$1:$R$41,11,FALSE))</f>
        <v/>
      </c>
      <c r="DP9" s="214">
        <f>VLOOKUP(B9+34,Reagents!$B$1:$R$41,17,FALSE)</f>
        <v>0</v>
      </c>
      <c r="DQ9" s="284" t="e">
        <f>IF(OR(v3_col="solvent_2",v3_col="solvent_3"),VLOOKUP(B9+34,Reagents!$B$1:$M$41,12,FALSE),IF(OR(Reagents!$Q$24="Stock slurry",Reagents!$Q$24="Stock solution"),DO9*DN9, DO9/VLOOKUP(B9+34,Reagents!$B$1:$R$41,6,FALSE)*1000))</f>
        <v>#VALUE!</v>
      </c>
      <c r="DR9" s="214" t="str">
        <f>VLOOKUP(C9+46,Reagents!$B$1:$M$41,2,FALSE)</f>
        <v/>
      </c>
      <c r="DS9" s="214">
        <f>VLOOKUP(C9+46,Reagents!$B$1:$M$41,3,FALSE)</f>
        <v>0</v>
      </c>
      <c r="DT9" s="214" t="str">
        <f>IF(VLOOKUP(C9+46,Reagents!$B$1:$M$41,5,FALSE)=0, "NULL", VLOOKUP(C9+46,Reagents!$B$1:$M$41,5,FALSE))</f>
        <v>NULL</v>
      </c>
      <c r="DU9" s="214" t="str">
        <f>IF(OR(Reagents!$Q$30="Stock slurry",Reagents!$Q$30="Stock solution"),VLOOKUP(C9+46,Reagents!$B$1:$R$41,13,FALSE), "NULL")</f>
        <v/>
      </c>
      <c r="DV9" s="362" t="str">
        <f>IF(OR(Reagents!$Q$30="Stock slurry",Reagents!$Q$30="Stock solution"),VLOOKUP(C9+46,Reagents!$B$1:$R$41,14,FALSE), VLOOKUP(C9+46,Reagents!$B$1:$R$41,11,FALSE))</f>
        <v/>
      </c>
      <c r="DW9" s="214">
        <f>VLOOKUP(C9+46,Reagents!$B$1:$R$41,17,FALSE)</f>
        <v>0</v>
      </c>
      <c r="DX9" s="284" t="e">
        <f>IF(OR(v4_row="solvent_2",v4_row="solvent_3"),VLOOKUP(C9+46,Reagents!$B$1:$M$41,12,FALSE),IF(OR(Reagents!$Q$30="Stock slurry",Reagents!$Q$30="Stock solution"),DV9*DU9, DV9/VLOOKUP(C9+46,Reagents!$B$1:$R$41,6,FALSE)*1000))</f>
        <v>#VALUE!</v>
      </c>
      <c r="DY9" s="214" t="str">
        <f>VLOOKUP(C9+54,Reagents!$B$1:$M$41,2,FALSE)</f>
        <v/>
      </c>
      <c r="DZ9" s="214">
        <f>VLOOKUP(C9+54,Reagents!$B$1:$M$41,3,FALSE)</f>
        <v>0</v>
      </c>
      <c r="EA9" s="214" t="str">
        <f>IF(VLOOKUP(C9+54,Reagents!$B$1:$M$41,5,FALSE)=0, "NULL", VLOOKUP(C9+54,Reagents!$B$1:$M$41,5,FALSE))</f>
        <v>NULL</v>
      </c>
      <c r="EB9" s="214" t="str">
        <f>IF(OR(Reagents!$Q$34="Stock slurry",Reagents!$Q$34="Stock solution"),VLOOKUP(C9+54,Reagents!$B$1:$R$41,13,FALSE), "NULL")</f>
        <v/>
      </c>
      <c r="EC9" s="362" t="str">
        <f>IF(OR(Reagents!$Q$34="Stock slurry",Reagents!$Q$34="Stock solution"),VLOOKUP(C9+54,Reagents!$B$1:$R$41,14,FALSE), VLOOKUP(C9+54,Reagents!$B$1:$R$41,11,FALSE))</f>
        <v/>
      </c>
      <c r="ED9" s="214">
        <f>VLOOKUP(C9+54,Reagents!$B$1:$R$41,17,FALSE)</f>
        <v>0</v>
      </c>
      <c r="EE9" s="284" t="e">
        <f>IF(OR(v5_row="solvent_2",v5_row="solvent_3"),VLOOKUP(C9+54,Reagents!$B$1:$M$41,12,FALSE),IF(OR(Reagents!$Q$34="Stock slurry",Reagents!$Q$34="Stock solution"),EC9*EB9, EC9/VLOOKUP(C9+54,Reagents!$B$1:$R$41,6,FALSE)*1000))</f>
        <v>#VALUE!</v>
      </c>
      <c r="EF9" s="214" t="str">
        <f>VLOOKUP(C9+62,Reagents!$B$1:$M$41,2,FALSE)</f>
        <v/>
      </c>
      <c r="EG9" s="214">
        <f>VLOOKUP(C9+62,Reagents!$B$1:$M$41,3,FALSE)</f>
        <v>0</v>
      </c>
      <c r="EH9" s="214" t="str">
        <f>IF(VLOOKUP(C9+62,Reagents!$B$1:$M$41,5,FALSE)=0, "NULL", VLOOKUP(C9+62,Reagents!$B$1:$M$41,5,FALSE))</f>
        <v>NULL</v>
      </c>
      <c r="EI9" s="214" t="str">
        <f>IF(OR(Reagents!$Q$38="Stock slurry",Reagents!$Q$38="Stock solution"),VLOOKUP(C9+62,Reagents!$B$1:$R$41,13,FALSE), "NULL")</f>
        <v/>
      </c>
      <c r="EJ9" s="362" t="str">
        <f>IF(OR(Reagents!$Q$38="Stock slurry",Reagents!$Q$38="Stock solution"),VLOOKUP(C9+62,Reagents!$B$1:$R$41,14,FALSE), VLOOKUP(C9+62,Reagents!$B$1:$R$41,11,FALSE))</f>
        <v/>
      </c>
      <c r="EK9" s="214">
        <f>VLOOKUP(C9+62,Reagents!$B$1:$R$41,17,FALSE)</f>
        <v>0</v>
      </c>
      <c r="EL9" s="284" t="e">
        <f>IF(OR(v6_row="solvent_2",v6_row="solvent_3"),VLOOKUP(C9+62,Reagents!$B$1:$M$41,12,FALSE),IF(OR(Reagents!$Q$38="Stock slurry",Reagents!$Q$38="Stock solution"),EJ9*EI9, EJ9/VLOOKUP(C9+62,Reagents!$B$1:$R$41,6,FALSE)*1000))</f>
        <v>#VALUE!</v>
      </c>
      <c r="EM9" s="214">
        <f>VLOOKUP(19,'Plate Planning'!$A$1:$T$35,13,FALSE)</f>
        <v>0</v>
      </c>
      <c r="EN9" s="214">
        <f>VLOOKUP(19,'Plate Planning'!$A$1:$T$35,14,FALSE)</f>
        <v>0</v>
      </c>
      <c r="EO9" s="214">
        <f>VLOOKUP(19,'Plate Planning'!$A$1:$T$35,15,FALSE)</f>
        <v>0</v>
      </c>
      <c r="EP9" s="214">
        <f>VLOOKUP(A9,'Uncorrected Area Counts'!$A$1:$AS$27,3,FALSE)</f>
        <v>0</v>
      </c>
      <c r="EQ9" s="214" t="str">
        <f>VLOOKUP(A9,'Uncorrected Area Counts'!$A$1:$AS$27,4,FALSE)</f>
        <v/>
      </c>
      <c r="ER9" s="214" t="str">
        <f>VLOOKUP(A9,'Uncorrected Area Counts'!$A$1:$AS$27,5,FALSE)</f>
        <v/>
      </c>
      <c r="ES9" s="214">
        <f>VLOOKUP(20,'Plate Planning'!$A$1:$T$35,15,FALSE)</f>
        <v>0</v>
      </c>
      <c r="ET9" s="214">
        <f>VLOOKUP(A9,'Uncorrected Area Counts'!$A$1:$AS$27,7,FALSE)</f>
        <v>0</v>
      </c>
      <c r="EU9" s="214" t="e">
        <f>VLOOKUP(A9,'Uncorrected Area Counts'!$A$1:$AS$27,7,FALSE)/VLOOKUP(A9,'Uncorrected Area Counts'!$A$1:$AS$27,3,FALSE)</f>
        <v>#DIV/0!</v>
      </c>
      <c r="EV9" s="214" t="str">
        <f>IFERROR(VLOOKUP(A9,'Yields &amp; LCAPs'!$A$1:$V$27,3,FALSE), "NULL")</f>
        <v>NULL</v>
      </c>
      <c r="EW9" s="284" t="str">
        <f>IFERROR(VLOOKUP(A9,'Yields &amp; LCAPs'!$A$1:$V$27,4,FALSE), "NULL")</f>
        <v>NULL</v>
      </c>
      <c r="EX9" s="214" t="str">
        <f>VLOOKUP(A9,'Uncorrected Area Counts'!$A$1:$AS$27,8,FALSE)</f>
        <v/>
      </c>
      <c r="EY9" s="214" t="str">
        <f>VLOOKUP(A9,'Uncorrected Area Counts'!$A$1:$AS$27,9,FALSE)</f>
        <v/>
      </c>
      <c r="EZ9" s="214">
        <f>VLOOKUP(22,'Plate Planning'!$A$1:$T$35,15,FALSE)</f>
        <v>0</v>
      </c>
      <c r="FA9" s="214">
        <f>VLOOKUP(A9,'Uncorrected Area Counts'!$A$1:$AS$27,11,FALSE)</f>
        <v>0</v>
      </c>
      <c r="FB9" s="214" t="e">
        <f>VLOOKUP(A9,'Uncorrected Area Counts'!$A$1:$AS$27,11,FALSE)/VLOOKUP(A9,'Uncorrected Area Counts'!$A$1:$AS$27,3,FALSE)</f>
        <v>#DIV/0!</v>
      </c>
      <c r="FC9" s="214" t="str">
        <f>IFERROR(VLOOKUP(A9,'Yields &amp; LCAPs'!$A$1:$V$27,5,FALSE), "NULL")</f>
        <v>NULL</v>
      </c>
      <c r="FD9" s="284" t="str">
        <f>IFERROR(VLOOKUP(A9,'Yields &amp; LCAPs'!$A$1:$V$27,6,FALSE), "NULL")</f>
        <v>NULL</v>
      </c>
      <c r="FE9" s="214" t="str">
        <f>VLOOKUP(A9,'Uncorrected Area Counts'!$A$1:$AS$27,12,FALSE)</f>
        <v/>
      </c>
      <c r="FF9" s="214" t="str">
        <f>VLOOKUP(A9,'Uncorrected Area Counts'!$A$1:$AS$27,13,FALSE)</f>
        <v/>
      </c>
      <c r="FG9" s="214">
        <f>VLOOKUP(24,'Plate Planning'!$A$1:$T$35,15,FALSE)</f>
        <v>0</v>
      </c>
      <c r="FH9" s="214">
        <f>VLOOKUP(A9,'Uncorrected Area Counts'!$A$1:$AS$27,15,FALSE)</f>
        <v>0</v>
      </c>
      <c r="FI9" s="214" t="e">
        <f>VLOOKUP(A9,'Uncorrected Area Counts'!$A$1:$AS$27,15,FALSE)/VLOOKUP(A9,'Uncorrected Area Counts'!$A$1:$AS$27,3,FALSE)</f>
        <v>#DIV/0!</v>
      </c>
      <c r="FJ9" s="214" t="str">
        <f>IFERROR(VLOOKUP(A9,'Yields &amp; LCAPs'!$A$1:$V$27,7,FALSE), "NULL")</f>
        <v>NULL</v>
      </c>
      <c r="FK9" s="284" t="str">
        <f>IFERROR(VLOOKUP(A9,'Yields &amp; LCAPs'!$A$1:$V$27,8,FALSE), "NULL")</f>
        <v>NULL</v>
      </c>
      <c r="FL9" s="214" t="str">
        <f>VLOOKUP(A9,'Uncorrected Area Counts'!$A$1:$AS$27,16,FALSE)</f>
        <v/>
      </c>
      <c r="FM9" s="214" t="str">
        <f>VLOOKUP(A9,'Uncorrected Area Counts'!$A$1:$AS$27,17,FALSE)</f>
        <v/>
      </c>
      <c r="FN9" s="214">
        <f>VLOOKUP(26,'Plate Planning'!$A$1:$T$35,15,FALSE)</f>
        <v>0</v>
      </c>
      <c r="FO9" s="214">
        <f>VLOOKUP(A9,'Uncorrected Area Counts'!$A$1:$AS$27,19,FALSE)</f>
        <v>0</v>
      </c>
      <c r="FP9" s="214" t="e">
        <f>VLOOKUP(A9,'Uncorrected Area Counts'!$A$1:$AS$27,19,FALSE)/VLOOKUP(A9,'Uncorrected Area Counts'!$A$1:$AS$27,3,FALSE)</f>
        <v>#DIV/0!</v>
      </c>
      <c r="FQ9" s="214" t="str">
        <f>IFERROR(VLOOKUP(A9,'Yields &amp; LCAPs'!$A$1:$V$27,9,FALSE), "NULL")</f>
        <v>NULL</v>
      </c>
      <c r="FR9" s="284" t="str">
        <f>IFERROR(VLOOKUP(A9,'Yields &amp; LCAPs'!$A$1:$V$27,10,FALSE), "NULL")</f>
        <v>NULL</v>
      </c>
      <c r="FS9" s="214" t="str">
        <f>VLOOKUP(A9,'Uncorrected Area Counts'!$A$1:$AS$27,20,FALSE)</f>
        <v/>
      </c>
      <c r="FT9" s="214" t="str">
        <f>VLOOKUP(A9,'Uncorrected Area Counts'!$A$1:$AS$27,21,FALSE)</f>
        <v/>
      </c>
      <c r="FU9" s="214">
        <f>VLOOKUP(27,'Plate Planning'!$A$1:$T$35,15,FALSE)</f>
        <v>0</v>
      </c>
      <c r="FV9" s="214">
        <f>VLOOKUP(A9,'Uncorrected Area Counts'!$A$1:$AS$27,23,FALSE)</f>
        <v>0</v>
      </c>
      <c r="FW9" s="214" t="e">
        <f>VLOOKUP(A9,'Uncorrected Area Counts'!$A$1:$AS$27,23,FALSE)/VLOOKUP(A9,'Uncorrected Area Counts'!$A$1:$AS$27,3,FALSE)</f>
        <v>#DIV/0!</v>
      </c>
      <c r="FX9" s="214" t="str">
        <f>IFERROR(VLOOKUP(A9,'Yields &amp; LCAPs'!$A$1:$V$27,11,FALSE), "NULL")</f>
        <v>NULL</v>
      </c>
      <c r="FY9" s="284" t="str">
        <f>IFERROR(VLOOKUP(A9,'Yields &amp; LCAPs'!$A$1:$V$27,12,FALSE), "NULL")</f>
        <v>NULL</v>
      </c>
      <c r="FZ9" s="411" t="str">
        <f>VLOOKUP(A9,'Uncorrected Area Counts'!$A$1:$AS$27,24,FALSE)</f>
        <v/>
      </c>
      <c r="GA9" s="214" t="str">
        <f>VLOOKUP(A9,'Uncorrected Area Counts'!$A$1:$AS$27,25,FALSE)</f>
        <v/>
      </c>
      <c r="GB9" s="214">
        <f>VLOOKUP(28,'Plate Planning'!$A$1:$T$35,15,FALSE)</f>
        <v>0</v>
      </c>
      <c r="GC9" s="214">
        <f>VLOOKUP(A9,'Uncorrected Area Counts'!$A$1:$AS$27,27,FALSE)</f>
        <v>0</v>
      </c>
      <c r="GD9" s="214" t="e">
        <f>VLOOKUP(A9,'Uncorrected Area Counts'!$A$1:$AS$27,27,FALSE)/VLOOKUP(A9,'Uncorrected Area Counts'!$A$1:$AS$27,3,FALSE)</f>
        <v>#DIV/0!</v>
      </c>
      <c r="GE9" s="214" t="str">
        <f>IFERROR(VLOOKUP(A9,'Yields &amp; LCAPs'!$A$1:$V$27,13,FALSE), "NULL")</f>
        <v>NULL</v>
      </c>
      <c r="GF9" s="284" t="str">
        <f>IFERROR(VLOOKUP(A9,'Yields &amp; LCAPs'!$A$1:$V$27,14,FALSE), "NULL")</f>
        <v>NULL</v>
      </c>
      <c r="GG9" s="214" t="str">
        <f>VLOOKUP(A9,'Uncorrected Area Counts'!$A$1:$AS$27,28,FALSE)</f>
        <v/>
      </c>
      <c r="GH9" s="214" t="str">
        <f>VLOOKUP(A9,'Uncorrected Area Counts'!$A$1:$AS$27,29,FALSE)</f>
        <v/>
      </c>
      <c r="GI9" s="214">
        <f>VLOOKUP(29,'Plate Planning'!$A$1:$T$35,15,FALSE)</f>
        <v>0</v>
      </c>
      <c r="GJ9" s="214">
        <f>VLOOKUP(A9,'Uncorrected Area Counts'!$A$1:$AS$27,31,FALSE)</f>
        <v>0</v>
      </c>
      <c r="GK9" s="214" t="e">
        <f>VLOOKUP(A9,'Uncorrected Area Counts'!$A$1:$AS$27,31,FALSE)/VLOOKUP(A9,'Uncorrected Area Counts'!$A$1:$AS$27,3,FALSE)</f>
        <v>#DIV/0!</v>
      </c>
      <c r="GL9" s="214" t="str">
        <f>IFERROR(VLOOKUP(A9,'Yields &amp; LCAPs'!$A$1:$V$27,15,FALSE), "NULL")</f>
        <v>NULL</v>
      </c>
      <c r="GM9" s="284" t="str">
        <f>IFERROR(VLOOKUP(A9,'Yields &amp; LCAPs'!$A$1:$V$27,16,FALSE), "NULL")</f>
        <v>NULL</v>
      </c>
      <c r="GN9" s="214" t="str">
        <f>VLOOKUP(A9,'Uncorrected Area Counts'!$A$1:$AS$27,32,FALSE)</f>
        <v/>
      </c>
      <c r="GO9" s="214" t="str">
        <f>VLOOKUP(A9,'Uncorrected Area Counts'!$A$1:$AS$27,33,FALSE)</f>
        <v/>
      </c>
      <c r="GP9" s="214">
        <f>VLOOKUP(30,'Plate Planning'!$A$1:$T$35,15,FALSE)</f>
        <v>0</v>
      </c>
      <c r="GQ9" s="214">
        <f>VLOOKUP(A9,'Uncorrected Area Counts'!$A$1:$AS$27,35,FALSE)</f>
        <v>0</v>
      </c>
      <c r="GR9" s="214" t="e">
        <f>VLOOKUP(A9,'Uncorrected Area Counts'!$A$1:$AS$27,35,FALSE)/VLOOKUP(A9,'Uncorrected Area Counts'!$A$1:$AS$27,3,FALSE)</f>
        <v>#DIV/0!</v>
      </c>
      <c r="GS9" s="214" t="str">
        <f>IFERROR(VLOOKUP(A9,'Yields &amp; LCAPs'!$A$1:$V$27,17,FALSE), "NULL")</f>
        <v>NULL</v>
      </c>
      <c r="GT9" s="284" t="str">
        <f>IFERROR(VLOOKUP(A9,'Yields &amp; LCAPs'!$A$1:$V$27,18,FALSE), "NULL")</f>
        <v>NULL</v>
      </c>
      <c r="GU9" s="214" t="str">
        <f>VLOOKUP(A9,'Uncorrected Area Counts'!$A$1:$AS$27,36,FALSE)</f>
        <v/>
      </c>
      <c r="GV9" s="214" t="str">
        <f>VLOOKUP(A9,'Uncorrected Area Counts'!$A$1:$AS$27,37,FALSE)</f>
        <v/>
      </c>
      <c r="GW9" s="214">
        <f>VLOOKUP(31,'Plate Planning'!$A$1:$T$35,15,FALSE)</f>
        <v>0</v>
      </c>
      <c r="GX9" s="214">
        <f>VLOOKUP(A9,'Uncorrected Area Counts'!$A$1:$AS$27,39,FALSE)</f>
        <v>0</v>
      </c>
      <c r="GY9" s="214" t="e">
        <f>VLOOKUP(A9,'Uncorrected Area Counts'!$A$1:$AS$27,39,FALSE)/VLOOKUP(A9,'Uncorrected Area Counts'!$A$1:$AS$27,3,FALSE)</f>
        <v>#DIV/0!</v>
      </c>
      <c r="GZ9" s="214" t="str">
        <f>IFERROR(VLOOKUP(A9,'Yields &amp; LCAPs'!$A$1:$V$27,19,FALSE), "NULL")</f>
        <v>NULL</v>
      </c>
      <c r="HA9" s="284" t="str">
        <f>IFERROR(VLOOKUP(A9,'Yields &amp; LCAPs'!$A$1:$V$27,20,FALSE), "NULL")</f>
        <v>NULL</v>
      </c>
      <c r="HB9" s="214" t="str">
        <f>VLOOKUP(A9,'Uncorrected Area Counts'!$A$1:$AS$27,40,FALSE)</f>
        <v/>
      </c>
      <c r="HC9" s="214" t="str">
        <f>VLOOKUP(A9,'Uncorrected Area Counts'!$A$1:$AS$27,41,FALSE)</f>
        <v/>
      </c>
      <c r="HD9" s="214">
        <f>VLOOKUP(32,'Plate Planning'!$A$1:$T$35,15,FALSE)</f>
        <v>0</v>
      </c>
      <c r="HE9" s="214">
        <f>VLOOKUP(A9,'Uncorrected Area Counts'!$A$1:$AS$27,43,FALSE)</f>
        <v>0</v>
      </c>
      <c r="HF9" s="214" t="e">
        <f>VLOOKUP(A9,'Uncorrected Area Counts'!$A$1:$AS$27,43,FALSE)/VLOOKUP(A9,'Uncorrected Area Counts'!$A$1:$AS$27,3,FALSE)</f>
        <v>#DIV/0!</v>
      </c>
      <c r="HG9" s="214" t="str">
        <f>IFERROR(VLOOKUP(A9,'Yields &amp; LCAPs'!$A$1:$V$27,21,FALSE), "NULL")</f>
        <v>NULL</v>
      </c>
      <c r="HH9" s="284" t="str">
        <f>IFERROR(VLOOKUP(A9,'Yields &amp; LCAPs'!$A$1:$V$27,22,FALSE), "NULL")</f>
        <v>NULL</v>
      </c>
      <c r="HI9" s="362"/>
      <c r="HJ9" s="362"/>
      <c r="HK9" s="362"/>
      <c r="HL9" s="362"/>
      <c r="HM9" s="363"/>
      <c r="HN9" s="362"/>
      <c r="HO9" s="362"/>
      <c r="HP9" s="362"/>
      <c r="HQ9" s="362"/>
      <c r="HR9" s="363"/>
    </row>
    <row r="10" spans="1:230">
      <c r="A10" s="216" t="s">
        <v>1175</v>
      </c>
      <c r="B10" s="214">
        <v>3</v>
      </c>
      <c r="C10" s="214">
        <v>2</v>
      </c>
      <c r="D10" s="214" t="str">
        <f>VLOOKUP(18,'Plate Planning'!$A$1:$T$35,10,FALSE)&amp;"_"&amp;VLOOKUP(19,'Plate Planning'!$A$1:$T$35,10,FALSE)&amp;"_"&amp;A10</f>
        <v>__B3</v>
      </c>
      <c r="E10" s="214" t="str">
        <f>IF(VLOOKUP(18,'Plate Planning'!$A$1:$T$35,10,FALSE)="", "NULL", VLOOKUP(18,'Plate Planning'!$A$1:$T$35,10,FALSE))</f>
        <v>NULL</v>
      </c>
      <c r="F10" s="214" t="str">
        <f>IF(VLOOKUP(19,'Plate Planning'!$A$1:$T$35,10,FALSE)="", "NULL", VLOOKUP(19,'Plate Planning'!$A$1:$T$35,10,FALSE))</f>
        <v>NULL</v>
      </c>
      <c r="G10" s="214" t="str">
        <f>IF(VLOOKUP(20,'Plate Planning'!$A$1:$T$35,10,FALSE)="", "NULL", VLOOKUP(20,'Plate Planning'!$A$1:$T$35,10,FALSE))</f>
        <v>NULL</v>
      </c>
      <c r="H10" s="214" t="str">
        <f>IF(VLOOKUP(21,'Plate Planning'!$A$1:$T$35,10,FALSE)="", "NULL", VLOOKUP(21,'Plate Planning'!$A$1:$T$35,10,FALSE))</f>
        <v>NULL</v>
      </c>
      <c r="I10" s="214" t="str">
        <f>IF(VLOOKUP(23,'Plate Planning'!$A$1:$T$35,10,FALSE)="", "NULL", VLOOKUP(23,'Plate Planning'!$A$1:$T$35,10,FALSE))</f>
        <v>NULL</v>
      </c>
      <c r="J10" s="214" t="str">
        <f>IF(VLOOKUP(22,'Plate Planning'!$A$1:$T$35,10,FALSE)="", "NULL", VLOOKUP(22,'Plate Planning'!$A$1:$T$35,10,FALSE))</f>
        <v>NULL</v>
      </c>
      <c r="K10" s="214" t="str">
        <f>VLOOKUP(24,'Plate Planning'!$A$1:$T$35,10,FALSE)</f>
        <v>Glovebox</v>
      </c>
      <c r="L10" s="214" t="str">
        <f>IF(VLOOKUP(25,'Plate Planning'!$A$1:$T$35,10,FALSE)="","NULL",VLOOKUP(25,'Plate Planning'!$A$1:$T$35,10,FALSE))</f>
        <v>NULL</v>
      </c>
      <c r="M10" s="214" t="str">
        <f>VLOOKUP(26,'Plate Planning'!$A$1:$T$35,10,FALSE)</f>
        <v>ambient</v>
      </c>
      <c r="N10" s="214" t="str">
        <f>IF(VLOOKUP(27,'Plate Planning'!$A$1:$T$35,10,FALSE)=0,"NULL", VLOOKUP(27,'Plate Planning'!$A$1:$T$35,10,FALSE))</f>
        <v>NULL</v>
      </c>
      <c r="O10" s="214" t="str">
        <f>IF(VLOOKUP(3,'Plate Planning'!$A$2:$S$35,18,FALSE)="", "NULL", VLOOKUP(3,'Plate Planning'!$A$2:$S$35,18,FALSE))</f>
        <v>NULL</v>
      </c>
      <c r="P10" s="214" t="str">
        <f>IF(VLOOKUP(4,'Plate Planning'!$A$2:$S$35,18,FALSE)="", "NULL", VLOOKUP(4,'Plate Planning'!$A$2:$S$35,18,FALSE))</f>
        <v>NULL</v>
      </c>
      <c r="Q10" s="214" t="str">
        <f>IF(VLOOKUP(5,'Plate Planning'!$A$2:$S$35,18,FALSE)="", "NULL", VLOOKUP(5,'Plate Planning'!$A$2:$S$35,18,FALSE))</f>
        <v>NULL</v>
      </c>
      <c r="R10" s="214" t="str">
        <f>IF(VLOOKUP(6,'Plate Planning'!$A$2:$S$35,18,FALSE)="", "NULL", VLOOKUP(6,'Plate Planning'!$A$2:$S$35,18,FALSE))</f>
        <v>NULL</v>
      </c>
      <c r="S10" s="214" t="str">
        <f>IF(VLOOKUP(7,'Plate Planning'!$A$2:$S$35,18,FALSE)="", "NULL", VLOOKUP(7,'Plate Planning'!$A$2:$S$35,18,FALSE))</f>
        <v>NULL</v>
      </c>
      <c r="T10" s="214" t="str">
        <f>IF(VLOOKUP(28,'Plate Planning'!$A$1:$T$35,10,FALSE)=0,"NULL",VLOOKUP(28,'Plate Planning'!$A$1:$T$35,10,FALSE))</f>
        <v>NULL</v>
      </c>
      <c r="U10" s="214" t="str">
        <f>IFERROR(VLOOKUP(VLOOKUP(28,'Plate Planning'!$A$1:$T$35,10,FALSE),Dictionaries!$Q$2:$R$72,2,FALSE), "NULL")</f>
        <v>NULL</v>
      </c>
      <c r="V10" s="214" t="str">
        <f>IF(VLOOKUP(28,'Plate Planning'!$A$1:$T$35,10,FALSE)=0,"NULL",VLOOKUP(32,'Plate Planning'!$A$1:$T$35,10,FALSE))</f>
        <v>NULL</v>
      </c>
      <c r="W10" s="214" t="str">
        <f>IF(VLOOKUP(C10+3,'Plate Planning'!$A$1:$S$35,B10+4,FALSE)=0, "", VLOOKUP(C10+3,'Plate Planning'!$A$1:$S$35,B10+4,FALSE))</f>
        <v/>
      </c>
      <c r="X10" s="214" t="str">
        <f>IFERROR(VLOOKUP(W10,'Complex Variable'!$A$2:$S$25,2,FALSE), "")</f>
        <v/>
      </c>
      <c r="Y10" s="327" t="str">
        <f>IFERROR(VLOOKUP(W10,'Complex Variable'!$A$2:$S$25,3,FALSE), "")</f>
        <v/>
      </c>
      <c r="Z10" s="327" t="str">
        <f>IFERROR(VLOOKUP(W10,'Complex Variable'!$A$2:$S$25,5,FALSE), "")</f>
        <v/>
      </c>
      <c r="AA10" s="327" t="str">
        <f>IFERROR(VLOOKUP(W10,'Complex Variable'!$A$2:$S$25,14,FALSE), "")</f>
        <v/>
      </c>
      <c r="AB10" s="602" t="str">
        <f>IFERROR(VLOOKUP(W10,'Complex Variable'!$A$2:$S$25,19,FALSE), "")</f>
        <v/>
      </c>
      <c r="AC10" s="327" t="str">
        <f>IFERROR(VLOOKUP(W10,'Complex Variable'!$A$2:$S$25,13,FALSE), "")</f>
        <v/>
      </c>
      <c r="AD10" s="604" t="str">
        <f t="shared" si="0"/>
        <v/>
      </c>
      <c r="AE10" s="214">
        <f>VLOOKUP(1,Reagents!$B$1:$M$41,2,FALSE)</f>
        <v>0</v>
      </c>
      <c r="AF10" s="214">
        <f>VLOOKUP(1,Reagents!$B$1:$M$41,3,FALSE)</f>
        <v>0</v>
      </c>
      <c r="AG10" s="214" t="str">
        <f>IF(VLOOKUP(1,Reagents!$B$1:$M$41,5,FALSE)=0, "NULL", VLOOKUP(1,Reagents!$B$1:$M$41,5,FALSE))</f>
        <v>NULL</v>
      </c>
      <c r="AH10" s="214" t="str">
        <f>IF(OR(Reagents!$Q$2="Stock slurry",Reagents!$Q$2="Stock solution"),VLOOKUP(1,Reagents!$B$1:$R$41,13,FALSE), "NULL")</f>
        <v/>
      </c>
      <c r="AI10" s="362" t="str">
        <f>IF(OR(Reagents!$Q$2="Stock slurry",Reagents!$Q$2="Stock solution"),VLOOKUP(1,Reagents!$B$1:$R$41,14,FALSE), VLOOKUP(1,Reagents!$B$1:$R$41,11,FALSE))</f>
        <v/>
      </c>
      <c r="AJ10" s="214">
        <f>VLOOKUP(1,Reagents!$B$1:$R$41,17,FALSE)</f>
        <v>0</v>
      </c>
      <c r="AK10" s="284" t="e">
        <f>IF(OR(VLOOKUP(1,Reagents!$B$1:$M$41,4,FALSE)="solvent_2",VLOOKUP(1,Reagents!$B$1:$M$41,4,FALSE)="solvent_3"),VLOOKUP(1,Reagents!$B$1:$M$41,12,FALSE),IF(OR(Reagents!$Q$2="Stock slurry",Reagents!$Q$2="Stock solution"),AI10*AH10, AI10/VLOOKUP(1,Reagents!$B$1:$R$41,6,FALSE)*1000))</f>
        <v>#VALUE!</v>
      </c>
      <c r="AL10" s="214">
        <f>VLOOKUP(2,Reagents!$B$1:$M$41,2,FALSE)</f>
        <v>0</v>
      </c>
      <c r="AM10" s="214">
        <f>VLOOKUP(2,Reagents!$B$1:$M$41,3,FALSE)</f>
        <v>0</v>
      </c>
      <c r="AN10" s="214" t="str">
        <f>IF(VLOOKUP(2,Reagents!$B$1:$M$41,5,FALSE)=0, "NULL", VLOOKUP(2,Reagents!$B$1:$M$41,5,FALSE))</f>
        <v>NULL</v>
      </c>
      <c r="AO10" s="214" t="str">
        <f>IF(OR(Reagents!$Q$3="Stock slurry",Reagents!$Q$3="Stock solution"),VLOOKUP(2,Reagents!$B$1:$R$41,13,FALSE), "NULL")</f>
        <v/>
      </c>
      <c r="AP10" s="362" t="str">
        <f>IF(OR(Reagents!$Q$3="Stock slurry",Reagents!$Q$3="Stock solution"),VLOOKUP(2,Reagents!$B$1:$R$41,14,FALSE), VLOOKUP(2,Reagents!$B$1:$R$41,11,FALSE))</f>
        <v/>
      </c>
      <c r="AQ10" s="214">
        <f>VLOOKUP(2,Reagents!$B$1:$R$41,17,FALSE)</f>
        <v>0</v>
      </c>
      <c r="AR10" s="284" t="e">
        <f>IF(OR(VLOOKUP(2,Reagents!$B$1:$M$41,4,FALSE)="solvent_2",VLOOKUP(2,Reagents!$B$1:$M$41,4,FALSE)="solvent_3"),VLOOKUP(2,Reagents!$B$1:$M$41,12,FALSE),IF(OR(Reagents!$Q$3="Stock slurry",Reagents!$Q$3="Stock solution"),AP10*AO10, AP10/VLOOKUP(2,Reagents!$B$1:$R$41,6,FALSE)*1000))</f>
        <v>#VALUE!</v>
      </c>
      <c r="AS10" s="214">
        <f>VLOOKUP(3,Reagents!$B$1:$M$41,2,FALSE)</f>
        <v>0</v>
      </c>
      <c r="AT10" s="214">
        <f>VLOOKUP(3,Reagents!$B$1:$M$41,3,FALSE)</f>
        <v>0</v>
      </c>
      <c r="AU10" s="214" t="str">
        <f>IF(VLOOKUP(3,Reagents!$B$1:$M$41,5,FALSE)=0, "NULL", VLOOKUP(3,Reagents!$B$1:$M$41,5,FALSE))</f>
        <v>NULL</v>
      </c>
      <c r="AV10" s="214" t="str">
        <f>IF(OR(Reagents!$Q$4="Stock slurry",Reagents!$Q$4="Stock solution"),VLOOKUP(3,Reagents!$B$1:$R$41,13,FALSE), "NULL")</f>
        <v/>
      </c>
      <c r="AW10" s="362" t="str">
        <f>IF(OR(Reagents!$Q$4="Stock slurry",Reagents!$Q$4="Stock solution"),VLOOKUP(3,Reagents!$B$1:$R$41,14,FALSE), VLOOKUP(3,Reagents!$B$1:$R$41,11,FALSE))</f>
        <v/>
      </c>
      <c r="AX10" s="214">
        <f>VLOOKUP(3,Reagents!$B$1:$R$41,17,FALSE)</f>
        <v>0</v>
      </c>
      <c r="AY10" s="284" t="e">
        <f>IF(OR(VLOOKUP(3,Reagents!$B$1:$M$41,4,FALSE)="solvent_2",VLOOKUP(3,Reagents!$B$1:$M$41,4,FALSE)="solvent_3"),VLOOKUP(3,Reagents!$B$1:$M$41,12,FALSE),IF(OR(Reagents!$Q$4="Stock slurry",Reagents!$Q$4="Stock solution"),AW10*AV10, AW10/VLOOKUP(3,Reagents!$B$1:$R$41,6,FALSE)*1000))</f>
        <v>#VALUE!</v>
      </c>
      <c r="AZ10" s="214">
        <f>VLOOKUP(4,Reagents!$B$1:$M$41,2,FALSE)</f>
        <v>0</v>
      </c>
      <c r="BA10" s="214">
        <f>VLOOKUP(4,Reagents!$B$1:$M$41,3,FALSE)</f>
        <v>0</v>
      </c>
      <c r="BB10" s="214" t="str">
        <f>IF(VLOOKUP(4,Reagents!$B$1:$M$41,5,FALSE)=0, "NULL", VLOOKUP(4,Reagents!$B$1:$M$41,5,FALSE))</f>
        <v>NULL</v>
      </c>
      <c r="BC10" s="214" t="str">
        <f>IF(OR(Reagents!$Q$5="Stock slurry",Reagents!$Q$5="Stock solution"),VLOOKUP(4,Reagents!$B$1:$R$41,13,FALSE), "NULL")</f>
        <v/>
      </c>
      <c r="BD10" s="362" t="str">
        <f>IF(OR(Reagents!$Q$5="Stock slurry",Reagents!$Q$5="Stock solution"),VLOOKUP(4,Reagents!$B$1:$R$41,14,FALSE), VLOOKUP(4,Reagents!$B$1:$R$41,11,FALSE))</f>
        <v/>
      </c>
      <c r="BE10" s="214">
        <f>VLOOKUP(4,Reagents!$B$1:$R$41,17,FALSE)</f>
        <v>0</v>
      </c>
      <c r="BF10" s="284" t="e">
        <f>IF(OR(VLOOKUP(4,Reagents!$B$1:$M$41,4,FALSE)="solvent_2",VLOOKUP(4,Reagents!$B$1:$M$41,4,FALSE)="solvent_3"),VLOOKUP(4,Reagents!$B$1:$M$41,12,FALSE),IF(OR(Reagents!$Q$5="Stock slurry",Reagents!$Q$5="Stock solution"),BD10*BC10, BD10/VLOOKUP(4,Reagents!$B$1:$R$41,6,FALSE)*1000))</f>
        <v>#VALUE!</v>
      </c>
      <c r="BG10" s="214">
        <f>VLOOKUP(5,Reagents!$B$1:$M$41,2,FALSE)</f>
        <v>0</v>
      </c>
      <c r="BH10" s="214">
        <f>VLOOKUP(5,Reagents!$B$1:$M$41,3,FALSE)</f>
        <v>0</v>
      </c>
      <c r="BI10" s="214" t="str">
        <f>IF(VLOOKUP(5,Reagents!$B$1:$M$41,5,FALSE)=0, "NULL", VLOOKUP(5,Reagents!$B$1:$M$41,5,FALSE))</f>
        <v>NULL</v>
      </c>
      <c r="BJ10" s="214" t="str">
        <f>IF(OR(Reagents!$Q$6="Stock slurry",Reagents!$Q$6="Stock solution"),VLOOKUP(5,Reagents!$B$1:$R$41,13,FALSE), "NULL")</f>
        <v/>
      </c>
      <c r="BK10" s="362" t="str">
        <f>IF(OR(Reagents!$Q$6="Stock slurry",Reagents!$Q$6="Stock solution"),VLOOKUP(5,Reagents!$B$1:$R$41,14,FALSE), VLOOKUP(5,Reagents!$B$1:$R$41,11,FALSE))</f>
        <v/>
      </c>
      <c r="BL10" s="214">
        <f>VLOOKUP(5,Reagents!$B$1:$R$41,17,FALSE)</f>
        <v>0</v>
      </c>
      <c r="BM10" s="284" t="e">
        <f>IF(OR(VLOOKUP(5,Reagents!$B$1:$M$41,4,FALSE)="solvent_2",VLOOKUP(5,Reagents!$B$1:$M$41,4,FALSE)="solvent_3"),VLOOKUP(5,Reagents!$B$1:$M$41,12,FALSE),IF(OR(Reagents!$Q$6="Stock slurry",Reagents!$Q$6="Stock solution"),BK10*BJ10, BK10/VLOOKUP(5,Reagents!$B$1:$R$41,6,FALSE)*1000))</f>
        <v>#VALUE!</v>
      </c>
      <c r="BN10" s="214">
        <f>VLOOKUP(6,Reagents!$B$1:$M$41,2,FALSE)</f>
        <v>0</v>
      </c>
      <c r="BO10" s="214">
        <f>VLOOKUP(6,Reagents!$B$1:$M$41,3,FALSE)</f>
        <v>0</v>
      </c>
      <c r="BP10" s="214" t="str">
        <f>IF(VLOOKUP(6,Reagents!$B$1:$M$41,5,FALSE)=0, "NULL", VLOOKUP(6,Reagents!$B$1:$M$41,5,FALSE))</f>
        <v>NULL</v>
      </c>
      <c r="BQ10" s="214" t="str">
        <f>IF(OR(Reagents!$Q$7="Stock slurry",Reagents!$Q$7="Stock solution"),VLOOKUP(6,Reagents!$B$1:$R$41,13,FALSE), "NULL")</f>
        <v/>
      </c>
      <c r="BR10" s="362" t="str">
        <f>IF(OR(Reagents!$Q$7="Stock slurry",Reagents!$Q$7="Stock solution"),VLOOKUP(6,Reagents!$B$1:$R$41,14,FALSE), VLOOKUP(6,Reagents!$B$1:$R$41,11,FALSE))</f>
        <v/>
      </c>
      <c r="BS10" s="214">
        <f>VLOOKUP(6,Reagents!$B$1:$R$41,17,FALSE)</f>
        <v>0</v>
      </c>
      <c r="BT10" s="284" t="e">
        <f>IF(OR(VLOOKUP(6,Reagents!$B$1:$M$41,4,FALSE)="solvent_2",VLOOKUP(6,Reagents!$B$1:$M$41,4,FALSE)="solvent_3"),VLOOKUP(6,Reagents!$B$1:$M$41,12,FALSE),IF(OR(Reagents!$Q$7="Stock slurry",Reagents!$Q$7="Stock solution"),BR10*BQ10, BR10/VLOOKUP(6,Reagents!$B$1:$R$41,6,FALSE)*1000))</f>
        <v>#VALUE!</v>
      </c>
      <c r="BU10" s="214">
        <f>VLOOKUP(7,Reagents!$B$1:$M$41,2,FALSE)</f>
        <v>0</v>
      </c>
      <c r="BV10" s="214">
        <f>VLOOKUP(7,Reagents!$B$1:$M$41,3,FALSE)</f>
        <v>0</v>
      </c>
      <c r="BW10" s="214" t="str">
        <f>IF(VLOOKUP(7,Reagents!$B$1:$M$41,5,FALSE)=0, "NULL", VLOOKUP(7,Reagents!$B$1:$M$41,5,FALSE))</f>
        <v>NULL</v>
      </c>
      <c r="BX10" s="214" t="str">
        <f>IF(OR(Reagents!$Q$8="Stock slurry",Reagents!$Q$8="Stock solution"),VLOOKUP(7,Reagents!$B$1:$R$41,13,FALSE), "NULL")</f>
        <v/>
      </c>
      <c r="BY10" s="362" t="str">
        <f>IF(OR(Reagents!$Q$8="Stock slurry",Reagents!$Q$8="Stock solution"),VLOOKUP(7,Reagents!$B$1:$R$41,14,FALSE), VLOOKUP(7,Reagents!$B$1:$R$41,11,FALSE))</f>
        <v/>
      </c>
      <c r="BZ10" s="214">
        <f>VLOOKUP(7,Reagents!$B$1:$R$41,17,FALSE)</f>
        <v>0</v>
      </c>
      <c r="CA10" s="284" t="e">
        <f>IF(OR(VLOOKUP(7,Reagents!$B$1:$M$41,4,FALSE)="solvent_2",VLOOKUP(7,Reagents!$B$1:$M$41,4,FALSE)="solvent_3"),VLOOKUP(7,Reagents!$B$1:$M$41,12,FALSE),IF(OR(Reagents!$Q$8="Stock slurry",Reagents!$Q$8="Stock solution"),BY10*BX10, BY10/VLOOKUP(7,Reagents!$B$1:$R$41,6,FALSE)*1000))</f>
        <v>#VALUE!</v>
      </c>
      <c r="CB10" s="214">
        <f>VLOOKUP(8,Reagents!$B$1:$M$41,2,FALSE)</f>
        <v>0</v>
      </c>
      <c r="CC10" s="214">
        <f>VLOOKUP(8,Reagents!$B$1:$M$41,3,FALSE)</f>
        <v>0</v>
      </c>
      <c r="CD10" s="214" t="str">
        <f>IF(VLOOKUP(8,Reagents!$B$1:$M$41,5,FALSE)=0, "NULL", VLOOKUP(8,Reagents!$B$1:$M$41,5,FALSE))</f>
        <v>NULL</v>
      </c>
      <c r="CE10" s="214" t="str">
        <f>IF(OR(Reagents!$Q$9="Stock slurry",Reagents!$Q$9="Stock solution"),VLOOKUP(8,Reagents!$B$1:$R$41,13,FALSE), "NULL")</f>
        <v/>
      </c>
      <c r="CF10" s="362" t="str">
        <f>IF(OR(Reagents!$Q$9="Stock slurry",Reagents!$Q$9="Stock solution"),VLOOKUP(8,Reagents!$B$1:$R$41,14,FALSE), VLOOKUP(8,Reagents!$B$1:$R$41,11,FALSE))</f>
        <v/>
      </c>
      <c r="CG10" s="214">
        <f>VLOOKUP(8,Reagents!$B$1:$R$41,17,FALSE)</f>
        <v>0</v>
      </c>
      <c r="CH10" s="284" t="e">
        <f>IF(OR(VLOOKUP(8,Reagents!$B$1:$M$41,4,FALSE)="solvent_2",VLOOKUP(8,Reagents!$B$1:$M$41,4,FALSE)="solvent_3"),VLOOKUP(8,Reagents!$B$1:$M$41,12,FALSE),IF(OR(Reagents!$Q$9="Stock slurry",Reagents!$Q$9="Stock solution"),CF10*CE10, CF10/VLOOKUP(8,Reagents!$B$1:$R$41,6,FALSE)*1000))</f>
        <v>#VALUE!</v>
      </c>
      <c r="CI10" s="214">
        <f>VLOOKUP(9,Reagents!$B$1:$M$41,2,FALSE)</f>
        <v>0</v>
      </c>
      <c r="CJ10" s="214">
        <f>VLOOKUP(9,Reagents!$B$1:$M$41,3,FALSE)</f>
        <v>0</v>
      </c>
      <c r="CK10" s="214" t="str">
        <f>IF(VLOOKUP(9,Reagents!$B$1:$M$41,5,FALSE)=0, "NULL", VLOOKUP(9,Reagents!$B$1:$M$41,5,FALSE))</f>
        <v>NULL</v>
      </c>
      <c r="CL10" s="214" t="str">
        <f>IF(OR(Reagents!$Q$10="Stock slurry",Reagents!$Q$10="Stock solution"),VLOOKUP(9,Reagents!$B$1:$R$41,13,FALSE), "NULL")</f>
        <v/>
      </c>
      <c r="CM10" s="362" t="str">
        <f>IF(OR(Reagents!$Q$10="Stock slurry",Reagents!$Q$10="Stock solution"),VLOOKUP(9,Reagents!$B$1:$R$41,14,FALSE), VLOOKUP(9,Reagents!$B$1:$R$41,11,FALSE))</f>
        <v/>
      </c>
      <c r="CN10" s="214">
        <f>VLOOKUP(9,Reagents!$B$1:$R$41,17,FALSE)</f>
        <v>0</v>
      </c>
      <c r="CO10" s="284" t="e">
        <f>IF(OR(VLOOKUP(9,Reagents!$B$1:$M$41,4,FALSE)="solvent_2",VLOOKUP(9,Reagents!$B$1:$M$41,4,FALSE)="solvent_3"),VLOOKUP(9,Reagents!$B$1:$M$41,12,FALSE),IF(OR(Reagents!$Q$10="Stock slurry",Reagents!$Q$10="Stock solution"),CM10*CL10, CM10/VLOOKUP(9,Reagents!$B$1:$R$41,6,FALSE)*1000))</f>
        <v>#VALUE!</v>
      </c>
      <c r="CP10" s="214">
        <f>VLOOKUP(10,Reagents!$B$1:$M$41,2,FALSE)</f>
        <v>0</v>
      </c>
      <c r="CQ10" s="214">
        <f>VLOOKUP(10,Reagents!$B$1:$M$41,3,FALSE)</f>
        <v>0</v>
      </c>
      <c r="CR10" s="214" t="str">
        <f>IF(VLOOKUP(10,Reagents!$B$1:$M$41,5,FALSE)=0, "NULL", VLOOKUP(10,Reagents!$B$1:$M$41,5,FALSE))</f>
        <v>NULL</v>
      </c>
      <c r="CS10" s="214" t="str">
        <f>IF(OR(Reagents!$Q$11="Stock slurry",Reagents!$Q$11="Stock solution"),VLOOKUP(10,Reagents!$B$1:$R$41,13,FALSE), "NULL")</f>
        <v/>
      </c>
      <c r="CT10" s="362" t="str">
        <f>IF(OR(Reagents!$Q$11="Stock slurry",Reagents!$Q$11="Stock solution"),VLOOKUP(10,Reagents!$B$1:$R$41,14,FALSE), VLOOKUP(10,Reagents!$B$1:$R$41,11,FALSE))</f>
        <v/>
      </c>
      <c r="CU10" s="214">
        <f>VLOOKUP(10,Reagents!$B$1:$R$41,17,FALSE)</f>
        <v>0</v>
      </c>
      <c r="CV10" s="284" t="e">
        <f>IF(OR(VLOOKUP(10,Reagents!$B$1:$M$41,4,FALSE)="solvent_2",VLOOKUP(10,Reagents!$B$1:$M$41,4,FALSE)="solvent_3"),VLOOKUP(10,Reagents!$B$1:$M$41,12,FALSE),IF(OR(Reagents!$Q$11="Stock slurry",Reagents!$Q$11="Stock solution"),CT10*CS10, CT10/VLOOKUP(10,Reagents!$B$1:$R$41,6,FALSE)*1000))</f>
        <v>#VALUE!</v>
      </c>
      <c r="CW10" s="214" t="str">
        <f>VLOOKUP(B10+10,Reagents!$B$1:$R$41,2,FALSE)</f>
        <v/>
      </c>
      <c r="CX10" s="214">
        <f>VLOOKUP(B10+10,Reagents!$B$1:$R$41,3,FALSE)</f>
        <v>0</v>
      </c>
      <c r="CY10" s="214" t="str">
        <f>IF(VLOOKUP(B10+10,Reagents!$B$1:$M$41,5,FALSE)=0, "NULL", VLOOKUP(B10+10,Reagents!$B$1:$M$41,5,FALSE))</f>
        <v>NULL</v>
      </c>
      <c r="CZ10" s="214" t="str">
        <f>IF(OR(Reagents!$Q$12="Stock slurry",Reagents!$Q$12="Stock solution"),VLOOKUP(B10+10,Reagents!$B$1:$R$41,13,FALSE), "NULL")</f>
        <v/>
      </c>
      <c r="DA10" s="362" t="str">
        <f>IF(OR(Reagents!$Q$12="Stock slurry",Reagents!$Q$12="Stock solution"),VLOOKUP(B10+10,Reagents!$B$1:$R$41,14,FALSE), VLOOKUP(B10+10,Reagents!$B$1:$R$41,11,FALSE))</f>
        <v/>
      </c>
      <c r="DB10" s="214">
        <f>VLOOKUP(B10+10,Reagents!$B$1:$R$41,17,FALSE)</f>
        <v>0</v>
      </c>
      <c r="DC10" s="284" t="e">
        <f>IF(OR(v1_col="solvent_2",v1_col="solvent_3"),VLOOKUP(B10+10,Reagents!$B$1:$M$41,12,FALSE),IF(OR(Reagents!$Q$12="Stock slurry",Reagents!$Q$12="Stock solution"),DA10*CZ10, DA10/VLOOKUP(B10+10,Reagents!$B$1:$R$41,6,FALSE)*1000))</f>
        <v>#VALUE!</v>
      </c>
      <c r="DD10" s="214" t="str">
        <f>VLOOKUP(B10+22,Reagents!$B$1:$M$41,2,FALSE)</f>
        <v/>
      </c>
      <c r="DE10" s="214">
        <f>VLOOKUP(B10+22,Reagents!$B$1:$R$41,3,FALSE)</f>
        <v>0</v>
      </c>
      <c r="DF10" s="214" t="str">
        <f>IF(VLOOKUP(B10+22,Reagents!$B$1:$M$41,5,FALSE)=0, "NULL", VLOOKUP(B10+22,Reagents!$B$1:$M$41,5,FALSE))</f>
        <v>NULL</v>
      </c>
      <c r="DG10" s="214" t="str">
        <f>IF(OR(Reagents!$Q$18="Stock slurry",Reagents!$Q$12="Stock solution"),VLOOKUP(B10+22,Reagents!$B$1:$R$41,13,FALSE), "NULL")</f>
        <v/>
      </c>
      <c r="DH10" s="362" t="str">
        <f>IF(OR(Reagents!$Q$18="Stock slurry",Reagents!$Q$18="Stock solution"),VLOOKUP(B10+22,Reagents!$B$1:$R$41,14,FALSE), VLOOKUP(B10+22,Reagents!$B$1:$R$41,11,FALSE))</f>
        <v/>
      </c>
      <c r="DI10" s="214">
        <f>VLOOKUP(B10+22,Reagents!$B$1:$R$41,17,FALSE)</f>
        <v>0</v>
      </c>
      <c r="DJ10" s="284" t="e">
        <f>IF(OR(v2_col="solvent_2",v2_col="solvent_3"),VLOOKUP(B10+22,Reagents!$B$1:$M$41,12,FALSE),IF(OR(Reagents!$Q$18="Stock slurry",Reagents!$Q$18="Stock solution"),DH10*DG10, DH10/VLOOKUP(B10+22,Reagents!$B$1:$R$41,6,FALSE)*1000))</f>
        <v>#VALUE!</v>
      </c>
      <c r="DK10" s="214" t="str">
        <f>VLOOKUP(B10+34,Reagents!$B$1:$M$41,2,FALSE)</f>
        <v/>
      </c>
      <c r="DL10" s="214">
        <f>VLOOKUP(B10+34,Reagents!$B$1:$R$41,3,FALSE)</f>
        <v>0</v>
      </c>
      <c r="DM10" s="214" t="str">
        <f>IF(VLOOKUP(B10+34,Reagents!$B$1:$M$41,5,FALSE)=0, "NULL", VLOOKUP(B10+34,Reagents!$B$1:$M$41,5,FALSE))</f>
        <v>NULL</v>
      </c>
      <c r="DN10" s="214" t="str">
        <f>IF(OR(Reagents!$Q$24="Stock slurry",Reagents!$Q$12="Stock solution"),VLOOKUP(B10+34,Reagents!$B$1:$R$41,13,FALSE), "NULL")</f>
        <v/>
      </c>
      <c r="DO10" s="362" t="str">
        <f>IF(OR(Reagents!$Q$24="Stock slurry",Reagents!$Q$24="Stock solution"),VLOOKUP(B10+34,Reagents!$B$1:$R$41,14,FALSE), VLOOKUP(B10+34,Reagents!$B$1:$R$41,11,FALSE))</f>
        <v/>
      </c>
      <c r="DP10" s="214">
        <f>VLOOKUP(B10+34,Reagents!$B$1:$R$41,17,FALSE)</f>
        <v>0</v>
      </c>
      <c r="DQ10" s="284" t="e">
        <f>IF(OR(v3_col="solvent_2",v3_col="solvent_3"),VLOOKUP(B10+34,Reagents!$B$1:$M$41,12,FALSE),IF(OR(Reagents!$Q$24="Stock slurry",Reagents!$Q$24="Stock solution"),DO10*DN10, DO10/VLOOKUP(B10+34,Reagents!$B$1:$R$41,6,FALSE)*1000))</f>
        <v>#VALUE!</v>
      </c>
      <c r="DR10" s="214" t="str">
        <f>VLOOKUP(C10+46,Reagents!$B$1:$M$41,2,FALSE)</f>
        <v/>
      </c>
      <c r="DS10" s="214">
        <f>VLOOKUP(C10+46,Reagents!$B$1:$M$41,3,FALSE)</f>
        <v>0</v>
      </c>
      <c r="DT10" s="214" t="str">
        <f>IF(VLOOKUP(C10+46,Reagents!$B$1:$M$41,5,FALSE)=0, "NULL", VLOOKUP(C10+46,Reagents!$B$1:$M$41,5,FALSE))</f>
        <v>NULL</v>
      </c>
      <c r="DU10" s="214" t="str">
        <f>IF(OR(Reagents!$Q$30="Stock slurry",Reagents!$Q$30="Stock solution"),VLOOKUP(C10+46,Reagents!$B$1:$R$41,13,FALSE), "NULL")</f>
        <v/>
      </c>
      <c r="DV10" s="362" t="str">
        <f>IF(OR(Reagents!$Q$30="Stock slurry",Reagents!$Q$30="Stock solution"),VLOOKUP(C10+46,Reagents!$B$1:$R$41,14,FALSE), VLOOKUP(C10+46,Reagents!$B$1:$R$41,11,FALSE))</f>
        <v/>
      </c>
      <c r="DW10" s="214">
        <f>VLOOKUP(C10+46,Reagents!$B$1:$R$41,17,FALSE)</f>
        <v>0</v>
      </c>
      <c r="DX10" s="284" t="e">
        <f>IF(OR(v4_row="solvent_2",v4_row="solvent_3"),VLOOKUP(C10+46,Reagents!$B$1:$M$41,12,FALSE),IF(OR(Reagents!$Q$30="Stock slurry",Reagents!$Q$30="Stock solution"),DV10*DU10, DV10/VLOOKUP(C10+46,Reagents!$B$1:$R$41,6,FALSE)*1000))</f>
        <v>#VALUE!</v>
      </c>
      <c r="DY10" s="214" t="str">
        <f>VLOOKUP(C10+54,Reagents!$B$1:$M$41,2,FALSE)</f>
        <v/>
      </c>
      <c r="DZ10" s="214">
        <f>VLOOKUP(C10+54,Reagents!$B$1:$M$41,3,FALSE)</f>
        <v>0</v>
      </c>
      <c r="EA10" s="214" t="str">
        <f>IF(VLOOKUP(C10+54,Reagents!$B$1:$M$41,5,FALSE)=0, "NULL", VLOOKUP(C10+54,Reagents!$B$1:$M$41,5,FALSE))</f>
        <v>NULL</v>
      </c>
      <c r="EB10" s="214" t="str">
        <f>IF(OR(Reagents!$Q$34="Stock slurry",Reagents!$Q$34="Stock solution"),VLOOKUP(C10+54,Reagents!$B$1:$R$41,13,FALSE), "NULL")</f>
        <v/>
      </c>
      <c r="EC10" s="362" t="str">
        <f>IF(OR(Reagents!$Q$34="Stock slurry",Reagents!$Q$34="Stock solution"),VLOOKUP(C10+54,Reagents!$B$1:$R$41,14,FALSE), VLOOKUP(C10+54,Reagents!$B$1:$R$41,11,FALSE))</f>
        <v/>
      </c>
      <c r="ED10" s="214">
        <f>VLOOKUP(C10+54,Reagents!$B$1:$R$41,17,FALSE)</f>
        <v>0</v>
      </c>
      <c r="EE10" s="284" t="e">
        <f>IF(OR(v5_row="solvent_2",v5_row="solvent_3"),VLOOKUP(C10+54,Reagents!$B$1:$M$41,12,FALSE),IF(OR(Reagents!$Q$34="Stock slurry",Reagents!$Q$34="Stock solution"),EC10*EB10, EC10/VLOOKUP(C10+54,Reagents!$B$1:$R$41,6,FALSE)*1000))</f>
        <v>#VALUE!</v>
      </c>
      <c r="EF10" s="214" t="str">
        <f>VLOOKUP(C10+62,Reagents!$B$1:$M$41,2,FALSE)</f>
        <v/>
      </c>
      <c r="EG10" s="214">
        <f>VLOOKUP(C10+62,Reagents!$B$1:$M$41,3,FALSE)</f>
        <v>0</v>
      </c>
      <c r="EH10" s="214" t="str">
        <f>IF(VLOOKUP(C10+62,Reagents!$B$1:$M$41,5,FALSE)=0, "NULL", VLOOKUP(C10+62,Reagents!$B$1:$M$41,5,FALSE))</f>
        <v>NULL</v>
      </c>
      <c r="EI10" s="214" t="str">
        <f>IF(OR(Reagents!$Q$38="Stock slurry",Reagents!$Q$38="Stock solution"),VLOOKUP(C10+62,Reagents!$B$1:$R$41,13,FALSE), "NULL")</f>
        <v/>
      </c>
      <c r="EJ10" s="362" t="str">
        <f>IF(OR(Reagents!$Q$38="Stock slurry",Reagents!$Q$38="Stock solution"),VLOOKUP(C10+62,Reagents!$B$1:$R$41,14,FALSE), VLOOKUP(C10+62,Reagents!$B$1:$R$41,11,FALSE))</f>
        <v/>
      </c>
      <c r="EK10" s="214">
        <f>VLOOKUP(C10+62,Reagents!$B$1:$R$41,17,FALSE)</f>
        <v>0</v>
      </c>
      <c r="EL10" s="284" t="e">
        <f>IF(OR(v6_row="solvent_2",v6_row="solvent_3"),VLOOKUP(C10+62,Reagents!$B$1:$M$41,12,FALSE),IF(OR(Reagents!$Q$38="Stock slurry",Reagents!$Q$38="Stock solution"),EJ10*EI10, EJ10/VLOOKUP(C10+62,Reagents!$B$1:$R$41,6,FALSE)*1000))</f>
        <v>#VALUE!</v>
      </c>
      <c r="EM10" s="214">
        <f>VLOOKUP(19,'Plate Planning'!$A$1:$T$35,13,FALSE)</f>
        <v>0</v>
      </c>
      <c r="EN10" s="214">
        <f>VLOOKUP(19,'Plate Planning'!$A$1:$T$35,14,FALSE)</f>
        <v>0</v>
      </c>
      <c r="EO10" s="214">
        <f>VLOOKUP(19,'Plate Planning'!$A$1:$T$35,15,FALSE)</f>
        <v>0</v>
      </c>
      <c r="EP10" s="214">
        <f>VLOOKUP(A10,'Uncorrected Area Counts'!$A$1:$AS$27,3,FALSE)</f>
        <v>0</v>
      </c>
      <c r="EQ10" s="214" t="str">
        <f>VLOOKUP(A10,'Uncorrected Area Counts'!$A$1:$AS$27,4,FALSE)</f>
        <v/>
      </c>
      <c r="ER10" s="214" t="str">
        <f>VLOOKUP(A10,'Uncorrected Area Counts'!$A$1:$AS$27,5,FALSE)</f>
        <v/>
      </c>
      <c r="ES10" s="214">
        <f>VLOOKUP(20,'Plate Planning'!$A$1:$T$35,15,FALSE)</f>
        <v>0</v>
      </c>
      <c r="ET10" s="214">
        <f>VLOOKUP(A10,'Uncorrected Area Counts'!$A$1:$AS$27,7,FALSE)</f>
        <v>0</v>
      </c>
      <c r="EU10" s="214" t="e">
        <f>VLOOKUP(A10,'Uncorrected Area Counts'!$A$1:$AS$27,7,FALSE)/VLOOKUP(A10,'Uncorrected Area Counts'!$A$1:$AS$27,3,FALSE)</f>
        <v>#DIV/0!</v>
      </c>
      <c r="EV10" s="214" t="str">
        <f>IFERROR(VLOOKUP(A10,'Yields &amp; LCAPs'!$A$1:$V$27,3,FALSE), "NULL")</f>
        <v>NULL</v>
      </c>
      <c r="EW10" s="284" t="str">
        <f>IFERROR(VLOOKUP(A10,'Yields &amp; LCAPs'!$A$1:$V$27,4,FALSE), "NULL")</f>
        <v>NULL</v>
      </c>
      <c r="EX10" s="214" t="str">
        <f>VLOOKUP(A10,'Uncorrected Area Counts'!$A$1:$AS$27,8,FALSE)</f>
        <v/>
      </c>
      <c r="EY10" s="214" t="str">
        <f>VLOOKUP(A10,'Uncorrected Area Counts'!$A$1:$AS$27,9,FALSE)</f>
        <v/>
      </c>
      <c r="EZ10" s="214">
        <f>VLOOKUP(22,'Plate Planning'!$A$1:$T$35,15,FALSE)</f>
        <v>0</v>
      </c>
      <c r="FA10" s="214">
        <f>VLOOKUP(A10,'Uncorrected Area Counts'!$A$1:$AS$27,11,FALSE)</f>
        <v>0</v>
      </c>
      <c r="FB10" s="214" t="e">
        <f>VLOOKUP(A10,'Uncorrected Area Counts'!$A$1:$AS$27,11,FALSE)/VLOOKUP(A10,'Uncorrected Area Counts'!$A$1:$AS$27,3,FALSE)</f>
        <v>#DIV/0!</v>
      </c>
      <c r="FC10" s="214" t="str">
        <f>IFERROR(VLOOKUP(A10,'Yields &amp; LCAPs'!$A$1:$V$27,5,FALSE), "NULL")</f>
        <v>NULL</v>
      </c>
      <c r="FD10" s="284" t="str">
        <f>IFERROR(VLOOKUP(A10,'Yields &amp; LCAPs'!$A$1:$V$27,6,FALSE), "NULL")</f>
        <v>NULL</v>
      </c>
      <c r="FE10" s="214" t="str">
        <f>VLOOKUP(A10,'Uncorrected Area Counts'!$A$1:$AS$27,12,FALSE)</f>
        <v/>
      </c>
      <c r="FF10" s="214" t="str">
        <f>VLOOKUP(A10,'Uncorrected Area Counts'!$A$1:$AS$27,13,FALSE)</f>
        <v/>
      </c>
      <c r="FG10" s="214">
        <f>VLOOKUP(24,'Plate Planning'!$A$1:$T$35,15,FALSE)</f>
        <v>0</v>
      </c>
      <c r="FH10" s="214">
        <f>VLOOKUP(A10,'Uncorrected Area Counts'!$A$1:$AS$27,15,FALSE)</f>
        <v>0</v>
      </c>
      <c r="FI10" s="214" t="e">
        <f>VLOOKUP(A10,'Uncorrected Area Counts'!$A$1:$AS$27,15,FALSE)/VLOOKUP(A10,'Uncorrected Area Counts'!$A$1:$AS$27,3,FALSE)</f>
        <v>#DIV/0!</v>
      </c>
      <c r="FJ10" s="214" t="str">
        <f>IFERROR(VLOOKUP(A10,'Yields &amp; LCAPs'!$A$1:$V$27,7,FALSE), "NULL")</f>
        <v>NULL</v>
      </c>
      <c r="FK10" s="284" t="str">
        <f>IFERROR(VLOOKUP(A10,'Yields &amp; LCAPs'!$A$1:$V$27,8,FALSE), "NULL")</f>
        <v>NULL</v>
      </c>
      <c r="FL10" s="214" t="str">
        <f>VLOOKUP(A10,'Uncorrected Area Counts'!$A$1:$AS$27,16,FALSE)</f>
        <v/>
      </c>
      <c r="FM10" s="214" t="str">
        <f>VLOOKUP(A10,'Uncorrected Area Counts'!$A$1:$AS$27,17,FALSE)</f>
        <v/>
      </c>
      <c r="FN10" s="214">
        <f>VLOOKUP(26,'Plate Planning'!$A$1:$T$35,15,FALSE)</f>
        <v>0</v>
      </c>
      <c r="FO10" s="214">
        <f>VLOOKUP(A10,'Uncorrected Area Counts'!$A$1:$AS$27,19,FALSE)</f>
        <v>0</v>
      </c>
      <c r="FP10" s="214" t="e">
        <f>VLOOKUP(A10,'Uncorrected Area Counts'!$A$1:$AS$27,19,FALSE)/VLOOKUP(A10,'Uncorrected Area Counts'!$A$1:$AS$27,3,FALSE)</f>
        <v>#DIV/0!</v>
      </c>
      <c r="FQ10" s="214" t="str">
        <f>IFERROR(VLOOKUP(A10,'Yields &amp; LCAPs'!$A$1:$V$27,9,FALSE), "NULL")</f>
        <v>NULL</v>
      </c>
      <c r="FR10" s="284" t="str">
        <f>IFERROR(VLOOKUP(A10,'Yields &amp; LCAPs'!$A$1:$V$27,10,FALSE), "NULL")</f>
        <v>NULL</v>
      </c>
      <c r="FS10" s="214" t="str">
        <f>VLOOKUP(A10,'Uncorrected Area Counts'!$A$1:$AS$27,20,FALSE)</f>
        <v/>
      </c>
      <c r="FT10" s="214" t="str">
        <f>VLOOKUP(A10,'Uncorrected Area Counts'!$A$1:$AS$27,21,FALSE)</f>
        <v/>
      </c>
      <c r="FU10" s="214">
        <f>VLOOKUP(27,'Plate Planning'!$A$1:$T$35,15,FALSE)</f>
        <v>0</v>
      </c>
      <c r="FV10" s="214">
        <f>VLOOKUP(A10,'Uncorrected Area Counts'!$A$1:$AS$27,23,FALSE)</f>
        <v>0</v>
      </c>
      <c r="FW10" s="214" t="e">
        <f>VLOOKUP(A10,'Uncorrected Area Counts'!$A$1:$AS$27,23,FALSE)/VLOOKUP(A10,'Uncorrected Area Counts'!$A$1:$AS$27,3,FALSE)</f>
        <v>#DIV/0!</v>
      </c>
      <c r="FX10" s="214" t="str">
        <f>IFERROR(VLOOKUP(A10,'Yields &amp; LCAPs'!$A$1:$V$27,11,FALSE), "NULL")</f>
        <v>NULL</v>
      </c>
      <c r="FY10" s="284" t="str">
        <f>IFERROR(VLOOKUP(A10,'Yields &amp; LCAPs'!$A$1:$V$27,12,FALSE), "NULL")</f>
        <v>NULL</v>
      </c>
      <c r="FZ10" s="411" t="str">
        <f>VLOOKUP(A10,'Uncorrected Area Counts'!$A$1:$AS$27,24,FALSE)</f>
        <v/>
      </c>
      <c r="GA10" s="214" t="str">
        <f>VLOOKUP(A10,'Uncorrected Area Counts'!$A$1:$AS$27,25,FALSE)</f>
        <v/>
      </c>
      <c r="GB10" s="214">
        <f>VLOOKUP(28,'Plate Planning'!$A$1:$T$35,15,FALSE)</f>
        <v>0</v>
      </c>
      <c r="GC10" s="214">
        <f>VLOOKUP(A10,'Uncorrected Area Counts'!$A$1:$AS$27,27,FALSE)</f>
        <v>0</v>
      </c>
      <c r="GD10" s="214" t="e">
        <f>VLOOKUP(A10,'Uncorrected Area Counts'!$A$1:$AS$27,27,FALSE)/VLOOKUP(A10,'Uncorrected Area Counts'!$A$1:$AS$27,3,FALSE)</f>
        <v>#DIV/0!</v>
      </c>
      <c r="GE10" s="214" t="str">
        <f>IFERROR(VLOOKUP(A10,'Yields &amp; LCAPs'!$A$1:$V$27,13,FALSE), "NULL")</f>
        <v>NULL</v>
      </c>
      <c r="GF10" s="284" t="str">
        <f>IFERROR(VLOOKUP(A10,'Yields &amp; LCAPs'!$A$1:$V$27,14,FALSE), "NULL")</f>
        <v>NULL</v>
      </c>
      <c r="GG10" s="214" t="str">
        <f>VLOOKUP(A10,'Uncorrected Area Counts'!$A$1:$AS$27,28,FALSE)</f>
        <v/>
      </c>
      <c r="GH10" s="214" t="str">
        <f>VLOOKUP(A10,'Uncorrected Area Counts'!$A$1:$AS$27,29,FALSE)</f>
        <v/>
      </c>
      <c r="GI10" s="214">
        <f>VLOOKUP(29,'Plate Planning'!$A$1:$T$35,15,FALSE)</f>
        <v>0</v>
      </c>
      <c r="GJ10" s="214">
        <f>VLOOKUP(A10,'Uncorrected Area Counts'!$A$1:$AS$27,31,FALSE)</f>
        <v>0</v>
      </c>
      <c r="GK10" s="214" t="e">
        <f>VLOOKUP(A10,'Uncorrected Area Counts'!$A$1:$AS$27,31,FALSE)/VLOOKUP(A10,'Uncorrected Area Counts'!$A$1:$AS$27,3,FALSE)</f>
        <v>#DIV/0!</v>
      </c>
      <c r="GL10" s="214" t="str">
        <f>IFERROR(VLOOKUP(A10,'Yields &amp; LCAPs'!$A$1:$V$27,15,FALSE), "NULL")</f>
        <v>NULL</v>
      </c>
      <c r="GM10" s="284" t="str">
        <f>IFERROR(VLOOKUP(A10,'Yields &amp; LCAPs'!$A$1:$V$27,16,FALSE), "NULL")</f>
        <v>NULL</v>
      </c>
      <c r="GN10" s="214" t="str">
        <f>VLOOKUP(A10,'Uncorrected Area Counts'!$A$1:$AS$27,32,FALSE)</f>
        <v/>
      </c>
      <c r="GO10" s="214" t="str">
        <f>VLOOKUP(A10,'Uncorrected Area Counts'!$A$1:$AS$27,33,FALSE)</f>
        <v/>
      </c>
      <c r="GP10" s="214">
        <f>VLOOKUP(30,'Plate Planning'!$A$1:$T$35,15,FALSE)</f>
        <v>0</v>
      </c>
      <c r="GQ10" s="214">
        <f>VLOOKUP(A10,'Uncorrected Area Counts'!$A$1:$AS$27,35,FALSE)</f>
        <v>0</v>
      </c>
      <c r="GR10" s="214" t="e">
        <f>VLOOKUP(A10,'Uncorrected Area Counts'!$A$1:$AS$27,35,FALSE)/VLOOKUP(A10,'Uncorrected Area Counts'!$A$1:$AS$27,3,FALSE)</f>
        <v>#DIV/0!</v>
      </c>
      <c r="GS10" s="214" t="str">
        <f>IFERROR(VLOOKUP(A10,'Yields &amp; LCAPs'!$A$1:$V$27,17,FALSE), "NULL")</f>
        <v>NULL</v>
      </c>
      <c r="GT10" s="284" t="str">
        <f>IFERROR(VLOOKUP(A10,'Yields &amp; LCAPs'!$A$1:$V$27,18,FALSE), "NULL")</f>
        <v>NULL</v>
      </c>
      <c r="GU10" s="214" t="str">
        <f>VLOOKUP(A10,'Uncorrected Area Counts'!$A$1:$AS$27,36,FALSE)</f>
        <v/>
      </c>
      <c r="GV10" s="214" t="str">
        <f>VLOOKUP(A10,'Uncorrected Area Counts'!$A$1:$AS$27,37,FALSE)</f>
        <v/>
      </c>
      <c r="GW10" s="214">
        <f>VLOOKUP(31,'Plate Planning'!$A$1:$T$35,15,FALSE)</f>
        <v>0</v>
      </c>
      <c r="GX10" s="214">
        <f>VLOOKUP(A10,'Uncorrected Area Counts'!$A$1:$AS$27,39,FALSE)</f>
        <v>0</v>
      </c>
      <c r="GY10" s="214" t="e">
        <f>VLOOKUP(A10,'Uncorrected Area Counts'!$A$1:$AS$27,39,FALSE)/VLOOKUP(A10,'Uncorrected Area Counts'!$A$1:$AS$27,3,FALSE)</f>
        <v>#DIV/0!</v>
      </c>
      <c r="GZ10" s="214" t="str">
        <f>IFERROR(VLOOKUP(A10,'Yields &amp; LCAPs'!$A$1:$V$27,19,FALSE), "NULL")</f>
        <v>NULL</v>
      </c>
      <c r="HA10" s="284" t="str">
        <f>IFERROR(VLOOKUP(A10,'Yields &amp; LCAPs'!$A$1:$V$27,20,FALSE), "NULL")</f>
        <v>NULL</v>
      </c>
      <c r="HB10" s="214" t="str">
        <f>VLOOKUP(A10,'Uncorrected Area Counts'!$A$1:$AS$27,40,FALSE)</f>
        <v/>
      </c>
      <c r="HC10" s="214" t="str">
        <f>VLOOKUP(A10,'Uncorrected Area Counts'!$A$1:$AS$27,41,FALSE)</f>
        <v/>
      </c>
      <c r="HD10" s="214">
        <f>VLOOKUP(32,'Plate Planning'!$A$1:$T$35,15,FALSE)</f>
        <v>0</v>
      </c>
      <c r="HE10" s="214">
        <f>VLOOKUP(A10,'Uncorrected Area Counts'!$A$1:$AS$27,43,FALSE)</f>
        <v>0</v>
      </c>
      <c r="HF10" s="214" t="e">
        <f>VLOOKUP(A10,'Uncorrected Area Counts'!$A$1:$AS$27,43,FALSE)/VLOOKUP(A10,'Uncorrected Area Counts'!$A$1:$AS$27,3,FALSE)</f>
        <v>#DIV/0!</v>
      </c>
      <c r="HG10" s="214" t="str">
        <f>IFERROR(VLOOKUP(A10,'Yields &amp; LCAPs'!$A$1:$V$27,21,FALSE), "NULL")</f>
        <v>NULL</v>
      </c>
      <c r="HH10" s="284" t="str">
        <f>IFERROR(VLOOKUP(A10,'Yields &amp; LCAPs'!$A$1:$V$27,22,FALSE), "NULL")</f>
        <v>NULL</v>
      </c>
      <c r="HI10" s="362"/>
      <c r="HJ10" s="362"/>
      <c r="HK10" s="362"/>
      <c r="HL10" s="362"/>
      <c r="HM10" s="363"/>
      <c r="HN10" s="362"/>
      <c r="HO10" s="362"/>
      <c r="HP10" s="362"/>
      <c r="HQ10" s="362"/>
      <c r="HR10" s="363"/>
    </row>
    <row r="11" spans="1:230">
      <c r="A11" s="216" t="s">
        <v>1176</v>
      </c>
      <c r="B11" s="214">
        <v>4</v>
      </c>
      <c r="C11" s="214">
        <v>2</v>
      </c>
      <c r="D11" s="214" t="str">
        <f>VLOOKUP(18,'Plate Planning'!$A$1:$T$35,10,FALSE)&amp;"_"&amp;VLOOKUP(19,'Plate Planning'!$A$1:$T$35,10,FALSE)&amp;"_"&amp;A11</f>
        <v>__B4</v>
      </c>
      <c r="E11" s="214" t="str">
        <f>IF(VLOOKUP(18,'Plate Planning'!$A$1:$T$35,10,FALSE)="", "NULL", VLOOKUP(18,'Plate Planning'!$A$1:$T$35,10,FALSE))</f>
        <v>NULL</v>
      </c>
      <c r="F11" s="214" t="str">
        <f>IF(VLOOKUP(19,'Plate Planning'!$A$1:$T$35,10,FALSE)="", "NULL", VLOOKUP(19,'Plate Planning'!$A$1:$T$35,10,FALSE))</f>
        <v>NULL</v>
      </c>
      <c r="G11" s="214" t="str">
        <f>IF(VLOOKUP(20,'Plate Planning'!$A$1:$T$35,10,FALSE)="", "NULL", VLOOKUP(20,'Plate Planning'!$A$1:$T$35,10,FALSE))</f>
        <v>NULL</v>
      </c>
      <c r="H11" s="214" t="str">
        <f>IF(VLOOKUP(21,'Plate Planning'!$A$1:$T$35,10,FALSE)="", "NULL", VLOOKUP(21,'Plate Planning'!$A$1:$T$35,10,FALSE))</f>
        <v>NULL</v>
      </c>
      <c r="I11" s="214" t="str">
        <f>IF(VLOOKUP(23,'Plate Planning'!$A$1:$T$35,10,FALSE)="", "NULL", VLOOKUP(23,'Plate Planning'!$A$1:$T$35,10,FALSE))</f>
        <v>NULL</v>
      </c>
      <c r="J11" s="214" t="str">
        <f>IF(VLOOKUP(22,'Plate Planning'!$A$1:$T$35,10,FALSE)="", "NULL", VLOOKUP(22,'Plate Planning'!$A$1:$T$35,10,FALSE))</f>
        <v>NULL</v>
      </c>
      <c r="K11" s="214" t="str">
        <f>VLOOKUP(24,'Plate Planning'!$A$1:$T$35,10,FALSE)</f>
        <v>Glovebox</v>
      </c>
      <c r="L11" s="214" t="str">
        <f>IF(VLOOKUP(25,'Plate Planning'!$A$1:$T$35,10,FALSE)="","NULL",VLOOKUP(25,'Plate Planning'!$A$1:$T$35,10,FALSE))</f>
        <v>NULL</v>
      </c>
      <c r="M11" s="214" t="str">
        <f>VLOOKUP(26,'Plate Planning'!$A$1:$T$35,10,FALSE)</f>
        <v>ambient</v>
      </c>
      <c r="N11" s="214" t="str">
        <f>IF(VLOOKUP(27,'Plate Planning'!$A$1:$T$35,10,FALSE)=0,"NULL", VLOOKUP(27,'Plate Planning'!$A$1:$T$35,10,FALSE))</f>
        <v>NULL</v>
      </c>
      <c r="O11" s="214" t="str">
        <f>IF(VLOOKUP(3,'Plate Planning'!$A$2:$S$35,18,FALSE)="", "NULL", VLOOKUP(3,'Plate Planning'!$A$2:$S$35,18,FALSE))</f>
        <v>NULL</v>
      </c>
      <c r="P11" s="214" t="str">
        <f>IF(VLOOKUP(4,'Plate Planning'!$A$2:$S$35,18,FALSE)="", "NULL", VLOOKUP(4,'Plate Planning'!$A$2:$S$35,18,FALSE))</f>
        <v>NULL</v>
      </c>
      <c r="Q11" s="214" t="str">
        <f>IF(VLOOKUP(5,'Plate Planning'!$A$2:$S$35,18,FALSE)="", "NULL", VLOOKUP(5,'Plate Planning'!$A$2:$S$35,18,FALSE))</f>
        <v>NULL</v>
      </c>
      <c r="R11" s="214" t="str">
        <f>IF(VLOOKUP(6,'Plate Planning'!$A$2:$S$35,18,FALSE)="", "NULL", VLOOKUP(6,'Plate Planning'!$A$2:$S$35,18,FALSE))</f>
        <v>NULL</v>
      </c>
      <c r="S11" s="214" t="str">
        <f>IF(VLOOKUP(7,'Plate Planning'!$A$2:$S$35,18,FALSE)="", "NULL", VLOOKUP(7,'Plate Planning'!$A$2:$S$35,18,FALSE))</f>
        <v>NULL</v>
      </c>
      <c r="T11" s="214" t="str">
        <f>IF(VLOOKUP(28,'Plate Planning'!$A$1:$T$35,10,FALSE)=0,"NULL",VLOOKUP(28,'Plate Planning'!$A$1:$T$35,10,FALSE))</f>
        <v>NULL</v>
      </c>
      <c r="U11" s="214" t="str">
        <f>IFERROR(VLOOKUP(VLOOKUP(28,'Plate Planning'!$A$1:$T$35,10,FALSE),Dictionaries!$Q$2:$R$72,2,FALSE), "NULL")</f>
        <v>NULL</v>
      </c>
      <c r="V11" s="214" t="str">
        <f>IF(VLOOKUP(28,'Plate Planning'!$A$1:$T$35,10,FALSE)=0,"NULL",VLOOKUP(32,'Plate Planning'!$A$1:$T$35,10,FALSE))</f>
        <v>NULL</v>
      </c>
      <c r="W11" s="214" t="str">
        <f>IF(VLOOKUP(C11+3,'Plate Planning'!$A$1:$S$35,B11+4,FALSE)=0, "", VLOOKUP(C11+3,'Plate Planning'!$A$1:$S$35,B11+4,FALSE))</f>
        <v/>
      </c>
      <c r="X11" s="214" t="str">
        <f>IFERROR(VLOOKUP(W11,'Complex Variable'!$A$2:$S$25,2,FALSE), "")</f>
        <v/>
      </c>
      <c r="Y11" s="327" t="str">
        <f>IFERROR(VLOOKUP(W11,'Complex Variable'!$A$2:$S$25,3,FALSE), "")</f>
        <v/>
      </c>
      <c r="Z11" s="327" t="str">
        <f>IFERROR(VLOOKUP(W11,'Complex Variable'!$A$2:$S$25,5,FALSE), "")</f>
        <v/>
      </c>
      <c r="AA11" s="327" t="str">
        <f>IFERROR(VLOOKUP(W11,'Complex Variable'!$A$2:$S$25,14,FALSE), "")</f>
        <v/>
      </c>
      <c r="AB11" s="602" t="str">
        <f>IFERROR(VLOOKUP(W11,'Complex Variable'!$A$2:$S$25,19,FALSE), "")</f>
        <v/>
      </c>
      <c r="AC11" s="327" t="str">
        <f>IFERROR(VLOOKUP(W11,'Complex Variable'!$A$2:$S$25,13,FALSE), "")</f>
        <v/>
      </c>
      <c r="AD11" s="604" t="str">
        <f t="shared" si="0"/>
        <v/>
      </c>
      <c r="AE11" s="214">
        <f>VLOOKUP(1,Reagents!$B$1:$M$41,2,FALSE)</f>
        <v>0</v>
      </c>
      <c r="AF11" s="214">
        <f>VLOOKUP(1,Reagents!$B$1:$M$41,3,FALSE)</f>
        <v>0</v>
      </c>
      <c r="AG11" s="214" t="str">
        <f>IF(VLOOKUP(1,Reagents!$B$1:$M$41,5,FALSE)=0, "NULL", VLOOKUP(1,Reagents!$B$1:$M$41,5,FALSE))</f>
        <v>NULL</v>
      </c>
      <c r="AH11" s="214" t="str">
        <f>IF(OR(Reagents!$Q$2="Stock slurry",Reagents!$Q$2="Stock solution"),VLOOKUP(1,Reagents!$B$1:$R$41,13,FALSE), "NULL")</f>
        <v/>
      </c>
      <c r="AI11" s="362" t="str">
        <f>IF(OR(Reagents!$Q$2="Stock slurry",Reagents!$Q$2="Stock solution"),VLOOKUP(1,Reagents!$B$1:$R$41,14,FALSE), VLOOKUP(1,Reagents!$B$1:$R$41,11,FALSE))</f>
        <v/>
      </c>
      <c r="AJ11" s="214">
        <f>VLOOKUP(1,Reagents!$B$1:$R$41,17,FALSE)</f>
        <v>0</v>
      </c>
      <c r="AK11" s="284" t="e">
        <f>IF(OR(VLOOKUP(1,Reagents!$B$1:$M$41,4,FALSE)="solvent_2",VLOOKUP(1,Reagents!$B$1:$M$41,4,FALSE)="solvent_3"),VLOOKUP(1,Reagents!$B$1:$M$41,12,FALSE),IF(OR(Reagents!$Q$2="Stock slurry",Reagents!$Q$2="Stock solution"),AI11*AH11, AI11/VLOOKUP(1,Reagents!$B$1:$R$41,6,FALSE)*1000))</f>
        <v>#VALUE!</v>
      </c>
      <c r="AL11" s="214">
        <f>VLOOKUP(2,Reagents!$B$1:$M$41,2,FALSE)</f>
        <v>0</v>
      </c>
      <c r="AM11" s="214">
        <f>VLOOKUP(2,Reagents!$B$1:$M$41,3,FALSE)</f>
        <v>0</v>
      </c>
      <c r="AN11" s="214" t="str">
        <f>IF(VLOOKUP(2,Reagents!$B$1:$M$41,5,FALSE)=0, "NULL", VLOOKUP(2,Reagents!$B$1:$M$41,5,FALSE))</f>
        <v>NULL</v>
      </c>
      <c r="AO11" s="214" t="str">
        <f>IF(OR(Reagents!$Q$3="Stock slurry",Reagents!$Q$3="Stock solution"),VLOOKUP(2,Reagents!$B$1:$R$41,13,FALSE), "NULL")</f>
        <v/>
      </c>
      <c r="AP11" s="362" t="str">
        <f>IF(OR(Reagents!$Q$3="Stock slurry",Reagents!$Q$3="Stock solution"),VLOOKUP(2,Reagents!$B$1:$R$41,14,FALSE), VLOOKUP(2,Reagents!$B$1:$R$41,11,FALSE))</f>
        <v/>
      </c>
      <c r="AQ11" s="214">
        <f>VLOOKUP(2,Reagents!$B$1:$R$41,17,FALSE)</f>
        <v>0</v>
      </c>
      <c r="AR11" s="284" t="e">
        <f>IF(OR(VLOOKUP(2,Reagents!$B$1:$M$41,4,FALSE)="solvent_2",VLOOKUP(2,Reagents!$B$1:$M$41,4,FALSE)="solvent_3"),VLOOKUP(2,Reagents!$B$1:$M$41,12,FALSE),IF(OR(Reagents!$Q$3="Stock slurry",Reagents!$Q$3="Stock solution"),AP11*AO11, AP11/VLOOKUP(2,Reagents!$B$1:$R$41,6,FALSE)*1000))</f>
        <v>#VALUE!</v>
      </c>
      <c r="AS11" s="214">
        <f>VLOOKUP(3,Reagents!$B$1:$M$41,2,FALSE)</f>
        <v>0</v>
      </c>
      <c r="AT11" s="214">
        <f>VLOOKUP(3,Reagents!$B$1:$M$41,3,FALSE)</f>
        <v>0</v>
      </c>
      <c r="AU11" s="214" t="str">
        <f>IF(VLOOKUP(3,Reagents!$B$1:$M$41,5,FALSE)=0, "NULL", VLOOKUP(3,Reagents!$B$1:$M$41,5,FALSE))</f>
        <v>NULL</v>
      </c>
      <c r="AV11" s="214" t="str">
        <f>IF(OR(Reagents!$Q$4="Stock slurry",Reagents!$Q$4="Stock solution"),VLOOKUP(3,Reagents!$B$1:$R$41,13,FALSE), "NULL")</f>
        <v/>
      </c>
      <c r="AW11" s="362" t="str">
        <f>IF(OR(Reagents!$Q$4="Stock slurry",Reagents!$Q$4="Stock solution"),VLOOKUP(3,Reagents!$B$1:$R$41,14,FALSE), VLOOKUP(3,Reagents!$B$1:$R$41,11,FALSE))</f>
        <v/>
      </c>
      <c r="AX11" s="214">
        <f>VLOOKUP(3,Reagents!$B$1:$R$41,17,FALSE)</f>
        <v>0</v>
      </c>
      <c r="AY11" s="284" t="e">
        <f>IF(OR(VLOOKUP(3,Reagents!$B$1:$M$41,4,FALSE)="solvent_2",VLOOKUP(3,Reagents!$B$1:$M$41,4,FALSE)="solvent_3"),VLOOKUP(3,Reagents!$B$1:$M$41,12,FALSE),IF(OR(Reagents!$Q$4="Stock slurry",Reagents!$Q$4="Stock solution"),AW11*AV11, AW11/VLOOKUP(3,Reagents!$B$1:$R$41,6,FALSE)*1000))</f>
        <v>#VALUE!</v>
      </c>
      <c r="AZ11" s="214">
        <f>VLOOKUP(4,Reagents!$B$1:$M$41,2,FALSE)</f>
        <v>0</v>
      </c>
      <c r="BA11" s="214">
        <f>VLOOKUP(4,Reagents!$B$1:$M$41,3,FALSE)</f>
        <v>0</v>
      </c>
      <c r="BB11" s="214" t="str">
        <f>IF(VLOOKUP(4,Reagents!$B$1:$M$41,5,FALSE)=0, "NULL", VLOOKUP(4,Reagents!$B$1:$M$41,5,FALSE))</f>
        <v>NULL</v>
      </c>
      <c r="BC11" s="214" t="str">
        <f>IF(OR(Reagents!$Q$5="Stock slurry",Reagents!$Q$5="Stock solution"),VLOOKUP(4,Reagents!$B$1:$R$41,13,FALSE), "NULL")</f>
        <v/>
      </c>
      <c r="BD11" s="362" t="str">
        <f>IF(OR(Reagents!$Q$5="Stock slurry",Reagents!$Q$5="Stock solution"),VLOOKUP(4,Reagents!$B$1:$R$41,14,FALSE), VLOOKUP(4,Reagents!$B$1:$R$41,11,FALSE))</f>
        <v/>
      </c>
      <c r="BE11" s="214">
        <f>VLOOKUP(4,Reagents!$B$1:$R$41,17,FALSE)</f>
        <v>0</v>
      </c>
      <c r="BF11" s="284" t="e">
        <f>IF(OR(VLOOKUP(4,Reagents!$B$1:$M$41,4,FALSE)="solvent_2",VLOOKUP(4,Reagents!$B$1:$M$41,4,FALSE)="solvent_3"),VLOOKUP(4,Reagents!$B$1:$M$41,12,FALSE),IF(OR(Reagents!$Q$5="Stock slurry",Reagents!$Q$5="Stock solution"),BD11*BC11, BD11/VLOOKUP(4,Reagents!$B$1:$R$41,6,FALSE)*1000))</f>
        <v>#VALUE!</v>
      </c>
      <c r="BG11" s="214">
        <f>VLOOKUP(5,Reagents!$B$1:$M$41,2,FALSE)</f>
        <v>0</v>
      </c>
      <c r="BH11" s="214">
        <f>VLOOKUP(5,Reagents!$B$1:$M$41,3,FALSE)</f>
        <v>0</v>
      </c>
      <c r="BI11" s="214" t="str">
        <f>IF(VLOOKUP(5,Reagents!$B$1:$M$41,5,FALSE)=0, "NULL", VLOOKUP(5,Reagents!$B$1:$M$41,5,FALSE))</f>
        <v>NULL</v>
      </c>
      <c r="BJ11" s="214" t="str">
        <f>IF(OR(Reagents!$Q$6="Stock slurry",Reagents!$Q$6="Stock solution"),VLOOKUP(5,Reagents!$B$1:$R$41,13,FALSE), "NULL")</f>
        <v/>
      </c>
      <c r="BK11" s="362" t="str">
        <f>IF(OR(Reagents!$Q$6="Stock slurry",Reagents!$Q$6="Stock solution"),VLOOKUP(5,Reagents!$B$1:$R$41,14,FALSE), VLOOKUP(5,Reagents!$B$1:$R$41,11,FALSE))</f>
        <v/>
      </c>
      <c r="BL11" s="214">
        <f>VLOOKUP(5,Reagents!$B$1:$R$41,17,FALSE)</f>
        <v>0</v>
      </c>
      <c r="BM11" s="284" t="e">
        <f>IF(OR(VLOOKUP(5,Reagents!$B$1:$M$41,4,FALSE)="solvent_2",VLOOKUP(5,Reagents!$B$1:$M$41,4,FALSE)="solvent_3"),VLOOKUP(5,Reagents!$B$1:$M$41,12,FALSE),IF(OR(Reagents!$Q$6="Stock slurry",Reagents!$Q$6="Stock solution"),BK11*BJ11, BK11/VLOOKUP(5,Reagents!$B$1:$R$41,6,FALSE)*1000))</f>
        <v>#VALUE!</v>
      </c>
      <c r="BN11" s="214">
        <f>VLOOKUP(6,Reagents!$B$1:$M$41,2,FALSE)</f>
        <v>0</v>
      </c>
      <c r="BO11" s="214">
        <f>VLOOKUP(6,Reagents!$B$1:$M$41,3,FALSE)</f>
        <v>0</v>
      </c>
      <c r="BP11" s="214" t="str">
        <f>IF(VLOOKUP(6,Reagents!$B$1:$M$41,5,FALSE)=0, "NULL", VLOOKUP(6,Reagents!$B$1:$M$41,5,FALSE))</f>
        <v>NULL</v>
      </c>
      <c r="BQ11" s="214" t="str">
        <f>IF(OR(Reagents!$Q$7="Stock slurry",Reagents!$Q$7="Stock solution"),VLOOKUP(6,Reagents!$B$1:$R$41,13,FALSE), "NULL")</f>
        <v/>
      </c>
      <c r="BR11" s="362" t="str">
        <f>IF(OR(Reagents!$Q$7="Stock slurry",Reagents!$Q$7="Stock solution"),VLOOKUP(6,Reagents!$B$1:$R$41,14,FALSE), VLOOKUP(6,Reagents!$B$1:$R$41,11,FALSE))</f>
        <v/>
      </c>
      <c r="BS11" s="214">
        <f>VLOOKUP(6,Reagents!$B$1:$R$41,17,FALSE)</f>
        <v>0</v>
      </c>
      <c r="BT11" s="284" t="e">
        <f>IF(OR(VLOOKUP(6,Reagents!$B$1:$M$41,4,FALSE)="solvent_2",VLOOKUP(6,Reagents!$B$1:$M$41,4,FALSE)="solvent_3"),VLOOKUP(6,Reagents!$B$1:$M$41,12,FALSE),IF(OR(Reagents!$Q$7="Stock slurry",Reagents!$Q$7="Stock solution"),BR11*BQ11, BR11/VLOOKUP(6,Reagents!$B$1:$R$41,6,FALSE)*1000))</f>
        <v>#VALUE!</v>
      </c>
      <c r="BU11" s="214">
        <f>VLOOKUP(7,Reagents!$B$1:$M$41,2,FALSE)</f>
        <v>0</v>
      </c>
      <c r="BV11" s="214">
        <f>VLOOKUP(7,Reagents!$B$1:$M$41,3,FALSE)</f>
        <v>0</v>
      </c>
      <c r="BW11" s="214" t="str">
        <f>IF(VLOOKUP(7,Reagents!$B$1:$M$41,5,FALSE)=0, "NULL", VLOOKUP(7,Reagents!$B$1:$M$41,5,FALSE))</f>
        <v>NULL</v>
      </c>
      <c r="BX11" s="214" t="str">
        <f>IF(OR(Reagents!$Q$8="Stock slurry",Reagents!$Q$8="Stock solution"),VLOOKUP(7,Reagents!$B$1:$R$41,13,FALSE), "NULL")</f>
        <v/>
      </c>
      <c r="BY11" s="362" t="str">
        <f>IF(OR(Reagents!$Q$8="Stock slurry",Reagents!$Q$8="Stock solution"),VLOOKUP(7,Reagents!$B$1:$R$41,14,FALSE), VLOOKUP(7,Reagents!$B$1:$R$41,11,FALSE))</f>
        <v/>
      </c>
      <c r="BZ11" s="214">
        <f>VLOOKUP(7,Reagents!$B$1:$R$41,17,FALSE)</f>
        <v>0</v>
      </c>
      <c r="CA11" s="284" t="e">
        <f>IF(OR(VLOOKUP(7,Reagents!$B$1:$M$41,4,FALSE)="solvent_2",VLOOKUP(7,Reagents!$B$1:$M$41,4,FALSE)="solvent_3"),VLOOKUP(7,Reagents!$B$1:$M$41,12,FALSE),IF(OR(Reagents!$Q$8="Stock slurry",Reagents!$Q$8="Stock solution"),BY11*BX11, BY11/VLOOKUP(7,Reagents!$B$1:$R$41,6,FALSE)*1000))</f>
        <v>#VALUE!</v>
      </c>
      <c r="CB11" s="214">
        <f>VLOOKUP(8,Reagents!$B$1:$M$41,2,FALSE)</f>
        <v>0</v>
      </c>
      <c r="CC11" s="214">
        <f>VLOOKUP(8,Reagents!$B$1:$M$41,3,FALSE)</f>
        <v>0</v>
      </c>
      <c r="CD11" s="214" t="str">
        <f>IF(VLOOKUP(8,Reagents!$B$1:$M$41,5,FALSE)=0, "NULL", VLOOKUP(8,Reagents!$B$1:$M$41,5,FALSE))</f>
        <v>NULL</v>
      </c>
      <c r="CE11" s="214" t="str">
        <f>IF(OR(Reagents!$Q$9="Stock slurry",Reagents!$Q$9="Stock solution"),VLOOKUP(8,Reagents!$B$1:$R$41,13,FALSE), "NULL")</f>
        <v/>
      </c>
      <c r="CF11" s="362" t="str">
        <f>IF(OR(Reagents!$Q$9="Stock slurry",Reagents!$Q$9="Stock solution"),VLOOKUP(8,Reagents!$B$1:$R$41,14,FALSE), VLOOKUP(8,Reagents!$B$1:$R$41,11,FALSE))</f>
        <v/>
      </c>
      <c r="CG11" s="214">
        <f>VLOOKUP(8,Reagents!$B$1:$R$41,17,FALSE)</f>
        <v>0</v>
      </c>
      <c r="CH11" s="284" t="e">
        <f>IF(OR(VLOOKUP(8,Reagents!$B$1:$M$41,4,FALSE)="solvent_2",VLOOKUP(8,Reagents!$B$1:$M$41,4,FALSE)="solvent_3"),VLOOKUP(8,Reagents!$B$1:$M$41,12,FALSE),IF(OR(Reagents!$Q$9="Stock slurry",Reagents!$Q$9="Stock solution"),CF11*CE11, CF11/VLOOKUP(8,Reagents!$B$1:$R$41,6,FALSE)*1000))</f>
        <v>#VALUE!</v>
      </c>
      <c r="CI11" s="214">
        <f>VLOOKUP(9,Reagents!$B$1:$M$41,2,FALSE)</f>
        <v>0</v>
      </c>
      <c r="CJ11" s="214">
        <f>VLOOKUP(9,Reagents!$B$1:$M$41,3,FALSE)</f>
        <v>0</v>
      </c>
      <c r="CK11" s="214" t="str">
        <f>IF(VLOOKUP(9,Reagents!$B$1:$M$41,5,FALSE)=0, "NULL", VLOOKUP(9,Reagents!$B$1:$M$41,5,FALSE))</f>
        <v>NULL</v>
      </c>
      <c r="CL11" s="214" t="str">
        <f>IF(OR(Reagents!$Q$10="Stock slurry",Reagents!$Q$10="Stock solution"),VLOOKUP(9,Reagents!$B$1:$R$41,13,FALSE), "NULL")</f>
        <v/>
      </c>
      <c r="CM11" s="362" t="str">
        <f>IF(OR(Reagents!$Q$10="Stock slurry",Reagents!$Q$10="Stock solution"),VLOOKUP(9,Reagents!$B$1:$R$41,14,FALSE), VLOOKUP(9,Reagents!$B$1:$R$41,11,FALSE))</f>
        <v/>
      </c>
      <c r="CN11" s="214">
        <f>VLOOKUP(9,Reagents!$B$1:$R$41,17,FALSE)</f>
        <v>0</v>
      </c>
      <c r="CO11" s="284" t="e">
        <f>IF(OR(VLOOKUP(9,Reagents!$B$1:$M$41,4,FALSE)="solvent_2",VLOOKUP(9,Reagents!$B$1:$M$41,4,FALSE)="solvent_3"),VLOOKUP(9,Reagents!$B$1:$M$41,12,FALSE),IF(OR(Reagents!$Q$10="Stock slurry",Reagents!$Q$10="Stock solution"),CM11*CL11, CM11/VLOOKUP(9,Reagents!$B$1:$R$41,6,FALSE)*1000))</f>
        <v>#VALUE!</v>
      </c>
      <c r="CP11" s="214">
        <f>VLOOKUP(10,Reagents!$B$1:$M$41,2,FALSE)</f>
        <v>0</v>
      </c>
      <c r="CQ11" s="214">
        <f>VLOOKUP(10,Reagents!$B$1:$M$41,3,FALSE)</f>
        <v>0</v>
      </c>
      <c r="CR11" s="214" t="str">
        <f>IF(VLOOKUP(10,Reagents!$B$1:$M$41,5,FALSE)=0, "NULL", VLOOKUP(10,Reagents!$B$1:$M$41,5,FALSE))</f>
        <v>NULL</v>
      </c>
      <c r="CS11" s="214" t="str">
        <f>IF(OR(Reagents!$Q$11="Stock slurry",Reagents!$Q$11="Stock solution"),VLOOKUP(10,Reagents!$B$1:$R$41,13,FALSE), "NULL")</f>
        <v/>
      </c>
      <c r="CT11" s="362" t="str">
        <f>IF(OR(Reagents!$Q$11="Stock slurry",Reagents!$Q$11="Stock solution"),VLOOKUP(10,Reagents!$B$1:$R$41,14,FALSE), VLOOKUP(10,Reagents!$B$1:$R$41,11,FALSE))</f>
        <v/>
      </c>
      <c r="CU11" s="214">
        <f>VLOOKUP(10,Reagents!$B$1:$R$41,17,FALSE)</f>
        <v>0</v>
      </c>
      <c r="CV11" s="284" t="e">
        <f>IF(OR(VLOOKUP(10,Reagents!$B$1:$M$41,4,FALSE)="solvent_2",VLOOKUP(10,Reagents!$B$1:$M$41,4,FALSE)="solvent_3"),VLOOKUP(10,Reagents!$B$1:$M$41,12,FALSE),IF(OR(Reagents!$Q$11="Stock slurry",Reagents!$Q$11="Stock solution"),CT11*CS11, CT11/VLOOKUP(10,Reagents!$B$1:$R$41,6,FALSE)*1000))</f>
        <v>#VALUE!</v>
      </c>
      <c r="CW11" s="214" t="str">
        <f>VLOOKUP(B11+10,Reagents!$B$1:$R$41,2,FALSE)</f>
        <v/>
      </c>
      <c r="CX11" s="214">
        <f>VLOOKUP(B11+10,Reagents!$B$1:$R$41,3,FALSE)</f>
        <v>0</v>
      </c>
      <c r="CY11" s="214" t="str">
        <f>IF(VLOOKUP(B11+10,Reagents!$B$1:$M$41,5,FALSE)=0, "NULL", VLOOKUP(B11+10,Reagents!$B$1:$M$41,5,FALSE))</f>
        <v>NULL</v>
      </c>
      <c r="CZ11" s="214" t="str">
        <f>IF(OR(Reagents!$Q$12="Stock slurry",Reagents!$Q$12="Stock solution"),VLOOKUP(B11+10,Reagents!$B$1:$R$41,13,FALSE), "NULL")</f>
        <v/>
      </c>
      <c r="DA11" s="362" t="str">
        <f>IF(OR(Reagents!$Q$12="Stock slurry",Reagents!$Q$12="Stock solution"),VLOOKUP(B11+10,Reagents!$B$1:$R$41,14,FALSE), VLOOKUP(B11+10,Reagents!$B$1:$R$41,11,FALSE))</f>
        <v/>
      </c>
      <c r="DB11" s="214">
        <f>VLOOKUP(B11+10,Reagents!$B$1:$R$41,17,FALSE)</f>
        <v>0</v>
      </c>
      <c r="DC11" s="284" t="e">
        <f>IF(OR(v1_col="solvent_2",v1_col="solvent_3"),VLOOKUP(B11+10,Reagents!$B$1:$M$41,12,FALSE),IF(OR(Reagents!$Q$12="Stock slurry",Reagents!$Q$12="Stock solution"),DA11*CZ11, DA11/VLOOKUP(B11+10,Reagents!$B$1:$R$41,6,FALSE)*1000))</f>
        <v>#VALUE!</v>
      </c>
      <c r="DD11" s="214" t="str">
        <f>VLOOKUP(B11+22,Reagents!$B$1:$M$41,2,FALSE)</f>
        <v/>
      </c>
      <c r="DE11" s="214">
        <f>VLOOKUP(B11+22,Reagents!$B$1:$R$41,3,FALSE)</f>
        <v>0</v>
      </c>
      <c r="DF11" s="214" t="str">
        <f>IF(VLOOKUP(B11+22,Reagents!$B$1:$M$41,5,FALSE)=0, "NULL", VLOOKUP(B11+22,Reagents!$B$1:$M$41,5,FALSE))</f>
        <v>NULL</v>
      </c>
      <c r="DG11" s="214" t="str">
        <f>IF(OR(Reagents!$Q$18="Stock slurry",Reagents!$Q$12="Stock solution"),VLOOKUP(B11+22,Reagents!$B$1:$R$41,13,FALSE), "NULL")</f>
        <v/>
      </c>
      <c r="DH11" s="362" t="str">
        <f>IF(OR(Reagents!$Q$18="Stock slurry",Reagents!$Q$18="Stock solution"),VLOOKUP(B11+22,Reagents!$B$1:$R$41,14,FALSE), VLOOKUP(B11+22,Reagents!$B$1:$R$41,11,FALSE))</f>
        <v/>
      </c>
      <c r="DI11" s="214">
        <f>VLOOKUP(B11+22,Reagents!$B$1:$R$41,17,FALSE)</f>
        <v>0</v>
      </c>
      <c r="DJ11" s="284" t="e">
        <f>IF(OR(v2_col="solvent_2",v2_col="solvent_3"),VLOOKUP(B11+22,Reagents!$B$1:$M$41,12,FALSE),IF(OR(Reagents!$Q$18="Stock slurry",Reagents!$Q$18="Stock solution"),DH11*DG11, DH11/VLOOKUP(B11+22,Reagents!$B$1:$R$41,6,FALSE)*1000))</f>
        <v>#VALUE!</v>
      </c>
      <c r="DK11" s="214" t="str">
        <f>VLOOKUP(B11+34,Reagents!$B$1:$M$41,2,FALSE)</f>
        <v/>
      </c>
      <c r="DL11" s="214">
        <f>VLOOKUP(B11+34,Reagents!$B$1:$R$41,3,FALSE)</f>
        <v>0</v>
      </c>
      <c r="DM11" s="214" t="str">
        <f>IF(VLOOKUP(B11+34,Reagents!$B$1:$M$41,5,FALSE)=0, "NULL", VLOOKUP(B11+34,Reagents!$B$1:$M$41,5,FALSE))</f>
        <v>NULL</v>
      </c>
      <c r="DN11" s="214" t="str">
        <f>IF(OR(Reagents!$Q$24="Stock slurry",Reagents!$Q$12="Stock solution"),VLOOKUP(B11+34,Reagents!$B$1:$R$41,13,FALSE), "NULL")</f>
        <v/>
      </c>
      <c r="DO11" s="362" t="str">
        <f>IF(OR(Reagents!$Q$24="Stock slurry",Reagents!$Q$24="Stock solution"),VLOOKUP(B11+34,Reagents!$B$1:$R$41,14,FALSE), VLOOKUP(B11+34,Reagents!$B$1:$R$41,11,FALSE))</f>
        <v/>
      </c>
      <c r="DP11" s="214">
        <f>VLOOKUP(B11+34,Reagents!$B$1:$R$41,17,FALSE)</f>
        <v>0</v>
      </c>
      <c r="DQ11" s="284" t="e">
        <f>IF(OR(v3_col="solvent_2",v3_col="solvent_3"),VLOOKUP(B11+34,Reagents!$B$1:$M$41,12,FALSE),IF(OR(Reagents!$Q$24="Stock slurry",Reagents!$Q$24="Stock solution"),DO11*DN11, DO11/VLOOKUP(B11+34,Reagents!$B$1:$R$41,6,FALSE)*1000))</f>
        <v>#VALUE!</v>
      </c>
      <c r="DR11" s="214" t="str">
        <f>VLOOKUP(C11+46,Reagents!$B$1:$M$41,2,FALSE)</f>
        <v/>
      </c>
      <c r="DS11" s="214">
        <f>VLOOKUP(C11+46,Reagents!$B$1:$M$41,3,FALSE)</f>
        <v>0</v>
      </c>
      <c r="DT11" s="214" t="str">
        <f>IF(VLOOKUP(C11+46,Reagents!$B$1:$M$41,5,FALSE)=0, "NULL", VLOOKUP(C11+46,Reagents!$B$1:$M$41,5,FALSE))</f>
        <v>NULL</v>
      </c>
      <c r="DU11" s="214" t="str">
        <f>IF(OR(Reagents!$Q$30="Stock slurry",Reagents!$Q$30="Stock solution"),VLOOKUP(C11+46,Reagents!$B$1:$R$41,13,FALSE), "NULL")</f>
        <v/>
      </c>
      <c r="DV11" s="362" t="str">
        <f>IF(OR(Reagents!$Q$30="Stock slurry",Reagents!$Q$30="Stock solution"),VLOOKUP(C11+46,Reagents!$B$1:$R$41,14,FALSE), VLOOKUP(C11+46,Reagents!$B$1:$R$41,11,FALSE))</f>
        <v/>
      </c>
      <c r="DW11" s="214">
        <f>VLOOKUP(C11+46,Reagents!$B$1:$R$41,17,FALSE)</f>
        <v>0</v>
      </c>
      <c r="DX11" s="284" t="e">
        <f>IF(OR(v4_row="solvent_2",v4_row="solvent_3"),VLOOKUP(C11+46,Reagents!$B$1:$M$41,12,FALSE),IF(OR(Reagents!$Q$30="Stock slurry",Reagents!$Q$30="Stock solution"),DV11*DU11, DV11/VLOOKUP(C11+46,Reagents!$B$1:$R$41,6,FALSE)*1000))</f>
        <v>#VALUE!</v>
      </c>
      <c r="DY11" s="214" t="str">
        <f>VLOOKUP(C11+54,Reagents!$B$1:$M$41,2,FALSE)</f>
        <v/>
      </c>
      <c r="DZ11" s="214">
        <f>VLOOKUP(C11+54,Reagents!$B$1:$M$41,3,FALSE)</f>
        <v>0</v>
      </c>
      <c r="EA11" s="214" t="str">
        <f>IF(VLOOKUP(C11+54,Reagents!$B$1:$M$41,5,FALSE)=0, "NULL", VLOOKUP(C11+54,Reagents!$B$1:$M$41,5,FALSE))</f>
        <v>NULL</v>
      </c>
      <c r="EB11" s="214" t="str">
        <f>IF(OR(Reagents!$Q$34="Stock slurry",Reagents!$Q$34="Stock solution"),VLOOKUP(C11+54,Reagents!$B$1:$R$41,13,FALSE), "NULL")</f>
        <v/>
      </c>
      <c r="EC11" s="362" t="str">
        <f>IF(OR(Reagents!$Q$34="Stock slurry",Reagents!$Q$34="Stock solution"),VLOOKUP(C11+54,Reagents!$B$1:$R$41,14,FALSE), VLOOKUP(C11+54,Reagents!$B$1:$R$41,11,FALSE))</f>
        <v/>
      </c>
      <c r="ED11" s="214">
        <f>VLOOKUP(C11+54,Reagents!$B$1:$R$41,17,FALSE)</f>
        <v>0</v>
      </c>
      <c r="EE11" s="284" t="e">
        <f>IF(OR(v5_row="solvent_2",v5_row="solvent_3"),VLOOKUP(C11+54,Reagents!$B$1:$M$41,12,FALSE),IF(OR(Reagents!$Q$34="Stock slurry",Reagents!$Q$34="Stock solution"),EC11*EB11, EC11/VLOOKUP(C11+54,Reagents!$B$1:$R$41,6,FALSE)*1000))</f>
        <v>#VALUE!</v>
      </c>
      <c r="EF11" s="214" t="str">
        <f>VLOOKUP(C11+62,Reagents!$B$1:$M$41,2,FALSE)</f>
        <v/>
      </c>
      <c r="EG11" s="214">
        <f>VLOOKUP(C11+62,Reagents!$B$1:$M$41,3,FALSE)</f>
        <v>0</v>
      </c>
      <c r="EH11" s="214" t="str">
        <f>IF(VLOOKUP(C11+62,Reagents!$B$1:$M$41,5,FALSE)=0, "NULL", VLOOKUP(C11+62,Reagents!$B$1:$M$41,5,FALSE))</f>
        <v>NULL</v>
      </c>
      <c r="EI11" s="214" t="str">
        <f>IF(OR(Reagents!$Q$38="Stock slurry",Reagents!$Q$38="Stock solution"),VLOOKUP(C11+62,Reagents!$B$1:$R$41,13,FALSE), "NULL")</f>
        <v/>
      </c>
      <c r="EJ11" s="362" t="str">
        <f>IF(OR(Reagents!$Q$38="Stock slurry",Reagents!$Q$38="Stock solution"),VLOOKUP(C11+62,Reagents!$B$1:$R$41,14,FALSE), VLOOKUP(C11+62,Reagents!$B$1:$R$41,11,FALSE))</f>
        <v/>
      </c>
      <c r="EK11" s="214">
        <f>VLOOKUP(C11+62,Reagents!$B$1:$R$41,17,FALSE)</f>
        <v>0</v>
      </c>
      <c r="EL11" s="284" t="e">
        <f>IF(OR(v6_row="solvent_2",v6_row="solvent_3"),VLOOKUP(C11+62,Reagents!$B$1:$M$41,12,FALSE),IF(OR(Reagents!$Q$38="Stock slurry",Reagents!$Q$38="Stock solution"),EJ11*EI11, EJ11/VLOOKUP(C11+62,Reagents!$B$1:$R$41,6,FALSE)*1000))</f>
        <v>#VALUE!</v>
      </c>
      <c r="EM11" s="214">
        <f>VLOOKUP(19,'Plate Planning'!$A$1:$T$35,13,FALSE)</f>
        <v>0</v>
      </c>
      <c r="EN11" s="214">
        <f>VLOOKUP(19,'Plate Planning'!$A$1:$T$35,14,FALSE)</f>
        <v>0</v>
      </c>
      <c r="EO11" s="214">
        <f>VLOOKUP(19,'Plate Planning'!$A$1:$T$35,15,FALSE)</f>
        <v>0</v>
      </c>
      <c r="EP11" s="214">
        <f>VLOOKUP(A11,'Uncorrected Area Counts'!$A$1:$AS$27,3,FALSE)</f>
        <v>0</v>
      </c>
      <c r="EQ11" s="214" t="str">
        <f>VLOOKUP(A11,'Uncorrected Area Counts'!$A$1:$AS$27,4,FALSE)</f>
        <v/>
      </c>
      <c r="ER11" s="214" t="str">
        <f>VLOOKUP(A11,'Uncorrected Area Counts'!$A$1:$AS$27,5,FALSE)</f>
        <v/>
      </c>
      <c r="ES11" s="214">
        <f>VLOOKUP(20,'Plate Planning'!$A$1:$T$35,15,FALSE)</f>
        <v>0</v>
      </c>
      <c r="ET11" s="214">
        <f>VLOOKUP(A11,'Uncorrected Area Counts'!$A$1:$AS$27,7,FALSE)</f>
        <v>0</v>
      </c>
      <c r="EU11" s="214" t="e">
        <f>VLOOKUP(A11,'Uncorrected Area Counts'!$A$1:$AS$27,7,FALSE)/VLOOKUP(A11,'Uncorrected Area Counts'!$A$1:$AS$27,3,FALSE)</f>
        <v>#DIV/0!</v>
      </c>
      <c r="EV11" s="214" t="str">
        <f>IFERROR(VLOOKUP(A11,'Yields &amp; LCAPs'!$A$1:$V$27,3,FALSE), "NULL")</f>
        <v>NULL</v>
      </c>
      <c r="EW11" s="284" t="str">
        <f>IFERROR(VLOOKUP(A11,'Yields &amp; LCAPs'!$A$1:$V$27,4,FALSE), "NULL")</f>
        <v>NULL</v>
      </c>
      <c r="EX11" s="214" t="str">
        <f>VLOOKUP(A11,'Uncorrected Area Counts'!$A$1:$AS$27,8,FALSE)</f>
        <v/>
      </c>
      <c r="EY11" s="214" t="str">
        <f>VLOOKUP(A11,'Uncorrected Area Counts'!$A$1:$AS$27,9,FALSE)</f>
        <v/>
      </c>
      <c r="EZ11" s="214">
        <f>VLOOKUP(22,'Plate Planning'!$A$1:$T$35,15,FALSE)</f>
        <v>0</v>
      </c>
      <c r="FA11" s="214">
        <f>VLOOKUP(A11,'Uncorrected Area Counts'!$A$1:$AS$27,11,FALSE)</f>
        <v>0</v>
      </c>
      <c r="FB11" s="214" t="e">
        <f>VLOOKUP(A11,'Uncorrected Area Counts'!$A$1:$AS$27,11,FALSE)/VLOOKUP(A11,'Uncorrected Area Counts'!$A$1:$AS$27,3,FALSE)</f>
        <v>#DIV/0!</v>
      </c>
      <c r="FC11" s="214" t="str">
        <f>IFERROR(VLOOKUP(A11,'Yields &amp; LCAPs'!$A$1:$V$27,5,FALSE), "NULL")</f>
        <v>NULL</v>
      </c>
      <c r="FD11" s="284" t="str">
        <f>IFERROR(VLOOKUP(A11,'Yields &amp; LCAPs'!$A$1:$V$27,6,FALSE), "NULL")</f>
        <v>NULL</v>
      </c>
      <c r="FE11" s="214" t="str">
        <f>VLOOKUP(A11,'Uncorrected Area Counts'!$A$1:$AS$27,12,FALSE)</f>
        <v/>
      </c>
      <c r="FF11" s="214" t="str">
        <f>VLOOKUP(A11,'Uncorrected Area Counts'!$A$1:$AS$27,13,FALSE)</f>
        <v/>
      </c>
      <c r="FG11" s="214">
        <f>VLOOKUP(24,'Plate Planning'!$A$1:$T$35,15,FALSE)</f>
        <v>0</v>
      </c>
      <c r="FH11" s="214">
        <f>VLOOKUP(A11,'Uncorrected Area Counts'!$A$1:$AS$27,15,FALSE)</f>
        <v>0</v>
      </c>
      <c r="FI11" s="214" t="e">
        <f>VLOOKUP(A11,'Uncorrected Area Counts'!$A$1:$AS$27,15,FALSE)/VLOOKUP(A11,'Uncorrected Area Counts'!$A$1:$AS$27,3,FALSE)</f>
        <v>#DIV/0!</v>
      </c>
      <c r="FJ11" s="214" t="str">
        <f>IFERROR(VLOOKUP(A11,'Yields &amp; LCAPs'!$A$1:$V$27,7,FALSE), "NULL")</f>
        <v>NULL</v>
      </c>
      <c r="FK11" s="284" t="str">
        <f>IFERROR(VLOOKUP(A11,'Yields &amp; LCAPs'!$A$1:$V$27,8,FALSE), "NULL")</f>
        <v>NULL</v>
      </c>
      <c r="FL11" s="214" t="str">
        <f>VLOOKUP(A11,'Uncorrected Area Counts'!$A$1:$AS$27,16,FALSE)</f>
        <v/>
      </c>
      <c r="FM11" s="214" t="str">
        <f>VLOOKUP(A11,'Uncorrected Area Counts'!$A$1:$AS$27,17,FALSE)</f>
        <v/>
      </c>
      <c r="FN11" s="214">
        <f>VLOOKUP(26,'Plate Planning'!$A$1:$T$35,15,FALSE)</f>
        <v>0</v>
      </c>
      <c r="FO11" s="214">
        <f>VLOOKUP(A11,'Uncorrected Area Counts'!$A$1:$AS$27,19,FALSE)</f>
        <v>0</v>
      </c>
      <c r="FP11" s="214" t="e">
        <f>VLOOKUP(A11,'Uncorrected Area Counts'!$A$1:$AS$27,19,FALSE)/VLOOKUP(A11,'Uncorrected Area Counts'!$A$1:$AS$27,3,FALSE)</f>
        <v>#DIV/0!</v>
      </c>
      <c r="FQ11" s="214" t="str">
        <f>IFERROR(VLOOKUP(A11,'Yields &amp; LCAPs'!$A$1:$V$27,9,FALSE), "NULL")</f>
        <v>NULL</v>
      </c>
      <c r="FR11" s="284" t="str">
        <f>IFERROR(VLOOKUP(A11,'Yields &amp; LCAPs'!$A$1:$V$27,10,FALSE), "NULL")</f>
        <v>NULL</v>
      </c>
      <c r="FS11" s="214" t="str">
        <f>VLOOKUP(A11,'Uncorrected Area Counts'!$A$1:$AS$27,20,FALSE)</f>
        <v/>
      </c>
      <c r="FT11" s="214" t="str">
        <f>VLOOKUP(A11,'Uncorrected Area Counts'!$A$1:$AS$27,21,FALSE)</f>
        <v/>
      </c>
      <c r="FU11" s="214">
        <f>VLOOKUP(27,'Plate Planning'!$A$1:$T$35,15,FALSE)</f>
        <v>0</v>
      </c>
      <c r="FV11" s="214">
        <f>VLOOKUP(A11,'Uncorrected Area Counts'!$A$1:$AS$27,23,FALSE)</f>
        <v>0</v>
      </c>
      <c r="FW11" s="214" t="e">
        <f>VLOOKUP(A11,'Uncorrected Area Counts'!$A$1:$AS$27,23,FALSE)/VLOOKUP(A11,'Uncorrected Area Counts'!$A$1:$AS$27,3,FALSE)</f>
        <v>#DIV/0!</v>
      </c>
      <c r="FX11" s="214" t="str">
        <f>IFERROR(VLOOKUP(A11,'Yields &amp; LCAPs'!$A$1:$V$27,11,FALSE), "NULL")</f>
        <v>NULL</v>
      </c>
      <c r="FY11" s="284" t="str">
        <f>IFERROR(VLOOKUP(A11,'Yields &amp; LCAPs'!$A$1:$V$27,12,FALSE), "NULL")</f>
        <v>NULL</v>
      </c>
      <c r="FZ11" s="411" t="str">
        <f>VLOOKUP(A11,'Uncorrected Area Counts'!$A$1:$AS$27,24,FALSE)</f>
        <v/>
      </c>
      <c r="GA11" s="214" t="str">
        <f>VLOOKUP(A11,'Uncorrected Area Counts'!$A$1:$AS$27,25,FALSE)</f>
        <v/>
      </c>
      <c r="GB11" s="214">
        <f>VLOOKUP(28,'Plate Planning'!$A$1:$T$35,15,FALSE)</f>
        <v>0</v>
      </c>
      <c r="GC11" s="214">
        <f>VLOOKUP(A11,'Uncorrected Area Counts'!$A$1:$AS$27,27,FALSE)</f>
        <v>0</v>
      </c>
      <c r="GD11" s="214" t="e">
        <f>VLOOKUP(A11,'Uncorrected Area Counts'!$A$1:$AS$27,27,FALSE)/VLOOKUP(A11,'Uncorrected Area Counts'!$A$1:$AS$27,3,FALSE)</f>
        <v>#DIV/0!</v>
      </c>
      <c r="GE11" s="214" t="str">
        <f>IFERROR(VLOOKUP(A11,'Yields &amp; LCAPs'!$A$1:$V$27,13,FALSE), "NULL")</f>
        <v>NULL</v>
      </c>
      <c r="GF11" s="284" t="str">
        <f>IFERROR(VLOOKUP(A11,'Yields &amp; LCAPs'!$A$1:$V$27,14,FALSE), "NULL")</f>
        <v>NULL</v>
      </c>
      <c r="GG11" s="214" t="str">
        <f>VLOOKUP(A11,'Uncorrected Area Counts'!$A$1:$AS$27,28,FALSE)</f>
        <v/>
      </c>
      <c r="GH11" s="214" t="str">
        <f>VLOOKUP(A11,'Uncorrected Area Counts'!$A$1:$AS$27,29,FALSE)</f>
        <v/>
      </c>
      <c r="GI11" s="214">
        <f>VLOOKUP(29,'Plate Planning'!$A$1:$T$35,15,FALSE)</f>
        <v>0</v>
      </c>
      <c r="GJ11" s="214">
        <f>VLOOKUP(A11,'Uncorrected Area Counts'!$A$1:$AS$27,31,FALSE)</f>
        <v>0</v>
      </c>
      <c r="GK11" s="214" t="e">
        <f>VLOOKUP(A11,'Uncorrected Area Counts'!$A$1:$AS$27,31,FALSE)/VLOOKUP(A11,'Uncorrected Area Counts'!$A$1:$AS$27,3,FALSE)</f>
        <v>#DIV/0!</v>
      </c>
      <c r="GL11" s="214" t="str">
        <f>IFERROR(VLOOKUP(A11,'Yields &amp; LCAPs'!$A$1:$V$27,15,FALSE), "NULL")</f>
        <v>NULL</v>
      </c>
      <c r="GM11" s="284" t="str">
        <f>IFERROR(VLOOKUP(A11,'Yields &amp; LCAPs'!$A$1:$V$27,16,FALSE), "NULL")</f>
        <v>NULL</v>
      </c>
      <c r="GN11" s="214" t="str">
        <f>VLOOKUP(A11,'Uncorrected Area Counts'!$A$1:$AS$27,32,FALSE)</f>
        <v/>
      </c>
      <c r="GO11" s="214" t="str">
        <f>VLOOKUP(A11,'Uncorrected Area Counts'!$A$1:$AS$27,33,FALSE)</f>
        <v/>
      </c>
      <c r="GP11" s="214">
        <f>VLOOKUP(30,'Plate Planning'!$A$1:$T$35,15,FALSE)</f>
        <v>0</v>
      </c>
      <c r="GQ11" s="214">
        <f>VLOOKUP(A11,'Uncorrected Area Counts'!$A$1:$AS$27,35,FALSE)</f>
        <v>0</v>
      </c>
      <c r="GR11" s="214" t="e">
        <f>VLOOKUP(A11,'Uncorrected Area Counts'!$A$1:$AS$27,35,FALSE)/VLOOKUP(A11,'Uncorrected Area Counts'!$A$1:$AS$27,3,FALSE)</f>
        <v>#DIV/0!</v>
      </c>
      <c r="GS11" s="214" t="str">
        <f>IFERROR(VLOOKUP(A11,'Yields &amp; LCAPs'!$A$1:$V$27,17,FALSE), "NULL")</f>
        <v>NULL</v>
      </c>
      <c r="GT11" s="284" t="str">
        <f>IFERROR(VLOOKUP(A11,'Yields &amp; LCAPs'!$A$1:$V$27,18,FALSE), "NULL")</f>
        <v>NULL</v>
      </c>
      <c r="GU11" s="214" t="str">
        <f>VLOOKUP(A11,'Uncorrected Area Counts'!$A$1:$AS$27,36,FALSE)</f>
        <v/>
      </c>
      <c r="GV11" s="214" t="str">
        <f>VLOOKUP(A11,'Uncorrected Area Counts'!$A$1:$AS$27,37,FALSE)</f>
        <v/>
      </c>
      <c r="GW11" s="214">
        <f>VLOOKUP(31,'Plate Planning'!$A$1:$T$35,15,FALSE)</f>
        <v>0</v>
      </c>
      <c r="GX11" s="214">
        <f>VLOOKUP(A11,'Uncorrected Area Counts'!$A$1:$AS$27,39,FALSE)</f>
        <v>0</v>
      </c>
      <c r="GY11" s="214" t="e">
        <f>VLOOKUP(A11,'Uncorrected Area Counts'!$A$1:$AS$27,39,FALSE)/VLOOKUP(A11,'Uncorrected Area Counts'!$A$1:$AS$27,3,FALSE)</f>
        <v>#DIV/0!</v>
      </c>
      <c r="GZ11" s="214" t="str">
        <f>IFERROR(VLOOKUP(A11,'Yields &amp; LCAPs'!$A$1:$V$27,19,FALSE), "NULL")</f>
        <v>NULL</v>
      </c>
      <c r="HA11" s="284" t="str">
        <f>IFERROR(VLOOKUP(A11,'Yields &amp; LCAPs'!$A$1:$V$27,20,FALSE), "NULL")</f>
        <v>NULL</v>
      </c>
      <c r="HB11" s="214" t="str">
        <f>VLOOKUP(A11,'Uncorrected Area Counts'!$A$1:$AS$27,40,FALSE)</f>
        <v/>
      </c>
      <c r="HC11" s="214" t="str">
        <f>VLOOKUP(A11,'Uncorrected Area Counts'!$A$1:$AS$27,41,FALSE)</f>
        <v/>
      </c>
      <c r="HD11" s="214">
        <f>VLOOKUP(32,'Plate Planning'!$A$1:$T$35,15,FALSE)</f>
        <v>0</v>
      </c>
      <c r="HE11" s="214">
        <f>VLOOKUP(A11,'Uncorrected Area Counts'!$A$1:$AS$27,43,FALSE)</f>
        <v>0</v>
      </c>
      <c r="HF11" s="214" t="e">
        <f>VLOOKUP(A11,'Uncorrected Area Counts'!$A$1:$AS$27,43,FALSE)/VLOOKUP(A11,'Uncorrected Area Counts'!$A$1:$AS$27,3,FALSE)</f>
        <v>#DIV/0!</v>
      </c>
      <c r="HG11" s="214" t="str">
        <f>IFERROR(VLOOKUP(A11,'Yields &amp; LCAPs'!$A$1:$V$27,21,FALSE), "NULL")</f>
        <v>NULL</v>
      </c>
      <c r="HH11" s="284" t="str">
        <f>IFERROR(VLOOKUP(A11,'Yields &amp; LCAPs'!$A$1:$V$27,22,FALSE), "NULL")</f>
        <v>NULL</v>
      </c>
      <c r="HI11" s="362"/>
      <c r="HJ11" s="362"/>
      <c r="HK11" s="362"/>
      <c r="HL11" s="362"/>
      <c r="HM11" s="363"/>
      <c r="HN11" s="362"/>
      <c r="HO11" s="362"/>
      <c r="HP11" s="362"/>
      <c r="HQ11" s="362"/>
      <c r="HR11" s="363"/>
    </row>
    <row r="12" spans="1:230">
      <c r="A12" s="216" t="s">
        <v>1177</v>
      </c>
      <c r="B12" s="214">
        <v>5</v>
      </c>
      <c r="C12" s="214">
        <v>2</v>
      </c>
      <c r="D12" s="214" t="str">
        <f>VLOOKUP(18,'Plate Planning'!$A$1:$T$35,10,FALSE)&amp;"_"&amp;VLOOKUP(19,'Plate Planning'!$A$1:$T$35,10,FALSE)&amp;"_"&amp;A12</f>
        <v>__B5</v>
      </c>
      <c r="E12" s="214" t="str">
        <f>IF(VLOOKUP(18,'Plate Planning'!$A$1:$T$35,10,FALSE)="", "NULL", VLOOKUP(18,'Plate Planning'!$A$1:$T$35,10,FALSE))</f>
        <v>NULL</v>
      </c>
      <c r="F12" s="214" t="str">
        <f>IF(VLOOKUP(19,'Plate Planning'!$A$1:$T$35,10,FALSE)="", "NULL", VLOOKUP(19,'Plate Planning'!$A$1:$T$35,10,FALSE))</f>
        <v>NULL</v>
      </c>
      <c r="G12" s="214" t="str">
        <f>IF(VLOOKUP(20,'Plate Planning'!$A$1:$T$35,10,FALSE)="", "NULL", VLOOKUP(20,'Plate Planning'!$A$1:$T$35,10,FALSE))</f>
        <v>NULL</v>
      </c>
      <c r="H12" s="214" t="str">
        <f>IF(VLOOKUP(21,'Plate Planning'!$A$1:$T$35,10,FALSE)="", "NULL", VLOOKUP(21,'Plate Planning'!$A$1:$T$35,10,FALSE))</f>
        <v>NULL</v>
      </c>
      <c r="I12" s="214" t="str">
        <f>IF(VLOOKUP(23,'Plate Planning'!$A$1:$T$35,10,FALSE)="", "NULL", VLOOKUP(23,'Plate Planning'!$A$1:$T$35,10,FALSE))</f>
        <v>NULL</v>
      </c>
      <c r="J12" s="214" t="str">
        <f>IF(VLOOKUP(22,'Plate Planning'!$A$1:$T$35,10,FALSE)="", "NULL", VLOOKUP(22,'Plate Planning'!$A$1:$T$35,10,FALSE))</f>
        <v>NULL</v>
      </c>
      <c r="K12" s="214" t="str">
        <f>VLOOKUP(24,'Plate Planning'!$A$1:$T$35,10,FALSE)</f>
        <v>Glovebox</v>
      </c>
      <c r="L12" s="214" t="str">
        <f>IF(VLOOKUP(25,'Plate Planning'!$A$1:$T$35,10,FALSE)="","NULL",VLOOKUP(25,'Plate Planning'!$A$1:$T$35,10,FALSE))</f>
        <v>NULL</v>
      </c>
      <c r="M12" s="214" t="str">
        <f>VLOOKUP(26,'Plate Planning'!$A$1:$T$35,10,FALSE)</f>
        <v>ambient</v>
      </c>
      <c r="N12" s="214" t="str">
        <f>IF(VLOOKUP(27,'Plate Planning'!$A$1:$T$35,10,FALSE)=0,"NULL", VLOOKUP(27,'Plate Planning'!$A$1:$T$35,10,FALSE))</f>
        <v>NULL</v>
      </c>
      <c r="O12" s="214" t="str">
        <f>IF(VLOOKUP(3,'Plate Planning'!$A$2:$S$35,18,FALSE)="", "NULL", VLOOKUP(3,'Plate Planning'!$A$2:$S$35,18,FALSE))</f>
        <v>NULL</v>
      </c>
      <c r="P12" s="214" t="str">
        <f>IF(VLOOKUP(4,'Plate Planning'!$A$2:$S$35,18,FALSE)="", "NULL", VLOOKUP(4,'Plate Planning'!$A$2:$S$35,18,FALSE))</f>
        <v>NULL</v>
      </c>
      <c r="Q12" s="214" t="str">
        <f>IF(VLOOKUP(5,'Plate Planning'!$A$2:$S$35,18,FALSE)="", "NULL", VLOOKUP(5,'Plate Planning'!$A$2:$S$35,18,FALSE))</f>
        <v>NULL</v>
      </c>
      <c r="R12" s="214" t="str">
        <f>IF(VLOOKUP(6,'Plate Planning'!$A$2:$S$35,18,FALSE)="", "NULL", VLOOKUP(6,'Plate Planning'!$A$2:$S$35,18,FALSE))</f>
        <v>NULL</v>
      </c>
      <c r="S12" s="214" t="str">
        <f>IF(VLOOKUP(7,'Plate Planning'!$A$2:$S$35,18,FALSE)="", "NULL", VLOOKUP(7,'Plate Planning'!$A$2:$S$35,18,FALSE))</f>
        <v>NULL</v>
      </c>
      <c r="T12" s="214" t="str">
        <f>IF(VLOOKUP(28,'Plate Planning'!$A$1:$T$35,10,FALSE)=0,"NULL",VLOOKUP(28,'Plate Planning'!$A$1:$T$35,10,FALSE))</f>
        <v>NULL</v>
      </c>
      <c r="U12" s="214" t="str">
        <f>IFERROR(VLOOKUP(VLOOKUP(28,'Plate Planning'!$A$1:$T$35,10,FALSE),Dictionaries!$Q$2:$R$72,2,FALSE), "NULL")</f>
        <v>NULL</v>
      </c>
      <c r="V12" s="214" t="str">
        <f>IF(VLOOKUP(28,'Plate Planning'!$A$1:$T$35,10,FALSE)=0,"NULL",VLOOKUP(32,'Plate Planning'!$A$1:$T$35,10,FALSE))</f>
        <v>NULL</v>
      </c>
      <c r="W12" s="214" t="str">
        <f>IF(VLOOKUP(C12+3,'Plate Planning'!$A$1:$S$35,B12+4,FALSE)=0, "", VLOOKUP(C12+3,'Plate Planning'!$A$1:$S$35,B12+4,FALSE))</f>
        <v/>
      </c>
      <c r="X12" s="214" t="str">
        <f>IFERROR(VLOOKUP(W12,'Complex Variable'!$A$2:$S$25,2,FALSE), "")</f>
        <v/>
      </c>
      <c r="Y12" s="327" t="str">
        <f>IFERROR(VLOOKUP(W12,'Complex Variable'!$A$2:$S$25,3,FALSE), "")</f>
        <v/>
      </c>
      <c r="Z12" s="327" t="str">
        <f>IFERROR(VLOOKUP(W12,'Complex Variable'!$A$2:$S$25,5,FALSE), "")</f>
        <v/>
      </c>
      <c r="AA12" s="327" t="str">
        <f>IFERROR(VLOOKUP(W12,'Complex Variable'!$A$2:$S$25,14,FALSE), "")</f>
        <v/>
      </c>
      <c r="AB12" s="602" t="str">
        <f>IFERROR(VLOOKUP(W12,'Complex Variable'!$A$2:$S$25,19,FALSE), "")</f>
        <v/>
      </c>
      <c r="AC12" s="327" t="str">
        <f>IFERROR(VLOOKUP(W12,'Complex Variable'!$A$2:$S$25,13,FALSE), "")</f>
        <v/>
      </c>
      <c r="AD12" s="604" t="str">
        <f t="shared" si="0"/>
        <v/>
      </c>
      <c r="AE12" s="214">
        <f>VLOOKUP(1,Reagents!$B$1:$M$41,2,FALSE)</f>
        <v>0</v>
      </c>
      <c r="AF12" s="214">
        <f>VLOOKUP(1,Reagents!$B$1:$M$41,3,FALSE)</f>
        <v>0</v>
      </c>
      <c r="AG12" s="214" t="str">
        <f>IF(VLOOKUP(1,Reagents!$B$1:$M$41,5,FALSE)=0, "NULL", VLOOKUP(1,Reagents!$B$1:$M$41,5,FALSE))</f>
        <v>NULL</v>
      </c>
      <c r="AH12" s="214" t="str">
        <f>IF(OR(Reagents!$Q$2="Stock slurry",Reagents!$Q$2="Stock solution"),VLOOKUP(1,Reagents!$B$1:$R$41,13,FALSE), "NULL")</f>
        <v/>
      </c>
      <c r="AI12" s="362" t="str">
        <f>IF(OR(Reagents!$Q$2="Stock slurry",Reagents!$Q$2="Stock solution"),VLOOKUP(1,Reagents!$B$1:$R$41,14,FALSE), VLOOKUP(1,Reagents!$B$1:$R$41,11,FALSE))</f>
        <v/>
      </c>
      <c r="AJ12" s="214">
        <f>VLOOKUP(1,Reagents!$B$1:$R$41,17,FALSE)</f>
        <v>0</v>
      </c>
      <c r="AK12" s="284" t="e">
        <f>IF(OR(VLOOKUP(1,Reagents!$B$1:$M$41,4,FALSE)="solvent_2",VLOOKUP(1,Reagents!$B$1:$M$41,4,FALSE)="solvent_3"),VLOOKUP(1,Reagents!$B$1:$M$41,12,FALSE),IF(OR(Reagents!$Q$2="Stock slurry",Reagents!$Q$2="Stock solution"),AI12*AH12, AI12/VLOOKUP(1,Reagents!$B$1:$R$41,6,FALSE)*1000))</f>
        <v>#VALUE!</v>
      </c>
      <c r="AL12" s="214">
        <f>VLOOKUP(2,Reagents!$B$1:$M$41,2,FALSE)</f>
        <v>0</v>
      </c>
      <c r="AM12" s="214">
        <f>VLOOKUP(2,Reagents!$B$1:$M$41,3,FALSE)</f>
        <v>0</v>
      </c>
      <c r="AN12" s="214" t="str">
        <f>IF(VLOOKUP(2,Reagents!$B$1:$M$41,5,FALSE)=0, "NULL", VLOOKUP(2,Reagents!$B$1:$M$41,5,FALSE))</f>
        <v>NULL</v>
      </c>
      <c r="AO12" s="214" t="str">
        <f>IF(OR(Reagents!$Q$3="Stock slurry",Reagents!$Q$3="Stock solution"),VLOOKUP(2,Reagents!$B$1:$R$41,13,FALSE), "NULL")</f>
        <v/>
      </c>
      <c r="AP12" s="362" t="str">
        <f>IF(OR(Reagents!$Q$3="Stock slurry",Reagents!$Q$3="Stock solution"),VLOOKUP(2,Reagents!$B$1:$R$41,14,FALSE), VLOOKUP(2,Reagents!$B$1:$R$41,11,FALSE))</f>
        <v/>
      </c>
      <c r="AQ12" s="214">
        <f>VLOOKUP(2,Reagents!$B$1:$R$41,17,FALSE)</f>
        <v>0</v>
      </c>
      <c r="AR12" s="284" t="e">
        <f>IF(OR(VLOOKUP(2,Reagents!$B$1:$M$41,4,FALSE)="solvent_2",VLOOKUP(2,Reagents!$B$1:$M$41,4,FALSE)="solvent_3"),VLOOKUP(2,Reagents!$B$1:$M$41,12,FALSE),IF(OR(Reagents!$Q$3="Stock slurry",Reagents!$Q$3="Stock solution"),AP12*AO12, AP12/VLOOKUP(2,Reagents!$B$1:$R$41,6,FALSE)*1000))</f>
        <v>#VALUE!</v>
      </c>
      <c r="AS12" s="214">
        <f>VLOOKUP(3,Reagents!$B$1:$M$41,2,FALSE)</f>
        <v>0</v>
      </c>
      <c r="AT12" s="214">
        <f>VLOOKUP(3,Reagents!$B$1:$M$41,3,FALSE)</f>
        <v>0</v>
      </c>
      <c r="AU12" s="214" t="str">
        <f>IF(VLOOKUP(3,Reagents!$B$1:$M$41,5,FALSE)=0, "NULL", VLOOKUP(3,Reagents!$B$1:$M$41,5,FALSE))</f>
        <v>NULL</v>
      </c>
      <c r="AV12" s="214" t="str">
        <f>IF(OR(Reagents!$Q$4="Stock slurry",Reagents!$Q$4="Stock solution"),VLOOKUP(3,Reagents!$B$1:$R$41,13,FALSE), "NULL")</f>
        <v/>
      </c>
      <c r="AW12" s="362" t="str">
        <f>IF(OR(Reagents!$Q$4="Stock slurry",Reagents!$Q$4="Stock solution"),VLOOKUP(3,Reagents!$B$1:$R$41,14,FALSE), VLOOKUP(3,Reagents!$B$1:$R$41,11,FALSE))</f>
        <v/>
      </c>
      <c r="AX12" s="214">
        <f>VLOOKUP(3,Reagents!$B$1:$R$41,17,FALSE)</f>
        <v>0</v>
      </c>
      <c r="AY12" s="284" t="e">
        <f>IF(OR(VLOOKUP(3,Reagents!$B$1:$M$41,4,FALSE)="solvent_2",VLOOKUP(3,Reagents!$B$1:$M$41,4,FALSE)="solvent_3"),VLOOKUP(3,Reagents!$B$1:$M$41,12,FALSE),IF(OR(Reagents!$Q$4="Stock slurry",Reagents!$Q$4="Stock solution"),AW12*AV12, AW12/VLOOKUP(3,Reagents!$B$1:$R$41,6,FALSE)*1000))</f>
        <v>#VALUE!</v>
      </c>
      <c r="AZ12" s="214">
        <f>VLOOKUP(4,Reagents!$B$1:$M$41,2,FALSE)</f>
        <v>0</v>
      </c>
      <c r="BA12" s="214">
        <f>VLOOKUP(4,Reagents!$B$1:$M$41,3,FALSE)</f>
        <v>0</v>
      </c>
      <c r="BB12" s="214" t="str">
        <f>IF(VLOOKUP(4,Reagents!$B$1:$M$41,5,FALSE)=0, "NULL", VLOOKUP(4,Reagents!$B$1:$M$41,5,FALSE))</f>
        <v>NULL</v>
      </c>
      <c r="BC12" s="214" t="str">
        <f>IF(OR(Reagents!$Q$5="Stock slurry",Reagents!$Q$5="Stock solution"),VLOOKUP(4,Reagents!$B$1:$R$41,13,FALSE), "NULL")</f>
        <v/>
      </c>
      <c r="BD12" s="362" t="str">
        <f>IF(OR(Reagents!$Q$5="Stock slurry",Reagents!$Q$5="Stock solution"),VLOOKUP(4,Reagents!$B$1:$R$41,14,FALSE), VLOOKUP(4,Reagents!$B$1:$R$41,11,FALSE))</f>
        <v/>
      </c>
      <c r="BE12" s="214">
        <f>VLOOKUP(4,Reagents!$B$1:$R$41,17,FALSE)</f>
        <v>0</v>
      </c>
      <c r="BF12" s="284" t="e">
        <f>IF(OR(VLOOKUP(4,Reagents!$B$1:$M$41,4,FALSE)="solvent_2",VLOOKUP(4,Reagents!$B$1:$M$41,4,FALSE)="solvent_3"),VLOOKUP(4,Reagents!$B$1:$M$41,12,FALSE),IF(OR(Reagents!$Q$5="Stock slurry",Reagents!$Q$5="Stock solution"),BD12*BC12, BD12/VLOOKUP(4,Reagents!$B$1:$R$41,6,FALSE)*1000))</f>
        <v>#VALUE!</v>
      </c>
      <c r="BG12" s="214">
        <f>VLOOKUP(5,Reagents!$B$1:$M$41,2,FALSE)</f>
        <v>0</v>
      </c>
      <c r="BH12" s="214">
        <f>VLOOKUP(5,Reagents!$B$1:$M$41,3,FALSE)</f>
        <v>0</v>
      </c>
      <c r="BI12" s="214" t="str">
        <f>IF(VLOOKUP(5,Reagents!$B$1:$M$41,5,FALSE)=0, "NULL", VLOOKUP(5,Reagents!$B$1:$M$41,5,FALSE))</f>
        <v>NULL</v>
      </c>
      <c r="BJ12" s="214" t="str">
        <f>IF(OR(Reagents!$Q$6="Stock slurry",Reagents!$Q$6="Stock solution"),VLOOKUP(5,Reagents!$B$1:$R$41,13,FALSE), "NULL")</f>
        <v/>
      </c>
      <c r="BK12" s="362" t="str">
        <f>IF(OR(Reagents!$Q$6="Stock slurry",Reagents!$Q$6="Stock solution"),VLOOKUP(5,Reagents!$B$1:$R$41,14,FALSE), VLOOKUP(5,Reagents!$B$1:$R$41,11,FALSE))</f>
        <v/>
      </c>
      <c r="BL12" s="214">
        <f>VLOOKUP(5,Reagents!$B$1:$R$41,17,FALSE)</f>
        <v>0</v>
      </c>
      <c r="BM12" s="284" t="e">
        <f>IF(OR(VLOOKUP(5,Reagents!$B$1:$M$41,4,FALSE)="solvent_2",VLOOKUP(5,Reagents!$B$1:$M$41,4,FALSE)="solvent_3"),VLOOKUP(5,Reagents!$B$1:$M$41,12,FALSE),IF(OR(Reagents!$Q$6="Stock slurry",Reagents!$Q$6="Stock solution"),BK12*BJ12, BK12/VLOOKUP(5,Reagents!$B$1:$R$41,6,FALSE)*1000))</f>
        <v>#VALUE!</v>
      </c>
      <c r="BN12" s="214">
        <f>VLOOKUP(6,Reagents!$B$1:$M$41,2,FALSE)</f>
        <v>0</v>
      </c>
      <c r="BO12" s="214">
        <f>VLOOKUP(6,Reagents!$B$1:$M$41,3,FALSE)</f>
        <v>0</v>
      </c>
      <c r="BP12" s="214" t="str">
        <f>IF(VLOOKUP(6,Reagents!$B$1:$M$41,5,FALSE)=0, "NULL", VLOOKUP(6,Reagents!$B$1:$M$41,5,FALSE))</f>
        <v>NULL</v>
      </c>
      <c r="BQ12" s="214" t="str">
        <f>IF(OR(Reagents!$Q$7="Stock slurry",Reagents!$Q$7="Stock solution"),VLOOKUP(6,Reagents!$B$1:$R$41,13,FALSE), "NULL")</f>
        <v/>
      </c>
      <c r="BR12" s="362" t="str">
        <f>IF(OR(Reagents!$Q$7="Stock slurry",Reagents!$Q$7="Stock solution"),VLOOKUP(6,Reagents!$B$1:$R$41,14,FALSE), VLOOKUP(6,Reagents!$B$1:$R$41,11,FALSE))</f>
        <v/>
      </c>
      <c r="BS12" s="214">
        <f>VLOOKUP(6,Reagents!$B$1:$R$41,17,FALSE)</f>
        <v>0</v>
      </c>
      <c r="BT12" s="284" t="e">
        <f>IF(OR(VLOOKUP(6,Reagents!$B$1:$M$41,4,FALSE)="solvent_2",VLOOKUP(6,Reagents!$B$1:$M$41,4,FALSE)="solvent_3"),VLOOKUP(6,Reagents!$B$1:$M$41,12,FALSE),IF(OR(Reagents!$Q$7="Stock slurry",Reagents!$Q$7="Stock solution"),BR12*BQ12, BR12/VLOOKUP(6,Reagents!$B$1:$R$41,6,FALSE)*1000))</f>
        <v>#VALUE!</v>
      </c>
      <c r="BU12" s="214">
        <f>VLOOKUP(7,Reagents!$B$1:$M$41,2,FALSE)</f>
        <v>0</v>
      </c>
      <c r="BV12" s="214">
        <f>VLOOKUP(7,Reagents!$B$1:$M$41,3,FALSE)</f>
        <v>0</v>
      </c>
      <c r="BW12" s="214" t="str">
        <f>IF(VLOOKUP(7,Reagents!$B$1:$M$41,5,FALSE)=0, "NULL", VLOOKUP(7,Reagents!$B$1:$M$41,5,FALSE))</f>
        <v>NULL</v>
      </c>
      <c r="BX12" s="214" t="str">
        <f>IF(OR(Reagents!$Q$8="Stock slurry",Reagents!$Q$8="Stock solution"),VLOOKUP(7,Reagents!$B$1:$R$41,13,FALSE), "NULL")</f>
        <v/>
      </c>
      <c r="BY12" s="362" t="str">
        <f>IF(OR(Reagents!$Q$8="Stock slurry",Reagents!$Q$8="Stock solution"),VLOOKUP(7,Reagents!$B$1:$R$41,14,FALSE), VLOOKUP(7,Reagents!$B$1:$R$41,11,FALSE))</f>
        <v/>
      </c>
      <c r="BZ12" s="214">
        <f>VLOOKUP(7,Reagents!$B$1:$R$41,17,FALSE)</f>
        <v>0</v>
      </c>
      <c r="CA12" s="284" t="e">
        <f>IF(OR(VLOOKUP(7,Reagents!$B$1:$M$41,4,FALSE)="solvent_2",VLOOKUP(7,Reagents!$B$1:$M$41,4,FALSE)="solvent_3"),VLOOKUP(7,Reagents!$B$1:$M$41,12,FALSE),IF(OR(Reagents!$Q$8="Stock slurry",Reagents!$Q$8="Stock solution"),BY12*BX12, BY12/VLOOKUP(7,Reagents!$B$1:$R$41,6,FALSE)*1000))</f>
        <v>#VALUE!</v>
      </c>
      <c r="CB12" s="214">
        <f>VLOOKUP(8,Reagents!$B$1:$M$41,2,FALSE)</f>
        <v>0</v>
      </c>
      <c r="CC12" s="214">
        <f>VLOOKUP(8,Reagents!$B$1:$M$41,3,FALSE)</f>
        <v>0</v>
      </c>
      <c r="CD12" s="214" t="str">
        <f>IF(VLOOKUP(8,Reagents!$B$1:$M$41,5,FALSE)=0, "NULL", VLOOKUP(8,Reagents!$B$1:$M$41,5,FALSE))</f>
        <v>NULL</v>
      </c>
      <c r="CE12" s="214" t="str">
        <f>IF(OR(Reagents!$Q$9="Stock slurry",Reagents!$Q$9="Stock solution"),VLOOKUP(8,Reagents!$B$1:$R$41,13,FALSE), "NULL")</f>
        <v/>
      </c>
      <c r="CF12" s="362" t="str">
        <f>IF(OR(Reagents!$Q$9="Stock slurry",Reagents!$Q$9="Stock solution"),VLOOKUP(8,Reagents!$B$1:$R$41,14,FALSE), VLOOKUP(8,Reagents!$B$1:$R$41,11,FALSE))</f>
        <v/>
      </c>
      <c r="CG12" s="214">
        <f>VLOOKUP(8,Reagents!$B$1:$R$41,17,FALSE)</f>
        <v>0</v>
      </c>
      <c r="CH12" s="284" t="e">
        <f>IF(OR(VLOOKUP(8,Reagents!$B$1:$M$41,4,FALSE)="solvent_2",VLOOKUP(8,Reagents!$B$1:$M$41,4,FALSE)="solvent_3"),VLOOKUP(8,Reagents!$B$1:$M$41,12,FALSE),IF(OR(Reagents!$Q$9="Stock slurry",Reagents!$Q$9="Stock solution"),CF12*CE12, CF12/VLOOKUP(8,Reagents!$B$1:$R$41,6,FALSE)*1000))</f>
        <v>#VALUE!</v>
      </c>
      <c r="CI12" s="214">
        <f>VLOOKUP(9,Reagents!$B$1:$M$41,2,FALSE)</f>
        <v>0</v>
      </c>
      <c r="CJ12" s="214">
        <f>VLOOKUP(9,Reagents!$B$1:$M$41,3,FALSE)</f>
        <v>0</v>
      </c>
      <c r="CK12" s="214" t="str">
        <f>IF(VLOOKUP(9,Reagents!$B$1:$M$41,5,FALSE)=0, "NULL", VLOOKUP(9,Reagents!$B$1:$M$41,5,FALSE))</f>
        <v>NULL</v>
      </c>
      <c r="CL12" s="214" t="str">
        <f>IF(OR(Reagents!$Q$10="Stock slurry",Reagents!$Q$10="Stock solution"),VLOOKUP(9,Reagents!$B$1:$R$41,13,FALSE), "NULL")</f>
        <v/>
      </c>
      <c r="CM12" s="362" t="str">
        <f>IF(OR(Reagents!$Q$10="Stock slurry",Reagents!$Q$10="Stock solution"),VLOOKUP(9,Reagents!$B$1:$R$41,14,FALSE), VLOOKUP(9,Reagents!$B$1:$R$41,11,FALSE))</f>
        <v/>
      </c>
      <c r="CN12" s="214">
        <f>VLOOKUP(9,Reagents!$B$1:$R$41,17,FALSE)</f>
        <v>0</v>
      </c>
      <c r="CO12" s="284" t="e">
        <f>IF(OR(VLOOKUP(9,Reagents!$B$1:$M$41,4,FALSE)="solvent_2",VLOOKUP(9,Reagents!$B$1:$M$41,4,FALSE)="solvent_3"),VLOOKUP(9,Reagents!$B$1:$M$41,12,FALSE),IF(OR(Reagents!$Q$10="Stock slurry",Reagents!$Q$10="Stock solution"),CM12*CL12, CM12/VLOOKUP(9,Reagents!$B$1:$R$41,6,FALSE)*1000))</f>
        <v>#VALUE!</v>
      </c>
      <c r="CP12" s="214">
        <f>VLOOKUP(10,Reagents!$B$1:$M$41,2,FALSE)</f>
        <v>0</v>
      </c>
      <c r="CQ12" s="214">
        <f>VLOOKUP(10,Reagents!$B$1:$M$41,3,FALSE)</f>
        <v>0</v>
      </c>
      <c r="CR12" s="214" t="str">
        <f>IF(VLOOKUP(10,Reagents!$B$1:$M$41,5,FALSE)=0, "NULL", VLOOKUP(10,Reagents!$B$1:$M$41,5,FALSE))</f>
        <v>NULL</v>
      </c>
      <c r="CS12" s="214" t="str">
        <f>IF(OR(Reagents!$Q$11="Stock slurry",Reagents!$Q$11="Stock solution"),VLOOKUP(10,Reagents!$B$1:$R$41,13,FALSE), "NULL")</f>
        <v/>
      </c>
      <c r="CT12" s="362" t="str">
        <f>IF(OR(Reagents!$Q$11="Stock slurry",Reagents!$Q$11="Stock solution"),VLOOKUP(10,Reagents!$B$1:$R$41,14,FALSE), VLOOKUP(10,Reagents!$B$1:$R$41,11,FALSE))</f>
        <v/>
      </c>
      <c r="CU12" s="214">
        <f>VLOOKUP(10,Reagents!$B$1:$R$41,17,FALSE)</f>
        <v>0</v>
      </c>
      <c r="CV12" s="284" t="e">
        <f>IF(OR(VLOOKUP(10,Reagents!$B$1:$M$41,4,FALSE)="solvent_2",VLOOKUP(10,Reagents!$B$1:$M$41,4,FALSE)="solvent_3"),VLOOKUP(10,Reagents!$B$1:$M$41,12,FALSE),IF(OR(Reagents!$Q$11="Stock slurry",Reagents!$Q$11="Stock solution"),CT12*CS12, CT12/VLOOKUP(10,Reagents!$B$1:$R$41,6,FALSE)*1000))</f>
        <v>#VALUE!</v>
      </c>
      <c r="CW12" s="214" t="str">
        <f>VLOOKUP(B12+10,Reagents!$B$1:$R$41,2,FALSE)</f>
        <v/>
      </c>
      <c r="CX12" s="214">
        <f>VLOOKUP(B12+10,Reagents!$B$1:$R$41,3,FALSE)</f>
        <v>0</v>
      </c>
      <c r="CY12" s="214" t="str">
        <f>IF(VLOOKUP(B12+10,Reagents!$B$1:$M$41,5,FALSE)=0, "NULL", VLOOKUP(B12+10,Reagents!$B$1:$M$41,5,FALSE))</f>
        <v>NULL</v>
      </c>
      <c r="CZ12" s="214" t="str">
        <f>IF(OR(Reagents!$Q$12="Stock slurry",Reagents!$Q$12="Stock solution"),VLOOKUP(B12+10,Reagents!$B$1:$R$41,13,FALSE), "NULL")</f>
        <v/>
      </c>
      <c r="DA12" s="362" t="str">
        <f>IF(OR(Reagents!$Q$12="Stock slurry",Reagents!$Q$12="Stock solution"),VLOOKUP(B12+10,Reagents!$B$1:$R$41,14,FALSE), VLOOKUP(B12+10,Reagents!$B$1:$R$41,11,FALSE))</f>
        <v/>
      </c>
      <c r="DB12" s="214">
        <f>VLOOKUP(B12+10,Reagents!$B$1:$R$41,17,FALSE)</f>
        <v>0</v>
      </c>
      <c r="DC12" s="284" t="e">
        <f>IF(OR(v1_col="solvent_2",v1_col="solvent_3"),VLOOKUP(B12+10,Reagents!$B$1:$M$41,12,FALSE),IF(OR(Reagents!$Q$12="Stock slurry",Reagents!$Q$12="Stock solution"),DA12*CZ12, DA12/VLOOKUP(B12+10,Reagents!$B$1:$R$41,6,FALSE)*1000))</f>
        <v>#VALUE!</v>
      </c>
      <c r="DD12" s="214" t="str">
        <f>VLOOKUP(B12+22,Reagents!$B$1:$M$41,2,FALSE)</f>
        <v/>
      </c>
      <c r="DE12" s="214">
        <f>VLOOKUP(B12+22,Reagents!$B$1:$R$41,3,FALSE)</f>
        <v>0</v>
      </c>
      <c r="DF12" s="214" t="str">
        <f>IF(VLOOKUP(B12+22,Reagents!$B$1:$M$41,5,FALSE)=0, "NULL", VLOOKUP(B12+22,Reagents!$B$1:$M$41,5,FALSE))</f>
        <v>NULL</v>
      </c>
      <c r="DG12" s="214" t="str">
        <f>IF(OR(Reagents!$Q$18="Stock slurry",Reagents!$Q$12="Stock solution"),VLOOKUP(B12+22,Reagents!$B$1:$R$41,13,FALSE), "NULL")</f>
        <v/>
      </c>
      <c r="DH12" s="362" t="str">
        <f>IF(OR(Reagents!$Q$18="Stock slurry",Reagents!$Q$18="Stock solution"),VLOOKUP(B12+22,Reagents!$B$1:$R$41,14,FALSE), VLOOKUP(B12+22,Reagents!$B$1:$R$41,11,FALSE))</f>
        <v/>
      </c>
      <c r="DI12" s="214">
        <f>VLOOKUP(B12+22,Reagents!$B$1:$R$41,17,FALSE)</f>
        <v>0</v>
      </c>
      <c r="DJ12" s="284" t="e">
        <f>IF(OR(v2_col="solvent_2",v2_col="solvent_3"),VLOOKUP(B12+22,Reagents!$B$1:$M$41,12,FALSE),IF(OR(Reagents!$Q$18="Stock slurry",Reagents!$Q$18="Stock solution"),DH12*DG12, DH12/VLOOKUP(B12+22,Reagents!$B$1:$R$41,6,FALSE)*1000))</f>
        <v>#VALUE!</v>
      </c>
      <c r="DK12" s="214" t="str">
        <f>VLOOKUP(B12+34,Reagents!$B$1:$M$41,2,FALSE)</f>
        <v/>
      </c>
      <c r="DL12" s="214">
        <f>VLOOKUP(B12+34,Reagents!$B$1:$R$41,3,FALSE)</f>
        <v>0</v>
      </c>
      <c r="DM12" s="214" t="str">
        <f>IF(VLOOKUP(B12+34,Reagents!$B$1:$M$41,5,FALSE)=0, "NULL", VLOOKUP(B12+34,Reagents!$B$1:$M$41,5,FALSE))</f>
        <v>NULL</v>
      </c>
      <c r="DN12" s="214" t="str">
        <f>IF(OR(Reagents!$Q$24="Stock slurry",Reagents!$Q$12="Stock solution"),VLOOKUP(B12+34,Reagents!$B$1:$R$41,13,FALSE), "NULL")</f>
        <v/>
      </c>
      <c r="DO12" s="362" t="str">
        <f>IF(OR(Reagents!$Q$24="Stock slurry",Reagents!$Q$24="Stock solution"),VLOOKUP(B12+34,Reagents!$B$1:$R$41,14,FALSE), VLOOKUP(B12+34,Reagents!$B$1:$R$41,11,FALSE))</f>
        <v/>
      </c>
      <c r="DP12" s="214">
        <f>VLOOKUP(B12+34,Reagents!$B$1:$R$41,17,FALSE)</f>
        <v>0</v>
      </c>
      <c r="DQ12" s="284" t="e">
        <f>IF(OR(v3_col="solvent_2",v3_col="solvent_3"),VLOOKUP(B12+34,Reagents!$B$1:$M$41,12,FALSE),IF(OR(Reagents!$Q$24="Stock slurry",Reagents!$Q$24="Stock solution"),DO12*DN12, DO12/VLOOKUP(B12+34,Reagents!$B$1:$R$41,6,FALSE)*1000))</f>
        <v>#VALUE!</v>
      </c>
      <c r="DR12" s="214" t="str">
        <f>VLOOKUP(C12+46,Reagents!$B$1:$M$41,2,FALSE)</f>
        <v/>
      </c>
      <c r="DS12" s="214">
        <f>VLOOKUP(C12+46,Reagents!$B$1:$M$41,3,FALSE)</f>
        <v>0</v>
      </c>
      <c r="DT12" s="214" t="str">
        <f>IF(VLOOKUP(C12+46,Reagents!$B$1:$M$41,5,FALSE)=0, "NULL", VLOOKUP(C12+46,Reagents!$B$1:$M$41,5,FALSE))</f>
        <v>NULL</v>
      </c>
      <c r="DU12" s="214" t="str">
        <f>IF(OR(Reagents!$Q$30="Stock slurry",Reagents!$Q$30="Stock solution"),VLOOKUP(C12+46,Reagents!$B$1:$R$41,13,FALSE), "NULL")</f>
        <v/>
      </c>
      <c r="DV12" s="362" t="str">
        <f>IF(OR(Reagents!$Q$30="Stock slurry",Reagents!$Q$30="Stock solution"),VLOOKUP(C12+46,Reagents!$B$1:$R$41,14,FALSE), VLOOKUP(C12+46,Reagents!$B$1:$R$41,11,FALSE))</f>
        <v/>
      </c>
      <c r="DW12" s="214">
        <f>VLOOKUP(C12+46,Reagents!$B$1:$R$41,17,FALSE)</f>
        <v>0</v>
      </c>
      <c r="DX12" s="284" t="e">
        <f>IF(OR(v4_row="solvent_2",v4_row="solvent_3"),VLOOKUP(C12+46,Reagents!$B$1:$M$41,12,FALSE),IF(OR(Reagents!$Q$30="Stock slurry",Reagents!$Q$30="Stock solution"),DV12*DU12, DV12/VLOOKUP(C12+46,Reagents!$B$1:$R$41,6,FALSE)*1000))</f>
        <v>#VALUE!</v>
      </c>
      <c r="DY12" s="214" t="str">
        <f>VLOOKUP(C12+54,Reagents!$B$1:$M$41,2,FALSE)</f>
        <v/>
      </c>
      <c r="DZ12" s="214">
        <f>VLOOKUP(C12+54,Reagents!$B$1:$M$41,3,FALSE)</f>
        <v>0</v>
      </c>
      <c r="EA12" s="214" t="str">
        <f>IF(VLOOKUP(C12+54,Reagents!$B$1:$M$41,5,FALSE)=0, "NULL", VLOOKUP(C12+54,Reagents!$B$1:$M$41,5,FALSE))</f>
        <v>NULL</v>
      </c>
      <c r="EB12" s="214" t="str">
        <f>IF(OR(Reagents!$Q$34="Stock slurry",Reagents!$Q$34="Stock solution"),VLOOKUP(C12+54,Reagents!$B$1:$R$41,13,FALSE), "NULL")</f>
        <v/>
      </c>
      <c r="EC12" s="362" t="str">
        <f>IF(OR(Reagents!$Q$34="Stock slurry",Reagents!$Q$34="Stock solution"),VLOOKUP(C12+54,Reagents!$B$1:$R$41,14,FALSE), VLOOKUP(C12+54,Reagents!$B$1:$R$41,11,FALSE))</f>
        <v/>
      </c>
      <c r="ED12" s="214">
        <f>VLOOKUP(C12+54,Reagents!$B$1:$R$41,17,FALSE)</f>
        <v>0</v>
      </c>
      <c r="EE12" s="284" t="e">
        <f>IF(OR(v5_row="solvent_2",v5_row="solvent_3"),VLOOKUP(C12+54,Reagents!$B$1:$M$41,12,FALSE),IF(OR(Reagents!$Q$34="Stock slurry",Reagents!$Q$34="Stock solution"),EC12*EB12, EC12/VLOOKUP(C12+54,Reagents!$B$1:$R$41,6,FALSE)*1000))</f>
        <v>#VALUE!</v>
      </c>
      <c r="EF12" s="214" t="str">
        <f>VLOOKUP(C12+62,Reagents!$B$1:$M$41,2,FALSE)</f>
        <v/>
      </c>
      <c r="EG12" s="214">
        <f>VLOOKUP(C12+62,Reagents!$B$1:$M$41,3,FALSE)</f>
        <v>0</v>
      </c>
      <c r="EH12" s="214" t="str">
        <f>IF(VLOOKUP(C12+62,Reagents!$B$1:$M$41,5,FALSE)=0, "NULL", VLOOKUP(C12+62,Reagents!$B$1:$M$41,5,FALSE))</f>
        <v>NULL</v>
      </c>
      <c r="EI12" s="214" t="str">
        <f>IF(OR(Reagents!$Q$38="Stock slurry",Reagents!$Q$38="Stock solution"),VLOOKUP(C12+62,Reagents!$B$1:$R$41,13,FALSE), "NULL")</f>
        <v/>
      </c>
      <c r="EJ12" s="362" t="str">
        <f>IF(OR(Reagents!$Q$38="Stock slurry",Reagents!$Q$38="Stock solution"),VLOOKUP(C12+62,Reagents!$B$1:$R$41,14,FALSE), VLOOKUP(C12+62,Reagents!$B$1:$R$41,11,FALSE))</f>
        <v/>
      </c>
      <c r="EK12" s="214">
        <f>VLOOKUP(C12+62,Reagents!$B$1:$R$41,17,FALSE)</f>
        <v>0</v>
      </c>
      <c r="EL12" s="284" t="e">
        <f>IF(OR(v6_row="solvent_2",v6_row="solvent_3"),VLOOKUP(C12+62,Reagents!$B$1:$M$41,12,FALSE),IF(OR(Reagents!$Q$38="Stock slurry",Reagents!$Q$38="Stock solution"),EJ12*EI12, EJ12/VLOOKUP(C12+62,Reagents!$B$1:$R$41,6,FALSE)*1000))</f>
        <v>#VALUE!</v>
      </c>
      <c r="EM12" s="214">
        <f>VLOOKUP(19,'Plate Planning'!$A$1:$T$35,13,FALSE)</f>
        <v>0</v>
      </c>
      <c r="EN12" s="214">
        <f>VLOOKUP(19,'Plate Planning'!$A$1:$T$35,14,FALSE)</f>
        <v>0</v>
      </c>
      <c r="EO12" s="214">
        <f>VLOOKUP(19,'Plate Planning'!$A$1:$T$35,15,FALSE)</f>
        <v>0</v>
      </c>
      <c r="EP12" s="214">
        <f>VLOOKUP(A12,'Uncorrected Area Counts'!$A$1:$AS$27,3,FALSE)</f>
        <v>0</v>
      </c>
      <c r="EQ12" s="214" t="str">
        <f>VLOOKUP(A12,'Uncorrected Area Counts'!$A$1:$AS$27,4,FALSE)</f>
        <v/>
      </c>
      <c r="ER12" s="214" t="str">
        <f>VLOOKUP(A12,'Uncorrected Area Counts'!$A$1:$AS$27,5,FALSE)</f>
        <v/>
      </c>
      <c r="ES12" s="214">
        <f>VLOOKUP(20,'Plate Planning'!$A$1:$T$35,15,FALSE)</f>
        <v>0</v>
      </c>
      <c r="ET12" s="214">
        <f>VLOOKUP(A12,'Uncorrected Area Counts'!$A$1:$AS$27,7,FALSE)</f>
        <v>0</v>
      </c>
      <c r="EU12" s="214" t="e">
        <f>VLOOKUP(A12,'Uncorrected Area Counts'!$A$1:$AS$27,7,FALSE)/VLOOKUP(A12,'Uncorrected Area Counts'!$A$1:$AS$27,3,FALSE)</f>
        <v>#DIV/0!</v>
      </c>
      <c r="EV12" s="214" t="str">
        <f>IFERROR(VLOOKUP(A12,'Yields &amp; LCAPs'!$A$1:$V$27,3,FALSE), "NULL")</f>
        <v>NULL</v>
      </c>
      <c r="EW12" s="284" t="str">
        <f>IFERROR(VLOOKUP(A12,'Yields &amp; LCAPs'!$A$1:$V$27,4,FALSE), "NULL")</f>
        <v>NULL</v>
      </c>
      <c r="EX12" s="214" t="str">
        <f>VLOOKUP(A12,'Uncorrected Area Counts'!$A$1:$AS$27,8,FALSE)</f>
        <v/>
      </c>
      <c r="EY12" s="214" t="str">
        <f>VLOOKUP(A12,'Uncorrected Area Counts'!$A$1:$AS$27,9,FALSE)</f>
        <v/>
      </c>
      <c r="EZ12" s="214">
        <f>VLOOKUP(22,'Plate Planning'!$A$1:$T$35,15,FALSE)</f>
        <v>0</v>
      </c>
      <c r="FA12" s="214">
        <f>VLOOKUP(A12,'Uncorrected Area Counts'!$A$1:$AS$27,11,FALSE)</f>
        <v>0</v>
      </c>
      <c r="FB12" s="214" t="e">
        <f>VLOOKUP(A12,'Uncorrected Area Counts'!$A$1:$AS$27,11,FALSE)/VLOOKUP(A12,'Uncorrected Area Counts'!$A$1:$AS$27,3,FALSE)</f>
        <v>#DIV/0!</v>
      </c>
      <c r="FC12" s="214" t="str">
        <f>IFERROR(VLOOKUP(A12,'Yields &amp; LCAPs'!$A$1:$V$27,5,FALSE), "NULL")</f>
        <v>NULL</v>
      </c>
      <c r="FD12" s="284" t="str">
        <f>IFERROR(VLOOKUP(A12,'Yields &amp; LCAPs'!$A$1:$V$27,6,FALSE), "NULL")</f>
        <v>NULL</v>
      </c>
      <c r="FE12" s="214" t="str">
        <f>VLOOKUP(A12,'Uncorrected Area Counts'!$A$1:$AS$27,12,FALSE)</f>
        <v/>
      </c>
      <c r="FF12" s="214" t="str">
        <f>VLOOKUP(A12,'Uncorrected Area Counts'!$A$1:$AS$27,13,FALSE)</f>
        <v/>
      </c>
      <c r="FG12" s="214">
        <f>VLOOKUP(24,'Plate Planning'!$A$1:$T$35,15,FALSE)</f>
        <v>0</v>
      </c>
      <c r="FH12" s="214">
        <f>VLOOKUP(A12,'Uncorrected Area Counts'!$A$1:$AS$27,15,FALSE)</f>
        <v>0</v>
      </c>
      <c r="FI12" s="214" t="e">
        <f>VLOOKUP(A12,'Uncorrected Area Counts'!$A$1:$AS$27,15,FALSE)/VLOOKUP(A12,'Uncorrected Area Counts'!$A$1:$AS$27,3,FALSE)</f>
        <v>#DIV/0!</v>
      </c>
      <c r="FJ12" s="214" t="str">
        <f>IFERROR(VLOOKUP(A12,'Yields &amp; LCAPs'!$A$1:$V$27,7,FALSE), "NULL")</f>
        <v>NULL</v>
      </c>
      <c r="FK12" s="284" t="str">
        <f>IFERROR(VLOOKUP(A12,'Yields &amp; LCAPs'!$A$1:$V$27,8,FALSE), "NULL")</f>
        <v>NULL</v>
      </c>
      <c r="FL12" s="214" t="str">
        <f>VLOOKUP(A12,'Uncorrected Area Counts'!$A$1:$AS$27,16,FALSE)</f>
        <v/>
      </c>
      <c r="FM12" s="214" t="str">
        <f>VLOOKUP(A12,'Uncorrected Area Counts'!$A$1:$AS$27,17,FALSE)</f>
        <v/>
      </c>
      <c r="FN12" s="214">
        <f>VLOOKUP(26,'Plate Planning'!$A$1:$T$35,15,FALSE)</f>
        <v>0</v>
      </c>
      <c r="FO12" s="214">
        <f>VLOOKUP(A12,'Uncorrected Area Counts'!$A$1:$AS$27,19,FALSE)</f>
        <v>0</v>
      </c>
      <c r="FP12" s="214" t="e">
        <f>VLOOKUP(A12,'Uncorrected Area Counts'!$A$1:$AS$27,19,FALSE)/VLOOKUP(A12,'Uncorrected Area Counts'!$A$1:$AS$27,3,FALSE)</f>
        <v>#DIV/0!</v>
      </c>
      <c r="FQ12" s="214" t="str">
        <f>IFERROR(VLOOKUP(A12,'Yields &amp; LCAPs'!$A$1:$V$27,9,FALSE), "NULL")</f>
        <v>NULL</v>
      </c>
      <c r="FR12" s="284" t="str">
        <f>IFERROR(VLOOKUP(A12,'Yields &amp; LCAPs'!$A$1:$V$27,10,FALSE), "NULL")</f>
        <v>NULL</v>
      </c>
      <c r="FS12" s="214" t="str">
        <f>VLOOKUP(A12,'Uncorrected Area Counts'!$A$1:$AS$27,20,FALSE)</f>
        <v/>
      </c>
      <c r="FT12" s="214" t="str">
        <f>VLOOKUP(A12,'Uncorrected Area Counts'!$A$1:$AS$27,21,FALSE)</f>
        <v/>
      </c>
      <c r="FU12" s="214">
        <f>VLOOKUP(27,'Plate Planning'!$A$1:$T$35,15,FALSE)</f>
        <v>0</v>
      </c>
      <c r="FV12" s="214">
        <f>VLOOKUP(A12,'Uncorrected Area Counts'!$A$1:$AS$27,23,FALSE)</f>
        <v>0</v>
      </c>
      <c r="FW12" s="214" t="e">
        <f>VLOOKUP(A12,'Uncorrected Area Counts'!$A$1:$AS$27,23,FALSE)/VLOOKUP(A12,'Uncorrected Area Counts'!$A$1:$AS$27,3,FALSE)</f>
        <v>#DIV/0!</v>
      </c>
      <c r="FX12" s="214" t="str">
        <f>IFERROR(VLOOKUP(A12,'Yields &amp; LCAPs'!$A$1:$V$27,11,FALSE), "NULL")</f>
        <v>NULL</v>
      </c>
      <c r="FY12" s="284" t="str">
        <f>IFERROR(VLOOKUP(A12,'Yields &amp; LCAPs'!$A$1:$V$27,12,FALSE), "NULL")</f>
        <v>NULL</v>
      </c>
      <c r="FZ12" s="411" t="str">
        <f>VLOOKUP(A12,'Uncorrected Area Counts'!$A$1:$AS$27,24,FALSE)</f>
        <v/>
      </c>
      <c r="GA12" s="214" t="str">
        <f>VLOOKUP(A12,'Uncorrected Area Counts'!$A$1:$AS$27,25,FALSE)</f>
        <v/>
      </c>
      <c r="GB12" s="214">
        <f>VLOOKUP(28,'Plate Planning'!$A$1:$T$35,15,FALSE)</f>
        <v>0</v>
      </c>
      <c r="GC12" s="214">
        <f>VLOOKUP(A12,'Uncorrected Area Counts'!$A$1:$AS$27,27,FALSE)</f>
        <v>0</v>
      </c>
      <c r="GD12" s="214" t="e">
        <f>VLOOKUP(A12,'Uncorrected Area Counts'!$A$1:$AS$27,27,FALSE)/VLOOKUP(A12,'Uncorrected Area Counts'!$A$1:$AS$27,3,FALSE)</f>
        <v>#DIV/0!</v>
      </c>
      <c r="GE12" s="214" t="str">
        <f>IFERROR(VLOOKUP(A12,'Yields &amp; LCAPs'!$A$1:$V$27,13,FALSE), "NULL")</f>
        <v>NULL</v>
      </c>
      <c r="GF12" s="284" t="str">
        <f>IFERROR(VLOOKUP(A12,'Yields &amp; LCAPs'!$A$1:$V$27,14,FALSE), "NULL")</f>
        <v>NULL</v>
      </c>
      <c r="GG12" s="214" t="str">
        <f>VLOOKUP(A12,'Uncorrected Area Counts'!$A$1:$AS$27,28,FALSE)</f>
        <v/>
      </c>
      <c r="GH12" s="214" t="str">
        <f>VLOOKUP(A12,'Uncorrected Area Counts'!$A$1:$AS$27,29,FALSE)</f>
        <v/>
      </c>
      <c r="GI12" s="214">
        <f>VLOOKUP(29,'Plate Planning'!$A$1:$T$35,15,FALSE)</f>
        <v>0</v>
      </c>
      <c r="GJ12" s="214">
        <f>VLOOKUP(A12,'Uncorrected Area Counts'!$A$1:$AS$27,31,FALSE)</f>
        <v>0</v>
      </c>
      <c r="GK12" s="214" t="e">
        <f>VLOOKUP(A12,'Uncorrected Area Counts'!$A$1:$AS$27,31,FALSE)/VLOOKUP(A12,'Uncorrected Area Counts'!$A$1:$AS$27,3,FALSE)</f>
        <v>#DIV/0!</v>
      </c>
      <c r="GL12" s="214" t="str">
        <f>IFERROR(VLOOKUP(A12,'Yields &amp; LCAPs'!$A$1:$V$27,15,FALSE), "NULL")</f>
        <v>NULL</v>
      </c>
      <c r="GM12" s="284" t="str">
        <f>IFERROR(VLOOKUP(A12,'Yields &amp; LCAPs'!$A$1:$V$27,16,FALSE), "NULL")</f>
        <v>NULL</v>
      </c>
      <c r="GN12" s="214" t="str">
        <f>VLOOKUP(A12,'Uncorrected Area Counts'!$A$1:$AS$27,32,FALSE)</f>
        <v/>
      </c>
      <c r="GO12" s="214" t="str">
        <f>VLOOKUP(A12,'Uncorrected Area Counts'!$A$1:$AS$27,33,FALSE)</f>
        <v/>
      </c>
      <c r="GP12" s="214">
        <f>VLOOKUP(30,'Plate Planning'!$A$1:$T$35,15,FALSE)</f>
        <v>0</v>
      </c>
      <c r="GQ12" s="214">
        <f>VLOOKUP(A12,'Uncorrected Area Counts'!$A$1:$AS$27,35,FALSE)</f>
        <v>0</v>
      </c>
      <c r="GR12" s="214" t="e">
        <f>VLOOKUP(A12,'Uncorrected Area Counts'!$A$1:$AS$27,35,FALSE)/VLOOKUP(A12,'Uncorrected Area Counts'!$A$1:$AS$27,3,FALSE)</f>
        <v>#DIV/0!</v>
      </c>
      <c r="GS12" s="214" t="str">
        <f>IFERROR(VLOOKUP(A12,'Yields &amp; LCAPs'!$A$1:$V$27,17,FALSE), "NULL")</f>
        <v>NULL</v>
      </c>
      <c r="GT12" s="284" t="str">
        <f>IFERROR(VLOOKUP(A12,'Yields &amp; LCAPs'!$A$1:$V$27,18,FALSE), "NULL")</f>
        <v>NULL</v>
      </c>
      <c r="GU12" s="214" t="str">
        <f>VLOOKUP(A12,'Uncorrected Area Counts'!$A$1:$AS$27,36,FALSE)</f>
        <v/>
      </c>
      <c r="GV12" s="214" t="str">
        <f>VLOOKUP(A12,'Uncorrected Area Counts'!$A$1:$AS$27,37,FALSE)</f>
        <v/>
      </c>
      <c r="GW12" s="214">
        <f>VLOOKUP(31,'Plate Planning'!$A$1:$T$35,15,FALSE)</f>
        <v>0</v>
      </c>
      <c r="GX12" s="214">
        <f>VLOOKUP(A12,'Uncorrected Area Counts'!$A$1:$AS$27,39,FALSE)</f>
        <v>0</v>
      </c>
      <c r="GY12" s="214" t="e">
        <f>VLOOKUP(A12,'Uncorrected Area Counts'!$A$1:$AS$27,39,FALSE)/VLOOKUP(A12,'Uncorrected Area Counts'!$A$1:$AS$27,3,FALSE)</f>
        <v>#DIV/0!</v>
      </c>
      <c r="GZ12" s="214" t="str">
        <f>IFERROR(VLOOKUP(A12,'Yields &amp; LCAPs'!$A$1:$V$27,19,FALSE), "NULL")</f>
        <v>NULL</v>
      </c>
      <c r="HA12" s="284" t="str">
        <f>IFERROR(VLOOKUP(A12,'Yields &amp; LCAPs'!$A$1:$V$27,20,FALSE), "NULL")</f>
        <v>NULL</v>
      </c>
      <c r="HB12" s="214" t="str">
        <f>VLOOKUP(A12,'Uncorrected Area Counts'!$A$1:$AS$27,40,FALSE)</f>
        <v/>
      </c>
      <c r="HC12" s="214" t="str">
        <f>VLOOKUP(A12,'Uncorrected Area Counts'!$A$1:$AS$27,41,FALSE)</f>
        <v/>
      </c>
      <c r="HD12" s="214">
        <f>VLOOKUP(32,'Plate Planning'!$A$1:$T$35,15,FALSE)</f>
        <v>0</v>
      </c>
      <c r="HE12" s="214">
        <f>VLOOKUP(A12,'Uncorrected Area Counts'!$A$1:$AS$27,43,FALSE)</f>
        <v>0</v>
      </c>
      <c r="HF12" s="214" t="e">
        <f>VLOOKUP(A12,'Uncorrected Area Counts'!$A$1:$AS$27,43,FALSE)/VLOOKUP(A12,'Uncorrected Area Counts'!$A$1:$AS$27,3,FALSE)</f>
        <v>#DIV/0!</v>
      </c>
      <c r="HG12" s="214" t="str">
        <f>IFERROR(VLOOKUP(A12,'Yields &amp; LCAPs'!$A$1:$V$27,21,FALSE), "NULL")</f>
        <v>NULL</v>
      </c>
      <c r="HH12" s="284" t="str">
        <f>IFERROR(VLOOKUP(A12,'Yields &amp; LCAPs'!$A$1:$V$27,22,FALSE), "NULL")</f>
        <v>NULL</v>
      </c>
      <c r="HI12" s="362"/>
      <c r="HJ12" s="362"/>
      <c r="HK12" s="362"/>
      <c r="HL12" s="362"/>
      <c r="HM12" s="363"/>
      <c r="HN12" s="362"/>
      <c r="HO12" s="362"/>
      <c r="HP12" s="362"/>
      <c r="HQ12" s="362"/>
      <c r="HR12" s="363"/>
    </row>
    <row r="13" spans="1:230">
      <c r="A13" s="216" t="s">
        <v>1178</v>
      </c>
      <c r="B13" s="214">
        <v>6</v>
      </c>
      <c r="C13" s="214">
        <v>2</v>
      </c>
      <c r="D13" s="214" t="str">
        <f>VLOOKUP(18,'Plate Planning'!$A$1:$T$35,10,FALSE)&amp;"_"&amp;VLOOKUP(19,'Plate Planning'!$A$1:$T$35,10,FALSE)&amp;"_"&amp;A13</f>
        <v>__B6</v>
      </c>
      <c r="E13" s="214" t="str">
        <f>IF(VLOOKUP(18,'Plate Planning'!$A$1:$T$35,10,FALSE)="", "NULL", VLOOKUP(18,'Plate Planning'!$A$1:$T$35,10,FALSE))</f>
        <v>NULL</v>
      </c>
      <c r="F13" s="214" t="str">
        <f>IF(VLOOKUP(19,'Plate Planning'!$A$1:$T$35,10,FALSE)="", "NULL", VLOOKUP(19,'Plate Planning'!$A$1:$T$35,10,FALSE))</f>
        <v>NULL</v>
      </c>
      <c r="G13" s="214" t="str">
        <f>IF(VLOOKUP(20,'Plate Planning'!$A$1:$T$35,10,FALSE)="", "NULL", VLOOKUP(20,'Plate Planning'!$A$1:$T$35,10,FALSE))</f>
        <v>NULL</v>
      </c>
      <c r="H13" s="214" t="str">
        <f>IF(VLOOKUP(21,'Plate Planning'!$A$1:$T$35,10,FALSE)="", "NULL", VLOOKUP(21,'Plate Planning'!$A$1:$T$35,10,FALSE))</f>
        <v>NULL</v>
      </c>
      <c r="I13" s="214" t="str">
        <f>IF(VLOOKUP(23,'Plate Planning'!$A$1:$T$35,10,FALSE)="", "NULL", VLOOKUP(23,'Plate Planning'!$A$1:$T$35,10,FALSE))</f>
        <v>NULL</v>
      </c>
      <c r="J13" s="214" t="str">
        <f>IF(VLOOKUP(22,'Plate Planning'!$A$1:$T$35,10,FALSE)="", "NULL", VLOOKUP(22,'Plate Planning'!$A$1:$T$35,10,FALSE))</f>
        <v>NULL</v>
      </c>
      <c r="K13" s="214" t="str">
        <f>VLOOKUP(24,'Plate Planning'!$A$1:$T$35,10,FALSE)</f>
        <v>Glovebox</v>
      </c>
      <c r="L13" s="214" t="str">
        <f>IF(VLOOKUP(25,'Plate Planning'!$A$1:$T$35,10,FALSE)="","NULL",VLOOKUP(25,'Plate Planning'!$A$1:$T$35,10,FALSE))</f>
        <v>NULL</v>
      </c>
      <c r="M13" s="214" t="str">
        <f>VLOOKUP(26,'Plate Planning'!$A$1:$T$35,10,FALSE)</f>
        <v>ambient</v>
      </c>
      <c r="N13" s="214" t="str">
        <f>IF(VLOOKUP(27,'Plate Planning'!$A$1:$T$35,10,FALSE)=0,"NULL", VLOOKUP(27,'Plate Planning'!$A$1:$T$35,10,FALSE))</f>
        <v>NULL</v>
      </c>
      <c r="O13" s="214" t="str">
        <f>IF(VLOOKUP(3,'Plate Planning'!$A$2:$S$35,18,FALSE)="", "NULL", VLOOKUP(3,'Plate Planning'!$A$2:$S$35,18,FALSE))</f>
        <v>NULL</v>
      </c>
      <c r="P13" s="214" t="str">
        <f>IF(VLOOKUP(4,'Plate Planning'!$A$2:$S$35,18,FALSE)="", "NULL", VLOOKUP(4,'Plate Planning'!$A$2:$S$35,18,FALSE))</f>
        <v>NULL</v>
      </c>
      <c r="Q13" s="214" t="str">
        <f>IF(VLOOKUP(5,'Plate Planning'!$A$2:$S$35,18,FALSE)="", "NULL", VLOOKUP(5,'Plate Planning'!$A$2:$S$35,18,FALSE))</f>
        <v>NULL</v>
      </c>
      <c r="R13" s="214" t="str">
        <f>IF(VLOOKUP(6,'Plate Planning'!$A$2:$S$35,18,FALSE)="", "NULL", VLOOKUP(6,'Plate Planning'!$A$2:$S$35,18,FALSE))</f>
        <v>NULL</v>
      </c>
      <c r="S13" s="214" t="str">
        <f>IF(VLOOKUP(7,'Plate Planning'!$A$2:$S$35,18,FALSE)="", "NULL", VLOOKUP(7,'Plate Planning'!$A$2:$S$35,18,FALSE))</f>
        <v>NULL</v>
      </c>
      <c r="T13" s="214" t="str">
        <f>IF(VLOOKUP(28,'Plate Planning'!$A$1:$T$35,10,FALSE)=0,"NULL",VLOOKUP(28,'Plate Planning'!$A$1:$T$35,10,FALSE))</f>
        <v>NULL</v>
      </c>
      <c r="U13" s="214" t="str">
        <f>IFERROR(VLOOKUP(VLOOKUP(28,'Plate Planning'!$A$1:$T$35,10,FALSE),Dictionaries!$Q$2:$R$72,2,FALSE), "NULL")</f>
        <v>NULL</v>
      </c>
      <c r="V13" s="214" t="str">
        <f>IF(VLOOKUP(28,'Plate Planning'!$A$1:$T$35,10,FALSE)=0,"NULL",VLOOKUP(32,'Plate Planning'!$A$1:$T$35,10,FALSE))</f>
        <v>NULL</v>
      </c>
      <c r="W13" s="214" t="str">
        <f>IF(VLOOKUP(C13+3,'Plate Planning'!$A$1:$S$35,B13+4,FALSE)=0, "", VLOOKUP(C13+3,'Plate Planning'!$A$1:$S$35,B13+4,FALSE))</f>
        <v/>
      </c>
      <c r="X13" s="214" t="str">
        <f>IFERROR(VLOOKUP(W13,'Complex Variable'!$A$2:$S$25,2,FALSE), "")</f>
        <v/>
      </c>
      <c r="Y13" s="327" t="str">
        <f>IFERROR(VLOOKUP(W13,'Complex Variable'!$A$2:$S$25,3,FALSE), "")</f>
        <v/>
      </c>
      <c r="Z13" s="327" t="str">
        <f>IFERROR(VLOOKUP(W13,'Complex Variable'!$A$2:$S$25,5,FALSE), "")</f>
        <v/>
      </c>
      <c r="AA13" s="327" t="str">
        <f>IFERROR(VLOOKUP(W13,'Complex Variable'!$A$2:$S$25,14,FALSE), "")</f>
        <v/>
      </c>
      <c r="AB13" s="602" t="str">
        <f>IFERROR(VLOOKUP(W13,'Complex Variable'!$A$2:$S$25,19,FALSE), "")</f>
        <v/>
      </c>
      <c r="AC13" s="327" t="str">
        <f>IFERROR(VLOOKUP(W13,'Complex Variable'!$A$2:$S$25,13,FALSE), "")</f>
        <v/>
      </c>
      <c r="AD13" s="604" t="str">
        <f t="shared" si="0"/>
        <v/>
      </c>
      <c r="AE13" s="214">
        <f>VLOOKUP(1,Reagents!$B$1:$M$41,2,FALSE)</f>
        <v>0</v>
      </c>
      <c r="AF13" s="214">
        <f>VLOOKUP(1,Reagents!$B$1:$M$41,3,FALSE)</f>
        <v>0</v>
      </c>
      <c r="AG13" s="214" t="str">
        <f>IF(VLOOKUP(1,Reagents!$B$1:$M$41,5,FALSE)=0, "NULL", VLOOKUP(1,Reagents!$B$1:$M$41,5,FALSE))</f>
        <v>NULL</v>
      </c>
      <c r="AH13" s="214" t="str">
        <f>IF(OR(Reagents!$Q$2="Stock slurry",Reagents!$Q$2="Stock solution"),VLOOKUP(1,Reagents!$B$1:$R$41,13,FALSE), "NULL")</f>
        <v/>
      </c>
      <c r="AI13" s="362" t="str">
        <f>IF(OR(Reagents!$Q$2="Stock slurry",Reagents!$Q$2="Stock solution"),VLOOKUP(1,Reagents!$B$1:$R$41,14,FALSE), VLOOKUP(1,Reagents!$B$1:$R$41,11,FALSE))</f>
        <v/>
      </c>
      <c r="AJ13" s="214">
        <f>VLOOKUP(1,Reagents!$B$1:$R$41,17,FALSE)</f>
        <v>0</v>
      </c>
      <c r="AK13" s="284" t="e">
        <f>IF(OR(VLOOKUP(1,Reagents!$B$1:$M$41,4,FALSE)="solvent_2",VLOOKUP(1,Reagents!$B$1:$M$41,4,FALSE)="solvent_3"),VLOOKUP(1,Reagents!$B$1:$M$41,12,FALSE),IF(OR(Reagents!$Q$2="Stock slurry",Reagents!$Q$2="Stock solution"),AI13*AH13, AI13/VLOOKUP(1,Reagents!$B$1:$R$41,6,FALSE)*1000))</f>
        <v>#VALUE!</v>
      </c>
      <c r="AL13" s="214">
        <f>VLOOKUP(2,Reagents!$B$1:$M$41,2,FALSE)</f>
        <v>0</v>
      </c>
      <c r="AM13" s="214">
        <f>VLOOKUP(2,Reagents!$B$1:$M$41,3,FALSE)</f>
        <v>0</v>
      </c>
      <c r="AN13" s="214" t="str">
        <f>IF(VLOOKUP(2,Reagents!$B$1:$M$41,5,FALSE)=0, "NULL", VLOOKUP(2,Reagents!$B$1:$M$41,5,FALSE))</f>
        <v>NULL</v>
      </c>
      <c r="AO13" s="214" t="str">
        <f>IF(OR(Reagents!$Q$3="Stock slurry",Reagents!$Q$3="Stock solution"),VLOOKUP(2,Reagents!$B$1:$R$41,13,FALSE), "NULL")</f>
        <v/>
      </c>
      <c r="AP13" s="362" t="str">
        <f>IF(OR(Reagents!$Q$3="Stock slurry",Reagents!$Q$3="Stock solution"),VLOOKUP(2,Reagents!$B$1:$R$41,14,FALSE), VLOOKUP(2,Reagents!$B$1:$R$41,11,FALSE))</f>
        <v/>
      </c>
      <c r="AQ13" s="214">
        <f>VLOOKUP(2,Reagents!$B$1:$R$41,17,FALSE)</f>
        <v>0</v>
      </c>
      <c r="AR13" s="284" t="e">
        <f>IF(OR(VLOOKUP(2,Reagents!$B$1:$M$41,4,FALSE)="solvent_2",VLOOKUP(2,Reagents!$B$1:$M$41,4,FALSE)="solvent_3"),VLOOKUP(2,Reagents!$B$1:$M$41,12,FALSE),IF(OR(Reagents!$Q$3="Stock slurry",Reagents!$Q$3="Stock solution"),AP13*AO13, AP13/VLOOKUP(2,Reagents!$B$1:$R$41,6,FALSE)*1000))</f>
        <v>#VALUE!</v>
      </c>
      <c r="AS13" s="214">
        <f>VLOOKUP(3,Reagents!$B$1:$M$41,2,FALSE)</f>
        <v>0</v>
      </c>
      <c r="AT13" s="214">
        <f>VLOOKUP(3,Reagents!$B$1:$M$41,3,FALSE)</f>
        <v>0</v>
      </c>
      <c r="AU13" s="214" t="str">
        <f>IF(VLOOKUP(3,Reagents!$B$1:$M$41,5,FALSE)=0, "NULL", VLOOKUP(3,Reagents!$B$1:$M$41,5,FALSE))</f>
        <v>NULL</v>
      </c>
      <c r="AV13" s="214" t="str">
        <f>IF(OR(Reagents!$Q$4="Stock slurry",Reagents!$Q$4="Stock solution"),VLOOKUP(3,Reagents!$B$1:$R$41,13,FALSE), "NULL")</f>
        <v/>
      </c>
      <c r="AW13" s="362" t="str">
        <f>IF(OR(Reagents!$Q$4="Stock slurry",Reagents!$Q$4="Stock solution"),VLOOKUP(3,Reagents!$B$1:$R$41,14,FALSE), VLOOKUP(3,Reagents!$B$1:$R$41,11,FALSE))</f>
        <v/>
      </c>
      <c r="AX13" s="214">
        <f>VLOOKUP(3,Reagents!$B$1:$R$41,17,FALSE)</f>
        <v>0</v>
      </c>
      <c r="AY13" s="284" t="e">
        <f>IF(OR(VLOOKUP(3,Reagents!$B$1:$M$41,4,FALSE)="solvent_2",VLOOKUP(3,Reagents!$B$1:$M$41,4,FALSE)="solvent_3"),VLOOKUP(3,Reagents!$B$1:$M$41,12,FALSE),IF(OR(Reagents!$Q$4="Stock slurry",Reagents!$Q$4="Stock solution"),AW13*AV13, AW13/VLOOKUP(3,Reagents!$B$1:$R$41,6,FALSE)*1000))</f>
        <v>#VALUE!</v>
      </c>
      <c r="AZ13" s="214">
        <f>VLOOKUP(4,Reagents!$B$1:$M$41,2,FALSE)</f>
        <v>0</v>
      </c>
      <c r="BA13" s="214">
        <f>VLOOKUP(4,Reagents!$B$1:$M$41,3,FALSE)</f>
        <v>0</v>
      </c>
      <c r="BB13" s="214" t="str">
        <f>IF(VLOOKUP(4,Reagents!$B$1:$M$41,5,FALSE)=0, "NULL", VLOOKUP(4,Reagents!$B$1:$M$41,5,FALSE))</f>
        <v>NULL</v>
      </c>
      <c r="BC13" s="214" t="str">
        <f>IF(OR(Reagents!$Q$5="Stock slurry",Reagents!$Q$5="Stock solution"),VLOOKUP(4,Reagents!$B$1:$R$41,13,FALSE), "NULL")</f>
        <v/>
      </c>
      <c r="BD13" s="362" t="str">
        <f>IF(OR(Reagents!$Q$5="Stock slurry",Reagents!$Q$5="Stock solution"),VLOOKUP(4,Reagents!$B$1:$R$41,14,FALSE), VLOOKUP(4,Reagents!$B$1:$R$41,11,FALSE))</f>
        <v/>
      </c>
      <c r="BE13" s="214">
        <f>VLOOKUP(4,Reagents!$B$1:$R$41,17,FALSE)</f>
        <v>0</v>
      </c>
      <c r="BF13" s="284" t="e">
        <f>IF(OR(VLOOKUP(4,Reagents!$B$1:$M$41,4,FALSE)="solvent_2",VLOOKUP(4,Reagents!$B$1:$M$41,4,FALSE)="solvent_3"),VLOOKUP(4,Reagents!$B$1:$M$41,12,FALSE),IF(OR(Reagents!$Q$5="Stock slurry",Reagents!$Q$5="Stock solution"),BD13*BC13, BD13/VLOOKUP(4,Reagents!$B$1:$R$41,6,FALSE)*1000))</f>
        <v>#VALUE!</v>
      </c>
      <c r="BG13" s="214">
        <f>VLOOKUP(5,Reagents!$B$1:$M$41,2,FALSE)</f>
        <v>0</v>
      </c>
      <c r="BH13" s="214">
        <f>VLOOKUP(5,Reagents!$B$1:$M$41,3,FALSE)</f>
        <v>0</v>
      </c>
      <c r="BI13" s="214" t="str">
        <f>IF(VLOOKUP(5,Reagents!$B$1:$M$41,5,FALSE)=0, "NULL", VLOOKUP(5,Reagents!$B$1:$M$41,5,FALSE))</f>
        <v>NULL</v>
      </c>
      <c r="BJ13" s="214" t="str">
        <f>IF(OR(Reagents!$Q$6="Stock slurry",Reagents!$Q$6="Stock solution"),VLOOKUP(5,Reagents!$B$1:$R$41,13,FALSE), "NULL")</f>
        <v/>
      </c>
      <c r="BK13" s="362" t="str">
        <f>IF(OR(Reagents!$Q$6="Stock slurry",Reagents!$Q$6="Stock solution"),VLOOKUP(5,Reagents!$B$1:$R$41,14,FALSE), VLOOKUP(5,Reagents!$B$1:$R$41,11,FALSE))</f>
        <v/>
      </c>
      <c r="BL13" s="214">
        <f>VLOOKUP(5,Reagents!$B$1:$R$41,17,FALSE)</f>
        <v>0</v>
      </c>
      <c r="BM13" s="284" t="e">
        <f>IF(OR(VLOOKUP(5,Reagents!$B$1:$M$41,4,FALSE)="solvent_2",VLOOKUP(5,Reagents!$B$1:$M$41,4,FALSE)="solvent_3"),VLOOKUP(5,Reagents!$B$1:$M$41,12,FALSE),IF(OR(Reagents!$Q$6="Stock slurry",Reagents!$Q$6="Stock solution"),BK13*BJ13, BK13/VLOOKUP(5,Reagents!$B$1:$R$41,6,FALSE)*1000))</f>
        <v>#VALUE!</v>
      </c>
      <c r="BN13" s="214">
        <f>VLOOKUP(6,Reagents!$B$1:$M$41,2,FALSE)</f>
        <v>0</v>
      </c>
      <c r="BO13" s="214">
        <f>VLOOKUP(6,Reagents!$B$1:$M$41,3,FALSE)</f>
        <v>0</v>
      </c>
      <c r="BP13" s="214" t="str">
        <f>IF(VLOOKUP(6,Reagents!$B$1:$M$41,5,FALSE)=0, "NULL", VLOOKUP(6,Reagents!$B$1:$M$41,5,FALSE))</f>
        <v>NULL</v>
      </c>
      <c r="BQ13" s="214" t="str">
        <f>IF(OR(Reagents!$Q$7="Stock slurry",Reagents!$Q$7="Stock solution"),VLOOKUP(6,Reagents!$B$1:$R$41,13,FALSE), "NULL")</f>
        <v/>
      </c>
      <c r="BR13" s="362" t="str">
        <f>IF(OR(Reagents!$Q$7="Stock slurry",Reagents!$Q$7="Stock solution"),VLOOKUP(6,Reagents!$B$1:$R$41,14,FALSE), VLOOKUP(6,Reagents!$B$1:$R$41,11,FALSE))</f>
        <v/>
      </c>
      <c r="BS13" s="214">
        <f>VLOOKUP(6,Reagents!$B$1:$R$41,17,FALSE)</f>
        <v>0</v>
      </c>
      <c r="BT13" s="284" t="e">
        <f>IF(OR(VLOOKUP(6,Reagents!$B$1:$M$41,4,FALSE)="solvent_2",VLOOKUP(6,Reagents!$B$1:$M$41,4,FALSE)="solvent_3"),VLOOKUP(6,Reagents!$B$1:$M$41,12,FALSE),IF(OR(Reagents!$Q$7="Stock slurry",Reagents!$Q$7="Stock solution"),BR13*BQ13, BR13/VLOOKUP(6,Reagents!$B$1:$R$41,6,FALSE)*1000))</f>
        <v>#VALUE!</v>
      </c>
      <c r="BU13" s="214">
        <f>VLOOKUP(7,Reagents!$B$1:$M$41,2,FALSE)</f>
        <v>0</v>
      </c>
      <c r="BV13" s="214">
        <f>VLOOKUP(7,Reagents!$B$1:$M$41,3,FALSE)</f>
        <v>0</v>
      </c>
      <c r="BW13" s="214" t="str">
        <f>IF(VLOOKUP(7,Reagents!$B$1:$M$41,5,FALSE)=0, "NULL", VLOOKUP(7,Reagents!$B$1:$M$41,5,FALSE))</f>
        <v>NULL</v>
      </c>
      <c r="BX13" s="214" t="str">
        <f>IF(OR(Reagents!$Q$8="Stock slurry",Reagents!$Q$8="Stock solution"),VLOOKUP(7,Reagents!$B$1:$R$41,13,FALSE), "NULL")</f>
        <v/>
      </c>
      <c r="BY13" s="362" t="str">
        <f>IF(OR(Reagents!$Q$8="Stock slurry",Reagents!$Q$8="Stock solution"),VLOOKUP(7,Reagents!$B$1:$R$41,14,FALSE), VLOOKUP(7,Reagents!$B$1:$R$41,11,FALSE))</f>
        <v/>
      </c>
      <c r="BZ13" s="214">
        <f>VLOOKUP(7,Reagents!$B$1:$R$41,17,FALSE)</f>
        <v>0</v>
      </c>
      <c r="CA13" s="284" t="e">
        <f>IF(OR(VLOOKUP(7,Reagents!$B$1:$M$41,4,FALSE)="solvent_2",VLOOKUP(7,Reagents!$B$1:$M$41,4,FALSE)="solvent_3"),VLOOKUP(7,Reagents!$B$1:$M$41,12,FALSE),IF(OR(Reagents!$Q$8="Stock slurry",Reagents!$Q$8="Stock solution"),BY13*BX13, BY13/VLOOKUP(7,Reagents!$B$1:$R$41,6,FALSE)*1000))</f>
        <v>#VALUE!</v>
      </c>
      <c r="CB13" s="214">
        <f>VLOOKUP(8,Reagents!$B$1:$M$41,2,FALSE)</f>
        <v>0</v>
      </c>
      <c r="CC13" s="214">
        <f>VLOOKUP(8,Reagents!$B$1:$M$41,3,FALSE)</f>
        <v>0</v>
      </c>
      <c r="CD13" s="214" t="str">
        <f>IF(VLOOKUP(8,Reagents!$B$1:$M$41,5,FALSE)=0, "NULL", VLOOKUP(8,Reagents!$B$1:$M$41,5,FALSE))</f>
        <v>NULL</v>
      </c>
      <c r="CE13" s="214" t="str">
        <f>IF(OR(Reagents!$Q$9="Stock slurry",Reagents!$Q$9="Stock solution"),VLOOKUP(8,Reagents!$B$1:$R$41,13,FALSE), "NULL")</f>
        <v/>
      </c>
      <c r="CF13" s="362" t="str">
        <f>IF(OR(Reagents!$Q$9="Stock slurry",Reagents!$Q$9="Stock solution"),VLOOKUP(8,Reagents!$B$1:$R$41,14,FALSE), VLOOKUP(8,Reagents!$B$1:$R$41,11,FALSE))</f>
        <v/>
      </c>
      <c r="CG13" s="214">
        <f>VLOOKUP(8,Reagents!$B$1:$R$41,17,FALSE)</f>
        <v>0</v>
      </c>
      <c r="CH13" s="284" t="e">
        <f>IF(OR(VLOOKUP(8,Reagents!$B$1:$M$41,4,FALSE)="solvent_2",VLOOKUP(8,Reagents!$B$1:$M$41,4,FALSE)="solvent_3"),VLOOKUP(8,Reagents!$B$1:$M$41,12,FALSE),IF(OR(Reagents!$Q$9="Stock slurry",Reagents!$Q$9="Stock solution"),CF13*CE13, CF13/VLOOKUP(8,Reagents!$B$1:$R$41,6,FALSE)*1000))</f>
        <v>#VALUE!</v>
      </c>
      <c r="CI13" s="214">
        <f>VLOOKUP(9,Reagents!$B$1:$M$41,2,FALSE)</f>
        <v>0</v>
      </c>
      <c r="CJ13" s="214">
        <f>VLOOKUP(9,Reagents!$B$1:$M$41,3,FALSE)</f>
        <v>0</v>
      </c>
      <c r="CK13" s="214" t="str">
        <f>IF(VLOOKUP(9,Reagents!$B$1:$M$41,5,FALSE)=0, "NULL", VLOOKUP(9,Reagents!$B$1:$M$41,5,FALSE))</f>
        <v>NULL</v>
      </c>
      <c r="CL13" s="214" t="str">
        <f>IF(OR(Reagents!$Q$10="Stock slurry",Reagents!$Q$10="Stock solution"),VLOOKUP(9,Reagents!$B$1:$R$41,13,FALSE), "NULL")</f>
        <v/>
      </c>
      <c r="CM13" s="362" t="str">
        <f>IF(OR(Reagents!$Q$10="Stock slurry",Reagents!$Q$10="Stock solution"),VLOOKUP(9,Reagents!$B$1:$R$41,14,FALSE), VLOOKUP(9,Reagents!$B$1:$R$41,11,FALSE))</f>
        <v/>
      </c>
      <c r="CN13" s="214">
        <f>VLOOKUP(9,Reagents!$B$1:$R$41,17,FALSE)</f>
        <v>0</v>
      </c>
      <c r="CO13" s="284" t="e">
        <f>IF(OR(VLOOKUP(9,Reagents!$B$1:$M$41,4,FALSE)="solvent_2",VLOOKUP(9,Reagents!$B$1:$M$41,4,FALSE)="solvent_3"),VLOOKUP(9,Reagents!$B$1:$M$41,12,FALSE),IF(OR(Reagents!$Q$10="Stock slurry",Reagents!$Q$10="Stock solution"),CM13*CL13, CM13/VLOOKUP(9,Reagents!$B$1:$R$41,6,FALSE)*1000))</f>
        <v>#VALUE!</v>
      </c>
      <c r="CP13" s="214">
        <f>VLOOKUP(10,Reagents!$B$1:$M$41,2,FALSE)</f>
        <v>0</v>
      </c>
      <c r="CQ13" s="214">
        <f>VLOOKUP(10,Reagents!$B$1:$M$41,3,FALSE)</f>
        <v>0</v>
      </c>
      <c r="CR13" s="214" t="str">
        <f>IF(VLOOKUP(10,Reagents!$B$1:$M$41,5,FALSE)=0, "NULL", VLOOKUP(10,Reagents!$B$1:$M$41,5,FALSE))</f>
        <v>NULL</v>
      </c>
      <c r="CS13" s="214" t="str">
        <f>IF(OR(Reagents!$Q$11="Stock slurry",Reagents!$Q$11="Stock solution"),VLOOKUP(10,Reagents!$B$1:$R$41,13,FALSE), "NULL")</f>
        <v/>
      </c>
      <c r="CT13" s="362" t="str">
        <f>IF(OR(Reagents!$Q$11="Stock slurry",Reagents!$Q$11="Stock solution"),VLOOKUP(10,Reagents!$B$1:$R$41,14,FALSE), VLOOKUP(10,Reagents!$B$1:$R$41,11,FALSE))</f>
        <v/>
      </c>
      <c r="CU13" s="214">
        <f>VLOOKUP(10,Reagents!$B$1:$R$41,17,FALSE)</f>
        <v>0</v>
      </c>
      <c r="CV13" s="284" t="e">
        <f>IF(OR(VLOOKUP(10,Reagents!$B$1:$M$41,4,FALSE)="solvent_2",VLOOKUP(10,Reagents!$B$1:$M$41,4,FALSE)="solvent_3"),VLOOKUP(10,Reagents!$B$1:$M$41,12,FALSE),IF(OR(Reagents!$Q$11="Stock slurry",Reagents!$Q$11="Stock solution"),CT13*CS13, CT13/VLOOKUP(10,Reagents!$B$1:$R$41,6,FALSE)*1000))</f>
        <v>#VALUE!</v>
      </c>
      <c r="CW13" s="214" t="str">
        <f>VLOOKUP(B13+10,Reagents!$B$1:$R$41,2,FALSE)</f>
        <v/>
      </c>
      <c r="CX13" s="214">
        <f>VLOOKUP(B13+10,Reagents!$B$1:$R$41,3,FALSE)</f>
        <v>0</v>
      </c>
      <c r="CY13" s="214" t="str">
        <f>IF(VLOOKUP(B13+10,Reagents!$B$1:$M$41,5,FALSE)=0, "NULL", VLOOKUP(B13+10,Reagents!$B$1:$M$41,5,FALSE))</f>
        <v>NULL</v>
      </c>
      <c r="CZ13" s="214" t="str">
        <f>IF(OR(Reagents!$Q$12="Stock slurry",Reagents!$Q$12="Stock solution"),VLOOKUP(B13+10,Reagents!$B$1:$R$41,13,FALSE), "NULL")</f>
        <v/>
      </c>
      <c r="DA13" s="362" t="str">
        <f>IF(OR(Reagents!$Q$12="Stock slurry",Reagents!$Q$12="Stock solution"),VLOOKUP(B13+10,Reagents!$B$1:$R$41,14,FALSE), VLOOKUP(B13+10,Reagents!$B$1:$R$41,11,FALSE))</f>
        <v/>
      </c>
      <c r="DB13" s="214">
        <f>VLOOKUP(B13+10,Reagents!$B$1:$R$41,17,FALSE)</f>
        <v>0</v>
      </c>
      <c r="DC13" s="284" t="e">
        <f>IF(OR(v1_col="solvent_2",v1_col="solvent_3"),VLOOKUP(B13+10,Reagents!$B$1:$M$41,12,FALSE),IF(OR(Reagents!$Q$12="Stock slurry",Reagents!$Q$12="Stock solution"),DA13*CZ13, DA13/VLOOKUP(B13+10,Reagents!$B$1:$R$41,6,FALSE)*1000))</f>
        <v>#VALUE!</v>
      </c>
      <c r="DD13" s="214" t="str">
        <f>VLOOKUP(B13+22,Reagents!$B$1:$M$41,2,FALSE)</f>
        <v/>
      </c>
      <c r="DE13" s="214">
        <f>VLOOKUP(B13+22,Reagents!$B$1:$R$41,3,FALSE)</f>
        <v>0</v>
      </c>
      <c r="DF13" s="214" t="str">
        <f>IF(VLOOKUP(B13+22,Reagents!$B$1:$M$41,5,FALSE)=0, "NULL", VLOOKUP(B13+22,Reagents!$B$1:$M$41,5,FALSE))</f>
        <v>NULL</v>
      </c>
      <c r="DG13" s="214" t="str">
        <f>IF(OR(Reagents!$Q$18="Stock slurry",Reagents!$Q$12="Stock solution"),VLOOKUP(B13+22,Reagents!$B$1:$R$41,13,FALSE), "NULL")</f>
        <v/>
      </c>
      <c r="DH13" s="362" t="str">
        <f>IF(OR(Reagents!$Q$18="Stock slurry",Reagents!$Q$18="Stock solution"),VLOOKUP(B13+22,Reagents!$B$1:$R$41,14,FALSE), VLOOKUP(B13+22,Reagents!$B$1:$R$41,11,FALSE))</f>
        <v/>
      </c>
      <c r="DI13" s="214">
        <f>VLOOKUP(B13+22,Reagents!$B$1:$R$41,17,FALSE)</f>
        <v>0</v>
      </c>
      <c r="DJ13" s="284" t="e">
        <f>IF(OR(v2_col="solvent_2",v2_col="solvent_3"),VLOOKUP(B13+22,Reagents!$B$1:$M$41,12,FALSE),IF(OR(Reagents!$Q$18="Stock slurry",Reagents!$Q$18="Stock solution"),DH13*DG13, DH13/VLOOKUP(B13+22,Reagents!$B$1:$R$41,6,FALSE)*1000))</f>
        <v>#VALUE!</v>
      </c>
      <c r="DK13" s="214" t="str">
        <f>VLOOKUP(B13+34,Reagents!$B$1:$M$41,2,FALSE)</f>
        <v/>
      </c>
      <c r="DL13" s="214">
        <f>VLOOKUP(B13+34,Reagents!$B$1:$R$41,3,FALSE)</f>
        <v>0</v>
      </c>
      <c r="DM13" s="214" t="str">
        <f>IF(VLOOKUP(B13+34,Reagents!$B$1:$M$41,5,FALSE)=0, "NULL", VLOOKUP(B13+34,Reagents!$B$1:$M$41,5,FALSE))</f>
        <v>NULL</v>
      </c>
      <c r="DN13" s="214" t="str">
        <f>IF(OR(Reagents!$Q$24="Stock slurry",Reagents!$Q$12="Stock solution"),VLOOKUP(B13+34,Reagents!$B$1:$R$41,13,FALSE), "NULL")</f>
        <v/>
      </c>
      <c r="DO13" s="362" t="str">
        <f>IF(OR(Reagents!$Q$24="Stock slurry",Reagents!$Q$24="Stock solution"),VLOOKUP(B13+34,Reagents!$B$1:$R$41,14,FALSE), VLOOKUP(B13+34,Reagents!$B$1:$R$41,11,FALSE))</f>
        <v/>
      </c>
      <c r="DP13" s="214">
        <f>VLOOKUP(B13+34,Reagents!$B$1:$R$41,17,FALSE)</f>
        <v>0</v>
      </c>
      <c r="DQ13" s="284" t="e">
        <f>IF(OR(v3_col="solvent_2",v3_col="solvent_3"),VLOOKUP(B13+34,Reagents!$B$1:$M$41,12,FALSE),IF(OR(Reagents!$Q$24="Stock slurry",Reagents!$Q$24="Stock solution"),DO13*DN13, DO13/VLOOKUP(B13+34,Reagents!$B$1:$R$41,6,FALSE)*1000))</f>
        <v>#VALUE!</v>
      </c>
      <c r="DR13" s="214" t="str">
        <f>VLOOKUP(C13+46,Reagents!$B$1:$M$41,2,FALSE)</f>
        <v/>
      </c>
      <c r="DS13" s="214">
        <f>VLOOKUP(C13+46,Reagents!$B$1:$M$41,3,FALSE)</f>
        <v>0</v>
      </c>
      <c r="DT13" s="214" t="str">
        <f>IF(VLOOKUP(C13+46,Reagents!$B$1:$M$41,5,FALSE)=0, "NULL", VLOOKUP(C13+46,Reagents!$B$1:$M$41,5,FALSE))</f>
        <v>NULL</v>
      </c>
      <c r="DU13" s="214" t="str">
        <f>IF(OR(Reagents!$Q$30="Stock slurry",Reagents!$Q$30="Stock solution"),VLOOKUP(C13+46,Reagents!$B$1:$R$41,13,FALSE), "NULL")</f>
        <v/>
      </c>
      <c r="DV13" s="362" t="str">
        <f>IF(OR(Reagents!$Q$30="Stock slurry",Reagents!$Q$30="Stock solution"),VLOOKUP(C13+46,Reagents!$B$1:$R$41,14,FALSE), VLOOKUP(C13+46,Reagents!$B$1:$R$41,11,FALSE))</f>
        <v/>
      </c>
      <c r="DW13" s="214">
        <f>VLOOKUP(C13+46,Reagents!$B$1:$R$41,17,FALSE)</f>
        <v>0</v>
      </c>
      <c r="DX13" s="284" t="e">
        <f>IF(OR(v4_row="solvent_2",v4_row="solvent_3"),VLOOKUP(C13+46,Reagents!$B$1:$M$41,12,FALSE),IF(OR(Reagents!$Q$30="Stock slurry",Reagents!$Q$30="Stock solution"),DV13*DU13, DV13/VLOOKUP(C13+46,Reagents!$B$1:$R$41,6,FALSE)*1000))</f>
        <v>#VALUE!</v>
      </c>
      <c r="DY13" s="214" t="str">
        <f>VLOOKUP(C13+54,Reagents!$B$1:$M$41,2,FALSE)</f>
        <v/>
      </c>
      <c r="DZ13" s="214">
        <f>VLOOKUP(C13+54,Reagents!$B$1:$M$41,3,FALSE)</f>
        <v>0</v>
      </c>
      <c r="EA13" s="214" t="str">
        <f>IF(VLOOKUP(C13+54,Reagents!$B$1:$M$41,5,FALSE)=0, "NULL", VLOOKUP(C13+54,Reagents!$B$1:$M$41,5,FALSE))</f>
        <v>NULL</v>
      </c>
      <c r="EB13" s="214" t="str">
        <f>IF(OR(Reagents!$Q$34="Stock slurry",Reagents!$Q$34="Stock solution"),VLOOKUP(C13+54,Reagents!$B$1:$R$41,13,FALSE), "NULL")</f>
        <v/>
      </c>
      <c r="EC13" s="362" t="str">
        <f>IF(OR(Reagents!$Q$34="Stock slurry",Reagents!$Q$34="Stock solution"),VLOOKUP(C13+54,Reagents!$B$1:$R$41,14,FALSE), VLOOKUP(C13+54,Reagents!$B$1:$R$41,11,FALSE))</f>
        <v/>
      </c>
      <c r="ED13" s="214">
        <f>VLOOKUP(C13+54,Reagents!$B$1:$R$41,17,FALSE)</f>
        <v>0</v>
      </c>
      <c r="EE13" s="284" t="e">
        <f>IF(OR(v5_row="solvent_2",v5_row="solvent_3"),VLOOKUP(C13+54,Reagents!$B$1:$M$41,12,FALSE),IF(OR(Reagents!$Q$34="Stock slurry",Reagents!$Q$34="Stock solution"),EC13*EB13, EC13/VLOOKUP(C13+54,Reagents!$B$1:$R$41,6,FALSE)*1000))</f>
        <v>#VALUE!</v>
      </c>
      <c r="EF13" s="214" t="str">
        <f>VLOOKUP(C13+62,Reagents!$B$1:$M$41,2,FALSE)</f>
        <v/>
      </c>
      <c r="EG13" s="214">
        <f>VLOOKUP(C13+62,Reagents!$B$1:$M$41,3,FALSE)</f>
        <v>0</v>
      </c>
      <c r="EH13" s="214" t="str">
        <f>IF(VLOOKUP(C13+62,Reagents!$B$1:$M$41,5,FALSE)=0, "NULL", VLOOKUP(C13+62,Reagents!$B$1:$M$41,5,FALSE))</f>
        <v>NULL</v>
      </c>
      <c r="EI13" s="214" t="str">
        <f>IF(OR(Reagents!$Q$38="Stock slurry",Reagents!$Q$38="Stock solution"),VLOOKUP(C13+62,Reagents!$B$1:$R$41,13,FALSE), "NULL")</f>
        <v/>
      </c>
      <c r="EJ13" s="362" t="str">
        <f>IF(OR(Reagents!$Q$38="Stock slurry",Reagents!$Q$38="Stock solution"),VLOOKUP(C13+62,Reagents!$B$1:$R$41,14,FALSE), VLOOKUP(C13+62,Reagents!$B$1:$R$41,11,FALSE))</f>
        <v/>
      </c>
      <c r="EK13" s="214">
        <f>VLOOKUP(C13+62,Reagents!$B$1:$R$41,17,FALSE)</f>
        <v>0</v>
      </c>
      <c r="EL13" s="284" t="e">
        <f>IF(OR(v6_row="solvent_2",v6_row="solvent_3"),VLOOKUP(C13+62,Reagents!$B$1:$M$41,12,FALSE),IF(OR(Reagents!$Q$38="Stock slurry",Reagents!$Q$38="Stock solution"),EJ13*EI13, EJ13/VLOOKUP(C13+62,Reagents!$B$1:$R$41,6,FALSE)*1000))</f>
        <v>#VALUE!</v>
      </c>
      <c r="EM13" s="214">
        <f>VLOOKUP(19,'Plate Planning'!$A$1:$T$35,13,FALSE)</f>
        <v>0</v>
      </c>
      <c r="EN13" s="214">
        <f>VLOOKUP(19,'Plate Planning'!$A$1:$T$35,14,FALSE)</f>
        <v>0</v>
      </c>
      <c r="EO13" s="214">
        <f>VLOOKUP(19,'Plate Planning'!$A$1:$T$35,15,FALSE)</f>
        <v>0</v>
      </c>
      <c r="EP13" s="214">
        <f>VLOOKUP(A13,'Uncorrected Area Counts'!$A$1:$AS$27,3,FALSE)</f>
        <v>0</v>
      </c>
      <c r="EQ13" s="214" t="str">
        <f>VLOOKUP(A13,'Uncorrected Area Counts'!$A$1:$AS$27,4,FALSE)</f>
        <v/>
      </c>
      <c r="ER13" s="214" t="str">
        <f>VLOOKUP(A13,'Uncorrected Area Counts'!$A$1:$AS$27,5,FALSE)</f>
        <v/>
      </c>
      <c r="ES13" s="214">
        <f>VLOOKUP(20,'Plate Planning'!$A$1:$T$35,15,FALSE)</f>
        <v>0</v>
      </c>
      <c r="ET13" s="214">
        <f>VLOOKUP(A13,'Uncorrected Area Counts'!$A$1:$AS$27,7,FALSE)</f>
        <v>0</v>
      </c>
      <c r="EU13" s="214" t="e">
        <f>VLOOKUP(A13,'Uncorrected Area Counts'!$A$1:$AS$27,7,FALSE)/VLOOKUP(A13,'Uncorrected Area Counts'!$A$1:$AS$27,3,FALSE)</f>
        <v>#DIV/0!</v>
      </c>
      <c r="EV13" s="214" t="str">
        <f>IFERROR(VLOOKUP(A13,'Yields &amp; LCAPs'!$A$1:$V$27,3,FALSE), "NULL")</f>
        <v>NULL</v>
      </c>
      <c r="EW13" s="284" t="str">
        <f>IFERROR(VLOOKUP(A13,'Yields &amp; LCAPs'!$A$1:$V$27,4,FALSE), "NULL")</f>
        <v>NULL</v>
      </c>
      <c r="EX13" s="214" t="str">
        <f>VLOOKUP(A13,'Uncorrected Area Counts'!$A$1:$AS$27,8,FALSE)</f>
        <v/>
      </c>
      <c r="EY13" s="214" t="str">
        <f>VLOOKUP(A13,'Uncorrected Area Counts'!$A$1:$AS$27,9,FALSE)</f>
        <v/>
      </c>
      <c r="EZ13" s="214">
        <f>VLOOKUP(22,'Plate Planning'!$A$1:$T$35,15,FALSE)</f>
        <v>0</v>
      </c>
      <c r="FA13" s="214">
        <f>VLOOKUP(A13,'Uncorrected Area Counts'!$A$1:$AS$27,11,FALSE)</f>
        <v>0</v>
      </c>
      <c r="FB13" s="214" t="e">
        <f>VLOOKUP(A13,'Uncorrected Area Counts'!$A$1:$AS$27,11,FALSE)/VLOOKUP(A13,'Uncorrected Area Counts'!$A$1:$AS$27,3,FALSE)</f>
        <v>#DIV/0!</v>
      </c>
      <c r="FC13" s="214" t="str">
        <f>IFERROR(VLOOKUP(A13,'Yields &amp; LCAPs'!$A$1:$V$27,5,FALSE), "NULL")</f>
        <v>NULL</v>
      </c>
      <c r="FD13" s="284" t="str">
        <f>IFERROR(VLOOKUP(A13,'Yields &amp; LCAPs'!$A$1:$V$27,6,FALSE), "NULL")</f>
        <v>NULL</v>
      </c>
      <c r="FE13" s="214" t="str">
        <f>VLOOKUP(A13,'Uncorrected Area Counts'!$A$1:$AS$27,12,FALSE)</f>
        <v/>
      </c>
      <c r="FF13" s="214" t="str">
        <f>VLOOKUP(A13,'Uncorrected Area Counts'!$A$1:$AS$27,13,FALSE)</f>
        <v/>
      </c>
      <c r="FG13" s="214">
        <f>VLOOKUP(24,'Plate Planning'!$A$1:$T$35,15,FALSE)</f>
        <v>0</v>
      </c>
      <c r="FH13" s="214">
        <f>VLOOKUP(A13,'Uncorrected Area Counts'!$A$1:$AS$27,15,FALSE)</f>
        <v>0</v>
      </c>
      <c r="FI13" s="214" t="e">
        <f>VLOOKUP(A13,'Uncorrected Area Counts'!$A$1:$AS$27,15,FALSE)/VLOOKUP(A13,'Uncorrected Area Counts'!$A$1:$AS$27,3,FALSE)</f>
        <v>#DIV/0!</v>
      </c>
      <c r="FJ13" s="214" t="str">
        <f>IFERROR(VLOOKUP(A13,'Yields &amp; LCAPs'!$A$1:$V$27,7,FALSE), "NULL")</f>
        <v>NULL</v>
      </c>
      <c r="FK13" s="284" t="str">
        <f>IFERROR(VLOOKUP(A13,'Yields &amp; LCAPs'!$A$1:$V$27,8,FALSE), "NULL")</f>
        <v>NULL</v>
      </c>
      <c r="FL13" s="214" t="str">
        <f>VLOOKUP(A13,'Uncorrected Area Counts'!$A$1:$AS$27,16,FALSE)</f>
        <v/>
      </c>
      <c r="FM13" s="214" t="str">
        <f>VLOOKUP(A13,'Uncorrected Area Counts'!$A$1:$AS$27,17,FALSE)</f>
        <v/>
      </c>
      <c r="FN13" s="214">
        <f>VLOOKUP(26,'Plate Planning'!$A$1:$T$35,15,FALSE)</f>
        <v>0</v>
      </c>
      <c r="FO13" s="214">
        <f>VLOOKUP(A13,'Uncorrected Area Counts'!$A$1:$AS$27,19,FALSE)</f>
        <v>0</v>
      </c>
      <c r="FP13" s="214" t="e">
        <f>VLOOKUP(A13,'Uncorrected Area Counts'!$A$1:$AS$27,19,FALSE)/VLOOKUP(A13,'Uncorrected Area Counts'!$A$1:$AS$27,3,FALSE)</f>
        <v>#DIV/0!</v>
      </c>
      <c r="FQ13" s="214" t="str">
        <f>IFERROR(VLOOKUP(A13,'Yields &amp; LCAPs'!$A$1:$V$27,9,FALSE), "NULL")</f>
        <v>NULL</v>
      </c>
      <c r="FR13" s="284" t="str">
        <f>IFERROR(VLOOKUP(A13,'Yields &amp; LCAPs'!$A$1:$V$27,10,FALSE), "NULL")</f>
        <v>NULL</v>
      </c>
      <c r="FS13" s="214" t="str">
        <f>VLOOKUP(A13,'Uncorrected Area Counts'!$A$1:$AS$27,20,FALSE)</f>
        <v/>
      </c>
      <c r="FT13" s="214" t="str">
        <f>VLOOKUP(A13,'Uncorrected Area Counts'!$A$1:$AS$27,21,FALSE)</f>
        <v/>
      </c>
      <c r="FU13" s="214">
        <f>VLOOKUP(27,'Plate Planning'!$A$1:$T$35,15,FALSE)</f>
        <v>0</v>
      </c>
      <c r="FV13" s="214">
        <f>VLOOKUP(A13,'Uncorrected Area Counts'!$A$1:$AS$27,23,FALSE)</f>
        <v>0</v>
      </c>
      <c r="FW13" s="214" t="e">
        <f>VLOOKUP(A13,'Uncorrected Area Counts'!$A$1:$AS$27,23,FALSE)/VLOOKUP(A13,'Uncorrected Area Counts'!$A$1:$AS$27,3,FALSE)</f>
        <v>#DIV/0!</v>
      </c>
      <c r="FX13" s="214" t="str">
        <f>IFERROR(VLOOKUP(A13,'Yields &amp; LCAPs'!$A$1:$V$27,11,FALSE), "NULL")</f>
        <v>NULL</v>
      </c>
      <c r="FY13" s="284" t="str">
        <f>IFERROR(VLOOKUP(A13,'Yields &amp; LCAPs'!$A$1:$V$27,12,FALSE), "NULL")</f>
        <v>NULL</v>
      </c>
      <c r="FZ13" s="411" t="str">
        <f>VLOOKUP(A13,'Uncorrected Area Counts'!$A$1:$AS$27,24,FALSE)</f>
        <v/>
      </c>
      <c r="GA13" s="214" t="str">
        <f>VLOOKUP(A13,'Uncorrected Area Counts'!$A$1:$AS$27,25,FALSE)</f>
        <v/>
      </c>
      <c r="GB13" s="214">
        <f>VLOOKUP(28,'Plate Planning'!$A$1:$T$35,15,FALSE)</f>
        <v>0</v>
      </c>
      <c r="GC13" s="214">
        <f>VLOOKUP(A13,'Uncorrected Area Counts'!$A$1:$AS$27,27,FALSE)</f>
        <v>0</v>
      </c>
      <c r="GD13" s="214" t="e">
        <f>VLOOKUP(A13,'Uncorrected Area Counts'!$A$1:$AS$27,27,FALSE)/VLOOKUP(A13,'Uncorrected Area Counts'!$A$1:$AS$27,3,FALSE)</f>
        <v>#DIV/0!</v>
      </c>
      <c r="GE13" s="214" t="str">
        <f>IFERROR(VLOOKUP(A13,'Yields &amp; LCAPs'!$A$1:$V$27,13,FALSE), "NULL")</f>
        <v>NULL</v>
      </c>
      <c r="GF13" s="284" t="str">
        <f>IFERROR(VLOOKUP(A13,'Yields &amp; LCAPs'!$A$1:$V$27,14,FALSE), "NULL")</f>
        <v>NULL</v>
      </c>
      <c r="GG13" s="214" t="str">
        <f>VLOOKUP(A13,'Uncorrected Area Counts'!$A$1:$AS$27,28,FALSE)</f>
        <v/>
      </c>
      <c r="GH13" s="214" t="str">
        <f>VLOOKUP(A13,'Uncorrected Area Counts'!$A$1:$AS$27,29,FALSE)</f>
        <v/>
      </c>
      <c r="GI13" s="214">
        <f>VLOOKUP(29,'Plate Planning'!$A$1:$T$35,15,FALSE)</f>
        <v>0</v>
      </c>
      <c r="GJ13" s="214">
        <f>VLOOKUP(A13,'Uncorrected Area Counts'!$A$1:$AS$27,31,FALSE)</f>
        <v>0</v>
      </c>
      <c r="GK13" s="214" t="e">
        <f>VLOOKUP(A13,'Uncorrected Area Counts'!$A$1:$AS$27,31,FALSE)/VLOOKUP(A13,'Uncorrected Area Counts'!$A$1:$AS$27,3,FALSE)</f>
        <v>#DIV/0!</v>
      </c>
      <c r="GL13" s="214" t="str">
        <f>IFERROR(VLOOKUP(A13,'Yields &amp; LCAPs'!$A$1:$V$27,15,FALSE), "NULL")</f>
        <v>NULL</v>
      </c>
      <c r="GM13" s="284" t="str">
        <f>IFERROR(VLOOKUP(A13,'Yields &amp; LCAPs'!$A$1:$V$27,16,FALSE), "NULL")</f>
        <v>NULL</v>
      </c>
      <c r="GN13" s="214" t="str">
        <f>VLOOKUP(A13,'Uncorrected Area Counts'!$A$1:$AS$27,32,FALSE)</f>
        <v/>
      </c>
      <c r="GO13" s="214" t="str">
        <f>VLOOKUP(A13,'Uncorrected Area Counts'!$A$1:$AS$27,33,FALSE)</f>
        <v/>
      </c>
      <c r="GP13" s="214">
        <f>VLOOKUP(30,'Plate Planning'!$A$1:$T$35,15,FALSE)</f>
        <v>0</v>
      </c>
      <c r="GQ13" s="214">
        <f>VLOOKUP(A13,'Uncorrected Area Counts'!$A$1:$AS$27,35,FALSE)</f>
        <v>0</v>
      </c>
      <c r="GR13" s="214" t="e">
        <f>VLOOKUP(A13,'Uncorrected Area Counts'!$A$1:$AS$27,35,FALSE)/VLOOKUP(A13,'Uncorrected Area Counts'!$A$1:$AS$27,3,FALSE)</f>
        <v>#DIV/0!</v>
      </c>
      <c r="GS13" s="214" t="str">
        <f>IFERROR(VLOOKUP(A13,'Yields &amp; LCAPs'!$A$1:$V$27,17,FALSE), "NULL")</f>
        <v>NULL</v>
      </c>
      <c r="GT13" s="284" t="str">
        <f>IFERROR(VLOOKUP(A13,'Yields &amp; LCAPs'!$A$1:$V$27,18,FALSE), "NULL")</f>
        <v>NULL</v>
      </c>
      <c r="GU13" s="214" t="str">
        <f>VLOOKUP(A13,'Uncorrected Area Counts'!$A$1:$AS$27,36,FALSE)</f>
        <v/>
      </c>
      <c r="GV13" s="214" t="str">
        <f>VLOOKUP(A13,'Uncorrected Area Counts'!$A$1:$AS$27,37,FALSE)</f>
        <v/>
      </c>
      <c r="GW13" s="214">
        <f>VLOOKUP(31,'Plate Planning'!$A$1:$T$35,15,FALSE)</f>
        <v>0</v>
      </c>
      <c r="GX13" s="214">
        <f>VLOOKUP(A13,'Uncorrected Area Counts'!$A$1:$AS$27,39,FALSE)</f>
        <v>0</v>
      </c>
      <c r="GY13" s="214" t="e">
        <f>VLOOKUP(A13,'Uncorrected Area Counts'!$A$1:$AS$27,39,FALSE)/VLOOKUP(A13,'Uncorrected Area Counts'!$A$1:$AS$27,3,FALSE)</f>
        <v>#DIV/0!</v>
      </c>
      <c r="GZ13" s="214" t="str">
        <f>IFERROR(VLOOKUP(A13,'Yields &amp; LCAPs'!$A$1:$V$27,19,FALSE), "NULL")</f>
        <v>NULL</v>
      </c>
      <c r="HA13" s="284" t="str">
        <f>IFERROR(VLOOKUP(A13,'Yields &amp; LCAPs'!$A$1:$V$27,20,FALSE), "NULL")</f>
        <v>NULL</v>
      </c>
      <c r="HB13" s="214" t="str">
        <f>VLOOKUP(A13,'Uncorrected Area Counts'!$A$1:$AS$27,40,FALSE)</f>
        <v/>
      </c>
      <c r="HC13" s="214" t="str">
        <f>VLOOKUP(A13,'Uncorrected Area Counts'!$A$1:$AS$27,41,FALSE)</f>
        <v/>
      </c>
      <c r="HD13" s="214">
        <f>VLOOKUP(32,'Plate Planning'!$A$1:$T$35,15,FALSE)</f>
        <v>0</v>
      </c>
      <c r="HE13" s="214">
        <f>VLOOKUP(A13,'Uncorrected Area Counts'!$A$1:$AS$27,43,FALSE)</f>
        <v>0</v>
      </c>
      <c r="HF13" s="214" t="e">
        <f>VLOOKUP(A13,'Uncorrected Area Counts'!$A$1:$AS$27,43,FALSE)/VLOOKUP(A13,'Uncorrected Area Counts'!$A$1:$AS$27,3,FALSE)</f>
        <v>#DIV/0!</v>
      </c>
      <c r="HG13" s="214" t="str">
        <f>IFERROR(VLOOKUP(A13,'Yields &amp; LCAPs'!$A$1:$V$27,21,FALSE), "NULL")</f>
        <v>NULL</v>
      </c>
      <c r="HH13" s="284" t="str">
        <f>IFERROR(VLOOKUP(A13,'Yields &amp; LCAPs'!$A$1:$V$27,22,FALSE), "NULL")</f>
        <v>NULL</v>
      </c>
      <c r="HI13" s="362"/>
      <c r="HJ13" s="362"/>
      <c r="HK13" s="362"/>
      <c r="HL13" s="362"/>
      <c r="HM13" s="363"/>
      <c r="HN13" s="362"/>
      <c r="HO13" s="362"/>
      <c r="HP13" s="362"/>
      <c r="HQ13" s="362"/>
      <c r="HR13" s="363"/>
    </row>
    <row r="14" spans="1:230">
      <c r="A14" s="216" t="s">
        <v>1185</v>
      </c>
      <c r="B14" s="214">
        <v>1</v>
      </c>
      <c r="C14" s="214">
        <v>3</v>
      </c>
      <c r="D14" s="214" t="str">
        <f>VLOOKUP(18,'Plate Planning'!$A$1:$T$35,10,FALSE)&amp;"_"&amp;VLOOKUP(19,'Plate Planning'!$A$1:$T$35,10,FALSE)&amp;"_"&amp;A14</f>
        <v>__C1</v>
      </c>
      <c r="E14" s="214" t="str">
        <f>IF(VLOOKUP(18,'Plate Planning'!$A$1:$T$35,10,FALSE)="", "NULL", VLOOKUP(18,'Plate Planning'!$A$1:$T$35,10,FALSE))</f>
        <v>NULL</v>
      </c>
      <c r="F14" s="214" t="str">
        <f>IF(VLOOKUP(19,'Plate Planning'!$A$1:$T$35,10,FALSE)="", "NULL", VLOOKUP(19,'Plate Planning'!$A$1:$T$35,10,FALSE))</f>
        <v>NULL</v>
      </c>
      <c r="G14" s="214" t="str">
        <f>IF(VLOOKUP(20,'Plate Planning'!$A$1:$T$35,10,FALSE)="", "NULL", VLOOKUP(20,'Plate Planning'!$A$1:$T$35,10,FALSE))</f>
        <v>NULL</v>
      </c>
      <c r="H14" s="214" t="str">
        <f>IF(VLOOKUP(21,'Plate Planning'!$A$1:$T$35,10,FALSE)="", "NULL", VLOOKUP(21,'Plate Planning'!$A$1:$T$35,10,FALSE))</f>
        <v>NULL</v>
      </c>
      <c r="I14" s="214" t="str">
        <f>IF(VLOOKUP(23,'Plate Planning'!$A$1:$T$35,10,FALSE)="", "NULL", VLOOKUP(23,'Plate Planning'!$A$1:$T$35,10,FALSE))</f>
        <v>NULL</v>
      </c>
      <c r="J14" s="214" t="str">
        <f>IF(VLOOKUP(22,'Plate Planning'!$A$1:$T$35,10,FALSE)="", "NULL", VLOOKUP(22,'Plate Planning'!$A$1:$T$35,10,FALSE))</f>
        <v>NULL</v>
      </c>
      <c r="K14" s="214" t="str">
        <f>VLOOKUP(24,'Plate Planning'!$A$1:$T$35,10,FALSE)</f>
        <v>Glovebox</v>
      </c>
      <c r="L14" s="214" t="str">
        <f>IF(VLOOKUP(25,'Plate Planning'!$A$1:$T$35,10,FALSE)="","NULL",VLOOKUP(25,'Plate Planning'!$A$1:$T$35,10,FALSE))</f>
        <v>NULL</v>
      </c>
      <c r="M14" s="214" t="str">
        <f>VLOOKUP(26,'Plate Planning'!$A$1:$T$35,10,FALSE)</f>
        <v>ambient</v>
      </c>
      <c r="N14" s="214" t="str">
        <f>IF(VLOOKUP(27,'Plate Planning'!$A$1:$T$35,10,FALSE)=0,"NULL", VLOOKUP(27,'Plate Planning'!$A$1:$T$35,10,FALSE))</f>
        <v>NULL</v>
      </c>
      <c r="O14" s="214" t="str">
        <f>IF(VLOOKUP(3,'Plate Planning'!$A$2:$S$35,18,FALSE)="", "NULL", VLOOKUP(3,'Plate Planning'!$A$2:$S$35,18,FALSE))</f>
        <v>NULL</v>
      </c>
      <c r="P14" s="214" t="str">
        <f>IF(VLOOKUP(4,'Plate Planning'!$A$2:$S$35,18,FALSE)="", "NULL", VLOOKUP(4,'Plate Planning'!$A$2:$S$35,18,FALSE))</f>
        <v>NULL</v>
      </c>
      <c r="Q14" s="214" t="str">
        <f>IF(VLOOKUP(5,'Plate Planning'!$A$2:$S$35,18,FALSE)="", "NULL", VLOOKUP(5,'Plate Planning'!$A$2:$S$35,18,FALSE))</f>
        <v>NULL</v>
      </c>
      <c r="R14" s="214" t="str">
        <f>IF(VLOOKUP(6,'Plate Planning'!$A$2:$S$35,18,FALSE)="", "NULL", VLOOKUP(6,'Plate Planning'!$A$2:$S$35,18,FALSE))</f>
        <v>NULL</v>
      </c>
      <c r="S14" s="214" t="str">
        <f>IF(VLOOKUP(7,'Plate Planning'!$A$2:$S$35,18,FALSE)="", "NULL", VLOOKUP(7,'Plate Planning'!$A$2:$S$35,18,FALSE))</f>
        <v>NULL</v>
      </c>
      <c r="T14" s="214" t="str">
        <f>IF(VLOOKUP(28,'Plate Planning'!$A$1:$T$35,10,FALSE)=0,"NULL",VLOOKUP(28,'Plate Planning'!$A$1:$T$35,10,FALSE))</f>
        <v>NULL</v>
      </c>
      <c r="U14" s="214" t="str">
        <f>IFERROR(VLOOKUP(VLOOKUP(28,'Plate Planning'!$A$1:$T$35,10,FALSE),Dictionaries!$Q$2:$R$72,2,FALSE), "NULL")</f>
        <v>NULL</v>
      </c>
      <c r="V14" s="214" t="str">
        <f>IF(VLOOKUP(28,'Plate Planning'!$A$1:$T$35,10,FALSE)=0,"NULL",VLOOKUP(32,'Plate Planning'!$A$1:$T$35,10,FALSE))</f>
        <v>NULL</v>
      </c>
      <c r="W14" s="214" t="str">
        <f>IF(VLOOKUP(C14+3,'Plate Planning'!$A$1:$S$35,B14+4,FALSE)=0, "", VLOOKUP(C14+3,'Plate Planning'!$A$1:$S$35,B14+4,FALSE))</f>
        <v/>
      </c>
      <c r="X14" s="214" t="str">
        <f>IFERROR(VLOOKUP(W14,'Complex Variable'!$A$2:$S$25,2,FALSE), "")</f>
        <v/>
      </c>
      <c r="Y14" s="327" t="str">
        <f>IFERROR(VLOOKUP(W14,'Complex Variable'!$A$2:$S$25,3,FALSE), "")</f>
        <v/>
      </c>
      <c r="Z14" s="327" t="str">
        <f>IFERROR(VLOOKUP(W14,'Complex Variable'!$A$2:$S$25,5,FALSE), "")</f>
        <v/>
      </c>
      <c r="AA14" s="327" t="str">
        <f>IFERROR(VLOOKUP(W14,'Complex Variable'!$A$2:$S$25,14,FALSE), "")</f>
        <v/>
      </c>
      <c r="AB14" s="602" t="str">
        <f>IFERROR(VLOOKUP(W14,'Complex Variable'!$A$2:$S$25,19,FALSE), "")</f>
        <v/>
      </c>
      <c r="AC14" s="327" t="str">
        <f>IFERROR(VLOOKUP(W14,'Complex Variable'!$A$2:$S$25,13,FALSE), "")</f>
        <v/>
      </c>
      <c r="AD14" s="604" t="str">
        <f t="shared" si="0"/>
        <v/>
      </c>
      <c r="AE14" s="214">
        <f>VLOOKUP(1,Reagents!$B$1:$M$41,2,FALSE)</f>
        <v>0</v>
      </c>
      <c r="AF14" s="214">
        <f>VLOOKUP(1,Reagents!$B$1:$M$41,3,FALSE)</f>
        <v>0</v>
      </c>
      <c r="AG14" s="214" t="str">
        <f>IF(VLOOKUP(1,Reagents!$B$1:$M$41,5,FALSE)=0, "NULL", VLOOKUP(1,Reagents!$B$1:$M$41,5,FALSE))</f>
        <v>NULL</v>
      </c>
      <c r="AH14" s="214" t="str">
        <f>IF(OR(Reagents!$Q$2="Stock slurry",Reagents!$Q$2="Stock solution"),VLOOKUP(1,Reagents!$B$1:$R$41,13,FALSE), "NULL")</f>
        <v/>
      </c>
      <c r="AI14" s="362" t="str">
        <f>IF(OR(Reagents!$Q$2="Stock slurry",Reagents!$Q$2="Stock solution"),VLOOKUP(1,Reagents!$B$1:$R$41,14,FALSE), VLOOKUP(1,Reagents!$B$1:$R$41,11,FALSE))</f>
        <v/>
      </c>
      <c r="AJ14" s="214">
        <f>VLOOKUP(1,Reagents!$B$1:$R$41,17,FALSE)</f>
        <v>0</v>
      </c>
      <c r="AK14" s="284" t="e">
        <f>IF(OR(VLOOKUP(1,Reagents!$B$1:$M$41,4,FALSE)="solvent_2",VLOOKUP(1,Reagents!$B$1:$M$41,4,FALSE)="solvent_3"),VLOOKUP(1,Reagents!$B$1:$M$41,12,FALSE),IF(OR(Reagents!$Q$2="Stock slurry",Reagents!$Q$2="Stock solution"),AI14*AH14, AI14/VLOOKUP(1,Reagents!$B$1:$R$41,6,FALSE)*1000))</f>
        <v>#VALUE!</v>
      </c>
      <c r="AL14" s="214">
        <f>VLOOKUP(2,Reagents!$B$1:$M$41,2,FALSE)</f>
        <v>0</v>
      </c>
      <c r="AM14" s="214">
        <f>VLOOKUP(2,Reagents!$B$1:$M$41,3,FALSE)</f>
        <v>0</v>
      </c>
      <c r="AN14" s="214" t="str">
        <f>IF(VLOOKUP(2,Reagents!$B$1:$M$41,5,FALSE)=0, "NULL", VLOOKUP(2,Reagents!$B$1:$M$41,5,FALSE))</f>
        <v>NULL</v>
      </c>
      <c r="AO14" s="214" t="str">
        <f>IF(OR(Reagents!$Q$3="Stock slurry",Reagents!$Q$3="Stock solution"),VLOOKUP(2,Reagents!$B$1:$R$41,13,FALSE), "NULL")</f>
        <v/>
      </c>
      <c r="AP14" s="362" t="str">
        <f>IF(OR(Reagents!$Q$3="Stock slurry",Reagents!$Q$3="Stock solution"),VLOOKUP(2,Reagents!$B$1:$R$41,14,FALSE), VLOOKUP(2,Reagents!$B$1:$R$41,11,FALSE))</f>
        <v/>
      </c>
      <c r="AQ14" s="214">
        <f>VLOOKUP(2,Reagents!$B$1:$R$41,17,FALSE)</f>
        <v>0</v>
      </c>
      <c r="AR14" s="284" t="e">
        <f>IF(OR(VLOOKUP(2,Reagents!$B$1:$M$41,4,FALSE)="solvent_2",VLOOKUP(2,Reagents!$B$1:$M$41,4,FALSE)="solvent_3"),VLOOKUP(2,Reagents!$B$1:$M$41,12,FALSE),IF(OR(Reagents!$Q$3="Stock slurry",Reagents!$Q$3="Stock solution"),AP14*AO14, AP14/VLOOKUP(2,Reagents!$B$1:$R$41,6,FALSE)*1000))</f>
        <v>#VALUE!</v>
      </c>
      <c r="AS14" s="214">
        <f>VLOOKUP(3,Reagents!$B$1:$M$41,2,FALSE)</f>
        <v>0</v>
      </c>
      <c r="AT14" s="214">
        <f>VLOOKUP(3,Reagents!$B$1:$M$41,3,FALSE)</f>
        <v>0</v>
      </c>
      <c r="AU14" s="214" t="str">
        <f>IF(VLOOKUP(3,Reagents!$B$1:$M$41,5,FALSE)=0, "NULL", VLOOKUP(3,Reagents!$B$1:$M$41,5,FALSE))</f>
        <v>NULL</v>
      </c>
      <c r="AV14" s="214" t="str">
        <f>IF(OR(Reagents!$Q$4="Stock slurry",Reagents!$Q$4="Stock solution"),VLOOKUP(3,Reagents!$B$1:$R$41,13,FALSE), "NULL")</f>
        <v/>
      </c>
      <c r="AW14" s="362" t="str">
        <f>IF(OR(Reagents!$Q$4="Stock slurry",Reagents!$Q$4="Stock solution"),VLOOKUP(3,Reagents!$B$1:$R$41,14,FALSE), VLOOKUP(3,Reagents!$B$1:$R$41,11,FALSE))</f>
        <v/>
      </c>
      <c r="AX14" s="214">
        <f>VLOOKUP(3,Reagents!$B$1:$R$41,17,FALSE)</f>
        <v>0</v>
      </c>
      <c r="AY14" s="284" t="e">
        <f>IF(OR(VLOOKUP(3,Reagents!$B$1:$M$41,4,FALSE)="solvent_2",VLOOKUP(3,Reagents!$B$1:$M$41,4,FALSE)="solvent_3"),VLOOKUP(3,Reagents!$B$1:$M$41,12,FALSE),IF(OR(Reagents!$Q$4="Stock slurry",Reagents!$Q$4="Stock solution"),AW14*AV14, AW14/VLOOKUP(3,Reagents!$B$1:$R$41,6,FALSE)*1000))</f>
        <v>#VALUE!</v>
      </c>
      <c r="AZ14" s="214">
        <f>VLOOKUP(4,Reagents!$B$1:$M$41,2,FALSE)</f>
        <v>0</v>
      </c>
      <c r="BA14" s="214">
        <f>VLOOKUP(4,Reagents!$B$1:$M$41,3,FALSE)</f>
        <v>0</v>
      </c>
      <c r="BB14" s="214" t="str">
        <f>IF(VLOOKUP(4,Reagents!$B$1:$M$41,5,FALSE)=0, "NULL", VLOOKUP(4,Reagents!$B$1:$M$41,5,FALSE))</f>
        <v>NULL</v>
      </c>
      <c r="BC14" s="214" t="str">
        <f>IF(OR(Reagents!$Q$5="Stock slurry",Reagents!$Q$5="Stock solution"),VLOOKUP(4,Reagents!$B$1:$R$41,13,FALSE), "NULL")</f>
        <v/>
      </c>
      <c r="BD14" s="362" t="str">
        <f>IF(OR(Reagents!$Q$5="Stock slurry",Reagents!$Q$5="Stock solution"),VLOOKUP(4,Reagents!$B$1:$R$41,14,FALSE), VLOOKUP(4,Reagents!$B$1:$R$41,11,FALSE))</f>
        <v/>
      </c>
      <c r="BE14" s="214">
        <f>VLOOKUP(4,Reagents!$B$1:$R$41,17,FALSE)</f>
        <v>0</v>
      </c>
      <c r="BF14" s="284" t="e">
        <f>IF(OR(VLOOKUP(4,Reagents!$B$1:$M$41,4,FALSE)="solvent_2",VLOOKUP(4,Reagents!$B$1:$M$41,4,FALSE)="solvent_3"),VLOOKUP(4,Reagents!$B$1:$M$41,12,FALSE),IF(OR(Reagents!$Q$5="Stock slurry",Reagents!$Q$5="Stock solution"),BD14*BC14, BD14/VLOOKUP(4,Reagents!$B$1:$R$41,6,FALSE)*1000))</f>
        <v>#VALUE!</v>
      </c>
      <c r="BG14" s="214">
        <f>VLOOKUP(5,Reagents!$B$1:$M$41,2,FALSE)</f>
        <v>0</v>
      </c>
      <c r="BH14" s="214">
        <f>VLOOKUP(5,Reagents!$B$1:$M$41,3,FALSE)</f>
        <v>0</v>
      </c>
      <c r="BI14" s="214" t="str">
        <f>IF(VLOOKUP(5,Reagents!$B$1:$M$41,5,FALSE)=0, "NULL", VLOOKUP(5,Reagents!$B$1:$M$41,5,FALSE))</f>
        <v>NULL</v>
      </c>
      <c r="BJ14" s="214" t="str">
        <f>IF(OR(Reagents!$Q$6="Stock slurry",Reagents!$Q$6="Stock solution"),VLOOKUP(5,Reagents!$B$1:$R$41,13,FALSE), "NULL")</f>
        <v/>
      </c>
      <c r="BK14" s="362" t="str">
        <f>IF(OR(Reagents!$Q$6="Stock slurry",Reagents!$Q$6="Stock solution"),VLOOKUP(5,Reagents!$B$1:$R$41,14,FALSE), VLOOKUP(5,Reagents!$B$1:$R$41,11,FALSE))</f>
        <v/>
      </c>
      <c r="BL14" s="214">
        <f>VLOOKUP(5,Reagents!$B$1:$R$41,17,FALSE)</f>
        <v>0</v>
      </c>
      <c r="BM14" s="284" t="e">
        <f>IF(OR(VLOOKUP(5,Reagents!$B$1:$M$41,4,FALSE)="solvent_2",VLOOKUP(5,Reagents!$B$1:$M$41,4,FALSE)="solvent_3"),VLOOKUP(5,Reagents!$B$1:$M$41,12,FALSE),IF(OR(Reagents!$Q$6="Stock slurry",Reagents!$Q$6="Stock solution"),BK14*BJ14, BK14/VLOOKUP(5,Reagents!$B$1:$R$41,6,FALSE)*1000))</f>
        <v>#VALUE!</v>
      </c>
      <c r="BN14" s="214">
        <f>VLOOKUP(6,Reagents!$B$1:$M$41,2,FALSE)</f>
        <v>0</v>
      </c>
      <c r="BO14" s="214">
        <f>VLOOKUP(6,Reagents!$B$1:$M$41,3,FALSE)</f>
        <v>0</v>
      </c>
      <c r="BP14" s="214" t="str">
        <f>IF(VLOOKUP(6,Reagents!$B$1:$M$41,5,FALSE)=0, "NULL", VLOOKUP(6,Reagents!$B$1:$M$41,5,FALSE))</f>
        <v>NULL</v>
      </c>
      <c r="BQ14" s="214" t="str">
        <f>IF(OR(Reagents!$Q$7="Stock slurry",Reagents!$Q$7="Stock solution"),VLOOKUP(6,Reagents!$B$1:$R$41,13,FALSE), "NULL")</f>
        <v/>
      </c>
      <c r="BR14" s="362" t="str">
        <f>IF(OR(Reagents!$Q$7="Stock slurry",Reagents!$Q$7="Stock solution"),VLOOKUP(6,Reagents!$B$1:$R$41,14,FALSE), VLOOKUP(6,Reagents!$B$1:$R$41,11,FALSE))</f>
        <v/>
      </c>
      <c r="BS14" s="214">
        <f>VLOOKUP(6,Reagents!$B$1:$R$41,17,FALSE)</f>
        <v>0</v>
      </c>
      <c r="BT14" s="284" t="e">
        <f>IF(OR(VLOOKUP(6,Reagents!$B$1:$M$41,4,FALSE)="solvent_2",VLOOKUP(6,Reagents!$B$1:$M$41,4,FALSE)="solvent_3"),VLOOKUP(6,Reagents!$B$1:$M$41,12,FALSE),IF(OR(Reagents!$Q$7="Stock slurry",Reagents!$Q$7="Stock solution"),BR14*BQ14, BR14/VLOOKUP(6,Reagents!$B$1:$R$41,6,FALSE)*1000))</f>
        <v>#VALUE!</v>
      </c>
      <c r="BU14" s="214">
        <f>VLOOKUP(7,Reagents!$B$1:$M$41,2,FALSE)</f>
        <v>0</v>
      </c>
      <c r="BV14" s="214">
        <f>VLOOKUP(7,Reagents!$B$1:$M$41,3,FALSE)</f>
        <v>0</v>
      </c>
      <c r="BW14" s="214" t="str">
        <f>IF(VLOOKUP(7,Reagents!$B$1:$M$41,5,FALSE)=0, "NULL", VLOOKUP(7,Reagents!$B$1:$M$41,5,FALSE))</f>
        <v>NULL</v>
      </c>
      <c r="BX14" s="214" t="str">
        <f>IF(OR(Reagents!$Q$8="Stock slurry",Reagents!$Q$8="Stock solution"),VLOOKUP(7,Reagents!$B$1:$R$41,13,FALSE), "NULL")</f>
        <v/>
      </c>
      <c r="BY14" s="362" t="str">
        <f>IF(OR(Reagents!$Q$8="Stock slurry",Reagents!$Q$8="Stock solution"),VLOOKUP(7,Reagents!$B$1:$R$41,14,FALSE), VLOOKUP(7,Reagents!$B$1:$R$41,11,FALSE))</f>
        <v/>
      </c>
      <c r="BZ14" s="214">
        <f>VLOOKUP(7,Reagents!$B$1:$R$41,17,FALSE)</f>
        <v>0</v>
      </c>
      <c r="CA14" s="284" t="e">
        <f>IF(OR(VLOOKUP(7,Reagents!$B$1:$M$41,4,FALSE)="solvent_2",VLOOKUP(7,Reagents!$B$1:$M$41,4,FALSE)="solvent_3"),VLOOKUP(7,Reagents!$B$1:$M$41,12,FALSE),IF(OR(Reagents!$Q$8="Stock slurry",Reagents!$Q$8="Stock solution"),BY14*BX14, BY14/VLOOKUP(7,Reagents!$B$1:$R$41,6,FALSE)*1000))</f>
        <v>#VALUE!</v>
      </c>
      <c r="CB14" s="214">
        <f>VLOOKUP(8,Reagents!$B$1:$M$41,2,FALSE)</f>
        <v>0</v>
      </c>
      <c r="CC14" s="214">
        <f>VLOOKUP(8,Reagents!$B$1:$M$41,3,FALSE)</f>
        <v>0</v>
      </c>
      <c r="CD14" s="214" t="str">
        <f>IF(VLOOKUP(8,Reagents!$B$1:$M$41,5,FALSE)=0, "NULL", VLOOKUP(8,Reagents!$B$1:$M$41,5,FALSE))</f>
        <v>NULL</v>
      </c>
      <c r="CE14" s="214" t="str">
        <f>IF(OR(Reagents!$Q$9="Stock slurry",Reagents!$Q$9="Stock solution"),VLOOKUP(8,Reagents!$B$1:$R$41,13,FALSE), "NULL")</f>
        <v/>
      </c>
      <c r="CF14" s="362" t="str">
        <f>IF(OR(Reagents!$Q$9="Stock slurry",Reagents!$Q$9="Stock solution"),VLOOKUP(8,Reagents!$B$1:$R$41,14,FALSE), VLOOKUP(8,Reagents!$B$1:$R$41,11,FALSE))</f>
        <v/>
      </c>
      <c r="CG14" s="214">
        <f>VLOOKUP(8,Reagents!$B$1:$R$41,17,FALSE)</f>
        <v>0</v>
      </c>
      <c r="CH14" s="284" t="e">
        <f>IF(OR(VLOOKUP(8,Reagents!$B$1:$M$41,4,FALSE)="solvent_2",VLOOKUP(8,Reagents!$B$1:$M$41,4,FALSE)="solvent_3"),VLOOKUP(8,Reagents!$B$1:$M$41,12,FALSE),IF(OR(Reagents!$Q$9="Stock slurry",Reagents!$Q$9="Stock solution"),CF14*CE14, CF14/VLOOKUP(8,Reagents!$B$1:$R$41,6,FALSE)*1000))</f>
        <v>#VALUE!</v>
      </c>
      <c r="CI14" s="214">
        <f>VLOOKUP(9,Reagents!$B$1:$M$41,2,FALSE)</f>
        <v>0</v>
      </c>
      <c r="CJ14" s="214">
        <f>VLOOKUP(9,Reagents!$B$1:$M$41,3,FALSE)</f>
        <v>0</v>
      </c>
      <c r="CK14" s="214" t="str">
        <f>IF(VLOOKUP(9,Reagents!$B$1:$M$41,5,FALSE)=0, "NULL", VLOOKUP(9,Reagents!$B$1:$M$41,5,FALSE))</f>
        <v>NULL</v>
      </c>
      <c r="CL14" s="214" t="str">
        <f>IF(OR(Reagents!$Q$10="Stock slurry",Reagents!$Q$10="Stock solution"),VLOOKUP(9,Reagents!$B$1:$R$41,13,FALSE), "NULL")</f>
        <v/>
      </c>
      <c r="CM14" s="362" t="str">
        <f>IF(OR(Reagents!$Q$10="Stock slurry",Reagents!$Q$10="Stock solution"),VLOOKUP(9,Reagents!$B$1:$R$41,14,FALSE), VLOOKUP(9,Reagents!$B$1:$R$41,11,FALSE))</f>
        <v/>
      </c>
      <c r="CN14" s="214">
        <f>VLOOKUP(9,Reagents!$B$1:$R$41,17,FALSE)</f>
        <v>0</v>
      </c>
      <c r="CO14" s="284" t="e">
        <f>IF(OR(VLOOKUP(9,Reagents!$B$1:$M$41,4,FALSE)="solvent_2",VLOOKUP(9,Reagents!$B$1:$M$41,4,FALSE)="solvent_3"),VLOOKUP(9,Reagents!$B$1:$M$41,12,FALSE),IF(OR(Reagents!$Q$10="Stock slurry",Reagents!$Q$10="Stock solution"),CM14*CL14, CM14/VLOOKUP(9,Reagents!$B$1:$R$41,6,FALSE)*1000))</f>
        <v>#VALUE!</v>
      </c>
      <c r="CP14" s="214">
        <f>VLOOKUP(10,Reagents!$B$1:$M$41,2,FALSE)</f>
        <v>0</v>
      </c>
      <c r="CQ14" s="214">
        <f>VLOOKUP(10,Reagents!$B$1:$M$41,3,FALSE)</f>
        <v>0</v>
      </c>
      <c r="CR14" s="214" t="str">
        <f>IF(VLOOKUP(10,Reagents!$B$1:$M$41,5,FALSE)=0, "NULL", VLOOKUP(10,Reagents!$B$1:$M$41,5,FALSE))</f>
        <v>NULL</v>
      </c>
      <c r="CS14" s="214" t="str">
        <f>IF(OR(Reagents!$Q$11="Stock slurry",Reagents!$Q$11="Stock solution"),VLOOKUP(10,Reagents!$B$1:$R$41,13,FALSE), "NULL")</f>
        <v/>
      </c>
      <c r="CT14" s="362" t="str">
        <f>IF(OR(Reagents!$Q$11="Stock slurry",Reagents!$Q$11="Stock solution"),VLOOKUP(10,Reagents!$B$1:$R$41,14,FALSE), VLOOKUP(10,Reagents!$B$1:$R$41,11,FALSE))</f>
        <v/>
      </c>
      <c r="CU14" s="214">
        <f>VLOOKUP(10,Reagents!$B$1:$R$41,17,FALSE)</f>
        <v>0</v>
      </c>
      <c r="CV14" s="284" t="e">
        <f>IF(OR(VLOOKUP(10,Reagents!$B$1:$M$41,4,FALSE)="solvent_2",VLOOKUP(10,Reagents!$B$1:$M$41,4,FALSE)="solvent_3"),VLOOKUP(10,Reagents!$B$1:$M$41,12,FALSE),IF(OR(Reagents!$Q$11="Stock slurry",Reagents!$Q$11="Stock solution"),CT14*CS14, CT14/VLOOKUP(10,Reagents!$B$1:$R$41,6,FALSE)*1000))</f>
        <v>#VALUE!</v>
      </c>
      <c r="CW14" s="214" t="str">
        <f>VLOOKUP(B14+10,Reagents!$B$1:$R$41,2,FALSE)</f>
        <v/>
      </c>
      <c r="CX14" s="214">
        <f>VLOOKUP(B14+10,Reagents!$B$1:$R$41,3,FALSE)</f>
        <v>0</v>
      </c>
      <c r="CY14" s="214" t="str">
        <f>IF(VLOOKUP(B14+10,Reagents!$B$1:$M$41,5,FALSE)=0, "NULL", VLOOKUP(B14+10,Reagents!$B$1:$M$41,5,FALSE))</f>
        <v>NULL</v>
      </c>
      <c r="CZ14" s="214" t="str">
        <f>IF(OR(Reagents!$Q$12="Stock slurry",Reagents!$Q$12="Stock solution"),VLOOKUP(B14+10,Reagents!$B$1:$R$41,13,FALSE), "NULL")</f>
        <v/>
      </c>
      <c r="DA14" s="362" t="str">
        <f>IF(OR(Reagents!$Q$12="Stock slurry",Reagents!$Q$12="Stock solution"),VLOOKUP(B14+10,Reagents!$B$1:$R$41,14,FALSE), VLOOKUP(B14+10,Reagents!$B$1:$R$41,11,FALSE))</f>
        <v/>
      </c>
      <c r="DB14" s="214">
        <f>VLOOKUP(B14+10,Reagents!$B$1:$R$41,17,FALSE)</f>
        <v>0</v>
      </c>
      <c r="DC14" s="284" t="e">
        <f>IF(OR(v1_col="solvent_2",v1_col="solvent_3"),VLOOKUP(B14+10,Reagents!$B$1:$M$41,12,FALSE),IF(OR(Reagents!$Q$12="Stock slurry",Reagents!$Q$12="Stock solution"),DA14*CZ14, DA14/VLOOKUP(B14+10,Reagents!$B$1:$R$41,6,FALSE)*1000))</f>
        <v>#VALUE!</v>
      </c>
      <c r="DD14" s="214" t="str">
        <f>VLOOKUP(B14+22,Reagents!$B$1:$M$41,2,FALSE)</f>
        <v/>
      </c>
      <c r="DE14" s="214">
        <f>VLOOKUP(B14+22,Reagents!$B$1:$R$41,3,FALSE)</f>
        <v>0</v>
      </c>
      <c r="DF14" s="214" t="str">
        <f>IF(VLOOKUP(B14+22,Reagents!$B$1:$M$41,5,FALSE)=0, "NULL", VLOOKUP(B14+22,Reagents!$B$1:$M$41,5,FALSE))</f>
        <v>NULL</v>
      </c>
      <c r="DG14" s="214" t="str">
        <f>IF(OR(Reagents!$Q$18="Stock slurry",Reagents!$Q$12="Stock solution"),VLOOKUP(B14+22,Reagents!$B$1:$R$41,13,FALSE), "NULL")</f>
        <v/>
      </c>
      <c r="DH14" s="362" t="str">
        <f>IF(OR(Reagents!$Q$18="Stock slurry",Reagents!$Q$18="Stock solution"),VLOOKUP(B14+22,Reagents!$B$1:$R$41,14,FALSE), VLOOKUP(B14+22,Reagents!$B$1:$R$41,11,FALSE))</f>
        <v/>
      </c>
      <c r="DI14" s="214">
        <f>VLOOKUP(B14+22,Reagents!$B$1:$R$41,17,FALSE)</f>
        <v>0</v>
      </c>
      <c r="DJ14" s="284" t="e">
        <f>IF(OR(v2_col="solvent_2",v2_col="solvent_3"),VLOOKUP(B14+22,Reagents!$B$1:$M$41,12,FALSE),IF(OR(Reagents!$Q$18="Stock slurry",Reagents!$Q$18="Stock solution"),DH14*DG14, DH14/VLOOKUP(B14+22,Reagents!$B$1:$R$41,6,FALSE)*1000))</f>
        <v>#VALUE!</v>
      </c>
      <c r="DK14" s="214" t="str">
        <f>VLOOKUP(B14+34,Reagents!$B$1:$M$41,2,FALSE)</f>
        <v/>
      </c>
      <c r="DL14" s="214">
        <f>VLOOKUP(B14+34,Reagents!$B$1:$R$41,3,FALSE)</f>
        <v>0</v>
      </c>
      <c r="DM14" s="214" t="str">
        <f>IF(VLOOKUP(B14+34,Reagents!$B$1:$M$41,5,FALSE)=0, "NULL", VLOOKUP(B14+34,Reagents!$B$1:$M$41,5,FALSE))</f>
        <v>NULL</v>
      </c>
      <c r="DN14" s="214" t="str">
        <f>IF(OR(Reagents!$Q$24="Stock slurry",Reagents!$Q$12="Stock solution"),VLOOKUP(B14+34,Reagents!$B$1:$R$41,13,FALSE), "NULL")</f>
        <v/>
      </c>
      <c r="DO14" s="362" t="str">
        <f>IF(OR(Reagents!$Q$24="Stock slurry",Reagents!$Q$24="Stock solution"),VLOOKUP(B14+34,Reagents!$B$1:$R$41,14,FALSE), VLOOKUP(B14+34,Reagents!$B$1:$R$41,11,FALSE))</f>
        <v/>
      </c>
      <c r="DP14" s="214">
        <f>VLOOKUP(B14+34,Reagents!$B$1:$R$41,17,FALSE)</f>
        <v>0</v>
      </c>
      <c r="DQ14" s="284" t="e">
        <f>IF(OR(v3_col="solvent_2",v3_col="solvent_3"),VLOOKUP(B14+34,Reagents!$B$1:$M$41,12,FALSE),IF(OR(Reagents!$Q$24="Stock slurry",Reagents!$Q$24="Stock solution"),DO14*DN14, DO14/VLOOKUP(B14+34,Reagents!$B$1:$R$41,6,FALSE)*1000))</f>
        <v>#VALUE!</v>
      </c>
      <c r="DR14" s="214" t="str">
        <f>VLOOKUP(C14+46,Reagents!$B$1:$M$41,2,FALSE)</f>
        <v/>
      </c>
      <c r="DS14" s="214">
        <f>VLOOKUP(C14+46,Reagents!$B$1:$M$41,3,FALSE)</f>
        <v>0</v>
      </c>
      <c r="DT14" s="214" t="str">
        <f>IF(VLOOKUP(C14+46,Reagents!$B$1:$M$41,5,FALSE)=0, "NULL", VLOOKUP(C14+46,Reagents!$B$1:$M$41,5,FALSE))</f>
        <v>NULL</v>
      </c>
      <c r="DU14" s="214" t="str">
        <f>IF(OR(Reagents!$Q$30="Stock slurry",Reagents!$Q$30="Stock solution"),VLOOKUP(C14+46,Reagents!$B$1:$R$41,13,FALSE), "NULL")</f>
        <v/>
      </c>
      <c r="DV14" s="362" t="str">
        <f>IF(OR(Reagents!$Q$30="Stock slurry",Reagents!$Q$30="Stock solution"),VLOOKUP(C14+46,Reagents!$B$1:$R$41,14,FALSE), VLOOKUP(C14+46,Reagents!$B$1:$R$41,11,FALSE))</f>
        <v/>
      </c>
      <c r="DW14" s="214">
        <f>VLOOKUP(C14+46,Reagents!$B$1:$R$41,17,FALSE)</f>
        <v>0</v>
      </c>
      <c r="DX14" s="284" t="e">
        <f>IF(OR(v4_row="solvent_2",v4_row="solvent_3"),VLOOKUP(C14+46,Reagents!$B$1:$M$41,12,FALSE),IF(OR(Reagents!$Q$30="Stock slurry",Reagents!$Q$30="Stock solution"),DV14*DU14, DV14/VLOOKUP(C14+46,Reagents!$B$1:$R$41,6,FALSE)*1000))</f>
        <v>#VALUE!</v>
      </c>
      <c r="DY14" s="214" t="str">
        <f>VLOOKUP(C14+54,Reagents!$B$1:$M$41,2,FALSE)</f>
        <v/>
      </c>
      <c r="DZ14" s="214">
        <f>VLOOKUP(C14+54,Reagents!$B$1:$M$41,3,FALSE)</f>
        <v>0</v>
      </c>
      <c r="EA14" s="214" t="str">
        <f>IF(VLOOKUP(C14+54,Reagents!$B$1:$M$41,5,FALSE)=0, "NULL", VLOOKUP(C14+54,Reagents!$B$1:$M$41,5,FALSE))</f>
        <v>NULL</v>
      </c>
      <c r="EB14" s="214" t="str">
        <f>IF(OR(Reagents!$Q$34="Stock slurry",Reagents!$Q$34="Stock solution"),VLOOKUP(C14+54,Reagents!$B$1:$R$41,13,FALSE), "NULL")</f>
        <v/>
      </c>
      <c r="EC14" s="362" t="str">
        <f>IF(OR(Reagents!$Q$34="Stock slurry",Reagents!$Q$34="Stock solution"),VLOOKUP(C14+54,Reagents!$B$1:$R$41,14,FALSE), VLOOKUP(C14+54,Reagents!$B$1:$R$41,11,FALSE))</f>
        <v/>
      </c>
      <c r="ED14" s="214">
        <f>VLOOKUP(C14+54,Reagents!$B$1:$R$41,17,FALSE)</f>
        <v>0</v>
      </c>
      <c r="EE14" s="284" t="e">
        <f>IF(OR(v5_row="solvent_2",v5_row="solvent_3"),VLOOKUP(C14+54,Reagents!$B$1:$M$41,12,FALSE),IF(OR(Reagents!$Q$34="Stock slurry",Reagents!$Q$34="Stock solution"),EC14*EB14, EC14/VLOOKUP(C14+54,Reagents!$B$1:$R$41,6,FALSE)*1000))</f>
        <v>#VALUE!</v>
      </c>
      <c r="EF14" s="214" t="str">
        <f>VLOOKUP(C14+62,Reagents!$B$1:$M$41,2,FALSE)</f>
        <v/>
      </c>
      <c r="EG14" s="214">
        <f>VLOOKUP(C14+62,Reagents!$B$1:$M$41,3,FALSE)</f>
        <v>0</v>
      </c>
      <c r="EH14" s="214" t="str">
        <f>IF(VLOOKUP(C14+62,Reagents!$B$1:$M$41,5,FALSE)=0, "NULL", VLOOKUP(C14+62,Reagents!$B$1:$M$41,5,FALSE))</f>
        <v>NULL</v>
      </c>
      <c r="EI14" s="214" t="str">
        <f>IF(OR(Reagents!$Q$38="Stock slurry",Reagents!$Q$38="Stock solution"),VLOOKUP(C14+62,Reagents!$B$1:$R$41,13,FALSE), "NULL")</f>
        <v/>
      </c>
      <c r="EJ14" s="362" t="str">
        <f>IF(OR(Reagents!$Q$38="Stock slurry",Reagents!$Q$38="Stock solution"),VLOOKUP(C14+62,Reagents!$B$1:$R$41,14,FALSE), VLOOKUP(C14+62,Reagents!$B$1:$R$41,11,FALSE))</f>
        <v/>
      </c>
      <c r="EK14" s="214">
        <f>VLOOKUP(C14+62,Reagents!$B$1:$R$41,17,FALSE)</f>
        <v>0</v>
      </c>
      <c r="EL14" s="284" t="e">
        <f>IF(OR(v6_row="solvent_2",v6_row="solvent_3"),VLOOKUP(C14+62,Reagents!$B$1:$M$41,12,FALSE),IF(OR(Reagents!$Q$38="Stock slurry",Reagents!$Q$38="Stock solution"),EJ14*EI14, EJ14/VLOOKUP(C14+62,Reagents!$B$1:$R$41,6,FALSE)*1000))</f>
        <v>#VALUE!</v>
      </c>
      <c r="EM14" s="214">
        <f>VLOOKUP(19,'Plate Planning'!$A$1:$T$35,13,FALSE)</f>
        <v>0</v>
      </c>
      <c r="EN14" s="214">
        <f>VLOOKUP(19,'Plate Planning'!$A$1:$T$35,14,FALSE)</f>
        <v>0</v>
      </c>
      <c r="EO14" s="214">
        <f>VLOOKUP(19,'Plate Planning'!$A$1:$T$35,15,FALSE)</f>
        <v>0</v>
      </c>
      <c r="EP14" s="214">
        <f>VLOOKUP(A14,'Uncorrected Area Counts'!$A$1:$AS$27,3,FALSE)</f>
        <v>0</v>
      </c>
      <c r="EQ14" s="214" t="str">
        <f>VLOOKUP(A14,'Uncorrected Area Counts'!$A$1:$AS$27,4,FALSE)</f>
        <v/>
      </c>
      <c r="ER14" s="214" t="str">
        <f>VLOOKUP(A14,'Uncorrected Area Counts'!$A$1:$AS$27,5,FALSE)</f>
        <v/>
      </c>
      <c r="ES14" s="214">
        <f>VLOOKUP(20,'Plate Planning'!$A$1:$T$35,15,FALSE)</f>
        <v>0</v>
      </c>
      <c r="ET14" s="214">
        <f>VLOOKUP(A14,'Uncorrected Area Counts'!$A$1:$AS$27,7,FALSE)</f>
        <v>0</v>
      </c>
      <c r="EU14" s="214" t="e">
        <f>VLOOKUP(A14,'Uncorrected Area Counts'!$A$1:$AS$27,7,FALSE)/VLOOKUP(A14,'Uncorrected Area Counts'!$A$1:$AS$27,3,FALSE)</f>
        <v>#DIV/0!</v>
      </c>
      <c r="EV14" s="214" t="str">
        <f>IFERROR(VLOOKUP(A14,'Yields &amp; LCAPs'!$A$1:$V$27,3,FALSE), "NULL")</f>
        <v>NULL</v>
      </c>
      <c r="EW14" s="284" t="str">
        <f>IFERROR(VLOOKUP(A14,'Yields &amp; LCAPs'!$A$1:$V$27,4,FALSE), "NULL")</f>
        <v>NULL</v>
      </c>
      <c r="EX14" s="214" t="str">
        <f>VLOOKUP(A14,'Uncorrected Area Counts'!$A$1:$AS$27,8,FALSE)</f>
        <v/>
      </c>
      <c r="EY14" s="214" t="str">
        <f>VLOOKUP(A14,'Uncorrected Area Counts'!$A$1:$AS$27,9,FALSE)</f>
        <v/>
      </c>
      <c r="EZ14" s="214">
        <f>VLOOKUP(22,'Plate Planning'!$A$1:$T$35,15,FALSE)</f>
        <v>0</v>
      </c>
      <c r="FA14" s="214">
        <f>VLOOKUP(A14,'Uncorrected Area Counts'!$A$1:$AS$27,11,FALSE)</f>
        <v>0</v>
      </c>
      <c r="FB14" s="214" t="e">
        <f>VLOOKUP(A14,'Uncorrected Area Counts'!$A$1:$AS$27,11,FALSE)/VLOOKUP(A14,'Uncorrected Area Counts'!$A$1:$AS$27,3,FALSE)</f>
        <v>#DIV/0!</v>
      </c>
      <c r="FC14" s="214" t="str">
        <f>IFERROR(VLOOKUP(A14,'Yields &amp; LCAPs'!$A$1:$V$27,5,FALSE), "NULL")</f>
        <v>NULL</v>
      </c>
      <c r="FD14" s="284" t="str">
        <f>IFERROR(VLOOKUP(A14,'Yields &amp; LCAPs'!$A$1:$V$27,6,FALSE), "NULL")</f>
        <v>NULL</v>
      </c>
      <c r="FE14" s="214" t="str">
        <f>VLOOKUP(A14,'Uncorrected Area Counts'!$A$1:$AS$27,12,FALSE)</f>
        <v/>
      </c>
      <c r="FF14" s="214" t="str">
        <f>VLOOKUP(A14,'Uncorrected Area Counts'!$A$1:$AS$27,13,FALSE)</f>
        <v/>
      </c>
      <c r="FG14" s="214">
        <f>VLOOKUP(24,'Plate Planning'!$A$1:$T$35,15,FALSE)</f>
        <v>0</v>
      </c>
      <c r="FH14" s="214">
        <f>VLOOKUP(A14,'Uncorrected Area Counts'!$A$1:$AS$27,15,FALSE)</f>
        <v>0</v>
      </c>
      <c r="FI14" s="214" t="e">
        <f>VLOOKUP(A14,'Uncorrected Area Counts'!$A$1:$AS$27,15,FALSE)/VLOOKUP(A14,'Uncorrected Area Counts'!$A$1:$AS$27,3,FALSE)</f>
        <v>#DIV/0!</v>
      </c>
      <c r="FJ14" s="214" t="str">
        <f>IFERROR(VLOOKUP(A14,'Yields &amp; LCAPs'!$A$1:$V$27,7,FALSE), "NULL")</f>
        <v>NULL</v>
      </c>
      <c r="FK14" s="284" t="str">
        <f>IFERROR(VLOOKUP(A14,'Yields &amp; LCAPs'!$A$1:$V$27,8,FALSE), "NULL")</f>
        <v>NULL</v>
      </c>
      <c r="FL14" s="214" t="str">
        <f>VLOOKUP(A14,'Uncorrected Area Counts'!$A$1:$AS$27,16,FALSE)</f>
        <v/>
      </c>
      <c r="FM14" s="214" t="str">
        <f>VLOOKUP(A14,'Uncorrected Area Counts'!$A$1:$AS$27,17,FALSE)</f>
        <v/>
      </c>
      <c r="FN14" s="214">
        <f>VLOOKUP(26,'Plate Planning'!$A$1:$T$35,15,FALSE)</f>
        <v>0</v>
      </c>
      <c r="FO14" s="214">
        <f>VLOOKUP(A14,'Uncorrected Area Counts'!$A$1:$AS$27,19,FALSE)</f>
        <v>0</v>
      </c>
      <c r="FP14" s="214" t="e">
        <f>VLOOKUP(A14,'Uncorrected Area Counts'!$A$1:$AS$27,19,FALSE)/VLOOKUP(A14,'Uncorrected Area Counts'!$A$1:$AS$27,3,FALSE)</f>
        <v>#DIV/0!</v>
      </c>
      <c r="FQ14" s="214" t="str">
        <f>IFERROR(VLOOKUP(A14,'Yields &amp; LCAPs'!$A$1:$V$27,9,FALSE), "NULL")</f>
        <v>NULL</v>
      </c>
      <c r="FR14" s="284" t="str">
        <f>IFERROR(VLOOKUP(A14,'Yields &amp; LCAPs'!$A$1:$V$27,10,FALSE), "NULL")</f>
        <v>NULL</v>
      </c>
      <c r="FS14" s="214" t="str">
        <f>VLOOKUP(A14,'Uncorrected Area Counts'!$A$1:$AS$27,20,FALSE)</f>
        <v/>
      </c>
      <c r="FT14" s="214" t="str">
        <f>VLOOKUP(A14,'Uncorrected Area Counts'!$A$1:$AS$27,21,FALSE)</f>
        <v/>
      </c>
      <c r="FU14" s="214">
        <f>VLOOKUP(27,'Plate Planning'!$A$1:$T$35,15,FALSE)</f>
        <v>0</v>
      </c>
      <c r="FV14" s="214">
        <f>VLOOKUP(A14,'Uncorrected Area Counts'!$A$1:$AS$27,23,FALSE)</f>
        <v>0</v>
      </c>
      <c r="FW14" s="214" t="e">
        <f>VLOOKUP(A14,'Uncorrected Area Counts'!$A$1:$AS$27,23,FALSE)/VLOOKUP(A14,'Uncorrected Area Counts'!$A$1:$AS$27,3,FALSE)</f>
        <v>#DIV/0!</v>
      </c>
      <c r="FX14" s="214" t="str">
        <f>IFERROR(VLOOKUP(A14,'Yields &amp; LCAPs'!$A$1:$V$27,11,FALSE), "NULL")</f>
        <v>NULL</v>
      </c>
      <c r="FY14" s="284" t="str">
        <f>IFERROR(VLOOKUP(A14,'Yields &amp; LCAPs'!$A$1:$V$27,12,FALSE), "NULL")</f>
        <v>NULL</v>
      </c>
      <c r="FZ14" s="411" t="str">
        <f>VLOOKUP(A14,'Uncorrected Area Counts'!$A$1:$AS$27,24,FALSE)</f>
        <v/>
      </c>
      <c r="GA14" s="214" t="str">
        <f>VLOOKUP(A14,'Uncorrected Area Counts'!$A$1:$AS$27,25,FALSE)</f>
        <v/>
      </c>
      <c r="GB14" s="214">
        <f>VLOOKUP(28,'Plate Planning'!$A$1:$T$35,15,FALSE)</f>
        <v>0</v>
      </c>
      <c r="GC14" s="214">
        <f>VLOOKUP(A14,'Uncorrected Area Counts'!$A$1:$AS$27,27,FALSE)</f>
        <v>0</v>
      </c>
      <c r="GD14" s="214" t="e">
        <f>VLOOKUP(A14,'Uncorrected Area Counts'!$A$1:$AS$27,27,FALSE)/VLOOKUP(A14,'Uncorrected Area Counts'!$A$1:$AS$27,3,FALSE)</f>
        <v>#DIV/0!</v>
      </c>
      <c r="GE14" s="214" t="str">
        <f>IFERROR(VLOOKUP(A14,'Yields &amp; LCAPs'!$A$1:$V$27,13,FALSE), "NULL")</f>
        <v>NULL</v>
      </c>
      <c r="GF14" s="284" t="str">
        <f>IFERROR(VLOOKUP(A14,'Yields &amp; LCAPs'!$A$1:$V$27,14,FALSE), "NULL")</f>
        <v>NULL</v>
      </c>
      <c r="GG14" s="214" t="str">
        <f>VLOOKUP(A14,'Uncorrected Area Counts'!$A$1:$AS$27,28,FALSE)</f>
        <v/>
      </c>
      <c r="GH14" s="214" t="str">
        <f>VLOOKUP(A14,'Uncorrected Area Counts'!$A$1:$AS$27,29,FALSE)</f>
        <v/>
      </c>
      <c r="GI14" s="214">
        <f>VLOOKUP(29,'Plate Planning'!$A$1:$T$35,15,FALSE)</f>
        <v>0</v>
      </c>
      <c r="GJ14" s="214">
        <f>VLOOKUP(A14,'Uncorrected Area Counts'!$A$1:$AS$27,31,FALSE)</f>
        <v>0</v>
      </c>
      <c r="GK14" s="214" t="e">
        <f>VLOOKUP(A14,'Uncorrected Area Counts'!$A$1:$AS$27,31,FALSE)/VLOOKUP(A14,'Uncorrected Area Counts'!$A$1:$AS$27,3,FALSE)</f>
        <v>#DIV/0!</v>
      </c>
      <c r="GL14" s="214" t="str">
        <f>IFERROR(VLOOKUP(A14,'Yields &amp; LCAPs'!$A$1:$V$27,15,FALSE), "NULL")</f>
        <v>NULL</v>
      </c>
      <c r="GM14" s="284" t="str">
        <f>IFERROR(VLOOKUP(A14,'Yields &amp; LCAPs'!$A$1:$V$27,16,FALSE), "NULL")</f>
        <v>NULL</v>
      </c>
      <c r="GN14" s="214" t="str">
        <f>VLOOKUP(A14,'Uncorrected Area Counts'!$A$1:$AS$27,32,FALSE)</f>
        <v/>
      </c>
      <c r="GO14" s="214" t="str">
        <f>VLOOKUP(A14,'Uncorrected Area Counts'!$A$1:$AS$27,33,FALSE)</f>
        <v/>
      </c>
      <c r="GP14" s="214">
        <f>VLOOKUP(30,'Plate Planning'!$A$1:$T$35,15,FALSE)</f>
        <v>0</v>
      </c>
      <c r="GQ14" s="214">
        <f>VLOOKUP(A14,'Uncorrected Area Counts'!$A$1:$AS$27,35,FALSE)</f>
        <v>0</v>
      </c>
      <c r="GR14" s="214" t="e">
        <f>VLOOKUP(A14,'Uncorrected Area Counts'!$A$1:$AS$27,35,FALSE)/VLOOKUP(A14,'Uncorrected Area Counts'!$A$1:$AS$27,3,FALSE)</f>
        <v>#DIV/0!</v>
      </c>
      <c r="GS14" s="214" t="str">
        <f>IFERROR(VLOOKUP(A14,'Yields &amp; LCAPs'!$A$1:$V$27,17,FALSE), "NULL")</f>
        <v>NULL</v>
      </c>
      <c r="GT14" s="284" t="str">
        <f>IFERROR(VLOOKUP(A14,'Yields &amp; LCAPs'!$A$1:$V$27,18,FALSE), "NULL")</f>
        <v>NULL</v>
      </c>
      <c r="GU14" s="214" t="str">
        <f>VLOOKUP(A14,'Uncorrected Area Counts'!$A$1:$AS$27,36,FALSE)</f>
        <v/>
      </c>
      <c r="GV14" s="214" t="str">
        <f>VLOOKUP(A14,'Uncorrected Area Counts'!$A$1:$AS$27,37,FALSE)</f>
        <v/>
      </c>
      <c r="GW14" s="214">
        <f>VLOOKUP(31,'Plate Planning'!$A$1:$T$35,15,FALSE)</f>
        <v>0</v>
      </c>
      <c r="GX14" s="214">
        <f>VLOOKUP(A14,'Uncorrected Area Counts'!$A$1:$AS$27,39,FALSE)</f>
        <v>0</v>
      </c>
      <c r="GY14" s="214" t="e">
        <f>VLOOKUP(A14,'Uncorrected Area Counts'!$A$1:$AS$27,39,FALSE)/VLOOKUP(A14,'Uncorrected Area Counts'!$A$1:$AS$27,3,FALSE)</f>
        <v>#DIV/0!</v>
      </c>
      <c r="GZ14" s="214" t="str">
        <f>IFERROR(VLOOKUP(A14,'Yields &amp; LCAPs'!$A$1:$V$27,19,FALSE), "NULL")</f>
        <v>NULL</v>
      </c>
      <c r="HA14" s="284" t="str">
        <f>IFERROR(VLOOKUP(A14,'Yields &amp; LCAPs'!$A$1:$V$27,20,FALSE), "NULL")</f>
        <v>NULL</v>
      </c>
      <c r="HB14" s="214" t="str">
        <f>VLOOKUP(A14,'Uncorrected Area Counts'!$A$1:$AS$27,40,FALSE)</f>
        <v/>
      </c>
      <c r="HC14" s="214" t="str">
        <f>VLOOKUP(A14,'Uncorrected Area Counts'!$A$1:$AS$27,41,FALSE)</f>
        <v/>
      </c>
      <c r="HD14" s="214">
        <f>VLOOKUP(32,'Plate Planning'!$A$1:$T$35,15,FALSE)</f>
        <v>0</v>
      </c>
      <c r="HE14" s="214">
        <f>VLOOKUP(A14,'Uncorrected Area Counts'!$A$1:$AS$27,43,FALSE)</f>
        <v>0</v>
      </c>
      <c r="HF14" s="214" t="e">
        <f>VLOOKUP(A14,'Uncorrected Area Counts'!$A$1:$AS$27,43,FALSE)/VLOOKUP(A14,'Uncorrected Area Counts'!$A$1:$AS$27,3,FALSE)</f>
        <v>#DIV/0!</v>
      </c>
      <c r="HG14" s="214" t="str">
        <f>IFERROR(VLOOKUP(A14,'Yields &amp; LCAPs'!$A$1:$V$27,21,FALSE), "NULL")</f>
        <v>NULL</v>
      </c>
      <c r="HH14" s="284" t="str">
        <f>IFERROR(VLOOKUP(A14,'Yields &amp; LCAPs'!$A$1:$V$27,22,FALSE), "NULL")</f>
        <v>NULL</v>
      </c>
      <c r="HI14" s="362"/>
      <c r="HJ14" s="362"/>
      <c r="HK14" s="362"/>
      <c r="HL14" s="362"/>
      <c r="HM14" s="363"/>
      <c r="HN14" s="362"/>
      <c r="HO14" s="362"/>
      <c r="HP14" s="362"/>
      <c r="HQ14" s="362"/>
      <c r="HR14" s="363"/>
    </row>
    <row r="15" spans="1:230">
      <c r="A15" s="216" t="s">
        <v>1186</v>
      </c>
      <c r="B15" s="214">
        <v>2</v>
      </c>
      <c r="C15" s="214">
        <v>3</v>
      </c>
      <c r="D15" s="214" t="str">
        <f>VLOOKUP(18,'Plate Planning'!$A$1:$T$35,10,FALSE)&amp;"_"&amp;VLOOKUP(19,'Plate Planning'!$A$1:$T$35,10,FALSE)&amp;"_"&amp;A15</f>
        <v>__C2</v>
      </c>
      <c r="E15" s="214" t="str">
        <f>IF(VLOOKUP(18,'Plate Planning'!$A$1:$T$35,10,FALSE)="", "NULL", VLOOKUP(18,'Plate Planning'!$A$1:$T$35,10,FALSE))</f>
        <v>NULL</v>
      </c>
      <c r="F15" s="214" t="str">
        <f>IF(VLOOKUP(19,'Plate Planning'!$A$1:$T$35,10,FALSE)="", "NULL", VLOOKUP(19,'Plate Planning'!$A$1:$T$35,10,FALSE))</f>
        <v>NULL</v>
      </c>
      <c r="G15" s="214" t="str">
        <f>IF(VLOOKUP(20,'Plate Planning'!$A$1:$T$35,10,FALSE)="", "NULL", VLOOKUP(20,'Plate Planning'!$A$1:$T$35,10,FALSE))</f>
        <v>NULL</v>
      </c>
      <c r="H15" s="214" t="str">
        <f>IF(VLOOKUP(21,'Plate Planning'!$A$1:$T$35,10,FALSE)="", "NULL", VLOOKUP(21,'Plate Planning'!$A$1:$T$35,10,FALSE))</f>
        <v>NULL</v>
      </c>
      <c r="I15" s="214" t="str">
        <f>IF(VLOOKUP(23,'Plate Planning'!$A$1:$T$35,10,FALSE)="", "NULL", VLOOKUP(23,'Plate Planning'!$A$1:$T$35,10,FALSE))</f>
        <v>NULL</v>
      </c>
      <c r="J15" s="214" t="str">
        <f>IF(VLOOKUP(22,'Plate Planning'!$A$1:$T$35,10,FALSE)="", "NULL", VLOOKUP(22,'Plate Planning'!$A$1:$T$35,10,FALSE))</f>
        <v>NULL</v>
      </c>
      <c r="K15" s="214" t="str">
        <f>VLOOKUP(24,'Plate Planning'!$A$1:$T$35,10,FALSE)</f>
        <v>Glovebox</v>
      </c>
      <c r="L15" s="214" t="str">
        <f>IF(VLOOKUP(25,'Plate Planning'!$A$1:$T$35,10,FALSE)="","NULL",VLOOKUP(25,'Plate Planning'!$A$1:$T$35,10,FALSE))</f>
        <v>NULL</v>
      </c>
      <c r="M15" s="214" t="str">
        <f>VLOOKUP(26,'Plate Planning'!$A$1:$T$35,10,FALSE)</f>
        <v>ambient</v>
      </c>
      <c r="N15" s="214" t="str">
        <f>IF(VLOOKUP(27,'Plate Planning'!$A$1:$T$35,10,FALSE)=0,"NULL", VLOOKUP(27,'Plate Planning'!$A$1:$T$35,10,FALSE))</f>
        <v>NULL</v>
      </c>
      <c r="O15" s="214" t="str">
        <f>IF(VLOOKUP(3,'Plate Planning'!$A$2:$S$35,18,FALSE)="", "NULL", VLOOKUP(3,'Plate Planning'!$A$2:$S$35,18,FALSE))</f>
        <v>NULL</v>
      </c>
      <c r="P15" s="214" t="str">
        <f>IF(VLOOKUP(4,'Plate Planning'!$A$2:$S$35,18,FALSE)="", "NULL", VLOOKUP(4,'Plate Planning'!$A$2:$S$35,18,FALSE))</f>
        <v>NULL</v>
      </c>
      <c r="Q15" s="214" t="str">
        <f>IF(VLOOKUP(5,'Plate Planning'!$A$2:$S$35,18,FALSE)="", "NULL", VLOOKUP(5,'Plate Planning'!$A$2:$S$35,18,FALSE))</f>
        <v>NULL</v>
      </c>
      <c r="R15" s="214" t="str">
        <f>IF(VLOOKUP(6,'Plate Planning'!$A$2:$S$35,18,FALSE)="", "NULL", VLOOKUP(6,'Plate Planning'!$A$2:$S$35,18,FALSE))</f>
        <v>NULL</v>
      </c>
      <c r="S15" s="214" t="str">
        <f>IF(VLOOKUP(7,'Plate Planning'!$A$2:$S$35,18,FALSE)="", "NULL", VLOOKUP(7,'Plate Planning'!$A$2:$S$35,18,FALSE))</f>
        <v>NULL</v>
      </c>
      <c r="T15" s="214" t="str">
        <f>IF(VLOOKUP(28,'Plate Planning'!$A$1:$T$35,10,FALSE)=0,"NULL",VLOOKUP(28,'Plate Planning'!$A$1:$T$35,10,FALSE))</f>
        <v>NULL</v>
      </c>
      <c r="U15" s="214" t="str">
        <f>IFERROR(VLOOKUP(VLOOKUP(28,'Plate Planning'!$A$1:$T$35,10,FALSE),Dictionaries!$Q$2:$R$72,2,FALSE), "NULL")</f>
        <v>NULL</v>
      </c>
      <c r="V15" s="214" t="str">
        <f>IF(VLOOKUP(28,'Plate Planning'!$A$1:$T$35,10,FALSE)=0,"NULL",VLOOKUP(32,'Plate Planning'!$A$1:$T$35,10,FALSE))</f>
        <v>NULL</v>
      </c>
      <c r="W15" s="214" t="str">
        <f>IF(VLOOKUP(C15+3,'Plate Planning'!$A$1:$S$35,B15+4,FALSE)=0, "", VLOOKUP(C15+3,'Plate Planning'!$A$1:$S$35,B15+4,FALSE))</f>
        <v/>
      </c>
      <c r="X15" s="214" t="str">
        <f>IFERROR(VLOOKUP(W15,'Complex Variable'!$A$2:$S$25,2,FALSE), "")</f>
        <v/>
      </c>
      <c r="Y15" s="327" t="str">
        <f>IFERROR(VLOOKUP(W15,'Complex Variable'!$A$2:$S$25,3,FALSE), "")</f>
        <v/>
      </c>
      <c r="Z15" s="327" t="str">
        <f>IFERROR(VLOOKUP(W15,'Complex Variable'!$A$2:$S$25,5,FALSE), "")</f>
        <v/>
      </c>
      <c r="AA15" s="327" t="str">
        <f>IFERROR(VLOOKUP(W15,'Complex Variable'!$A$2:$S$25,14,FALSE), "")</f>
        <v/>
      </c>
      <c r="AB15" s="602" t="str">
        <f>IFERROR(VLOOKUP(W15,'Complex Variable'!$A$2:$S$25,19,FALSE), "")</f>
        <v/>
      </c>
      <c r="AC15" s="327" t="str">
        <f>IFERROR(VLOOKUP(W15,'Complex Variable'!$A$2:$S$25,13,FALSE), "")</f>
        <v/>
      </c>
      <c r="AD15" s="604" t="str">
        <f t="shared" si="0"/>
        <v/>
      </c>
      <c r="AE15" s="214">
        <f>VLOOKUP(1,Reagents!$B$1:$M$41,2,FALSE)</f>
        <v>0</v>
      </c>
      <c r="AF15" s="214">
        <f>VLOOKUP(1,Reagents!$B$1:$M$41,3,FALSE)</f>
        <v>0</v>
      </c>
      <c r="AG15" s="214" t="str">
        <f>IF(VLOOKUP(1,Reagents!$B$1:$M$41,5,FALSE)=0, "NULL", VLOOKUP(1,Reagents!$B$1:$M$41,5,FALSE))</f>
        <v>NULL</v>
      </c>
      <c r="AH15" s="214" t="str">
        <f>IF(OR(Reagents!$Q$2="Stock slurry",Reagents!$Q$2="Stock solution"),VLOOKUP(1,Reagents!$B$1:$R$41,13,FALSE), "NULL")</f>
        <v/>
      </c>
      <c r="AI15" s="362" t="str">
        <f>IF(OR(Reagents!$Q$2="Stock slurry",Reagents!$Q$2="Stock solution"),VLOOKUP(1,Reagents!$B$1:$R$41,14,FALSE), VLOOKUP(1,Reagents!$B$1:$R$41,11,FALSE))</f>
        <v/>
      </c>
      <c r="AJ15" s="214">
        <f>VLOOKUP(1,Reagents!$B$1:$R$41,17,FALSE)</f>
        <v>0</v>
      </c>
      <c r="AK15" s="284" t="e">
        <f>IF(OR(VLOOKUP(1,Reagents!$B$1:$M$41,4,FALSE)="solvent_2",VLOOKUP(1,Reagents!$B$1:$M$41,4,FALSE)="solvent_3"),VLOOKUP(1,Reagents!$B$1:$M$41,12,FALSE),IF(OR(Reagents!$Q$2="Stock slurry",Reagents!$Q$2="Stock solution"),AI15*AH15, AI15/VLOOKUP(1,Reagents!$B$1:$R$41,6,FALSE)*1000))</f>
        <v>#VALUE!</v>
      </c>
      <c r="AL15" s="214">
        <f>VLOOKUP(2,Reagents!$B$1:$M$41,2,FALSE)</f>
        <v>0</v>
      </c>
      <c r="AM15" s="214">
        <f>VLOOKUP(2,Reagents!$B$1:$M$41,3,FALSE)</f>
        <v>0</v>
      </c>
      <c r="AN15" s="214" t="str">
        <f>IF(VLOOKUP(2,Reagents!$B$1:$M$41,5,FALSE)=0, "NULL", VLOOKUP(2,Reagents!$B$1:$M$41,5,FALSE))</f>
        <v>NULL</v>
      </c>
      <c r="AO15" s="214" t="str">
        <f>IF(OR(Reagents!$Q$3="Stock slurry",Reagents!$Q$3="Stock solution"),VLOOKUP(2,Reagents!$B$1:$R$41,13,FALSE), "NULL")</f>
        <v/>
      </c>
      <c r="AP15" s="362" t="str">
        <f>IF(OR(Reagents!$Q$3="Stock slurry",Reagents!$Q$3="Stock solution"),VLOOKUP(2,Reagents!$B$1:$R$41,14,FALSE), VLOOKUP(2,Reagents!$B$1:$R$41,11,FALSE))</f>
        <v/>
      </c>
      <c r="AQ15" s="214">
        <f>VLOOKUP(2,Reagents!$B$1:$R$41,17,FALSE)</f>
        <v>0</v>
      </c>
      <c r="AR15" s="284" t="e">
        <f>IF(OR(VLOOKUP(2,Reagents!$B$1:$M$41,4,FALSE)="solvent_2",VLOOKUP(2,Reagents!$B$1:$M$41,4,FALSE)="solvent_3"),VLOOKUP(2,Reagents!$B$1:$M$41,12,FALSE),IF(OR(Reagents!$Q$3="Stock slurry",Reagents!$Q$3="Stock solution"),AP15*AO15, AP15/VLOOKUP(2,Reagents!$B$1:$R$41,6,FALSE)*1000))</f>
        <v>#VALUE!</v>
      </c>
      <c r="AS15" s="214">
        <f>VLOOKUP(3,Reagents!$B$1:$M$41,2,FALSE)</f>
        <v>0</v>
      </c>
      <c r="AT15" s="214">
        <f>VLOOKUP(3,Reagents!$B$1:$M$41,3,FALSE)</f>
        <v>0</v>
      </c>
      <c r="AU15" s="214" t="str">
        <f>IF(VLOOKUP(3,Reagents!$B$1:$M$41,5,FALSE)=0, "NULL", VLOOKUP(3,Reagents!$B$1:$M$41,5,FALSE))</f>
        <v>NULL</v>
      </c>
      <c r="AV15" s="214" t="str">
        <f>IF(OR(Reagents!$Q$4="Stock slurry",Reagents!$Q$4="Stock solution"),VLOOKUP(3,Reagents!$B$1:$R$41,13,FALSE), "NULL")</f>
        <v/>
      </c>
      <c r="AW15" s="362" t="str">
        <f>IF(OR(Reagents!$Q$4="Stock slurry",Reagents!$Q$4="Stock solution"),VLOOKUP(3,Reagents!$B$1:$R$41,14,FALSE), VLOOKUP(3,Reagents!$B$1:$R$41,11,FALSE))</f>
        <v/>
      </c>
      <c r="AX15" s="214">
        <f>VLOOKUP(3,Reagents!$B$1:$R$41,17,FALSE)</f>
        <v>0</v>
      </c>
      <c r="AY15" s="284" t="e">
        <f>IF(OR(VLOOKUP(3,Reagents!$B$1:$M$41,4,FALSE)="solvent_2",VLOOKUP(3,Reagents!$B$1:$M$41,4,FALSE)="solvent_3"),VLOOKUP(3,Reagents!$B$1:$M$41,12,FALSE),IF(OR(Reagents!$Q$4="Stock slurry",Reagents!$Q$4="Stock solution"),AW15*AV15, AW15/VLOOKUP(3,Reagents!$B$1:$R$41,6,FALSE)*1000))</f>
        <v>#VALUE!</v>
      </c>
      <c r="AZ15" s="214">
        <f>VLOOKUP(4,Reagents!$B$1:$M$41,2,FALSE)</f>
        <v>0</v>
      </c>
      <c r="BA15" s="214">
        <f>VLOOKUP(4,Reagents!$B$1:$M$41,3,FALSE)</f>
        <v>0</v>
      </c>
      <c r="BB15" s="214" t="str">
        <f>IF(VLOOKUP(4,Reagents!$B$1:$M$41,5,FALSE)=0, "NULL", VLOOKUP(4,Reagents!$B$1:$M$41,5,FALSE))</f>
        <v>NULL</v>
      </c>
      <c r="BC15" s="214" t="str">
        <f>IF(OR(Reagents!$Q$5="Stock slurry",Reagents!$Q$5="Stock solution"),VLOOKUP(4,Reagents!$B$1:$R$41,13,FALSE), "NULL")</f>
        <v/>
      </c>
      <c r="BD15" s="362" t="str">
        <f>IF(OR(Reagents!$Q$5="Stock slurry",Reagents!$Q$5="Stock solution"),VLOOKUP(4,Reagents!$B$1:$R$41,14,FALSE), VLOOKUP(4,Reagents!$B$1:$R$41,11,FALSE))</f>
        <v/>
      </c>
      <c r="BE15" s="214">
        <f>VLOOKUP(4,Reagents!$B$1:$R$41,17,FALSE)</f>
        <v>0</v>
      </c>
      <c r="BF15" s="284" t="e">
        <f>IF(OR(VLOOKUP(4,Reagents!$B$1:$M$41,4,FALSE)="solvent_2",VLOOKUP(4,Reagents!$B$1:$M$41,4,FALSE)="solvent_3"),VLOOKUP(4,Reagents!$B$1:$M$41,12,FALSE),IF(OR(Reagents!$Q$5="Stock slurry",Reagents!$Q$5="Stock solution"),BD15*BC15, BD15/VLOOKUP(4,Reagents!$B$1:$R$41,6,FALSE)*1000))</f>
        <v>#VALUE!</v>
      </c>
      <c r="BG15" s="214">
        <f>VLOOKUP(5,Reagents!$B$1:$M$41,2,FALSE)</f>
        <v>0</v>
      </c>
      <c r="BH15" s="214">
        <f>VLOOKUP(5,Reagents!$B$1:$M$41,3,FALSE)</f>
        <v>0</v>
      </c>
      <c r="BI15" s="214" t="str">
        <f>IF(VLOOKUP(5,Reagents!$B$1:$M$41,5,FALSE)=0, "NULL", VLOOKUP(5,Reagents!$B$1:$M$41,5,FALSE))</f>
        <v>NULL</v>
      </c>
      <c r="BJ15" s="214" t="str">
        <f>IF(OR(Reagents!$Q$6="Stock slurry",Reagents!$Q$6="Stock solution"),VLOOKUP(5,Reagents!$B$1:$R$41,13,FALSE), "NULL")</f>
        <v/>
      </c>
      <c r="BK15" s="362" t="str">
        <f>IF(OR(Reagents!$Q$6="Stock slurry",Reagents!$Q$6="Stock solution"),VLOOKUP(5,Reagents!$B$1:$R$41,14,FALSE), VLOOKUP(5,Reagents!$B$1:$R$41,11,FALSE))</f>
        <v/>
      </c>
      <c r="BL15" s="214">
        <f>VLOOKUP(5,Reagents!$B$1:$R$41,17,FALSE)</f>
        <v>0</v>
      </c>
      <c r="BM15" s="284" t="e">
        <f>IF(OR(VLOOKUP(5,Reagents!$B$1:$M$41,4,FALSE)="solvent_2",VLOOKUP(5,Reagents!$B$1:$M$41,4,FALSE)="solvent_3"),VLOOKUP(5,Reagents!$B$1:$M$41,12,FALSE),IF(OR(Reagents!$Q$6="Stock slurry",Reagents!$Q$6="Stock solution"),BK15*BJ15, BK15/VLOOKUP(5,Reagents!$B$1:$R$41,6,FALSE)*1000))</f>
        <v>#VALUE!</v>
      </c>
      <c r="BN15" s="214">
        <f>VLOOKUP(6,Reagents!$B$1:$M$41,2,FALSE)</f>
        <v>0</v>
      </c>
      <c r="BO15" s="214">
        <f>VLOOKUP(6,Reagents!$B$1:$M$41,3,FALSE)</f>
        <v>0</v>
      </c>
      <c r="BP15" s="214" t="str">
        <f>IF(VLOOKUP(6,Reagents!$B$1:$M$41,5,FALSE)=0, "NULL", VLOOKUP(6,Reagents!$B$1:$M$41,5,FALSE))</f>
        <v>NULL</v>
      </c>
      <c r="BQ15" s="214" t="str">
        <f>IF(OR(Reagents!$Q$7="Stock slurry",Reagents!$Q$7="Stock solution"),VLOOKUP(6,Reagents!$B$1:$R$41,13,FALSE), "NULL")</f>
        <v/>
      </c>
      <c r="BR15" s="362" t="str">
        <f>IF(OR(Reagents!$Q$7="Stock slurry",Reagents!$Q$7="Stock solution"),VLOOKUP(6,Reagents!$B$1:$R$41,14,FALSE), VLOOKUP(6,Reagents!$B$1:$R$41,11,FALSE))</f>
        <v/>
      </c>
      <c r="BS15" s="214">
        <f>VLOOKUP(6,Reagents!$B$1:$R$41,17,FALSE)</f>
        <v>0</v>
      </c>
      <c r="BT15" s="284" t="e">
        <f>IF(OR(VLOOKUP(6,Reagents!$B$1:$M$41,4,FALSE)="solvent_2",VLOOKUP(6,Reagents!$B$1:$M$41,4,FALSE)="solvent_3"),VLOOKUP(6,Reagents!$B$1:$M$41,12,FALSE),IF(OR(Reagents!$Q$7="Stock slurry",Reagents!$Q$7="Stock solution"),BR15*BQ15, BR15/VLOOKUP(6,Reagents!$B$1:$R$41,6,FALSE)*1000))</f>
        <v>#VALUE!</v>
      </c>
      <c r="BU15" s="214">
        <f>VLOOKUP(7,Reagents!$B$1:$M$41,2,FALSE)</f>
        <v>0</v>
      </c>
      <c r="BV15" s="214">
        <f>VLOOKUP(7,Reagents!$B$1:$M$41,3,FALSE)</f>
        <v>0</v>
      </c>
      <c r="BW15" s="214" t="str">
        <f>IF(VLOOKUP(7,Reagents!$B$1:$M$41,5,FALSE)=0, "NULL", VLOOKUP(7,Reagents!$B$1:$M$41,5,FALSE))</f>
        <v>NULL</v>
      </c>
      <c r="BX15" s="214" t="str">
        <f>IF(OR(Reagents!$Q$8="Stock slurry",Reagents!$Q$8="Stock solution"),VLOOKUP(7,Reagents!$B$1:$R$41,13,FALSE), "NULL")</f>
        <v/>
      </c>
      <c r="BY15" s="362" t="str">
        <f>IF(OR(Reagents!$Q$8="Stock slurry",Reagents!$Q$8="Stock solution"),VLOOKUP(7,Reagents!$B$1:$R$41,14,FALSE), VLOOKUP(7,Reagents!$B$1:$R$41,11,FALSE))</f>
        <v/>
      </c>
      <c r="BZ15" s="214">
        <f>VLOOKUP(7,Reagents!$B$1:$R$41,17,FALSE)</f>
        <v>0</v>
      </c>
      <c r="CA15" s="284" t="e">
        <f>IF(OR(VLOOKUP(7,Reagents!$B$1:$M$41,4,FALSE)="solvent_2",VLOOKUP(7,Reagents!$B$1:$M$41,4,FALSE)="solvent_3"),VLOOKUP(7,Reagents!$B$1:$M$41,12,FALSE),IF(OR(Reagents!$Q$8="Stock slurry",Reagents!$Q$8="Stock solution"),BY15*BX15, BY15/VLOOKUP(7,Reagents!$B$1:$R$41,6,FALSE)*1000))</f>
        <v>#VALUE!</v>
      </c>
      <c r="CB15" s="214">
        <f>VLOOKUP(8,Reagents!$B$1:$M$41,2,FALSE)</f>
        <v>0</v>
      </c>
      <c r="CC15" s="214">
        <f>VLOOKUP(8,Reagents!$B$1:$M$41,3,FALSE)</f>
        <v>0</v>
      </c>
      <c r="CD15" s="214" t="str">
        <f>IF(VLOOKUP(8,Reagents!$B$1:$M$41,5,FALSE)=0, "NULL", VLOOKUP(8,Reagents!$B$1:$M$41,5,FALSE))</f>
        <v>NULL</v>
      </c>
      <c r="CE15" s="214" t="str">
        <f>IF(OR(Reagents!$Q$9="Stock slurry",Reagents!$Q$9="Stock solution"),VLOOKUP(8,Reagents!$B$1:$R$41,13,FALSE), "NULL")</f>
        <v/>
      </c>
      <c r="CF15" s="362" t="str">
        <f>IF(OR(Reagents!$Q$9="Stock slurry",Reagents!$Q$9="Stock solution"),VLOOKUP(8,Reagents!$B$1:$R$41,14,FALSE), VLOOKUP(8,Reagents!$B$1:$R$41,11,FALSE))</f>
        <v/>
      </c>
      <c r="CG15" s="214">
        <f>VLOOKUP(8,Reagents!$B$1:$R$41,17,FALSE)</f>
        <v>0</v>
      </c>
      <c r="CH15" s="284" t="e">
        <f>IF(OR(VLOOKUP(8,Reagents!$B$1:$M$41,4,FALSE)="solvent_2",VLOOKUP(8,Reagents!$B$1:$M$41,4,FALSE)="solvent_3"),VLOOKUP(8,Reagents!$B$1:$M$41,12,FALSE),IF(OR(Reagents!$Q$9="Stock slurry",Reagents!$Q$9="Stock solution"),CF15*CE15, CF15/VLOOKUP(8,Reagents!$B$1:$R$41,6,FALSE)*1000))</f>
        <v>#VALUE!</v>
      </c>
      <c r="CI15" s="214">
        <f>VLOOKUP(9,Reagents!$B$1:$M$41,2,FALSE)</f>
        <v>0</v>
      </c>
      <c r="CJ15" s="214">
        <f>VLOOKUP(9,Reagents!$B$1:$M$41,3,FALSE)</f>
        <v>0</v>
      </c>
      <c r="CK15" s="214" t="str">
        <f>IF(VLOOKUP(9,Reagents!$B$1:$M$41,5,FALSE)=0, "NULL", VLOOKUP(9,Reagents!$B$1:$M$41,5,FALSE))</f>
        <v>NULL</v>
      </c>
      <c r="CL15" s="214" t="str">
        <f>IF(OR(Reagents!$Q$10="Stock slurry",Reagents!$Q$10="Stock solution"),VLOOKUP(9,Reagents!$B$1:$R$41,13,FALSE), "NULL")</f>
        <v/>
      </c>
      <c r="CM15" s="362" t="str">
        <f>IF(OR(Reagents!$Q$10="Stock slurry",Reagents!$Q$10="Stock solution"),VLOOKUP(9,Reagents!$B$1:$R$41,14,FALSE), VLOOKUP(9,Reagents!$B$1:$R$41,11,FALSE))</f>
        <v/>
      </c>
      <c r="CN15" s="214">
        <f>VLOOKUP(9,Reagents!$B$1:$R$41,17,FALSE)</f>
        <v>0</v>
      </c>
      <c r="CO15" s="284" t="e">
        <f>IF(OR(VLOOKUP(9,Reagents!$B$1:$M$41,4,FALSE)="solvent_2",VLOOKUP(9,Reagents!$B$1:$M$41,4,FALSE)="solvent_3"),VLOOKUP(9,Reagents!$B$1:$M$41,12,FALSE),IF(OR(Reagents!$Q$10="Stock slurry",Reagents!$Q$10="Stock solution"),CM15*CL15, CM15/VLOOKUP(9,Reagents!$B$1:$R$41,6,FALSE)*1000))</f>
        <v>#VALUE!</v>
      </c>
      <c r="CP15" s="214">
        <f>VLOOKUP(10,Reagents!$B$1:$M$41,2,FALSE)</f>
        <v>0</v>
      </c>
      <c r="CQ15" s="214">
        <f>VLOOKUP(10,Reagents!$B$1:$M$41,3,FALSE)</f>
        <v>0</v>
      </c>
      <c r="CR15" s="214" t="str">
        <f>IF(VLOOKUP(10,Reagents!$B$1:$M$41,5,FALSE)=0, "NULL", VLOOKUP(10,Reagents!$B$1:$M$41,5,FALSE))</f>
        <v>NULL</v>
      </c>
      <c r="CS15" s="214" t="str">
        <f>IF(OR(Reagents!$Q$11="Stock slurry",Reagents!$Q$11="Stock solution"),VLOOKUP(10,Reagents!$B$1:$R$41,13,FALSE), "NULL")</f>
        <v/>
      </c>
      <c r="CT15" s="362" t="str">
        <f>IF(OR(Reagents!$Q$11="Stock slurry",Reagents!$Q$11="Stock solution"),VLOOKUP(10,Reagents!$B$1:$R$41,14,FALSE), VLOOKUP(10,Reagents!$B$1:$R$41,11,FALSE))</f>
        <v/>
      </c>
      <c r="CU15" s="214">
        <f>VLOOKUP(10,Reagents!$B$1:$R$41,17,FALSE)</f>
        <v>0</v>
      </c>
      <c r="CV15" s="284" t="e">
        <f>IF(OR(VLOOKUP(10,Reagents!$B$1:$M$41,4,FALSE)="solvent_2",VLOOKUP(10,Reagents!$B$1:$M$41,4,FALSE)="solvent_3"),VLOOKUP(10,Reagents!$B$1:$M$41,12,FALSE),IF(OR(Reagents!$Q$11="Stock slurry",Reagents!$Q$11="Stock solution"),CT15*CS15, CT15/VLOOKUP(10,Reagents!$B$1:$R$41,6,FALSE)*1000))</f>
        <v>#VALUE!</v>
      </c>
      <c r="CW15" s="214" t="str">
        <f>VLOOKUP(B15+10,Reagents!$B$1:$R$41,2,FALSE)</f>
        <v/>
      </c>
      <c r="CX15" s="214">
        <f>VLOOKUP(B15+10,Reagents!$B$1:$R$41,3,FALSE)</f>
        <v>0</v>
      </c>
      <c r="CY15" s="214" t="str">
        <f>IF(VLOOKUP(B15+10,Reagents!$B$1:$M$41,5,FALSE)=0, "NULL", VLOOKUP(B15+10,Reagents!$B$1:$M$41,5,FALSE))</f>
        <v>NULL</v>
      </c>
      <c r="CZ15" s="214" t="str">
        <f>IF(OR(Reagents!$Q$12="Stock slurry",Reagents!$Q$12="Stock solution"),VLOOKUP(B15+10,Reagents!$B$1:$R$41,13,FALSE), "NULL")</f>
        <v/>
      </c>
      <c r="DA15" s="362" t="str">
        <f>IF(OR(Reagents!$Q$12="Stock slurry",Reagents!$Q$12="Stock solution"),VLOOKUP(B15+10,Reagents!$B$1:$R$41,14,FALSE), VLOOKUP(B15+10,Reagents!$B$1:$R$41,11,FALSE))</f>
        <v/>
      </c>
      <c r="DB15" s="214">
        <f>VLOOKUP(B15+10,Reagents!$B$1:$R$41,17,FALSE)</f>
        <v>0</v>
      </c>
      <c r="DC15" s="284" t="e">
        <f>IF(OR(v1_col="solvent_2",v1_col="solvent_3"),VLOOKUP(B15+10,Reagents!$B$1:$M$41,12,FALSE),IF(OR(Reagents!$Q$12="Stock slurry",Reagents!$Q$12="Stock solution"),DA15*CZ15, DA15/VLOOKUP(B15+10,Reagents!$B$1:$R$41,6,FALSE)*1000))</f>
        <v>#VALUE!</v>
      </c>
      <c r="DD15" s="214" t="str">
        <f>VLOOKUP(B15+22,Reagents!$B$1:$M$41,2,FALSE)</f>
        <v/>
      </c>
      <c r="DE15" s="214">
        <f>VLOOKUP(B15+22,Reagents!$B$1:$R$41,3,FALSE)</f>
        <v>0</v>
      </c>
      <c r="DF15" s="214" t="str">
        <f>IF(VLOOKUP(B15+22,Reagents!$B$1:$M$41,5,FALSE)=0, "NULL", VLOOKUP(B15+22,Reagents!$B$1:$M$41,5,FALSE))</f>
        <v>NULL</v>
      </c>
      <c r="DG15" s="214" t="str">
        <f>IF(OR(Reagents!$Q$18="Stock slurry",Reagents!$Q$12="Stock solution"),VLOOKUP(B15+22,Reagents!$B$1:$R$41,13,FALSE), "NULL")</f>
        <v/>
      </c>
      <c r="DH15" s="362" t="str">
        <f>IF(OR(Reagents!$Q$18="Stock slurry",Reagents!$Q$18="Stock solution"),VLOOKUP(B15+22,Reagents!$B$1:$R$41,14,FALSE), VLOOKUP(B15+22,Reagents!$B$1:$R$41,11,FALSE))</f>
        <v/>
      </c>
      <c r="DI15" s="214">
        <f>VLOOKUP(B15+22,Reagents!$B$1:$R$41,17,FALSE)</f>
        <v>0</v>
      </c>
      <c r="DJ15" s="284" t="e">
        <f>IF(OR(v2_col="solvent_2",v2_col="solvent_3"),VLOOKUP(B15+22,Reagents!$B$1:$M$41,12,FALSE),IF(OR(Reagents!$Q$18="Stock slurry",Reagents!$Q$18="Stock solution"),DH15*DG15, DH15/VLOOKUP(B15+22,Reagents!$B$1:$R$41,6,FALSE)*1000))</f>
        <v>#VALUE!</v>
      </c>
      <c r="DK15" s="214" t="str">
        <f>VLOOKUP(B15+34,Reagents!$B$1:$M$41,2,FALSE)</f>
        <v/>
      </c>
      <c r="DL15" s="214">
        <f>VLOOKUP(B15+34,Reagents!$B$1:$R$41,3,FALSE)</f>
        <v>0</v>
      </c>
      <c r="DM15" s="214" t="str">
        <f>IF(VLOOKUP(B15+34,Reagents!$B$1:$M$41,5,FALSE)=0, "NULL", VLOOKUP(B15+34,Reagents!$B$1:$M$41,5,FALSE))</f>
        <v>NULL</v>
      </c>
      <c r="DN15" s="214" t="str">
        <f>IF(OR(Reagents!$Q$24="Stock slurry",Reagents!$Q$12="Stock solution"),VLOOKUP(B15+34,Reagents!$B$1:$R$41,13,FALSE), "NULL")</f>
        <v/>
      </c>
      <c r="DO15" s="362" t="str">
        <f>IF(OR(Reagents!$Q$24="Stock slurry",Reagents!$Q$24="Stock solution"),VLOOKUP(B15+34,Reagents!$B$1:$R$41,14,FALSE), VLOOKUP(B15+34,Reagents!$B$1:$R$41,11,FALSE))</f>
        <v/>
      </c>
      <c r="DP15" s="214">
        <f>VLOOKUP(B15+34,Reagents!$B$1:$R$41,17,FALSE)</f>
        <v>0</v>
      </c>
      <c r="DQ15" s="284" t="e">
        <f>IF(OR(v3_col="solvent_2",v3_col="solvent_3"),VLOOKUP(B15+34,Reagents!$B$1:$M$41,12,FALSE),IF(OR(Reagents!$Q$24="Stock slurry",Reagents!$Q$24="Stock solution"),DO15*DN15, DO15/VLOOKUP(B15+34,Reagents!$B$1:$R$41,6,FALSE)*1000))</f>
        <v>#VALUE!</v>
      </c>
      <c r="DR15" s="214" t="str">
        <f>VLOOKUP(C15+46,Reagents!$B$1:$M$41,2,FALSE)</f>
        <v/>
      </c>
      <c r="DS15" s="214">
        <f>VLOOKUP(C15+46,Reagents!$B$1:$M$41,3,FALSE)</f>
        <v>0</v>
      </c>
      <c r="DT15" s="214" t="str">
        <f>IF(VLOOKUP(C15+46,Reagents!$B$1:$M$41,5,FALSE)=0, "NULL", VLOOKUP(C15+46,Reagents!$B$1:$M$41,5,FALSE))</f>
        <v>NULL</v>
      </c>
      <c r="DU15" s="214" t="str">
        <f>IF(OR(Reagents!$Q$30="Stock slurry",Reagents!$Q$30="Stock solution"),VLOOKUP(C15+46,Reagents!$B$1:$R$41,13,FALSE), "NULL")</f>
        <v/>
      </c>
      <c r="DV15" s="362" t="str">
        <f>IF(OR(Reagents!$Q$30="Stock slurry",Reagents!$Q$30="Stock solution"),VLOOKUP(C15+46,Reagents!$B$1:$R$41,14,FALSE), VLOOKUP(C15+46,Reagents!$B$1:$R$41,11,FALSE))</f>
        <v/>
      </c>
      <c r="DW15" s="214">
        <f>VLOOKUP(C15+46,Reagents!$B$1:$R$41,17,FALSE)</f>
        <v>0</v>
      </c>
      <c r="DX15" s="284" t="e">
        <f>IF(OR(v4_row="solvent_2",v4_row="solvent_3"),VLOOKUP(C15+46,Reagents!$B$1:$M$41,12,FALSE),IF(OR(Reagents!$Q$30="Stock slurry",Reagents!$Q$30="Stock solution"),DV15*DU15, DV15/VLOOKUP(C15+46,Reagents!$B$1:$R$41,6,FALSE)*1000))</f>
        <v>#VALUE!</v>
      </c>
      <c r="DY15" s="214" t="str">
        <f>VLOOKUP(C15+54,Reagents!$B$1:$M$41,2,FALSE)</f>
        <v/>
      </c>
      <c r="DZ15" s="214">
        <f>VLOOKUP(C15+54,Reagents!$B$1:$M$41,3,FALSE)</f>
        <v>0</v>
      </c>
      <c r="EA15" s="214" t="str">
        <f>IF(VLOOKUP(C15+54,Reagents!$B$1:$M$41,5,FALSE)=0, "NULL", VLOOKUP(C15+54,Reagents!$B$1:$M$41,5,FALSE))</f>
        <v>NULL</v>
      </c>
      <c r="EB15" s="214" t="str">
        <f>IF(OR(Reagents!$Q$34="Stock slurry",Reagents!$Q$34="Stock solution"),VLOOKUP(C15+54,Reagents!$B$1:$R$41,13,FALSE), "NULL")</f>
        <v/>
      </c>
      <c r="EC15" s="362" t="str">
        <f>IF(OR(Reagents!$Q$34="Stock slurry",Reagents!$Q$34="Stock solution"),VLOOKUP(C15+54,Reagents!$B$1:$R$41,14,FALSE), VLOOKUP(C15+54,Reagents!$B$1:$R$41,11,FALSE))</f>
        <v/>
      </c>
      <c r="ED15" s="214">
        <f>VLOOKUP(C15+54,Reagents!$B$1:$R$41,17,FALSE)</f>
        <v>0</v>
      </c>
      <c r="EE15" s="284" t="e">
        <f>IF(OR(v5_row="solvent_2",v5_row="solvent_3"),VLOOKUP(C15+54,Reagents!$B$1:$M$41,12,FALSE),IF(OR(Reagents!$Q$34="Stock slurry",Reagents!$Q$34="Stock solution"),EC15*EB15, EC15/VLOOKUP(C15+54,Reagents!$B$1:$R$41,6,FALSE)*1000))</f>
        <v>#VALUE!</v>
      </c>
      <c r="EF15" s="214" t="str">
        <f>VLOOKUP(C15+62,Reagents!$B$1:$M$41,2,FALSE)</f>
        <v/>
      </c>
      <c r="EG15" s="214">
        <f>VLOOKUP(C15+62,Reagents!$B$1:$M$41,3,FALSE)</f>
        <v>0</v>
      </c>
      <c r="EH15" s="214" t="str">
        <f>IF(VLOOKUP(C15+62,Reagents!$B$1:$M$41,5,FALSE)=0, "NULL", VLOOKUP(C15+62,Reagents!$B$1:$M$41,5,FALSE))</f>
        <v>NULL</v>
      </c>
      <c r="EI15" s="214" t="str">
        <f>IF(OR(Reagents!$Q$38="Stock slurry",Reagents!$Q$38="Stock solution"),VLOOKUP(C15+62,Reagents!$B$1:$R$41,13,FALSE), "NULL")</f>
        <v/>
      </c>
      <c r="EJ15" s="362" t="str">
        <f>IF(OR(Reagents!$Q$38="Stock slurry",Reagents!$Q$38="Stock solution"),VLOOKUP(C15+62,Reagents!$B$1:$R$41,14,FALSE), VLOOKUP(C15+62,Reagents!$B$1:$R$41,11,FALSE))</f>
        <v/>
      </c>
      <c r="EK15" s="214">
        <f>VLOOKUP(C15+62,Reagents!$B$1:$R$41,17,FALSE)</f>
        <v>0</v>
      </c>
      <c r="EL15" s="284" t="e">
        <f>IF(OR(v6_row="solvent_2",v6_row="solvent_3"),VLOOKUP(C15+62,Reagents!$B$1:$M$41,12,FALSE),IF(OR(Reagents!$Q$38="Stock slurry",Reagents!$Q$38="Stock solution"),EJ15*EI15, EJ15/VLOOKUP(C15+62,Reagents!$B$1:$R$41,6,FALSE)*1000))</f>
        <v>#VALUE!</v>
      </c>
      <c r="EM15" s="214">
        <f>VLOOKUP(19,'Plate Planning'!$A$1:$T$35,13,FALSE)</f>
        <v>0</v>
      </c>
      <c r="EN15" s="214">
        <f>VLOOKUP(19,'Plate Planning'!$A$1:$T$35,14,FALSE)</f>
        <v>0</v>
      </c>
      <c r="EO15" s="214">
        <f>VLOOKUP(19,'Plate Planning'!$A$1:$T$35,15,FALSE)</f>
        <v>0</v>
      </c>
      <c r="EP15" s="214">
        <f>VLOOKUP(A15,'Uncorrected Area Counts'!$A$1:$AS$27,3,FALSE)</f>
        <v>0</v>
      </c>
      <c r="EQ15" s="214" t="str">
        <f>VLOOKUP(A15,'Uncorrected Area Counts'!$A$1:$AS$27,4,FALSE)</f>
        <v/>
      </c>
      <c r="ER15" s="214" t="str">
        <f>VLOOKUP(A15,'Uncorrected Area Counts'!$A$1:$AS$27,5,FALSE)</f>
        <v/>
      </c>
      <c r="ES15" s="214">
        <f>VLOOKUP(20,'Plate Planning'!$A$1:$T$35,15,FALSE)</f>
        <v>0</v>
      </c>
      <c r="ET15" s="214">
        <f>VLOOKUP(A15,'Uncorrected Area Counts'!$A$1:$AS$27,7,FALSE)</f>
        <v>0</v>
      </c>
      <c r="EU15" s="214" t="e">
        <f>VLOOKUP(A15,'Uncorrected Area Counts'!$A$1:$AS$27,7,FALSE)/VLOOKUP(A15,'Uncorrected Area Counts'!$A$1:$AS$27,3,FALSE)</f>
        <v>#DIV/0!</v>
      </c>
      <c r="EV15" s="214" t="str">
        <f>IFERROR(VLOOKUP(A15,'Yields &amp; LCAPs'!$A$1:$V$27,3,FALSE), "NULL")</f>
        <v>NULL</v>
      </c>
      <c r="EW15" s="284" t="str">
        <f>IFERROR(VLOOKUP(A15,'Yields &amp; LCAPs'!$A$1:$V$27,4,FALSE), "NULL")</f>
        <v>NULL</v>
      </c>
      <c r="EX15" s="214" t="str">
        <f>VLOOKUP(A15,'Uncorrected Area Counts'!$A$1:$AS$27,8,FALSE)</f>
        <v/>
      </c>
      <c r="EY15" s="214" t="str">
        <f>VLOOKUP(A15,'Uncorrected Area Counts'!$A$1:$AS$27,9,FALSE)</f>
        <v/>
      </c>
      <c r="EZ15" s="214">
        <f>VLOOKUP(22,'Plate Planning'!$A$1:$T$35,15,FALSE)</f>
        <v>0</v>
      </c>
      <c r="FA15" s="214">
        <f>VLOOKUP(A15,'Uncorrected Area Counts'!$A$1:$AS$27,11,FALSE)</f>
        <v>0</v>
      </c>
      <c r="FB15" s="214" t="e">
        <f>VLOOKUP(A15,'Uncorrected Area Counts'!$A$1:$AS$27,11,FALSE)/VLOOKUP(A15,'Uncorrected Area Counts'!$A$1:$AS$27,3,FALSE)</f>
        <v>#DIV/0!</v>
      </c>
      <c r="FC15" s="214" t="str">
        <f>IFERROR(VLOOKUP(A15,'Yields &amp; LCAPs'!$A$1:$V$27,5,FALSE), "NULL")</f>
        <v>NULL</v>
      </c>
      <c r="FD15" s="284" t="str">
        <f>IFERROR(VLOOKUP(A15,'Yields &amp; LCAPs'!$A$1:$V$27,6,FALSE), "NULL")</f>
        <v>NULL</v>
      </c>
      <c r="FE15" s="214" t="str">
        <f>VLOOKUP(A15,'Uncorrected Area Counts'!$A$1:$AS$27,12,FALSE)</f>
        <v/>
      </c>
      <c r="FF15" s="214" t="str">
        <f>VLOOKUP(A15,'Uncorrected Area Counts'!$A$1:$AS$27,13,FALSE)</f>
        <v/>
      </c>
      <c r="FG15" s="214">
        <f>VLOOKUP(24,'Plate Planning'!$A$1:$T$35,15,FALSE)</f>
        <v>0</v>
      </c>
      <c r="FH15" s="214">
        <f>VLOOKUP(A15,'Uncorrected Area Counts'!$A$1:$AS$27,15,FALSE)</f>
        <v>0</v>
      </c>
      <c r="FI15" s="214" t="e">
        <f>VLOOKUP(A15,'Uncorrected Area Counts'!$A$1:$AS$27,15,FALSE)/VLOOKUP(A15,'Uncorrected Area Counts'!$A$1:$AS$27,3,FALSE)</f>
        <v>#DIV/0!</v>
      </c>
      <c r="FJ15" s="214" t="str">
        <f>IFERROR(VLOOKUP(A15,'Yields &amp; LCAPs'!$A$1:$V$27,7,FALSE), "NULL")</f>
        <v>NULL</v>
      </c>
      <c r="FK15" s="284" t="str">
        <f>IFERROR(VLOOKUP(A15,'Yields &amp; LCAPs'!$A$1:$V$27,8,FALSE), "NULL")</f>
        <v>NULL</v>
      </c>
      <c r="FL15" s="214" t="str">
        <f>VLOOKUP(A15,'Uncorrected Area Counts'!$A$1:$AS$27,16,FALSE)</f>
        <v/>
      </c>
      <c r="FM15" s="214" t="str">
        <f>VLOOKUP(A15,'Uncorrected Area Counts'!$A$1:$AS$27,17,FALSE)</f>
        <v/>
      </c>
      <c r="FN15" s="214">
        <f>VLOOKUP(26,'Plate Planning'!$A$1:$T$35,15,FALSE)</f>
        <v>0</v>
      </c>
      <c r="FO15" s="214">
        <f>VLOOKUP(A15,'Uncorrected Area Counts'!$A$1:$AS$27,19,FALSE)</f>
        <v>0</v>
      </c>
      <c r="FP15" s="214" t="e">
        <f>VLOOKUP(A15,'Uncorrected Area Counts'!$A$1:$AS$27,19,FALSE)/VLOOKUP(A15,'Uncorrected Area Counts'!$A$1:$AS$27,3,FALSE)</f>
        <v>#DIV/0!</v>
      </c>
      <c r="FQ15" s="214" t="str">
        <f>IFERROR(VLOOKUP(A15,'Yields &amp; LCAPs'!$A$1:$V$27,9,FALSE), "NULL")</f>
        <v>NULL</v>
      </c>
      <c r="FR15" s="284" t="str">
        <f>IFERROR(VLOOKUP(A15,'Yields &amp; LCAPs'!$A$1:$V$27,10,FALSE), "NULL")</f>
        <v>NULL</v>
      </c>
      <c r="FS15" s="214" t="str">
        <f>VLOOKUP(A15,'Uncorrected Area Counts'!$A$1:$AS$27,20,FALSE)</f>
        <v/>
      </c>
      <c r="FT15" s="214" t="str">
        <f>VLOOKUP(A15,'Uncorrected Area Counts'!$A$1:$AS$27,21,FALSE)</f>
        <v/>
      </c>
      <c r="FU15" s="214">
        <f>VLOOKUP(27,'Plate Planning'!$A$1:$T$35,15,FALSE)</f>
        <v>0</v>
      </c>
      <c r="FV15" s="214">
        <f>VLOOKUP(A15,'Uncorrected Area Counts'!$A$1:$AS$27,23,FALSE)</f>
        <v>0</v>
      </c>
      <c r="FW15" s="214" t="e">
        <f>VLOOKUP(A15,'Uncorrected Area Counts'!$A$1:$AS$27,23,FALSE)/VLOOKUP(A15,'Uncorrected Area Counts'!$A$1:$AS$27,3,FALSE)</f>
        <v>#DIV/0!</v>
      </c>
      <c r="FX15" s="214" t="str">
        <f>IFERROR(VLOOKUP(A15,'Yields &amp; LCAPs'!$A$1:$V$27,11,FALSE), "NULL")</f>
        <v>NULL</v>
      </c>
      <c r="FY15" s="284" t="str">
        <f>IFERROR(VLOOKUP(A15,'Yields &amp; LCAPs'!$A$1:$V$27,12,FALSE), "NULL")</f>
        <v>NULL</v>
      </c>
      <c r="FZ15" s="411" t="str">
        <f>VLOOKUP(A15,'Uncorrected Area Counts'!$A$1:$AS$27,24,FALSE)</f>
        <v/>
      </c>
      <c r="GA15" s="214" t="str">
        <f>VLOOKUP(A15,'Uncorrected Area Counts'!$A$1:$AS$27,25,FALSE)</f>
        <v/>
      </c>
      <c r="GB15" s="214">
        <f>VLOOKUP(28,'Plate Planning'!$A$1:$T$35,15,FALSE)</f>
        <v>0</v>
      </c>
      <c r="GC15" s="214">
        <f>VLOOKUP(A15,'Uncorrected Area Counts'!$A$1:$AS$27,27,FALSE)</f>
        <v>0</v>
      </c>
      <c r="GD15" s="214" t="e">
        <f>VLOOKUP(A15,'Uncorrected Area Counts'!$A$1:$AS$27,27,FALSE)/VLOOKUP(A15,'Uncorrected Area Counts'!$A$1:$AS$27,3,FALSE)</f>
        <v>#DIV/0!</v>
      </c>
      <c r="GE15" s="214" t="str">
        <f>IFERROR(VLOOKUP(A15,'Yields &amp; LCAPs'!$A$1:$V$27,13,FALSE), "NULL")</f>
        <v>NULL</v>
      </c>
      <c r="GF15" s="284" t="str">
        <f>IFERROR(VLOOKUP(A15,'Yields &amp; LCAPs'!$A$1:$V$27,14,FALSE), "NULL")</f>
        <v>NULL</v>
      </c>
      <c r="GG15" s="214" t="str">
        <f>VLOOKUP(A15,'Uncorrected Area Counts'!$A$1:$AS$27,28,FALSE)</f>
        <v/>
      </c>
      <c r="GH15" s="214" t="str">
        <f>VLOOKUP(A15,'Uncorrected Area Counts'!$A$1:$AS$27,29,FALSE)</f>
        <v/>
      </c>
      <c r="GI15" s="214">
        <f>VLOOKUP(29,'Plate Planning'!$A$1:$T$35,15,FALSE)</f>
        <v>0</v>
      </c>
      <c r="GJ15" s="214">
        <f>VLOOKUP(A15,'Uncorrected Area Counts'!$A$1:$AS$27,31,FALSE)</f>
        <v>0</v>
      </c>
      <c r="GK15" s="214" t="e">
        <f>VLOOKUP(A15,'Uncorrected Area Counts'!$A$1:$AS$27,31,FALSE)/VLOOKUP(A15,'Uncorrected Area Counts'!$A$1:$AS$27,3,FALSE)</f>
        <v>#DIV/0!</v>
      </c>
      <c r="GL15" s="214" t="str">
        <f>IFERROR(VLOOKUP(A15,'Yields &amp; LCAPs'!$A$1:$V$27,15,FALSE), "NULL")</f>
        <v>NULL</v>
      </c>
      <c r="GM15" s="284" t="str">
        <f>IFERROR(VLOOKUP(A15,'Yields &amp; LCAPs'!$A$1:$V$27,16,FALSE), "NULL")</f>
        <v>NULL</v>
      </c>
      <c r="GN15" s="214" t="str">
        <f>VLOOKUP(A15,'Uncorrected Area Counts'!$A$1:$AS$27,32,FALSE)</f>
        <v/>
      </c>
      <c r="GO15" s="214" t="str">
        <f>VLOOKUP(A15,'Uncorrected Area Counts'!$A$1:$AS$27,33,FALSE)</f>
        <v/>
      </c>
      <c r="GP15" s="214">
        <f>VLOOKUP(30,'Plate Planning'!$A$1:$T$35,15,FALSE)</f>
        <v>0</v>
      </c>
      <c r="GQ15" s="214">
        <f>VLOOKUP(A15,'Uncorrected Area Counts'!$A$1:$AS$27,35,FALSE)</f>
        <v>0</v>
      </c>
      <c r="GR15" s="214" t="e">
        <f>VLOOKUP(A15,'Uncorrected Area Counts'!$A$1:$AS$27,35,FALSE)/VLOOKUP(A15,'Uncorrected Area Counts'!$A$1:$AS$27,3,FALSE)</f>
        <v>#DIV/0!</v>
      </c>
      <c r="GS15" s="214" t="str">
        <f>IFERROR(VLOOKUP(A15,'Yields &amp; LCAPs'!$A$1:$V$27,17,FALSE), "NULL")</f>
        <v>NULL</v>
      </c>
      <c r="GT15" s="284" t="str">
        <f>IFERROR(VLOOKUP(A15,'Yields &amp; LCAPs'!$A$1:$V$27,18,FALSE), "NULL")</f>
        <v>NULL</v>
      </c>
      <c r="GU15" s="214" t="str">
        <f>VLOOKUP(A15,'Uncorrected Area Counts'!$A$1:$AS$27,36,FALSE)</f>
        <v/>
      </c>
      <c r="GV15" s="214" t="str">
        <f>VLOOKUP(A15,'Uncorrected Area Counts'!$A$1:$AS$27,37,FALSE)</f>
        <v/>
      </c>
      <c r="GW15" s="214">
        <f>VLOOKUP(31,'Plate Planning'!$A$1:$T$35,15,FALSE)</f>
        <v>0</v>
      </c>
      <c r="GX15" s="214">
        <f>VLOOKUP(A15,'Uncorrected Area Counts'!$A$1:$AS$27,39,FALSE)</f>
        <v>0</v>
      </c>
      <c r="GY15" s="214" t="e">
        <f>VLOOKUP(A15,'Uncorrected Area Counts'!$A$1:$AS$27,39,FALSE)/VLOOKUP(A15,'Uncorrected Area Counts'!$A$1:$AS$27,3,FALSE)</f>
        <v>#DIV/0!</v>
      </c>
      <c r="GZ15" s="214" t="str">
        <f>IFERROR(VLOOKUP(A15,'Yields &amp; LCAPs'!$A$1:$V$27,19,FALSE), "NULL")</f>
        <v>NULL</v>
      </c>
      <c r="HA15" s="284" t="str">
        <f>IFERROR(VLOOKUP(A15,'Yields &amp; LCAPs'!$A$1:$V$27,20,FALSE), "NULL")</f>
        <v>NULL</v>
      </c>
      <c r="HB15" s="214" t="str">
        <f>VLOOKUP(A15,'Uncorrected Area Counts'!$A$1:$AS$27,40,FALSE)</f>
        <v/>
      </c>
      <c r="HC15" s="214" t="str">
        <f>VLOOKUP(A15,'Uncorrected Area Counts'!$A$1:$AS$27,41,FALSE)</f>
        <v/>
      </c>
      <c r="HD15" s="214">
        <f>VLOOKUP(32,'Plate Planning'!$A$1:$T$35,15,FALSE)</f>
        <v>0</v>
      </c>
      <c r="HE15" s="214">
        <f>VLOOKUP(A15,'Uncorrected Area Counts'!$A$1:$AS$27,43,FALSE)</f>
        <v>0</v>
      </c>
      <c r="HF15" s="214" t="e">
        <f>VLOOKUP(A15,'Uncorrected Area Counts'!$A$1:$AS$27,43,FALSE)/VLOOKUP(A15,'Uncorrected Area Counts'!$A$1:$AS$27,3,FALSE)</f>
        <v>#DIV/0!</v>
      </c>
      <c r="HG15" s="214" t="str">
        <f>IFERROR(VLOOKUP(A15,'Yields &amp; LCAPs'!$A$1:$V$27,21,FALSE), "NULL")</f>
        <v>NULL</v>
      </c>
      <c r="HH15" s="284" t="str">
        <f>IFERROR(VLOOKUP(A15,'Yields &amp; LCAPs'!$A$1:$V$27,22,FALSE), "NULL")</f>
        <v>NULL</v>
      </c>
      <c r="HI15" s="362"/>
      <c r="HJ15" s="362"/>
      <c r="HK15" s="362"/>
      <c r="HL15" s="362"/>
      <c r="HM15" s="363"/>
      <c r="HN15" s="362"/>
      <c r="HO15" s="362"/>
      <c r="HP15" s="362"/>
      <c r="HQ15" s="362"/>
      <c r="HR15" s="363"/>
    </row>
    <row r="16" spans="1:230">
      <c r="A16" s="216" t="s">
        <v>1187</v>
      </c>
      <c r="B16" s="214">
        <v>3</v>
      </c>
      <c r="C16" s="214">
        <v>3</v>
      </c>
      <c r="D16" s="214" t="str">
        <f>VLOOKUP(18,'Plate Planning'!$A$1:$T$35,10,FALSE)&amp;"_"&amp;VLOOKUP(19,'Plate Planning'!$A$1:$T$35,10,FALSE)&amp;"_"&amp;A16</f>
        <v>__C3</v>
      </c>
      <c r="E16" s="214" t="str">
        <f>IF(VLOOKUP(18,'Plate Planning'!$A$1:$T$35,10,FALSE)="", "NULL", VLOOKUP(18,'Plate Planning'!$A$1:$T$35,10,FALSE))</f>
        <v>NULL</v>
      </c>
      <c r="F16" s="214" t="str">
        <f>IF(VLOOKUP(19,'Plate Planning'!$A$1:$T$35,10,FALSE)="", "NULL", VLOOKUP(19,'Plate Planning'!$A$1:$T$35,10,FALSE))</f>
        <v>NULL</v>
      </c>
      <c r="G16" s="214" t="str">
        <f>IF(VLOOKUP(20,'Plate Planning'!$A$1:$T$35,10,FALSE)="", "NULL", VLOOKUP(20,'Plate Planning'!$A$1:$T$35,10,FALSE))</f>
        <v>NULL</v>
      </c>
      <c r="H16" s="214" t="str">
        <f>IF(VLOOKUP(21,'Plate Planning'!$A$1:$T$35,10,FALSE)="", "NULL", VLOOKUP(21,'Plate Planning'!$A$1:$T$35,10,FALSE))</f>
        <v>NULL</v>
      </c>
      <c r="I16" s="214" t="str">
        <f>IF(VLOOKUP(23,'Plate Planning'!$A$1:$T$35,10,FALSE)="", "NULL", VLOOKUP(23,'Plate Planning'!$A$1:$T$35,10,FALSE))</f>
        <v>NULL</v>
      </c>
      <c r="J16" s="214" t="str">
        <f>IF(VLOOKUP(22,'Plate Planning'!$A$1:$T$35,10,FALSE)="", "NULL", VLOOKUP(22,'Plate Planning'!$A$1:$T$35,10,FALSE))</f>
        <v>NULL</v>
      </c>
      <c r="K16" s="214" t="str">
        <f>VLOOKUP(24,'Plate Planning'!$A$1:$T$35,10,FALSE)</f>
        <v>Glovebox</v>
      </c>
      <c r="L16" s="214" t="str">
        <f>IF(VLOOKUP(25,'Plate Planning'!$A$1:$T$35,10,FALSE)="","NULL",VLOOKUP(25,'Plate Planning'!$A$1:$T$35,10,FALSE))</f>
        <v>NULL</v>
      </c>
      <c r="M16" s="214" t="str">
        <f>VLOOKUP(26,'Plate Planning'!$A$1:$T$35,10,FALSE)</f>
        <v>ambient</v>
      </c>
      <c r="N16" s="214" t="str">
        <f>IF(VLOOKUP(27,'Plate Planning'!$A$1:$T$35,10,FALSE)=0,"NULL", VLOOKUP(27,'Plate Planning'!$A$1:$T$35,10,FALSE))</f>
        <v>NULL</v>
      </c>
      <c r="O16" s="214" t="str">
        <f>IF(VLOOKUP(3,'Plate Planning'!$A$2:$S$35,18,FALSE)="", "NULL", VLOOKUP(3,'Plate Planning'!$A$2:$S$35,18,FALSE))</f>
        <v>NULL</v>
      </c>
      <c r="P16" s="214" t="str">
        <f>IF(VLOOKUP(4,'Plate Planning'!$A$2:$S$35,18,FALSE)="", "NULL", VLOOKUP(4,'Plate Planning'!$A$2:$S$35,18,FALSE))</f>
        <v>NULL</v>
      </c>
      <c r="Q16" s="214" t="str">
        <f>IF(VLOOKUP(5,'Plate Planning'!$A$2:$S$35,18,FALSE)="", "NULL", VLOOKUP(5,'Plate Planning'!$A$2:$S$35,18,FALSE))</f>
        <v>NULL</v>
      </c>
      <c r="R16" s="214" t="str">
        <f>IF(VLOOKUP(6,'Plate Planning'!$A$2:$S$35,18,FALSE)="", "NULL", VLOOKUP(6,'Plate Planning'!$A$2:$S$35,18,FALSE))</f>
        <v>NULL</v>
      </c>
      <c r="S16" s="214" t="str">
        <f>IF(VLOOKUP(7,'Plate Planning'!$A$2:$S$35,18,FALSE)="", "NULL", VLOOKUP(7,'Plate Planning'!$A$2:$S$35,18,FALSE))</f>
        <v>NULL</v>
      </c>
      <c r="T16" s="214" t="str">
        <f>IF(VLOOKUP(28,'Plate Planning'!$A$1:$T$35,10,FALSE)=0,"NULL",VLOOKUP(28,'Plate Planning'!$A$1:$T$35,10,FALSE))</f>
        <v>NULL</v>
      </c>
      <c r="U16" s="214" t="str">
        <f>IFERROR(VLOOKUP(VLOOKUP(28,'Plate Planning'!$A$1:$T$35,10,FALSE),Dictionaries!$Q$2:$R$72,2,FALSE), "NULL")</f>
        <v>NULL</v>
      </c>
      <c r="V16" s="214" t="str">
        <f>IF(VLOOKUP(28,'Plate Planning'!$A$1:$T$35,10,FALSE)=0,"NULL",VLOOKUP(32,'Plate Planning'!$A$1:$T$35,10,FALSE))</f>
        <v>NULL</v>
      </c>
      <c r="W16" s="214" t="str">
        <f>IF(VLOOKUP(C16+3,'Plate Planning'!$A$1:$S$35,B16+4,FALSE)=0, "", VLOOKUP(C16+3,'Plate Planning'!$A$1:$S$35,B16+4,FALSE))</f>
        <v/>
      </c>
      <c r="X16" s="214" t="str">
        <f>IFERROR(VLOOKUP(W16,'Complex Variable'!$A$2:$S$25,2,FALSE), "")</f>
        <v/>
      </c>
      <c r="Y16" s="327" t="str">
        <f>IFERROR(VLOOKUP(W16,'Complex Variable'!$A$2:$S$25,3,FALSE), "")</f>
        <v/>
      </c>
      <c r="Z16" s="327" t="str">
        <f>IFERROR(VLOOKUP(W16,'Complex Variable'!$A$2:$S$25,5,FALSE), "")</f>
        <v/>
      </c>
      <c r="AA16" s="327" t="str">
        <f>IFERROR(VLOOKUP(W16,'Complex Variable'!$A$2:$S$25,14,FALSE), "")</f>
        <v/>
      </c>
      <c r="AB16" s="602" t="str">
        <f>IFERROR(VLOOKUP(W16,'Complex Variable'!$A$2:$S$25,19,FALSE), "")</f>
        <v/>
      </c>
      <c r="AC16" s="327" t="str">
        <f>IFERROR(VLOOKUP(W16,'Complex Variable'!$A$2:$S$25,13,FALSE), "")</f>
        <v/>
      </c>
      <c r="AD16" s="604" t="str">
        <f t="shared" si="0"/>
        <v/>
      </c>
      <c r="AE16" s="214">
        <f>VLOOKUP(1,Reagents!$B$1:$M$41,2,FALSE)</f>
        <v>0</v>
      </c>
      <c r="AF16" s="214">
        <f>VLOOKUP(1,Reagents!$B$1:$M$41,3,FALSE)</f>
        <v>0</v>
      </c>
      <c r="AG16" s="214" t="str">
        <f>IF(VLOOKUP(1,Reagents!$B$1:$M$41,5,FALSE)=0, "NULL", VLOOKUP(1,Reagents!$B$1:$M$41,5,FALSE))</f>
        <v>NULL</v>
      </c>
      <c r="AH16" s="214" t="str">
        <f>IF(OR(Reagents!$Q$2="Stock slurry",Reagents!$Q$2="Stock solution"),VLOOKUP(1,Reagents!$B$1:$R$41,13,FALSE), "NULL")</f>
        <v/>
      </c>
      <c r="AI16" s="362" t="str">
        <f>IF(OR(Reagents!$Q$2="Stock slurry",Reagents!$Q$2="Stock solution"),VLOOKUP(1,Reagents!$B$1:$R$41,14,FALSE), VLOOKUP(1,Reagents!$B$1:$R$41,11,FALSE))</f>
        <v/>
      </c>
      <c r="AJ16" s="214">
        <f>VLOOKUP(1,Reagents!$B$1:$R$41,17,FALSE)</f>
        <v>0</v>
      </c>
      <c r="AK16" s="284" t="e">
        <f>IF(OR(VLOOKUP(1,Reagents!$B$1:$M$41,4,FALSE)="solvent_2",VLOOKUP(1,Reagents!$B$1:$M$41,4,FALSE)="solvent_3"),VLOOKUP(1,Reagents!$B$1:$M$41,12,FALSE),IF(OR(Reagents!$Q$2="Stock slurry",Reagents!$Q$2="Stock solution"),AI16*AH16, AI16/VLOOKUP(1,Reagents!$B$1:$R$41,6,FALSE)*1000))</f>
        <v>#VALUE!</v>
      </c>
      <c r="AL16" s="214">
        <f>VLOOKUP(2,Reagents!$B$1:$M$41,2,FALSE)</f>
        <v>0</v>
      </c>
      <c r="AM16" s="214">
        <f>VLOOKUP(2,Reagents!$B$1:$M$41,3,FALSE)</f>
        <v>0</v>
      </c>
      <c r="AN16" s="214" t="str">
        <f>IF(VLOOKUP(2,Reagents!$B$1:$M$41,5,FALSE)=0, "NULL", VLOOKUP(2,Reagents!$B$1:$M$41,5,FALSE))</f>
        <v>NULL</v>
      </c>
      <c r="AO16" s="214" t="str">
        <f>IF(OR(Reagents!$Q$3="Stock slurry",Reagents!$Q$3="Stock solution"),VLOOKUP(2,Reagents!$B$1:$R$41,13,FALSE), "NULL")</f>
        <v/>
      </c>
      <c r="AP16" s="362" t="str">
        <f>IF(OR(Reagents!$Q$3="Stock slurry",Reagents!$Q$3="Stock solution"),VLOOKUP(2,Reagents!$B$1:$R$41,14,FALSE), VLOOKUP(2,Reagents!$B$1:$R$41,11,FALSE))</f>
        <v/>
      </c>
      <c r="AQ16" s="214">
        <f>VLOOKUP(2,Reagents!$B$1:$R$41,17,FALSE)</f>
        <v>0</v>
      </c>
      <c r="AR16" s="284" t="e">
        <f>IF(OR(VLOOKUP(2,Reagents!$B$1:$M$41,4,FALSE)="solvent_2",VLOOKUP(2,Reagents!$B$1:$M$41,4,FALSE)="solvent_3"),VLOOKUP(2,Reagents!$B$1:$M$41,12,FALSE),IF(OR(Reagents!$Q$3="Stock slurry",Reagents!$Q$3="Stock solution"),AP16*AO16, AP16/VLOOKUP(2,Reagents!$B$1:$R$41,6,FALSE)*1000))</f>
        <v>#VALUE!</v>
      </c>
      <c r="AS16" s="214">
        <f>VLOOKUP(3,Reagents!$B$1:$M$41,2,FALSE)</f>
        <v>0</v>
      </c>
      <c r="AT16" s="214">
        <f>VLOOKUP(3,Reagents!$B$1:$M$41,3,FALSE)</f>
        <v>0</v>
      </c>
      <c r="AU16" s="214" t="str">
        <f>IF(VLOOKUP(3,Reagents!$B$1:$M$41,5,FALSE)=0, "NULL", VLOOKUP(3,Reagents!$B$1:$M$41,5,FALSE))</f>
        <v>NULL</v>
      </c>
      <c r="AV16" s="214" t="str">
        <f>IF(OR(Reagents!$Q$4="Stock slurry",Reagents!$Q$4="Stock solution"),VLOOKUP(3,Reagents!$B$1:$R$41,13,FALSE), "NULL")</f>
        <v/>
      </c>
      <c r="AW16" s="362" t="str">
        <f>IF(OR(Reagents!$Q$4="Stock slurry",Reagents!$Q$4="Stock solution"),VLOOKUP(3,Reagents!$B$1:$R$41,14,FALSE), VLOOKUP(3,Reagents!$B$1:$R$41,11,FALSE))</f>
        <v/>
      </c>
      <c r="AX16" s="214">
        <f>VLOOKUP(3,Reagents!$B$1:$R$41,17,FALSE)</f>
        <v>0</v>
      </c>
      <c r="AY16" s="284" t="e">
        <f>IF(OR(VLOOKUP(3,Reagents!$B$1:$M$41,4,FALSE)="solvent_2",VLOOKUP(3,Reagents!$B$1:$M$41,4,FALSE)="solvent_3"),VLOOKUP(3,Reagents!$B$1:$M$41,12,FALSE),IF(OR(Reagents!$Q$4="Stock slurry",Reagents!$Q$4="Stock solution"),AW16*AV16, AW16/VLOOKUP(3,Reagents!$B$1:$R$41,6,FALSE)*1000))</f>
        <v>#VALUE!</v>
      </c>
      <c r="AZ16" s="214">
        <f>VLOOKUP(4,Reagents!$B$1:$M$41,2,FALSE)</f>
        <v>0</v>
      </c>
      <c r="BA16" s="214">
        <f>VLOOKUP(4,Reagents!$B$1:$M$41,3,FALSE)</f>
        <v>0</v>
      </c>
      <c r="BB16" s="214" t="str">
        <f>IF(VLOOKUP(4,Reagents!$B$1:$M$41,5,FALSE)=0, "NULL", VLOOKUP(4,Reagents!$B$1:$M$41,5,FALSE))</f>
        <v>NULL</v>
      </c>
      <c r="BC16" s="214" t="str">
        <f>IF(OR(Reagents!$Q$5="Stock slurry",Reagents!$Q$5="Stock solution"),VLOOKUP(4,Reagents!$B$1:$R$41,13,FALSE), "NULL")</f>
        <v/>
      </c>
      <c r="BD16" s="362" t="str">
        <f>IF(OR(Reagents!$Q$5="Stock slurry",Reagents!$Q$5="Stock solution"),VLOOKUP(4,Reagents!$B$1:$R$41,14,FALSE), VLOOKUP(4,Reagents!$B$1:$R$41,11,FALSE))</f>
        <v/>
      </c>
      <c r="BE16" s="214">
        <f>VLOOKUP(4,Reagents!$B$1:$R$41,17,FALSE)</f>
        <v>0</v>
      </c>
      <c r="BF16" s="284" t="e">
        <f>IF(OR(VLOOKUP(4,Reagents!$B$1:$M$41,4,FALSE)="solvent_2",VLOOKUP(4,Reagents!$B$1:$M$41,4,FALSE)="solvent_3"),VLOOKUP(4,Reagents!$B$1:$M$41,12,FALSE),IF(OR(Reagents!$Q$5="Stock slurry",Reagents!$Q$5="Stock solution"),BD16*BC16, BD16/VLOOKUP(4,Reagents!$B$1:$R$41,6,FALSE)*1000))</f>
        <v>#VALUE!</v>
      </c>
      <c r="BG16" s="214">
        <f>VLOOKUP(5,Reagents!$B$1:$M$41,2,FALSE)</f>
        <v>0</v>
      </c>
      <c r="BH16" s="214">
        <f>VLOOKUP(5,Reagents!$B$1:$M$41,3,FALSE)</f>
        <v>0</v>
      </c>
      <c r="BI16" s="214" t="str">
        <f>IF(VLOOKUP(5,Reagents!$B$1:$M$41,5,FALSE)=0, "NULL", VLOOKUP(5,Reagents!$B$1:$M$41,5,FALSE))</f>
        <v>NULL</v>
      </c>
      <c r="BJ16" s="214" t="str">
        <f>IF(OR(Reagents!$Q$6="Stock slurry",Reagents!$Q$6="Stock solution"),VLOOKUP(5,Reagents!$B$1:$R$41,13,FALSE), "NULL")</f>
        <v/>
      </c>
      <c r="BK16" s="362" t="str">
        <f>IF(OR(Reagents!$Q$6="Stock slurry",Reagents!$Q$6="Stock solution"),VLOOKUP(5,Reagents!$B$1:$R$41,14,FALSE), VLOOKUP(5,Reagents!$B$1:$R$41,11,FALSE))</f>
        <v/>
      </c>
      <c r="BL16" s="214">
        <f>VLOOKUP(5,Reagents!$B$1:$R$41,17,FALSE)</f>
        <v>0</v>
      </c>
      <c r="BM16" s="284" t="e">
        <f>IF(OR(VLOOKUP(5,Reagents!$B$1:$M$41,4,FALSE)="solvent_2",VLOOKUP(5,Reagents!$B$1:$M$41,4,FALSE)="solvent_3"),VLOOKUP(5,Reagents!$B$1:$M$41,12,FALSE),IF(OR(Reagents!$Q$6="Stock slurry",Reagents!$Q$6="Stock solution"),BK16*BJ16, BK16/VLOOKUP(5,Reagents!$B$1:$R$41,6,FALSE)*1000))</f>
        <v>#VALUE!</v>
      </c>
      <c r="BN16" s="214">
        <f>VLOOKUP(6,Reagents!$B$1:$M$41,2,FALSE)</f>
        <v>0</v>
      </c>
      <c r="BO16" s="214">
        <f>VLOOKUP(6,Reagents!$B$1:$M$41,3,FALSE)</f>
        <v>0</v>
      </c>
      <c r="BP16" s="214" t="str">
        <f>IF(VLOOKUP(6,Reagents!$B$1:$M$41,5,FALSE)=0, "NULL", VLOOKUP(6,Reagents!$B$1:$M$41,5,FALSE))</f>
        <v>NULL</v>
      </c>
      <c r="BQ16" s="214" t="str">
        <f>IF(OR(Reagents!$Q$7="Stock slurry",Reagents!$Q$7="Stock solution"),VLOOKUP(6,Reagents!$B$1:$R$41,13,FALSE), "NULL")</f>
        <v/>
      </c>
      <c r="BR16" s="362" t="str">
        <f>IF(OR(Reagents!$Q$7="Stock slurry",Reagents!$Q$7="Stock solution"),VLOOKUP(6,Reagents!$B$1:$R$41,14,FALSE), VLOOKUP(6,Reagents!$B$1:$R$41,11,FALSE))</f>
        <v/>
      </c>
      <c r="BS16" s="214">
        <f>VLOOKUP(6,Reagents!$B$1:$R$41,17,FALSE)</f>
        <v>0</v>
      </c>
      <c r="BT16" s="284" t="e">
        <f>IF(OR(VLOOKUP(6,Reagents!$B$1:$M$41,4,FALSE)="solvent_2",VLOOKUP(6,Reagents!$B$1:$M$41,4,FALSE)="solvent_3"),VLOOKUP(6,Reagents!$B$1:$M$41,12,FALSE),IF(OR(Reagents!$Q$7="Stock slurry",Reagents!$Q$7="Stock solution"),BR16*BQ16, BR16/VLOOKUP(6,Reagents!$B$1:$R$41,6,FALSE)*1000))</f>
        <v>#VALUE!</v>
      </c>
      <c r="BU16" s="214">
        <f>VLOOKUP(7,Reagents!$B$1:$M$41,2,FALSE)</f>
        <v>0</v>
      </c>
      <c r="BV16" s="214">
        <f>VLOOKUP(7,Reagents!$B$1:$M$41,3,FALSE)</f>
        <v>0</v>
      </c>
      <c r="BW16" s="214" t="str">
        <f>IF(VLOOKUP(7,Reagents!$B$1:$M$41,5,FALSE)=0, "NULL", VLOOKUP(7,Reagents!$B$1:$M$41,5,FALSE))</f>
        <v>NULL</v>
      </c>
      <c r="BX16" s="214" t="str">
        <f>IF(OR(Reagents!$Q$8="Stock slurry",Reagents!$Q$8="Stock solution"),VLOOKUP(7,Reagents!$B$1:$R$41,13,FALSE), "NULL")</f>
        <v/>
      </c>
      <c r="BY16" s="362" t="str">
        <f>IF(OR(Reagents!$Q$8="Stock slurry",Reagents!$Q$8="Stock solution"),VLOOKUP(7,Reagents!$B$1:$R$41,14,FALSE), VLOOKUP(7,Reagents!$B$1:$R$41,11,FALSE))</f>
        <v/>
      </c>
      <c r="BZ16" s="214">
        <f>VLOOKUP(7,Reagents!$B$1:$R$41,17,FALSE)</f>
        <v>0</v>
      </c>
      <c r="CA16" s="284" t="e">
        <f>IF(OR(VLOOKUP(7,Reagents!$B$1:$M$41,4,FALSE)="solvent_2",VLOOKUP(7,Reagents!$B$1:$M$41,4,FALSE)="solvent_3"),VLOOKUP(7,Reagents!$B$1:$M$41,12,FALSE),IF(OR(Reagents!$Q$8="Stock slurry",Reagents!$Q$8="Stock solution"),BY16*BX16, BY16/VLOOKUP(7,Reagents!$B$1:$R$41,6,FALSE)*1000))</f>
        <v>#VALUE!</v>
      </c>
      <c r="CB16" s="214">
        <f>VLOOKUP(8,Reagents!$B$1:$M$41,2,FALSE)</f>
        <v>0</v>
      </c>
      <c r="CC16" s="214">
        <f>VLOOKUP(8,Reagents!$B$1:$M$41,3,FALSE)</f>
        <v>0</v>
      </c>
      <c r="CD16" s="214" t="str">
        <f>IF(VLOOKUP(8,Reagents!$B$1:$M$41,5,FALSE)=0, "NULL", VLOOKUP(8,Reagents!$B$1:$M$41,5,FALSE))</f>
        <v>NULL</v>
      </c>
      <c r="CE16" s="214" t="str">
        <f>IF(OR(Reagents!$Q$9="Stock slurry",Reagents!$Q$9="Stock solution"),VLOOKUP(8,Reagents!$B$1:$R$41,13,FALSE), "NULL")</f>
        <v/>
      </c>
      <c r="CF16" s="362" t="str">
        <f>IF(OR(Reagents!$Q$9="Stock slurry",Reagents!$Q$9="Stock solution"),VLOOKUP(8,Reagents!$B$1:$R$41,14,FALSE), VLOOKUP(8,Reagents!$B$1:$R$41,11,FALSE))</f>
        <v/>
      </c>
      <c r="CG16" s="214">
        <f>VLOOKUP(8,Reagents!$B$1:$R$41,17,FALSE)</f>
        <v>0</v>
      </c>
      <c r="CH16" s="284" t="e">
        <f>IF(OR(VLOOKUP(8,Reagents!$B$1:$M$41,4,FALSE)="solvent_2",VLOOKUP(8,Reagents!$B$1:$M$41,4,FALSE)="solvent_3"),VLOOKUP(8,Reagents!$B$1:$M$41,12,FALSE),IF(OR(Reagents!$Q$9="Stock slurry",Reagents!$Q$9="Stock solution"),CF16*CE16, CF16/VLOOKUP(8,Reagents!$B$1:$R$41,6,FALSE)*1000))</f>
        <v>#VALUE!</v>
      </c>
      <c r="CI16" s="214">
        <f>VLOOKUP(9,Reagents!$B$1:$M$41,2,FALSE)</f>
        <v>0</v>
      </c>
      <c r="CJ16" s="214">
        <f>VLOOKUP(9,Reagents!$B$1:$M$41,3,FALSE)</f>
        <v>0</v>
      </c>
      <c r="CK16" s="214" t="str">
        <f>IF(VLOOKUP(9,Reagents!$B$1:$M$41,5,FALSE)=0, "NULL", VLOOKUP(9,Reagents!$B$1:$M$41,5,FALSE))</f>
        <v>NULL</v>
      </c>
      <c r="CL16" s="214" t="str">
        <f>IF(OR(Reagents!$Q$10="Stock slurry",Reagents!$Q$10="Stock solution"),VLOOKUP(9,Reagents!$B$1:$R$41,13,FALSE), "NULL")</f>
        <v/>
      </c>
      <c r="CM16" s="362" t="str">
        <f>IF(OR(Reagents!$Q$10="Stock slurry",Reagents!$Q$10="Stock solution"),VLOOKUP(9,Reagents!$B$1:$R$41,14,FALSE), VLOOKUP(9,Reagents!$B$1:$R$41,11,FALSE))</f>
        <v/>
      </c>
      <c r="CN16" s="214">
        <f>VLOOKUP(9,Reagents!$B$1:$R$41,17,FALSE)</f>
        <v>0</v>
      </c>
      <c r="CO16" s="284" t="e">
        <f>IF(OR(VLOOKUP(9,Reagents!$B$1:$M$41,4,FALSE)="solvent_2",VLOOKUP(9,Reagents!$B$1:$M$41,4,FALSE)="solvent_3"),VLOOKUP(9,Reagents!$B$1:$M$41,12,FALSE),IF(OR(Reagents!$Q$10="Stock slurry",Reagents!$Q$10="Stock solution"),CM16*CL16, CM16/VLOOKUP(9,Reagents!$B$1:$R$41,6,FALSE)*1000))</f>
        <v>#VALUE!</v>
      </c>
      <c r="CP16" s="214">
        <f>VLOOKUP(10,Reagents!$B$1:$M$41,2,FALSE)</f>
        <v>0</v>
      </c>
      <c r="CQ16" s="214">
        <f>VLOOKUP(10,Reagents!$B$1:$M$41,3,FALSE)</f>
        <v>0</v>
      </c>
      <c r="CR16" s="214" t="str">
        <f>IF(VLOOKUP(10,Reagents!$B$1:$M$41,5,FALSE)=0, "NULL", VLOOKUP(10,Reagents!$B$1:$M$41,5,FALSE))</f>
        <v>NULL</v>
      </c>
      <c r="CS16" s="214" t="str">
        <f>IF(OR(Reagents!$Q$11="Stock slurry",Reagents!$Q$11="Stock solution"),VLOOKUP(10,Reagents!$B$1:$R$41,13,FALSE), "NULL")</f>
        <v/>
      </c>
      <c r="CT16" s="362" t="str">
        <f>IF(OR(Reagents!$Q$11="Stock slurry",Reagents!$Q$11="Stock solution"),VLOOKUP(10,Reagents!$B$1:$R$41,14,FALSE), VLOOKUP(10,Reagents!$B$1:$R$41,11,FALSE))</f>
        <v/>
      </c>
      <c r="CU16" s="214">
        <f>VLOOKUP(10,Reagents!$B$1:$R$41,17,FALSE)</f>
        <v>0</v>
      </c>
      <c r="CV16" s="284" t="e">
        <f>IF(OR(VLOOKUP(10,Reagents!$B$1:$M$41,4,FALSE)="solvent_2",VLOOKUP(10,Reagents!$B$1:$M$41,4,FALSE)="solvent_3"),VLOOKUP(10,Reagents!$B$1:$M$41,12,FALSE),IF(OR(Reagents!$Q$11="Stock slurry",Reagents!$Q$11="Stock solution"),CT16*CS16, CT16/VLOOKUP(10,Reagents!$B$1:$R$41,6,FALSE)*1000))</f>
        <v>#VALUE!</v>
      </c>
      <c r="CW16" s="214" t="str">
        <f>VLOOKUP(B16+10,Reagents!$B$1:$R$41,2,FALSE)</f>
        <v/>
      </c>
      <c r="CX16" s="214">
        <f>VLOOKUP(B16+10,Reagents!$B$1:$R$41,3,FALSE)</f>
        <v>0</v>
      </c>
      <c r="CY16" s="214" t="str">
        <f>IF(VLOOKUP(B16+10,Reagents!$B$1:$M$41,5,FALSE)=0, "NULL", VLOOKUP(B16+10,Reagents!$B$1:$M$41,5,FALSE))</f>
        <v>NULL</v>
      </c>
      <c r="CZ16" s="214" t="str">
        <f>IF(OR(Reagents!$Q$12="Stock slurry",Reagents!$Q$12="Stock solution"),VLOOKUP(B16+10,Reagents!$B$1:$R$41,13,FALSE), "NULL")</f>
        <v/>
      </c>
      <c r="DA16" s="362" t="str">
        <f>IF(OR(Reagents!$Q$12="Stock slurry",Reagents!$Q$12="Stock solution"),VLOOKUP(B16+10,Reagents!$B$1:$R$41,14,FALSE), VLOOKUP(B16+10,Reagents!$B$1:$R$41,11,FALSE))</f>
        <v/>
      </c>
      <c r="DB16" s="214">
        <f>VLOOKUP(B16+10,Reagents!$B$1:$R$41,17,FALSE)</f>
        <v>0</v>
      </c>
      <c r="DC16" s="284" t="e">
        <f>IF(OR(v1_col="solvent_2",v1_col="solvent_3"),VLOOKUP(B16+10,Reagents!$B$1:$M$41,12,FALSE),IF(OR(Reagents!$Q$12="Stock slurry",Reagents!$Q$12="Stock solution"),DA16*CZ16, DA16/VLOOKUP(B16+10,Reagents!$B$1:$R$41,6,FALSE)*1000))</f>
        <v>#VALUE!</v>
      </c>
      <c r="DD16" s="214" t="str">
        <f>VLOOKUP(B16+22,Reagents!$B$1:$M$41,2,FALSE)</f>
        <v/>
      </c>
      <c r="DE16" s="214">
        <f>VLOOKUP(B16+22,Reagents!$B$1:$R$41,3,FALSE)</f>
        <v>0</v>
      </c>
      <c r="DF16" s="214" t="str">
        <f>IF(VLOOKUP(B16+22,Reagents!$B$1:$M$41,5,FALSE)=0, "NULL", VLOOKUP(B16+22,Reagents!$B$1:$M$41,5,FALSE))</f>
        <v>NULL</v>
      </c>
      <c r="DG16" s="214" t="str">
        <f>IF(OR(Reagents!$Q$18="Stock slurry",Reagents!$Q$12="Stock solution"),VLOOKUP(B16+22,Reagents!$B$1:$R$41,13,FALSE), "NULL")</f>
        <v/>
      </c>
      <c r="DH16" s="362" t="str">
        <f>IF(OR(Reagents!$Q$18="Stock slurry",Reagents!$Q$18="Stock solution"),VLOOKUP(B16+22,Reagents!$B$1:$R$41,14,FALSE), VLOOKUP(B16+22,Reagents!$B$1:$R$41,11,FALSE))</f>
        <v/>
      </c>
      <c r="DI16" s="214">
        <f>VLOOKUP(B16+22,Reagents!$B$1:$R$41,17,FALSE)</f>
        <v>0</v>
      </c>
      <c r="DJ16" s="284" t="e">
        <f>IF(OR(v2_col="solvent_2",v2_col="solvent_3"),VLOOKUP(B16+22,Reagents!$B$1:$M$41,12,FALSE),IF(OR(Reagents!$Q$18="Stock slurry",Reagents!$Q$18="Stock solution"),DH16*DG16, DH16/VLOOKUP(B16+22,Reagents!$B$1:$R$41,6,FALSE)*1000))</f>
        <v>#VALUE!</v>
      </c>
      <c r="DK16" s="214" t="str">
        <f>VLOOKUP(B16+34,Reagents!$B$1:$M$41,2,FALSE)</f>
        <v/>
      </c>
      <c r="DL16" s="214">
        <f>VLOOKUP(B16+34,Reagents!$B$1:$R$41,3,FALSE)</f>
        <v>0</v>
      </c>
      <c r="DM16" s="214" t="str">
        <f>IF(VLOOKUP(B16+34,Reagents!$B$1:$M$41,5,FALSE)=0, "NULL", VLOOKUP(B16+34,Reagents!$B$1:$M$41,5,FALSE))</f>
        <v>NULL</v>
      </c>
      <c r="DN16" s="214" t="str">
        <f>IF(OR(Reagents!$Q$24="Stock slurry",Reagents!$Q$12="Stock solution"),VLOOKUP(B16+34,Reagents!$B$1:$R$41,13,FALSE), "NULL")</f>
        <v/>
      </c>
      <c r="DO16" s="362" t="str">
        <f>IF(OR(Reagents!$Q$24="Stock slurry",Reagents!$Q$24="Stock solution"),VLOOKUP(B16+34,Reagents!$B$1:$R$41,14,FALSE), VLOOKUP(B16+34,Reagents!$B$1:$R$41,11,FALSE))</f>
        <v/>
      </c>
      <c r="DP16" s="214">
        <f>VLOOKUP(B16+34,Reagents!$B$1:$R$41,17,FALSE)</f>
        <v>0</v>
      </c>
      <c r="DQ16" s="284" t="e">
        <f>IF(OR(v3_col="solvent_2",v3_col="solvent_3"),VLOOKUP(B16+34,Reagents!$B$1:$M$41,12,FALSE),IF(OR(Reagents!$Q$24="Stock slurry",Reagents!$Q$24="Stock solution"),DO16*DN16, DO16/VLOOKUP(B16+34,Reagents!$B$1:$R$41,6,FALSE)*1000))</f>
        <v>#VALUE!</v>
      </c>
      <c r="DR16" s="214" t="str">
        <f>VLOOKUP(C16+46,Reagents!$B$1:$M$41,2,FALSE)</f>
        <v/>
      </c>
      <c r="DS16" s="214">
        <f>VLOOKUP(C16+46,Reagents!$B$1:$M$41,3,FALSE)</f>
        <v>0</v>
      </c>
      <c r="DT16" s="214" t="str">
        <f>IF(VLOOKUP(C16+46,Reagents!$B$1:$M$41,5,FALSE)=0, "NULL", VLOOKUP(C16+46,Reagents!$B$1:$M$41,5,FALSE))</f>
        <v>NULL</v>
      </c>
      <c r="DU16" s="214" t="str">
        <f>IF(OR(Reagents!$Q$30="Stock slurry",Reagents!$Q$30="Stock solution"),VLOOKUP(C16+46,Reagents!$B$1:$R$41,13,FALSE), "NULL")</f>
        <v/>
      </c>
      <c r="DV16" s="362" t="str">
        <f>IF(OR(Reagents!$Q$30="Stock slurry",Reagents!$Q$30="Stock solution"),VLOOKUP(C16+46,Reagents!$B$1:$R$41,14,FALSE), VLOOKUP(C16+46,Reagents!$B$1:$R$41,11,FALSE))</f>
        <v/>
      </c>
      <c r="DW16" s="214">
        <f>VLOOKUP(C16+46,Reagents!$B$1:$R$41,17,FALSE)</f>
        <v>0</v>
      </c>
      <c r="DX16" s="284" t="e">
        <f>IF(OR(v4_row="solvent_2",v4_row="solvent_3"),VLOOKUP(C16+46,Reagents!$B$1:$M$41,12,FALSE),IF(OR(Reagents!$Q$30="Stock slurry",Reagents!$Q$30="Stock solution"),DV16*DU16, DV16/VLOOKUP(C16+46,Reagents!$B$1:$R$41,6,FALSE)*1000))</f>
        <v>#VALUE!</v>
      </c>
      <c r="DY16" s="214" t="str">
        <f>VLOOKUP(C16+54,Reagents!$B$1:$M$41,2,FALSE)</f>
        <v/>
      </c>
      <c r="DZ16" s="214">
        <f>VLOOKUP(C16+54,Reagents!$B$1:$M$41,3,FALSE)</f>
        <v>0</v>
      </c>
      <c r="EA16" s="214" t="str">
        <f>IF(VLOOKUP(C16+54,Reagents!$B$1:$M$41,5,FALSE)=0, "NULL", VLOOKUP(C16+54,Reagents!$B$1:$M$41,5,FALSE))</f>
        <v>NULL</v>
      </c>
      <c r="EB16" s="214" t="str">
        <f>IF(OR(Reagents!$Q$34="Stock slurry",Reagents!$Q$34="Stock solution"),VLOOKUP(C16+54,Reagents!$B$1:$R$41,13,FALSE), "NULL")</f>
        <v/>
      </c>
      <c r="EC16" s="362" t="str">
        <f>IF(OR(Reagents!$Q$34="Stock slurry",Reagents!$Q$34="Stock solution"),VLOOKUP(C16+54,Reagents!$B$1:$R$41,14,FALSE), VLOOKUP(C16+54,Reagents!$B$1:$R$41,11,FALSE))</f>
        <v/>
      </c>
      <c r="ED16" s="214">
        <f>VLOOKUP(C16+54,Reagents!$B$1:$R$41,17,FALSE)</f>
        <v>0</v>
      </c>
      <c r="EE16" s="284" t="e">
        <f>IF(OR(v5_row="solvent_2",v5_row="solvent_3"),VLOOKUP(C16+54,Reagents!$B$1:$M$41,12,FALSE),IF(OR(Reagents!$Q$34="Stock slurry",Reagents!$Q$34="Stock solution"),EC16*EB16, EC16/VLOOKUP(C16+54,Reagents!$B$1:$R$41,6,FALSE)*1000))</f>
        <v>#VALUE!</v>
      </c>
      <c r="EF16" s="214" t="str">
        <f>VLOOKUP(C16+62,Reagents!$B$1:$M$41,2,FALSE)</f>
        <v/>
      </c>
      <c r="EG16" s="214">
        <f>VLOOKUP(C16+62,Reagents!$B$1:$M$41,3,FALSE)</f>
        <v>0</v>
      </c>
      <c r="EH16" s="214" t="str">
        <f>IF(VLOOKUP(C16+62,Reagents!$B$1:$M$41,5,FALSE)=0, "NULL", VLOOKUP(C16+62,Reagents!$B$1:$M$41,5,FALSE))</f>
        <v>NULL</v>
      </c>
      <c r="EI16" s="214" t="str">
        <f>IF(OR(Reagents!$Q$38="Stock slurry",Reagents!$Q$38="Stock solution"),VLOOKUP(C16+62,Reagents!$B$1:$R$41,13,FALSE), "NULL")</f>
        <v/>
      </c>
      <c r="EJ16" s="362" t="str">
        <f>IF(OR(Reagents!$Q$38="Stock slurry",Reagents!$Q$38="Stock solution"),VLOOKUP(C16+62,Reagents!$B$1:$R$41,14,FALSE), VLOOKUP(C16+62,Reagents!$B$1:$R$41,11,FALSE))</f>
        <v/>
      </c>
      <c r="EK16" s="214">
        <f>VLOOKUP(C16+62,Reagents!$B$1:$R$41,17,FALSE)</f>
        <v>0</v>
      </c>
      <c r="EL16" s="284" t="e">
        <f>IF(OR(v6_row="solvent_2",v6_row="solvent_3"),VLOOKUP(C16+62,Reagents!$B$1:$M$41,12,FALSE),IF(OR(Reagents!$Q$38="Stock slurry",Reagents!$Q$38="Stock solution"),EJ16*EI16, EJ16/VLOOKUP(C16+62,Reagents!$B$1:$R$41,6,FALSE)*1000))</f>
        <v>#VALUE!</v>
      </c>
      <c r="EM16" s="214">
        <f>VLOOKUP(19,'Plate Planning'!$A$1:$T$35,13,FALSE)</f>
        <v>0</v>
      </c>
      <c r="EN16" s="214">
        <f>VLOOKUP(19,'Plate Planning'!$A$1:$T$35,14,FALSE)</f>
        <v>0</v>
      </c>
      <c r="EO16" s="214">
        <f>VLOOKUP(19,'Plate Planning'!$A$1:$T$35,15,FALSE)</f>
        <v>0</v>
      </c>
      <c r="EP16" s="214">
        <f>VLOOKUP(A16,'Uncorrected Area Counts'!$A$1:$AS$27,3,FALSE)</f>
        <v>0</v>
      </c>
      <c r="EQ16" s="214" t="str">
        <f>VLOOKUP(A16,'Uncorrected Area Counts'!$A$1:$AS$27,4,FALSE)</f>
        <v/>
      </c>
      <c r="ER16" s="214" t="str">
        <f>VLOOKUP(A16,'Uncorrected Area Counts'!$A$1:$AS$27,5,FALSE)</f>
        <v/>
      </c>
      <c r="ES16" s="214">
        <f>VLOOKUP(20,'Plate Planning'!$A$1:$T$35,15,FALSE)</f>
        <v>0</v>
      </c>
      <c r="ET16" s="214">
        <f>VLOOKUP(A16,'Uncorrected Area Counts'!$A$1:$AS$27,7,FALSE)</f>
        <v>0</v>
      </c>
      <c r="EU16" s="214" t="e">
        <f>VLOOKUP(A16,'Uncorrected Area Counts'!$A$1:$AS$27,7,FALSE)/VLOOKUP(A16,'Uncorrected Area Counts'!$A$1:$AS$27,3,FALSE)</f>
        <v>#DIV/0!</v>
      </c>
      <c r="EV16" s="214" t="str">
        <f>IFERROR(VLOOKUP(A16,'Yields &amp; LCAPs'!$A$1:$V$27,3,FALSE), "NULL")</f>
        <v>NULL</v>
      </c>
      <c r="EW16" s="284" t="str">
        <f>IFERROR(VLOOKUP(A16,'Yields &amp; LCAPs'!$A$1:$V$27,4,FALSE), "NULL")</f>
        <v>NULL</v>
      </c>
      <c r="EX16" s="214" t="str">
        <f>VLOOKUP(A16,'Uncorrected Area Counts'!$A$1:$AS$27,8,FALSE)</f>
        <v/>
      </c>
      <c r="EY16" s="214" t="str">
        <f>VLOOKUP(A16,'Uncorrected Area Counts'!$A$1:$AS$27,9,FALSE)</f>
        <v/>
      </c>
      <c r="EZ16" s="214">
        <f>VLOOKUP(22,'Plate Planning'!$A$1:$T$35,15,FALSE)</f>
        <v>0</v>
      </c>
      <c r="FA16" s="214">
        <f>VLOOKUP(A16,'Uncorrected Area Counts'!$A$1:$AS$27,11,FALSE)</f>
        <v>0</v>
      </c>
      <c r="FB16" s="214" t="e">
        <f>VLOOKUP(A16,'Uncorrected Area Counts'!$A$1:$AS$27,11,FALSE)/VLOOKUP(A16,'Uncorrected Area Counts'!$A$1:$AS$27,3,FALSE)</f>
        <v>#DIV/0!</v>
      </c>
      <c r="FC16" s="214" t="str">
        <f>IFERROR(VLOOKUP(A16,'Yields &amp; LCAPs'!$A$1:$V$27,5,FALSE), "NULL")</f>
        <v>NULL</v>
      </c>
      <c r="FD16" s="284" t="str">
        <f>IFERROR(VLOOKUP(A16,'Yields &amp; LCAPs'!$A$1:$V$27,6,FALSE), "NULL")</f>
        <v>NULL</v>
      </c>
      <c r="FE16" s="214" t="str">
        <f>VLOOKUP(A16,'Uncorrected Area Counts'!$A$1:$AS$27,12,FALSE)</f>
        <v/>
      </c>
      <c r="FF16" s="214" t="str">
        <f>VLOOKUP(A16,'Uncorrected Area Counts'!$A$1:$AS$27,13,FALSE)</f>
        <v/>
      </c>
      <c r="FG16" s="214">
        <f>VLOOKUP(24,'Plate Planning'!$A$1:$T$35,15,FALSE)</f>
        <v>0</v>
      </c>
      <c r="FH16" s="214">
        <f>VLOOKUP(A16,'Uncorrected Area Counts'!$A$1:$AS$27,15,FALSE)</f>
        <v>0</v>
      </c>
      <c r="FI16" s="214" t="e">
        <f>VLOOKUP(A16,'Uncorrected Area Counts'!$A$1:$AS$27,15,FALSE)/VLOOKUP(A16,'Uncorrected Area Counts'!$A$1:$AS$27,3,FALSE)</f>
        <v>#DIV/0!</v>
      </c>
      <c r="FJ16" s="214" t="str">
        <f>IFERROR(VLOOKUP(A16,'Yields &amp; LCAPs'!$A$1:$V$27,7,FALSE), "NULL")</f>
        <v>NULL</v>
      </c>
      <c r="FK16" s="284" t="str">
        <f>IFERROR(VLOOKUP(A16,'Yields &amp; LCAPs'!$A$1:$V$27,8,FALSE), "NULL")</f>
        <v>NULL</v>
      </c>
      <c r="FL16" s="214" t="str">
        <f>VLOOKUP(A16,'Uncorrected Area Counts'!$A$1:$AS$27,16,FALSE)</f>
        <v/>
      </c>
      <c r="FM16" s="214" t="str">
        <f>VLOOKUP(A16,'Uncorrected Area Counts'!$A$1:$AS$27,17,FALSE)</f>
        <v/>
      </c>
      <c r="FN16" s="214">
        <f>VLOOKUP(26,'Plate Planning'!$A$1:$T$35,15,FALSE)</f>
        <v>0</v>
      </c>
      <c r="FO16" s="214">
        <f>VLOOKUP(A16,'Uncorrected Area Counts'!$A$1:$AS$27,19,FALSE)</f>
        <v>0</v>
      </c>
      <c r="FP16" s="214" t="e">
        <f>VLOOKUP(A16,'Uncorrected Area Counts'!$A$1:$AS$27,19,FALSE)/VLOOKUP(A16,'Uncorrected Area Counts'!$A$1:$AS$27,3,FALSE)</f>
        <v>#DIV/0!</v>
      </c>
      <c r="FQ16" s="214" t="str">
        <f>IFERROR(VLOOKUP(A16,'Yields &amp; LCAPs'!$A$1:$V$27,9,FALSE), "NULL")</f>
        <v>NULL</v>
      </c>
      <c r="FR16" s="284" t="str">
        <f>IFERROR(VLOOKUP(A16,'Yields &amp; LCAPs'!$A$1:$V$27,10,FALSE), "NULL")</f>
        <v>NULL</v>
      </c>
      <c r="FS16" s="214" t="str">
        <f>VLOOKUP(A16,'Uncorrected Area Counts'!$A$1:$AS$27,20,FALSE)</f>
        <v/>
      </c>
      <c r="FT16" s="214" t="str">
        <f>VLOOKUP(A16,'Uncorrected Area Counts'!$A$1:$AS$27,21,FALSE)</f>
        <v/>
      </c>
      <c r="FU16" s="214">
        <f>VLOOKUP(27,'Plate Planning'!$A$1:$T$35,15,FALSE)</f>
        <v>0</v>
      </c>
      <c r="FV16" s="214">
        <f>VLOOKUP(A16,'Uncorrected Area Counts'!$A$1:$AS$27,23,FALSE)</f>
        <v>0</v>
      </c>
      <c r="FW16" s="214" t="e">
        <f>VLOOKUP(A16,'Uncorrected Area Counts'!$A$1:$AS$27,23,FALSE)/VLOOKUP(A16,'Uncorrected Area Counts'!$A$1:$AS$27,3,FALSE)</f>
        <v>#DIV/0!</v>
      </c>
      <c r="FX16" s="214" t="str">
        <f>IFERROR(VLOOKUP(A16,'Yields &amp; LCAPs'!$A$1:$V$27,11,FALSE), "NULL")</f>
        <v>NULL</v>
      </c>
      <c r="FY16" s="284" t="str">
        <f>IFERROR(VLOOKUP(A16,'Yields &amp; LCAPs'!$A$1:$V$27,12,FALSE), "NULL")</f>
        <v>NULL</v>
      </c>
      <c r="FZ16" s="411" t="str">
        <f>VLOOKUP(A16,'Uncorrected Area Counts'!$A$1:$AS$27,24,FALSE)</f>
        <v/>
      </c>
      <c r="GA16" s="214" t="str">
        <f>VLOOKUP(A16,'Uncorrected Area Counts'!$A$1:$AS$27,25,FALSE)</f>
        <v/>
      </c>
      <c r="GB16" s="214">
        <f>VLOOKUP(28,'Plate Planning'!$A$1:$T$35,15,FALSE)</f>
        <v>0</v>
      </c>
      <c r="GC16" s="214">
        <f>VLOOKUP(A16,'Uncorrected Area Counts'!$A$1:$AS$27,27,FALSE)</f>
        <v>0</v>
      </c>
      <c r="GD16" s="214" t="e">
        <f>VLOOKUP(A16,'Uncorrected Area Counts'!$A$1:$AS$27,27,FALSE)/VLOOKUP(A16,'Uncorrected Area Counts'!$A$1:$AS$27,3,FALSE)</f>
        <v>#DIV/0!</v>
      </c>
      <c r="GE16" s="214" t="str">
        <f>IFERROR(VLOOKUP(A16,'Yields &amp; LCAPs'!$A$1:$V$27,13,FALSE), "NULL")</f>
        <v>NULL</v>
      </c>
      <c r="GF16" s="284" t="str">
        <f>IFERROR(VLOOKUP(A16,'Yields &amp; LCAPs'!$A$1:$V$27,14,FALSE), "NULL")</f>
        <v>NULL</v>
      </c>
      <c r="GG16" s="214" t="str">
        <f>VLOOKUP(A16,'Uncorrected Area Counts'!$A$1:$AS$27,28,FALSE)</f>
        <v/>
      </c>
      <c r="GH16" s="214" t="str">
        <f>VLOOKUP(A16,'Uncorrected Area Counts'!$A$1:$AS$27,29,FALSE)</f>
        <v/>
      </c>
      <c r="GI16" s="214">
        <f>VLOOKUP(29,'Plate Planning'!$A$1:$T$35,15,FALSE)</f>
        <v>0</v>
      </c>
      <c r="GJ16" s="214">
        <f>VLOOKUP(A16,'Uncorrected Area Counts'!$A$1:$AS$27,31,FALSE)</f>
        <v>0</v>
      </c>
      <c r="GK16" s="214" t="e">
        <f>VLOOKUP(A16,'Uncorrected Area Counts'!$A$1:$AS$27,31,FALSE)/VLOOKUP(A16,'Uncorrected Area Counts'!$A$1:$AS$27,3,FALSE)</f>
        <v>#DIV/0!</v>
      </c>
      <c r="GL16" s="214" t="str">
        <f>IFERROR(VLOOKUP(A16,'Yields &amp; LCAPs'!$A$1:$V$27,15,FALSE), "NULL")</f>
        <v>NULL</v>
      </c>
      <c r="GM16" s="284" t="str">
        <f>IFERROR(VLOOKUP(A16,'Yields &amp; LCAPs'!$A$1:$V$27,16,FALSE), "NULL")</f>
        <v>NULL</v>
      </c>
      <c r="GN16" s="214" t="str">
        <f>VLOOKUP(A16,'Uncorrected Area Counts'!$A$1:$AS$27,32,FALSE)</f>
        <v/>
      </c>
      <c r="GO16" s="214" t="str">
        <f>VLOOKUP(A16,'Uncorrected Area Counts'!$A$1:$AS$27,33,FALSE)</f>
        <v/>
      </c>
      <c r="GP16" s="214">
        <f>VLOOKUP(30,'Plate Planning'!$A$1:$T$35,15,FALSE)</f>
        <v>0</v>
      </c>
      <c r="GQ16" s="214">
        <f>VLOOKUP(A16,'Uncorrected Area Counts'!$A$1:$AS$27,35,FALSE)</f>
        <v>0</v>
      </c>
      <c r="GR16" s="214" t="e">
        <f>VLOOKUP(A16,'Uncorrected Area Counts'!$A$1:$AS$27,35,FALSE)/VLOOKUP(A16,'Uncorrected Area Counts'!$A$1:$AS$27,3,FALSE)</f>
        <v>#DIV/0!</v>
      </c>
      <c r="GS16" s="214" t="str">
        <f>IFERROR(VLOOKUP(A16,'Yields &amp; LCAPs'!$A$1:$V$27,17,FALSE), "NULL")</f>
        <v>NULL</v>
      </c>
      <c r="GT16" s="284" t="str">
        <f>IFERROR(VLOOKUP(A16,'Yields &amp; LCAPs'!$A$1:$V$27,18,FALSE), "NULL")</f>
        <v>NULL</v>
      </c>
      <c r="GU16" s="214" t="str">
        <f>VLOOKUP(A16,'Uncorrected Area Counts'!$A$1:$AS$27,36,FALSE)</f>
        <v/>
      </c>
      <c r="GV16" s="214" t="str">
        <f>VLOOKUP(A16,'Uncorrected Area Counts'!$A$1:$AS$27,37,FALSE)</f>
        <v/>
      </c>
      <c r="GW16" s="214">
        <f>VLOOKUP(31,'Plate Planning'!$A$1:$T$35,15,FALSE)</f>
        <v>0</v>
      </c>
      <c r="GX16" s="214">
        <f>VLOOKUP(A16,'Uncorrected Area Counts'!$A$1:$AS$27,39,FALSE)</f>
        <v>0</v>
      </c>
      <c r="GY16" s="214" t="e">
        <f>VLOOKUP(A16,'Uncorrected Area Counts'!$A$1:$AS$27,39,FALSE)/VLOOKUP(A16,'Uncorrected Area Counts'!$A$1:$AS$27,3,FALSE)</f>
        <v>#DIV/0!</v>
      </c>
      <c r="GZ16" s="214" t="str">
        <f>IFERROR(VLOOKUP(A16,'Yields &amp; LCAPs'!$A$1:$V$27,19,FALSE), "NULL")</f>
        <v>NULL</v>
      </c>
      <c r="HA16" s="284" t="str">
        <f>IFERROR(VLOOKUP(A16,'Yields &amp; LCAPs'!$A$1:$V$27,20,FALSE), "NULL")</f>
        <v>NULL</v>
      </c>
      <c r="HB16" s="214" t="str">
        <f>VLOOKUP(A16,'Uncorrected Area Counts'!$A$1:$AS$27,40,FALSE)</f>
        <v/>
      </c>
      <c r="HC16" s="214" t="str">
        <f>VLOOKUP(A16,'Uncorrected Area Counts'!$A$1:$AS$27,41,FALSE)</f>
        <v/>
      </c>
      <c r="HD16" s="214">
        <f>VLOOKUP(32,'Plate Planning'!$A$1:$T$35,15,FALSE)</f>
        <v>0</v>
      </c>
      <c r="HE16" s="214">
        <f>VLOOKUP(A16,'Uncorrected Area Counts'!$A$1:$AS$27,43,FALSE)</f>
        <v>0</v>
      </c>
      <c r="HF16" s="214" t="e">
        <f>VLOOKUP(A16,'Uncorrected Area Counts'!$A$1:$AS$27,43,FALSE)/VLOOKUP(A16,'Uncorrected Area Counts'!$A$1:$AS$27,3,FALSE)</f>
        <v>#DIV/0!</v>
      </c>
      <c r="HG16" s="214" t="str">
        <f>IFERROR(VLOOKUP(A16,'Yields &amp; LCAPs'!$A$1:$V$27,21,FALSE), "NULL")</f>
        <v>NULL</v>
      </c>
      <c r="HH16" s="284" t="str">
        <f>IFERROR(VLOOKUP(A16,'Yields &amp; LCAPs'!$A$1:$V$27,22,FALSE), "NULL")</f>
        <v>NULL</v>
      </c>
      <c r="HI16" s="362"/>
      <c r="HJ16" s="362"/>
      <c r="HK16" s="362"/>
      <c r="HL16" s="362"/>
      <c r="HM16" s="363"/>
      <c r="HN16" s="362"/>
      <c r="HO16" s="362"/>
      <c r="HP16" s="362"/>
      <c r="HQ16" s="362"/>
      <c r="HR16" s="363"/>
    </row>
    <row r="17" spans="1:226">
      <c r="A17" s="216" t="s">
        <v>1188</v>
      </c>
      <c r="B17" s="214">
        <v>4</v>
      </c>
      <c r="C17" s="214">
        <v>3</v>
      </c>
      <c r="D17" s="214" t="str">
        <f>VLOOKUP(18,'Plate Planning'!$A$1:$T$35,10,FALSE)&amp;"_"&amp;VLOOKUP(19,'Plate Planning'!$A$1:$T$35,10,FALSE)&amp;"_"&amp;A17</f>
        <v>__C4</v>
      </c>
      <c r="E17" s="214" t="str">
        <f>IF(VLOOKUP(18,'Plate Planning'!$A$1:$T$35,10,FALSE)="", "NULL", VLOOKUP(18,'Plate Planning'!$A$1:$T$35,10,FALSE))</f>
        <v>NULL</v>
      </c>
      <c r="F17" s="214" t="str">
        <f>IF(VLOOKUP(19,'Plate Planning'!$A$1:$T$35,10,FALSE)="", "NULL", VLOOKUP(19,'Plate Planning'!$A$1:$T$35,10,FALSE))</f>
        <v>NULL</v>
      </c>
      <c r="G17" s="214" t="str">
        <f>IF(VLOOKUP(20,'Plate Planning'!$A$1:$T$35,10,FALSE)="", "NULL", VLOOKUP(20,'Plate Planning'!$A$1:$T$35,10,FALSE))</f>
        <v>NULL</v>
      </c>
      <c r="H17" s="214" t="str">
        <f>IF(VLOOKUP(21,'Plate Planning'!$A$1:$T$35,10,FALSE)="", "NULL", VLOOKUP(21,'Plate Planning'!$A$1:$T$35,10,FALSE))</f>
        <v>NULL</v>
      </c>
      <c r="I17" s="214" t="str">
        <f>IF(VLOOKUP(23,'Plate Planning'!$A$1:$T$35,10,FALSE)="", "NULL", VLOOKUP(23,'Plate Planning'!$A$1:$T$35,10,FALSE))</f>
        <v>NULL</v>
      </c>
      <c r="J17" s="214" t="str">
        <f>IF(VLOOKUP(22,'Plate Planning'!$A$1:$T$35,10,FALSE)="", "NULL", VLOOKUP(22,'Plate Planning'!$A$1:$T$35,10,FALSE))</f>
        <v>NULL</v>
      </c>
      <c r="K17" s="214" t="str">
        <f>VLOOKUP(24,'Plate Planning'!$A$1:$T$35,10,FALSE)</f>
        <v>Glovebox</v>
      </c>
      <c r="L17" s="214" t="str">
        <f>IF(VLOOKUP(25,'Plate Planning'!$A$1:$T$35,10,FALSE)="","NULL",VLOOKUP(25,'Plate Planning'!$A$1:$T$35,10,FALSE))</f>
        <v>NULL</v>
      </c>
      <c r="M17" s="214" t="str">
        <f>VLOOKUP(26,'Plate Planning'!$A$1:$T$35,10,FALSE)</f>
        <v>ambient</v>
      </c>
      <c r="N17" s="214" t="str">
        <f>IF(VLOOKUP(27,'Plate Planning'!$A$1:$T$35,10,FALSE)=0,"NULL", VLOOKUP(27,'Plate Planning'!$A$1:$T$35,10,FALSE))</f>
        <v>NULL</v>
      </c>
      <c r="O17" s="214" t="str">
        <f>IF(VLOOKUP(3,'Plate Planning'!$A$2:$S$35,18,FALSE)="", "NULL", VLOOKUP(3,'Plate Planning'!$A$2:$S$35,18,FALSE))</f>
        <v>NULL</v>
      </c>
      <c r="P17" s="214" t="str">
        <f>IF(VLOOKUP(4,'Plate Planning'!$A$2:$S$35,18,FALSE)="", "NULL", VLOOKUP(4,'Plate Planning'!$A$2:$S$35,18,FALSE))</f>
        <v>NULL</v>
      </c>
      <c r="Q17" s="214" t="str">
        <f>IF(VLOOKUP(5,'Plate Planning'!$A$2:$S$35,18,FALSE)="", "NULL", VLOOKUP(5,'Plate Planning'!$A$2:$S$35,18,FALSE))</f>
        <v>NULL</v>
      </c>
      <c r="R17" s="214" t="str">
        <f>IF(VLOOKUP(6,'Plate Planning'!$A$2:$S$35,18,FALSE)="", "NULL", VLOOKUP(6,'Plate Planning'!$A$2:$S$35,18,FALSE))</f>
        <v>NULL</v>
      </c>
      <c r="S17" s="214" t="str">
        <f>IF(VLOOKUP(7,'Plate Planning'!$A$2:$S$35,18,FALSE)="", "NULL", VLOOKUP(7,'Plate Planning'!$A$2:$S$35,18,FALSE))</f>
        <v>NULL</v>
      </c>
      <c r="T17" s="214" t="str">
        <f>IF(VLOOKUP(28,'Plate Planning'!$A$1:$T$35,10,FALSE)=0,"NULL",VLOOKUP(28,'Plate Planning'!$A$1:$T$35,10,FALSE))</f>
        <v>NULL</v>
      </c>
      <c r="U17" s="214" t="str">
        <f>IFERROR(VLOOKUP(VLOOKUP(28,'Plate Planning'!$A$1:$T$35,10,FALSE),Dictionaries!$Q$2:$R$72,2,FALSE), "NULL")</f>
        <v>NULL</v>
      </c>
      <c r="V17" s="214" t="str">
        <f>IF(VLOOKUP(28,'Plate Planning'!$A$1:$T$35,10,FALSE)=0,"NULL",VLOOKUP(32,'Plate Planning'!$A$1:$T$35,10,FALSE))</f>
        <v>NULL</v>
      </c>
      <c r="W17" s="214" t="str">
        <f>IF(VLOOKUP(C17+3,'Plate Planning'!$A$1:$S$35,B17+4,FALSE)=0, "", VLOOKUP(C17+3,'Plate Planning'!$A$1:$S$35,B17+4,FALSE))</f>
        <v/>
      </c>
      <c r="X17" s="214" t="str">
        <f>IFERROR(VLOOKUP(W17,'Complex Variable'!$A$2:$S$25,2,FALSE), "")</f>
        <v/>
      </c>
      <c r="Y17" s="327" t="str">
        <f>IFERROR(VLOOKUP(W17,'Complex Variable'!$A$2:$S$25,3,FALSE), "")</f>
        <v/>
      </c>
      <c r="Z17" s="327" t="str">
        <f>IFERROR(VLOOKUP(W17,'Complex Variable'!$A$2:$S$25,5,FALSE), "")</f>
        <v/>
      </c>
      <c r="AA17" s="327" t="str">
        <f>IFERROR(VLOOKUP(W17,'Complex Variable'!$A$2:$S$25,14,FALSE), "")</f>
        <v/>
      </c>
      <c r="AB17" s="602" t="str">
        <f>IFERROR(VLOOKUP(W17,'Complex Variable'!$A$2:$S$25,19,FALSE), "")</f>
        <v/>
      </c>
      <c r="AC17" s="327" t="str">
        <f>IFERROR(VLOOKUP(W17,'Complex Variable'!$A$2:$S$25,13,FALSE), "")</f>
        <v/>
      </c>
      <c r="AD17" s="604" t="str">
        <f t="shared" si="0"/>
        <v/>
      </c>
      <c r="AE17" s="214">
        <f>VLOOKUP(1,Reagents!$B$1:$M$41,2,FALSE)</f>
        <v>0</v>
      </c>
      <c r="AF17" s="214">
        <f>VLOOKUP(1,Reagents!$B$1:$M$41,3,FALSE)</f>
        <v>0</v>
      </c>
      <c r="AG17" s="214" t="str">
        <f>IF(VLOOKUP(1,Reagents!$B$1:$M$41,5,FALSE)=0, "NULL", VLOOKUP(1,Reagents!$B$1:$M$41,5,FALSE))</f>
        <v>NULL</v>
      </c>
      <c r="AH17" s="214" t="str">
        <f>IF(OR(Reagents!$Q$2="Stock slurry",Reagents!$Q$2="Stock solution"),VLOOKUP(1,Reagents!$B$1:$R$41,13,FALSE), "NULL")</f>
        <v/>
      </c>
      <c r="AI17" s="362" t="str">
        <f>IF(OR(Reagents!$Q$2="Stock slurry",Reagents!$Q$2="Stock solution"),VLOOKUP(1,Reagents!$B$1:$R$41,14,FALSE), VLOOKUP(1,Reagents!$B$1:$R$41,11,FALSE))</f>
        <v/>
      </c>
      <c r="AJ17" s="214">
        <f>VLOOKUP(1,Reagents!$B$1:$R$41,17,FALSE)</f>
        <v>0</v>
      </c>
      <c r="AK17" s="284" t="e">
        <f>IF(OR(VLOOKUP(1,Reagents!$B$1:$M$41,4,FALSE)="solvent_2",VLOOKUP(1,Reagents!$B$1:$M$41,4,FALSE)="solvent_3"),VLOOKUP(1,Reagents!$B$1:$M$41,12,FALSE),IF(OR(Reagents!$Q$2="Stock slurry",Reagents!$Q$2="Stock solution"),AI17*AH17, AI17/VLOOKUP(1,Reagents!$B$1:$R$41,6,FALSE)*1000))</f>
        <v>#VALUE!</v>
      </c>
      <c r="AL17" s="214">
        <f>VLOOKUP(2,Reagents!$B$1:$M$41,2,FALSE)</f>
        <v>0</v>
      </c>
      <c r="AM17" s="214">
        <f>VLOOKUP(2,Reagents!$B$1:$M$41,3,FALSE)</f>
        <v>0</v>
      </c>
      <c r="AN17" s="214" t="str">
        <f>IF(VLOOKUP(2,Reagents!$B$1:$M$41,5,FALSE)=0, "NULL", VLOOKUP(2,Reagents!$B$1:$M$41,5,FALSE))</f>
        <v>NULL</v>
      </c>
      <c r="AO17" s="214" t="str">
        <f>IF(OR(Reagents!$Q$3="Stock slurry",Reagents!$Q$3="Stock solution"),VLOOKUP(2,Reagents!$B$1:$R$41,13,FALSE), "NULL")</f>
        <v/>
      </c>
      <c r="AP17" s="362" t="str">
        <f>IF(OR(Reagents!$Q$3="Stock slurry",Reagents!$Q$3="Stock solution"),VLOOKUP(2,Reagents!$B$1:$R$41,14,FALSE), VLOOKUP(2,Reagents!$B$1:$R$41,11,FALSE))</f>
        <v/>
      </c>
      <c r="AQ17" s="214">
        <f>VLOOKUP(2,Reagents!$B$1:$R$41,17,FALSE)</f>
        <v>0</v>
      </c>
      <c r="AR17" s="284" t="e">
        <f>IF(OR(VLOOKUP(2,Reagents!$B$1:$M$41,4,FALSE)="solvent_2",VLOOKUP(2,Reagents!$B$1:$M$41,4,FALSE)="solvent_3"),VLOOKUP(2,Reagents!$B$1:$M$41,12,FALSE),IF(OR(Reagents!$Q$3="Stock slurry",Reagents!$Q$3="Stock solution"),AP17*AO17, AP17/VLOOKUP(2,Reagents!$B$1:$R$41,6,FALSE)*1000))</f>
        <v>#VALUE!</v>
      </c>
      <c r="AS17" s="214">
        <f>VLOOKUP(3,Reagents!$B$1:$M$41,2,FALSE)</f>
        <v>0</v>
      </c>
      <c r="AT17" s="214">
        <f>VLOOKUP(3,Reagents!$B$1:$M$41,3,FALSE)</f>
        <v>0</v>
      </c>
      <c r="AU17" s="214" t="str">
        <f>IF(VLOOKUP(3,Reagents!$B$1:$M$41,5,FALSE)=0, "NULL", VLOOKUP(3,Reagents!$B$1:$M$41,5,FALSE))</f>
        <v>NULL</v>
      </c>
      <c r="AV17" s="214" t="str">
        <f>IF(OR(Reagents!$Q$4="Stock slurry",Reagents!$Q$4="Stock solution"),VLOOKUP(3,Reagents!$B$1:$R$41,13,FALSE), "NULL")</f>
        <v/>
      </c>
      <c r="AW17" s="362" t="str">
        <f>IF(OR(Reagents!$Q$4="Stock slurry",Reagents!$Q$4="Stock solution"),VLOOKUP(3,Reagents!$B$1:$R$41,14,FALSE), VLOOKUP(3,Reagents!$B$1:$R$41,11,FALSE))</f>
        <v/>
      </c>
      <c r="AX17" s="214">
        <f>VLOOKUP(3,Reagents!$B$1:$R$41,17,FALSE)</f>
        <v>0</v>
      </c>
      <c r="AY17" s="284" t="e">
        <f>IF(OR(VLOOKUP(3,Reagents!$B$1:$M$41,4,FALSE)="solvent_2",VLOOKUP(3,Reagents!$B$1:$M$41,4,FALSE)="solvent_3"),VLOOKUP(3,Reagents!$B$1:$M$41,12,FALSE),IF(OR(Reagents!$Q$4="Stock slurry",Reagents!$Q$4="Stock solution"),AW17*AV17, AW17/VLOOKUP(3,Reagents!$B$1:$R$41,6,FALSE)*1000))</f>
        <v>#VALUE!</v>
      </c>
      <c r="AZ17" s="214">
        <f>VLOOKUP(4,Reagents!$B$1:$M$41,2,FALSE)</f>
        <v>0</v>
      </c>
      <c r="BA17" s="214">
        <f>VLOOKUP(4,Reagents!$B$1:$M$41,3,FALSE)</f>
        <v>0</v>
      </c>
      <c r="BB17" s="214" t="str">
        <f>IF(VLOOKUP(4,Reagents!$B$1:$M$41,5,FALSE)=0, "NULL", VLOOKUP(4,Reagents!$B$1:$M$41,5,FALSE))</f>
        <v>NULL</v>
      </c>
      <c r="BC17" s="214" t="str">
        <f>IF(OR(Reagents!$Q$5="Stock slurry",Reagents!$Q$5="Stock solution"),VLOOKUP(4,Reagents!$B$1:$R$41,13,FALSE), "NULL")</f>
        <v/>
      </c>
      <c r="BD17" s="362" t="str">
        <f>IF(OR(Reagents!$Q$5="Stock slurry",Reagents!$Q$5="Stock solution"),VLOOKUP(4,Reagents!$B$1:$R$41,14,FALSE), VLOOKUP(4,Reagents!$B$1:$R$41,11,FALSE))</f>
        <v/>
      </c>
      <c r="BE17" s="214">
        <f>VLOOKUP(4,Reagents!$B$1:$R$41,17,FALSE)</f>
        <v>0</v>
      </c>
      <c r="BF17" s="284" t="e">
        <f>IF(OR(VLOOKUP(4,Reagents!$B$1:$M$41,4,FALSE)="solvent_2",VLOOKUP(4,Reagents!$B$1:$M$41,4,FALSE)="solvent_3"),VLOOKUP(4,Reagents!$B$1:$M$41,12,FALSE),IF(OR(Reagents!$Q$5="Stock slurry",Reagents!$Q$5="Stock solution"),BD17*BC17, BD17/VLOOKUP(4,Reagents!$B$1:$R$41,6,FALSE)*1000))</f>
        <v>#VALUE!</v>
      </c>
      <c r="BG17" s="214">
        <f>VLOOKUP(5,Reagents!$B$1:$M$41,2,FALSE)</f>
        <v>0</v>
      </c>
      <c r="BH17" s="214">
        <f>VLOOKUP(5,Reagents!$B$1:$M$41,3,FALSE)</f>
        <v>0</v>
      </c>
      <c r="BI17" s="214" t="str">
        <f>IF(VLOOKUP(5,Reagents!$B$1:$M$41,5,FALSE)=0, "NULL", VLOOKUP(5,Reagents!$B$1:$M$41,5,FALSE))</f>
        <v>NULL</v>
      </c>
      <c r="BJ17" s="214" t="str">
        <f>IF(OR(Reagents!$Q$6="Stock slurry",Reagents!$Q$6="Stock solution"),VLOOKUP(5,Reagents!$B$1:$R$41,13,FALSE), "NULL")</f>
        <v/>
      </c>
      <c r="BK17" s="362" t="str">
        <f>IF(OR(Reagents!$Q$6="Stock slurry",Reagents!$Q$6="Stock solution"),VLOOKUP(5,Reagents!$B$1:$R$41,14,FALSE), VLOOKUP(5,Reagents!$B$1:$R$41,11,FALSE))</f>
        <v/>
      </c>
      <c r="BL17" s="214">
        <f>VLOOKUP(5,Reagents!$B$1:$R$41,17,FALSE)</f>
        <v>0</v>
      </c>
      <c r="BM17" s="284" t="e">
        <f>IF(OR(VLOOKUP(5,Reagents!$B$1:$M$41,4,FALSE)="solvent_2",VLOOKUP(5,Reagents!$B$1:$M$41,4,FALSE)="solvent_3"),VLOOKUP(5,Reagents!$B$1:$M$41,12,FALSE),IF(OR(Reagents!$Q$6="Stock slurry",Reagents!$Q$6="Stock solution"),BK17*BJ17, BK17/VLOOKUP(5,Reagents!$B$1:$R$41,6,FALSE)*1000))</f>
        <v>#VALUE!</v>
      </c>
      <c r="BN17" s="214">
        <f>VLOOKUP(6,Reagents!$B$1:$M$41,2,FALSE)</f>
        <v>0</v>
      </c>
      <c r="BO17" s="214">
        <f>VLOOKUP(6,Reagents!$B$1:$M$41,3,FALSE)</f>
        <v>0</v>
      </c>
      <c r="BP17" s="214" t="str">
        <f>IF(VLOOKUP(6,Reagents!$B$1:$M$41,5,FALSE)=0, "NULL", VLOOKUP(6,Reagents!$B$1:$M$41,5,FALSE))</f>
        <v>NULL</v>
      </c>
      <c r="BQ17" s="214" t="str">
        <f>IF(OR(Reagents!$Q$7="Stock slurry",Reagents!$Q$7="Stock solution"),VLOOKUP(6,Reagents!$B$1:$R$41,13,FALSE), "NULL")</f>
        <v/>
      </c>
      <c r="BR17" s="362" t="str">
        <f>IF(OR(Reagents!$Q$7="Stock slurry",Reagents!$Q$7="Stock solution"),VLOOKUP(6,Reagents!$B$1:$R$41,14,FALSE), VLOOKUP(6,Reagents!$B$1:$R$41,11,FALSE))</f>
        <v/>
      </c>
      <c r="BS17" s="214">
        <f>VLOOKUP(6,Reagents!$B$1:$R$41,17,FALSE)</f>
        <v>0</v>
      </c>
      <c r="BT17" s="284" t="e">
        <f>IF(OR(VLOOKUP(6,Reagents!$B$1:$M$41,4,FALSE)="solvent_2",VLOOKUP(6,Reagents!$B$1:$M$41,4,FALSE)="solvent_3"),VLOOKUP(6,Reagents!$B$1:$M$41,12,FALSE),IF(OR(Reagents!$Q$7="Stock slurry",Reagents!$Q$7="Stock solution"),BR17*BQ17, BR17/VLOOKUP(6,Reagents!$B$1:$R$41,6,FALSE)*1000))</f>
        <v>#VALUE!</v>
      </c>
      <c r="BU17" s="214">
        <f>VLOOKUP(7,Reagents!$B$1:$M$41,2,FALSE)</f>
        <v>0</v>
      </c>
      <c r="BV17" s="214">
        <f>VLOOKUP(7,Reagents!$B$1:$M$41,3,FALSE)</f>
        <v>0</v>
      </c>
      <c r="BW17" s="214" t="str">
        <f>IF(VLOOKUP(7,Reagents!$B$1:$M$41,5,FALSE)=0, "NULL", VLOOKUP(7,Reagents!$B$1:$M$41,5,FALSE))</f>
        <v>NULL</v>
      </c>
      <c r="BX17" s="214" t="str">
        <f>IF(OR(Reagents!$Q$8="Stock slurry",Reagents!$Q$8="Stock solution"),VLOOKUP(7,Reagents!$B$1:$R$41,13,FALSE), "NULL")</f>
        <v/>
      </c>
      <c r="BY17" s="362" t="str">
        <f>IF(OR(Reagents!$Q$8="Stock slurry",Reagents!$Q$8="Stock solution"),VLOOKUP(7,Reagents!$B$1:$R$41,14,FALSE), VLOOKUP(7,Reagents!$B$1:$R$41,11,FALSE))</f>
        <v/>
      </c>
      <c r="BZ17" s="214">
        <f>VLOOKUP(7,Reagents!$B$1:$R$41,17,FALSE)</f>
        <v>0</v>
      </c>
      <c r="CA17" s="284" t="e">
        <f>IF(OR(VLOOKUP(7,Reagents!$B$1:$M$41,4,FALSE)="solvent_2",VLOOKUP(7,Reagents!$B$1:$M$41,4,FALSE)="solvent_3"),VLOOKUP(7,Reagents!$B$1:$M$41,12,FALSE),IF(OR(Reagents!$Q$8="Stock slurry",Reagents!$Q$8="Stock solution"),BY17*BX17, BY17/VLOOKUP(7,Reagents!$B$1:$R$41,6,FALSE)*1000))</f>
        <v>#VALUE!</v>
      </c>
      <c r="CB17" s="214">
        <f>VLOOKUP(8,Reagents!$B$1:$M$41,2,FALSE)</f>
        <v>0</v>
      </c>
      <c r="CC17" s="214">
        <f>VLOOKUP(8,Reagents!$B$1:$M$41,3,FALSE)</f>
        <v>0</v>
      </c>
      <c r="CD17" s="214" t="str">
        <f>IF(VLOOKUP(8,Reagents!$B$1:$M$41,5,FALSE)=0, "NULL", VLOOKUP(8,Reagents!$B$1:$M$41,5,FALSE))</f>
        <v>NULL</v>
      </c>
      <c r="CE17" s="214" t="str">
        <f>IF(OR(Reagents!$Q$9="Stock slurry",Reagents!$Q$9="Stock solution"),VLOOKUP(8,Reagents!$B$1:$R$41,13,FALSE), "NULL")</f>
        <v/>
      </c>
      <c r="CF17" s="362" t="str">
        <f>IF(OR(Reagents!$Q$9="Stock slurry",Reagents!$Q$9="Stock solution"),VLOOKUP(8,Reagents!$B$1:$R$41,14,FALSE), VLOOKUP(8,Reagents!$B$1:$R$41,11,FALSE))</f>
        <v/>
      </c>
      <c r="CG17" s="214">
        <f>VLOOKUP(8,Reagents!$B$1:$R$41,17,FALSE)</f>
        <v>0</v>
      </c>
      <c r="CH17" s="284" t="e">
        <f>IF(OR(VLOOKUP(8,Reagents!$B$1:$M$41,4,FALSE)="solvent_2",VLOOKUP(8,Reagents!$B$1:$M$41,4,FALSE)="solvent_3"),VLOOKUP(8,Reagents!$B$1:$M$41,12,FALSE),IF(OR(Reagents!$Q$9="Stock slurry",Reagents!$Q$9="Stock solution"),CF17*CE17, CF17/VLOOKUP(8,Reagents!$B$1:$R$41,6,FALSE)*1000))</f>
        <v>#VALUE!</v>
      </c>
      <c r="CI17" s="214">
        <f>VLOOKUP(9,Reagents!$B$1:$M$41,2,FALSE)</f>
        <v>0</v>
      </c>
      <c r="CJ17" s="214">
        <f>VLOOKUP(9,Reagents!$B$1:$M$41,3,FALSE)</f>
        <v>0</v>
      </c>
      <c r="CK17" s="214" t="str">
        <f>IF(VLOOKUP(9,Reagents!$B$1:$M$41,5,FALSE)=0, "NULL", VLOOKUP(9,Reagents!$B$1:$M$41,5,FALSE))</f>
        <v>NULL</v>
      </c>
      <c r="CL17" s="214" t="str">
        <f>IF(OR(Reagents!$Q$10="Stock slurry",Reagents!$Q$10="Stock solution"),VLOOKUP(9,Reagents!$B$1:$R$41,13,FALSE), "NULL")</f>
        <v/>
      </c>
      <c r="CM17" s="362" t="str">
        <f>IF(OR(Reagents!$Q$10="Stock slurry",Reagents!$Q$10="Stock solution"),VLOOKUP(9,Reagents!$B$1:$R$41,14,FALSE), VLOOKUP(9,Reagents!$B$1:$R$41,11,FALSE))</f>
        <v/>
      </c>
      <c r="CN17" s="214">
        <f>VLOOKUP(9,Reagents!$B$1:$R$41,17,FALSE)</f>
        <v>0</v>
      </c>
      <c r="CO17" s="284" t="e">
        <f>IF(OR(VLOOKUP(9,Reagents!$B$1:$M$41,4,FALSE)="solvent_2",VLOOKUP(9,Reagents!$B$1:$M$41,4,FALSE)="solvent_3"),VLOOKUP(9,Reagents!$B$1:$M$41,12,FALSE),IF(OR(Reagents!$Q$10="Stock slurry",Reagents!$Q$10="Stock solution"),CM17*CL17, CM17/VLOOKUP(9,Reagents!$B$1:$R$41,6,FALSE)*1000))</f>
        <v>#VALUE!</v>
      </c>
      <c r="CP17" s="214">
        <f>VLOOKUP(10,Reagents!$B$1:$M$41,2,FALSE)</f>
        <v>0</v>
      </c>
      <c r="CQ17" s="214">
        <f>VLOOKUP(10,Reagents!$B$1:$M$41,3,FALSE)</f>
        <v>0</v>
      </c>
      <c r="CR17" s="214" t="str">
        <f>IF(VLOOKUP(10,Reagents!$B$1:$M$41,5,FALSE)=0, "NULL", VLOOKUP(10,Reagents!$B$1:$M$41,5,FALSE))</f>
        <v>NULL</v>
      </c>
      <c r="CS17" s="214" t="str">
        <f>IF(OR(Reagents!$Q$11="Stock slurry",Reagents!$Q$11="Stock solution"),VLOOKUP(10,Reagents!$B$1:$R$41,13,FALSE), "NULL")</f>
        <v/>
      </c>
      <c r="CT17" s="362" t="str">
        <f>IF(OR(Reagents!$Q$11="Stock slurry",Reagents!$Q$11="Stock solution"),VLOOKUP(10,Reagents!$B$1:$R$41,14,FALSE), VLOOKUP(10,Reagents!$B$1:$R$41,11,FALSE))</f>
        <v/>
      </c>
      <c r="CU17" s="214">
        <f>VLOOKUP(10,Reagents!$B$1:$R$41,17,FALSE)</f>
        <v>0</v>
      </c>
      <c r="CV17" s="284" t="e">
        <f>IF(OR(VLOOKUP(10,Reagents!$B$1:$M$41,4,FALSE)="solvent_2",VLOOKUP(10,Reagents!$B$1:$M$41,4,FALSE)="solvent_3"),VLOOKUP(10,Reagents!$B$1:$M$41,12,FALSE),IF(OR(Reagents!$Q$11="Stock slurry",Reagents!$Q$11="Stock solution"),CT17*CS17, CT17/VLOOKUP(10,Reagents!$B$1:$R$41,6,FALSE)*1000))</f>
        <v>#VALUE!</v>
      </c>
      <c r="CW17" s="214" t="str">
        <f>VLOOKUP(B17+10,Reagents!$B$1:$R$41,2,FALSE)</f>
        <v/>
      </c>
      <c r="CX17" s="214">
        <f>VLOOKUP(B17+10,Reagents!$B$1:$R$41,3,FALSE)</f>
        <v>0</v>
      </c>
      <c r="CY17" s="214" t="str">
        <f>IF(VLOOKUP(B17+10,Reagents!$B$1:$M$41,5,FALSE)=0, "NULL", VLOOKUP(B17+10,Reagents!$B$1:$M$41,5,FALSE))</f>
        <v>NULL</v>
      </c>
      <c r="CZ17" s="214" t="str">
        <f>IF(OR(Reagents!$Q$12="Stock slurry",Reagents!$Q$12="Stock solution"),VLOOKUP(B17+10,Reagents!$B$1:$R$41,13,FALSE), "NULL")</f>
        <v/>
      </c>
      <c r="DA17" s="362" t="str">
        <f>IF(OR(Reagents!$Q$12="Stock slurry",Reagents!$Q$12="Stock solution"),VLOOKUP(B17+10,Reagents!$B$1:$R$41,14,FALSE), VLOOKUP(B17+10,Reagents!$B$1:$R$41,11,FALSE))</f>
        <v/>
      </c>
      <c r="DB17" s="214">
        <f>VLOOKUP(B17+10,Reagents!$B$1:$R$41,17,FALSE)</f>
        <v>0</v>
      </c>
      <c r="DC17" s="284" t="e">
        <f>IF(OR(v1_col="solvent_2",v1_col="solvent_3"),VLOOKUP(B17+10,Reagents!$B$1:$M$41,12,FALSE),IF(OR(Reagents!$Q$12="Stock slurry",Reagents!$Q$12="Stock solution"),DA17*CZ17, DA17/VLOOKUP(B17+10,Reagents!$B$1:$R$41,6,FALSE)*1000))</f>
        <v>#VALUE!</v>
      </c>
      <c r="DD17" s="214" t="str">
        <f>VLOOKUP(B17+22,Reagents!$B$1:$M$41,2,FALSE)</f>
        <v/>
      </c>
      <c r="DE17" s="214">
        <f>VLOOKUP(B17+22,Reagents!$B$1:$R$41,3,FALSE)</f>
        <v>0</v>
      </c>
      <c r="DF17" s="214" t="str">
        <f>IF(VLOOKUP(B17+22,Reagents!$B$1:$M$41,5,FALSE)=0, "NULL", VLOOKUP(B17+22,Reagents!$B$1:$M$41,5,FALSE))</f>
        <v>NULL</v>
      </c>
      <c r="DG17" s="214" t="str">
        <f>IF(OR(Reagents!$Q$18="Stock slurry",Reagents!$Q$12="Stock solution"),VLOOKUP(B17+22,Reagents!$B$1:$R$41,13,FALSE), "NULL")</f>
        <v/>
      </c>
      <c r="DH17" s="362" t="str">
        <f>IF(OR(Reagents!$Q$18="Stock slurry",Reagents!$Q$18="Stock solution"),VLOOKUP(B17+22,Reagents!$B$1:$R$41,14,FALSE), VLOOKUP(B17+22,Reagents!$B$1:$R$41,11,FALSE))</f>
        <v/>
      </c>
      <c r="DI17" s="214">
        <f>VLOOKUP(B17+22,Reagents!$B$1:$R$41,17,FALSE)</f>
        <v>0</v>
      </c>
      <c r="DJ17" s="284" t="e">
        <f>IF(OR(v2_col="solvent_2",v2_col="solvent_3"),VLOOKUP(B17+22,Reagents!$B$1:$M$41,12,FALSE),IF(OR(Reagents!$Q$18="Stock slurry",Reagents!$Q$18="Stock solution"),DH17*DG17, DH17/VLOOKUP(B17+22,Reagents!$B$1:$R$41,6,FALSE)*1000))</f>
        <v>#VALUE!</v>
      </c>
      <c r="DK17" s="214" t="str">
        <f>VLOOKUP(B17+34,Reagents!$B$1:$M$41,2,FALSE)</f>
        <v/>
      </c>
      <c r="DL17" s="214">
        <f>VLOOKUP(B17+34,Reagents!$B$1:$R$41,3,FALSE)</f>
        <v>0</v>
      </c>
      <c r="DM17" s="214" t="str">
        <f>IF(VLOOKUP(B17+34,Reagents!$B$1:$M$41,5,FALSE)=0, "NULL", VLOOKUP(B17+34,Reagents!$B$1:$M$41,5,FALSE))</f>
        <v>NULL</v>
      </c>
      <c r="DN17" s="214" t="str">
        <f>IF(OR(Reagents!$Q$24="Stock slurry",Reagents!$Q$12="Stock solution"),VLOOKUP(B17+34,Reagents!$B$1:$R$41,13,FALSE), "NULL")</f>
        <v/>
      </c>
      <c r="DO17" s="362" t="str">
        <f>IF(OR(Reagents!$Q$24="Stock slurry",Reagents!$Q$24="Stock solution"),VLOOKUP(B17+34,Reagents!$B$1:$R$41,14,FALSE), VLOOKUP(B17+34,Reagents!$B$1:$R$41,11,FALSE))</f>
        <v/>
      </c>
      <c r="DP17" s="214">
        <f>VLOOKUP(B17+34,Reagents!$B$1:$R$41,17,FALSE)</f>
        <v>0</v>
      </c>
      <c r="DQ17" s="284" t="e">
        <f>IF(OR(v3_col="solvent_2",v3_col="solvent_3"),VLOOKUP(B17+34,Reagents!$B$1:$M$41,12,FALSE),IF(OR(Reagents!$Q$24="Stock slurry",Reagents!$Q$24="Stock solution"),DO17*DN17, DO17/VLOOKUP(B17+34,Reagents!$B$1:$R$41,6,FALSE)*1000))</f>
        <v>#VALUE!</v>
      </c>
      <c r="DR17" s="214" t="str">
        <f>VLOOKUP(C17+46,Reagents!$B$1:$M$41,2,FALSE)</f>
        <v/>
      </c>
      <c r="DS17" s="214">
        <f>VLOOKUP(C17+46,Reagents!$B$1:$M$41,3,FALSE)</f>
        <v>0</v>
      </c>
      <c r="DT17" s="214" t="str">
        <f>IF(VLOOKUP(C17+46,Reagents!$B$1:$M$41,5,FALSE)=0, "NULL", VLOOKUP(C17+46,Reagents!$B$1:$M$41,5,FALSE))</f>
        <v>NULL</v>
      </c>
      <c r="DU17" s="214" t="str">
        <f>IF(OR(Reagents!$Q$30="Stock slurry",Reagents!$Q$30="Stock solution"),VLOOKUP(C17+46,Reagents!$B$1:$R$41,13,FALSE), "NULL")</f>
        <v/>
      </c>
      <c r="DV17" s="362" t="str">
        <f>IF(OR(Reagents!$Q$30="Stock slurry",Reagents!$Q$30="Stock solution"),VLOOKUP(C17+46,Reagents!$B$1:$R$41,14,FALSE), VLOOKUP(C17+46,Reagents!$B$1:$R$41,11,FALSE))</f>
        <v/>
      </c>
      <c r="DW17" s="214">
        <f>VLOOKUP(C17+46,Reagents!$B$1:$R$41,17,FALSE)</f>
        <v>0</v>
      </c>
      <c r="DX17" s="284" t="e">
        <f>IF(OR(v4_row="solvent_2",v4_row="solvent_3"),VLOOKUP(C17+46,Reagents!$B$1:$M$41,12,FALSE),IF(OR(Reagents!$Q$30="Stock slurry",Reagents!$Q$30="Stock solution"),DV17*DU17, DV17/VLOOKUP(C17+46,Reagents!$B$1:$R$41,6,FALSE)*1000))</f>
        <v>#VALUE!</v>
      </c>
      <c r="DY17" s="214" t="str">
        <f>VLOOKUP(C17+54,Reagents!$B$1:$M$41,2,FALSE)</f>
        <v/>
      </c>
      <c r="DZ17" s="214">
        <f>VLOOKUP(C17+54,Reagents!$B$1:$M$41,3,FALSE)</f>
        <v>0</v>
      </c>
      <c r="EA17" s="214" t="str">
        <f>IF(VLOOKUP(C17+54,Reagents!$B$1:$M$41,5,FALSE)=0, "NULL", VLOOKUP(C17+54,Reagents!$B$1:$M$41,5,FALSE))</f>
        <v>NULL</v>
      </c>
      <c r="EB17" s="214" t="str">
        <f>IF(OR(Reagents!$Q$34="Stock slurry",Reagents!$Q$34="Stock solution"),VLOOKUP(C17+54,Reagents!$B$1:$R$41,13,FALSE), "NULL")</f>
        <v/>
      </c>
      <c r="EC17" s="362" t="str">
        <f>IF(OR(Reagents!$Q$34="Stock slurry",Reagents!$Q$34="Stock solution"),VLOOKUP(C17+54,Reagents!$B$1:$R$41,14,FALSE), VLOOKUP(C17+54,Reagents!$B$1:$R$41,11,FALSE))</f>
        <v/>
      </c>
      <c r="ED17" s="214">
        <f>VLOOKUP(C17+54,Reagents!$B$1:$R$41,17,FALSE)</f>
        <v>0</v>
      </c>
      <c r="EE17" s="284" t="e">
        <f>IF(OR(v5_row="solvent_2",v5_row="solvent_3"),VLOOKUP(C17+54,Reagents!$B$1:$M$41,12,FALSE),IF(OR(Reagents!$Q$34="Stock slurry",Reagents!$Q$34="Stock solution"),EC17*EB17, EC17/VLOOKUP(C17+54,Reagents!$B$1:$R$41,6,FALSE)*1000))</f>
        <v>#VALUE!</v>
      </c>
      <c r="EF17" s="214" t="str">
        <f>VLOOKUP(C17+62,Reagents!$B$1:$M$41,2,FALSE)</f>
        <v/>
      </c>
      <c r="EG17" s="214">
        <f>VLOOKUP(C17+62,Reagents!$B$1:$M$41,3,FALSE)</f>
        <v>0</v>
      </c>
      <c r="EH17" s="214" t="str">
        <f>IF(VLOOKUP(C17+62,Reagents!$B$1:$M$41,5,FALSE)=0, "NULL", VLOOKUP(C17+62,Reagents!$B$1:$M$41,5,FALSE))</f>
        <v>NULL</v>
      </c>
      <c r="EI17" s="214" t="str">
        <f>IF(OR(Reagents!$Q$38="Stock slurry",Reagents!$Q$38="Stock solution"),VLOOKUP(C17+62,Reagents!$B$1:$R$41,13,FALSE), "NULL")</f>
        <v/>
      </c>
      <c r="EJ17" s="362" t="str">
        <f>IF(OR(Reagents!$Q$38="Stock slurry",Reagents!$Q$38="Stock solution"),VLOOKUP(C17+62,Reagents!$B$1:$R$41,14,FALSE), VLOOKUP(C17+62,Reagents!$B$1:$R$41,11,FALSE))</f>
        <v/>
      </c>
      <c r="EK17" s="214">
        <f>VLOOKUP(C17+62,Reagents!$B$1:$R$41,17,FALSE)</f>
        <v>0</v>
      </c>
      <c r="EL17" s="284" t="e">
        <f>IF(OR(v6_row="solvent_2",v6_row="solvent_3"),VLOOKUP(C17+62,Reagents!$B$1:$M$41,12,FALSE),IF(OR(Reagents!$Q$38="Stock slurry",Reagents!$Q$38="Stock solution"),EJ17*EI17, EJ17/VLOOKUP(C17+62,Reagents!$B$1:$R$41,6,FALSE)*1000))</f>
        <v>#VALUE!</v>
      </c>
      <c r="EM17" s="214">
        <f>VLOOKUP(19,'Plate Planning'!$A$1:$T$35,13,FALSE)</f>
        <v>0</v>
      </c>
      <c r="EN17" s="214">
        <f>VLOOKUP(19,'Plate Planning'!$A$1:$T$35,14,FALSE)</f>
        <v>0</v>
      </c>
      <c r="EO17" s="214">
        <f>VLOOKUP(19,'Plate Planning'!$A$1:$T$35,15,FALSE)</f>
        <v>0</v>
      </c>
      <c r="EP17" s="214">
        <f>VLOOKUP(A17,'Uncorrected Area Counts'!$A$1:$AS$27,3,FALSE)</f>
        <v>0</v>
      </c>
      <c r="EQ17" s="214" t="str">
        <f>VLOOKUP(A17,'Uncorrected Area Counts'!$A$1:$AS$27,4,FALSE)</f>
        <v/>
      </c>
      <c r="ER17" s="214" t="str">
        <f>VLOOKUP(A17,'Uncorrected Area Counts'!$A$1:$AS$27,5,FALSE)</f>
        <v/>
      </c>
      <c r="ES17" s="214">
        <f>VLOOKUP(20,'Plate Planning'!$A$1:$T$35,15,FALSE)</f>
        <v>0</v>
      </c>
      <c r="ET17" s="214">
        <f>VLOOKUP(A17,'Uncorrected Area Counts'!$A$1:$AS$27,7,FALSE)</f>
        <v>0</v>
      </c>
      <c r="EU17" s="214" t="e">
        <f>VLOOKUP(A17,'Uncorrected Area Counts'!$A$1:$AS$27,7,FALSE)/VLOOKUP(A17,'Uncorrected Area Counts'!$A$1:$AS$27,3,FALSE)</f>
        <v>#DIV/0!</v>
      </c>
      <c r="EV17" s="214" t="str">
        <f>IFERROR(VLOOKUP(A17,'Yields &amp; LCAPs'!$A$1:$V$27,3,FALSE), "NULL")</f>
        <v>NULL</v>
      </c>
      <c r="EW17" s="284" t="str">
        <f>IFERROR(VLOOKUP(A17,'Yields &amp; LCAPs'!$A$1:$V$27,4,FALSE), "NULL")</f>
        <v>NULL</v>
      </c>
      <c r="EX17" s="214" t="str">
        <f>VLOOKUP(A17,'Uncorrected Area Counts'!$A$1:$AS$27,8,FALSE)</f>
        <v/>
      </c>
      <c r="EY17" s="214" t="str">
        <f>VLOOKUP(A17,'Uncorrected Area Counts'!$A$1:$AS$27,9,FALSE)</f>
        <v/>
      </c>
      <c r="EZ17" s="214">
        <f>VLOOKUP(22,'Plate Planning'!$A$1:$T$35,15,FALSE)</f>
        <v>0</v>
      </c>
      <c r="FA17" s="214">
        <f>VLOOKUP(A17,'Uncorrected Area Counts'!$A$1:$AS$27,11,FALSE)</f>
        <v>0</v>
      </c>
      <c r="FB17" s="214" t="e">
        <f>VLOOKUP(A17,'Uncorrected Area Counts'!$A$1:$AS$27,11,FALSE)/VLOOKUP(A17,'Uncorrected Area Counts'!$A$1:$AS$27,3,FALSE)</f>
        <v>#DIV/0!</v>
      </c>
      <c r="FC17" s="214" t="str">
        <f>IFERROR(VLOOKUP(A17,'Yields &amp; LCAPs'!$A$1:$V$27,5,FALSE), "NULL")</f>
        <v>NULL</v>
      </c>
      <c r="FD17" s="284" t="str">
        <f>IFERROR(VLOOKUP(A17,'Yields &amp; LCAPs'!$A$1:$V$27,6,FALSE), "NULL")</f>
        <v>NULL</v>
      </c>
      <c r="FE17" s="214" t="str">
        <f>VLOOKUP(A17,'Uncorrected Area Counts'!$A$1:$AS$27,12,FALSE)</f>
        <v/>
      </c>
      <c r="FF17" s="214" t="str">
        <f>VLOOKUP(A17,'Uncorrected Area Counts'!$A$1:$AS$27,13,FALSE)</f>
        <v/>
      </c>
      <c r="FG17" s="214">
        <f>VLOOKUP(24,'Plate Planning'!$A$1:$T$35,15,FALSE)</f>
        <v>0</v>
      </c>
      <c r="FH17" s="214">
        <f>VLOOKUP(A17,'Uncorrected Area Counts'!$A$1:$AS$27,15,FALSE)</f>
        <v>0</v>
      </c>
      <c r="FI17" s="214" t="e">
        <f>VLOOKUP(A17,'Uncorrected Area Counts'!$A$1:$AS$27,15,FALSE)/VLOOKUP(A17,'Uncorrected Area Counts'!$A$1:$AS$27,3,FALSE)</f>
        <v>#DIV/0!</v>
      </c>
      <c r="FJ17" s="214" t="str">
        <f>IFERROR(VLOOKUP(A17,'Yields &amp; LCAPs'!$A$1:$V$27,7,FALSE), "NULL")</f>
        <v>NULL</v>
      </c>
      <c r="FK17" s="284" t="str">
        <f>IFERROR(VLOOKUP(A17,'Yields &amp; LCAPs'!$A$1:$V$27,8,FALSE), "NULL")</f>
        <v>NULL</v>
      </c>
      <c r="FL17" s="214" t="str">
        <f>VLOOKUP(A17,'Uncorrected Area Counts'!$A$1:$AS$27,16,FALSE)</f>
        <v/>
      </c>
      <c r="FM17" s="214" t="str">
        <f>VLOOKUP(A17,'Uncorrected Area Counts'!$A$1:$AS$27,17,FALSE)</f>
        <v/>
      </c>
      <c r="FN17" s="214">
        <f>VLOOKUP(26,'Plate Planning'!$A$1:$T$35,15,FALSE)</f>
        <v>0</v>
      </c>
      <c r="FO17" s="214">
        <f>VLOOKUP(A17,'Uncorrected Area Counts'!$A$1:$AS$27,19,FALSE)</f>
        <v>0</v>
      </c>
      <c r="FP17" s="214" t="e">
        <f>VLOOKUP(A17,'Uncorrected Area Counts'!$A$1:$AS$27,19,FALSE)/VLOOKUP(A17,'Uncorrected Area Counts'!$A$1:$AS$27,3,FALSE)</f>
        <v>#DIV/0!</v>
      </c>
      <c r="FQ17" s="214" t="str">
        <f>IFERROR(VLOOKUP(A17,'Yields &amp; LCAPs'!$A$1:$V$27,9,FALSE), "NULL")</f>
        <v>NULL</v>
      </c>
      <c r="FR17" s="284" t="str">
        <f>IFERROR(VLOOKUP(A17,'Yields &amp; LCAPs'!$A$1:$V$27,10,FALSE), "NULL")</f>
        <v>NULL</v>
      </c>
      <c r="FS17" s="214" t="str">
        <f>VLOOKUP(A17,'Uncorrected Area Counts'!$A$1:$AS$27,20,FALSE)</f>
        <v/>
      </c>
      <c r="FT17" s="214" t="str">
        <f>VLOOKUP(A17,'Uncorrected Area Counts'!$A$1:$AS$27,21,FALSE)</f>
        <v/>
      </c>
      <c r="FU17" s="214">
        <f>VLOOKUP(27,'Plate Planning'!$A$1:$T$35,15,FALSE)</f>
        <v>0</v>
      </c>
      <c r="FV17" s="214">
        <f>VLOOKUP(A17,'Uncorrected Area Counts'!$A$1:$AS$27,23,FALSE)</f>
        <v>0</v>
      </c>
      <c r="FW17" s="214" t="e">
        <f>VLOOKUP(A17,'Uncorrected Area Counts'!$A$1:$AS$27,23,FALSE)/VLOOKUP(A17,'Uncorrected Area Counts'!$A$1:$AS$27,3,FALSE)</f>
        <v>#DIV/0!</v>
      </c>
      <c r="FX17" s="214" t="str">
        <f>IFERROR(VLOOKUP(A17,'Yields &amp; LCAPs'!$A$1:$V$27,11,FALSE), "NULL")</f>
        <v>NULL</v>
      </c>
      <c r="FY17" s="284" t="str">
        <f>IFERROR(VLOOKUP(A17,'Yields &amp; LCAPs'!$A$1:$V$27,12,FALSE), "NULL")</f>
        <v>NULL</v>
      </c>
      <c r="FZ17" s="411" t="str">
        <f>VLOOKUP(A17,'Uncorrected Area Counts'!$A$1:$AS$27,24,FALSE)</f>
        <v/>
      </c>
      <c r="GA17" s="214" t="str">
        <f>VLOOKUP(A17,'Uncorrected Area Counts'!$A$1:$AS$27,25,FALSE)</f>
        <v/>
      </c>
      <c r="GB17" s="214">
        <f>VLOOKUP(28,'Plate Planning'!$A$1:$T$35,15,FALSE)</f>
        <v>0</v>
      </c>
      <c r="GC17" s="214">
        <f>VLOOKUP(A17,'Uncorrected Area Counts'!$A$1:$AS$27,27,FALSE)</f>
        <v>0</v>
      </c>
      <c r="GD17" s="214" t="e">
        <f>VLOOKUP(A17,'Uncorrected Area Counts'!$A$1:$AS$27,27,FALSE)/VLOOKUP(A17,'Uncorrected Area Counts'!$A$1:$AS$27,3,FALSE)</f>
        <v>#DIV/0!</v>
      </c>
      <c r="GE17" s="214" t="str">
        <f>IFERROR(VLOOKUP(A17,'Yields &amp; LCAPs'!$A$1:$V$27,13,FALSE), "NULL")</f>
        <v>NULL</v>
      </c>
      <c r="GF17" s="284" t="str">
        <f>IFERROR(VLOOKUP(A17,'Yields &amp; LCAPs'!$A$1:$V$27,14,FALSE), "NULL")</f>
        <v>NULL</v>
      </c>
      <c r="GG17" s="214" t="str">
        <f>VLOOKUP(A17,'Uncorrected Area Counts'!$A$1:$AS$27,28,FALSE)</f>
        <v/>
      </c>
      <c r="GH17" s="214" t="str">
        <f>VLOOKUP(A17,'Uncorrected Area Counts'!$A$1:$AS$27,29,FALSE)</f>
        <v/>
      </c>
      <c r="GI17" s="214">
        <f>VLOOKUP(29,'Plate Planning'!$A$1:$T$35,15,FALSE)</f>
        <v>0</v>
      </c>
      <c r="GJ17" s="214">
        <f>VLOOKUP(A17,'Uncorrected Area Counts'!$A$1:$AS$27,31,FALSE)</f>
        <v>0</v>
      </c>
      <c r="GK17" s="214" t="e">
        <f>VLOOKUP(A17,'Uncorrected Area Counts'!$A$1:$AS$27,31,FALSE)/VLOOKUP(A17,'Uncorrected Area Counts'!$A$1:$AS$27,3,FALSE)</f>
        <v>#DIV/0!</v>
      </c>
      <c r="GL17" s="214" t="str">
        <f>IFERROR(VLOOKUP(A17,'Yields &amp; LCAPs'!$A$1:$V$27,15,FALSE), "NULL")</f>
        <v>NULL</v>
      </c>
      <c r="GM17" s="284" t="str">
        <f>IFERROR(VLOOKUP(A17,'Yields &amp; LCAPs'!$A$1:$V$27,16,FALSE), "NULL")</f>
        <v>NULL</v>
      </c>
      <c r="GN17" s="214" t="str">
        <f>VLOOKUP(A17,'Uncorrected Area Counts'!$A$1:$AS$27,32,FALSE)</f>
        <v/>
      </c>
      <c r="GO17" s="214" t="str">
        <f>VLOOKUP(A17,'Uncorrected Area Counts'!$A$1:$AS$27,33,FALSE)</f>
        <v/>
      </c>
      <c r="GP17" s="214">
        <f>VLOOKUP(30,'Plate Planning'!$A$1:$T$35,15,FALSE)</f>
        <v>0</v>
      </c>
      <c r="GQ17" s="214">
        <f>VLOOKUP(A17,'Uncorrected Area Counts'!$A$1:$AS$27,35,FALSE)</f>
        <v>0</v>
      </c>
      <c r="GR17" s="214" t="e">
        <f>VLOOKUP(A17,'Uncorrected Area Counts'!$A$1:$AS$27,35,FALSE)/VLOOKUP(A17,'Uncorrected Area Counts'!$A$1:$AS$27,3,FALSE)</f>
        <v>#DIV/0!</v>
      </c>
      <c r="GS17" s="214" t="str">
        <f>IFERROR(VLOOKUP(A17,'Yields &amp; LCAPs'!$A$1:$V$27,17,FALSE), "NULL")</f>
        <v>NULL</v>
      </c>
      <c r="GT17" s="284" t="str">
        <f>IFERROR(VLOOKUP(A17,'Yields &amp; LCAPs'!$A$1:$V$27,18,FALSE), "NULL")</f>
        <v>NULL</v>
      </c>
      <c r="GU17" s="214" t="str">
        <f>VLOOKUP(A17,'Uncorrected Area Counts'!$A$1:$AS$27,36,FALSE)</f>
        <v/>
      </c>
      <c r="GV17" s="214" t="str">
        <f>VLOOKUP(A17,'Uncorrected Area Counts'!$A$1:$AS$27,37,FALSE)</f>
        <v/>
      </c>
      <c r="GW17" s="214">
        <f>VLOOKUP(31,'Plate Planning'!$A$1:$T$35,15,FALSE)</f>
        <v>0</v>
      </c>
      <c r="GX17" s="214">
        <f>VLOOKUP(A17,'Uncorrected Area Counts'!$A$1:$AS$27,39,FALSE)</f>
        <v>0</v>
      </c>
      <c r="GY17" s="214" t="e">
        <f>VLOOKUP(A17,'Uncorrected Area Counts'!$A$1:$AS$27,39,FALSE)/VLOOKUP(A17,'Uncorrected Area Counts'!$A$1:$AS$27,3,FALSE)</f>
        <v>#DIV/0!</v>
      </c>
      <c r="GZ17" s="214" t="str">
        <f>IFERROR(VLOOKUP(A17,'Yields &amp; LCAPs'!$A$1:$V$27,19,FALSE), "NULL")</f>
        <v>NULL</v>
      </c>
      <c r="HA17" s="284" t="str">
        <f>IFERROR(VLOOKUP(A17,'Yields &amp; LCAPs'!$A$1:$V$27,20,FALSE), "NULL")</f>
        <v>NULL</v>
      </c>
      <c r="HB17" s="214" t="str">
        <f>VLOOKUP(A17,'Uncorrected Area Counts'!$A$1:$AS$27,40,FALSE)</f>
        <v/>
      </c>
      <c r="HC17" s="214" t="str">
        <f>VLOOKUP(A17,'Uncorrected Area Counts'!$A$1:$AS$27,41,FALSE)</f>
        <v/>
      </c>
      <c r="HD17" s="214">
        <f>VLOOKUP(32,'Plate Planning'!$A$1:$T$35,15,FALSE)</f>
        <v>0</v>
      </c>
      <c r="HE17" s="214">
        <f>VLOOKUP(A17,'Uncorrected Area Counts'!$A$1:$AS$27,43,FALSE)</f>
        <v>0</v>
      </c>
      <c r="HF17" s="214" t="e">
        <f>VLOOKUP(A17,'Uncorrected Area Counts'!$A$1:$AS$27,43,FALSE)/VLOOKUP(A17,'Uncorrected Area Counts'!$A$1:$AS$27,3,FALSE)</f>
        <v>#DIV/0!</v>
      </c>
      <c r="HG17" s="214" t="str">
        <f>IFERROR(VLOOKUP(A17,'Yields &amp; LCAPs'!$A$1:$V$27,21,FALSE), "NULL")</f>
        <v>NULL</v>
      </c>
      <c r="HH17" s="284" t="str">
        <f>IFERROR(VLOOKUP(A17,'Yields &amp; LCAPs'!$A$1:$V$27,22,FALSE), "NULL")</f>
        <v>NULL</v>
      </c>
      <c r="HI17" s="362"/>
      <c r="HJ17" s="362"/>
      <c r="HK17" s="362"/>
      <c r="HL17" s="362"/>
      <c r="HM17" s="363"/>
      <c r="HN17" s="362"/>
      <c r="HO17" s="362"/>
      <c r="HP17" s="362"/>
      <c r="HQ17" s="362"/>
      <c r="HR17" s="363"/>
    </row>
    <row r="18" spans="1:226">
      <c r="A18" s="216" t="s">
        <v>1189</v>
      </c>
      <c r="B18" s="214">
        <v>5</v>
      </c>
      <c r="C18" s="214">
        <v>3</v>
      </c>
      <c r="D18" s="214" t="str">
        <f>VLOOKUP(18,'Plate Planning'!$A$1:$T$35,10,FALSE)&amp;"_"&amp;VLOOKUP(19,'Plate Planning'!$A$1:$T$35,10,FALSE)&amp;"_"&amp;A18</f>
        <v>__C5</v>
      </c>
      <c r="E18" s="214" t="str">
        <f>IF(VLOOKUP(18,'Plate Planning'!$A$1:$T$35,10,FALSE)="", "NULL", VLOOKUP(18,'Plate Planning'!$A$1:$T$35,10,FALSE))</f>
        <v>NULL</v>
      </c>
      <c r="F18" s="214" t="str">
        <f>IF(VLOOKUP(19,'Plate Planning'!$A$1:$T$35,10,FALSE)="", "NULL", VLOOKUP(19,'Plate Planning'!$A$1:$T$35,10,FALSE))</f>
        <v>NULL</v>
      </c>
      <c r="G18" s="214" t="str">
        <f>IF(VLOOKUP(20,'Plate Planning'!$A$1:$T$35,10,FALSE)="", "NULL", VLOOKUP(20,'Plate Planning'!$A$1:$T$35,10,FALSE))</f>
        <v>NULL</v>
      </c>
      <c r="H18" s="214" t="str">
        <f>IF(VLOOKUP(21,'Plate Planning'!$A$1:$T$35,10,FALSE)="", "NULL", VLOOKUP(21,'Plate Planning'!$A$1:$T$35,10,FALSE))</f>
        <v>NULL</v>
      </c>
      <c r="I18" s="214" t="str">
        <f>IF(VLOOKUP(23,'Plate Planning'!$A$1:$T$35,10,FALSE)="", "NULL", VLOOKUP(23,'Plate Planning'!$A$1:$T$35,10,FALSE))</f>
        <v>NULL</v>
      </c>
      <c r="J18" s="214" t="str">
        <f>IF(VLOOKUP(22,'Plate Planning'!$A$1:$T$35,10,FALSE)="", "NULL", VLOOKUP(22,'Plate Planning'!$A$1:$T$35,10,FALSE))</f>
        <v>NULL</v>
      </c>
      <c r="K18" s="214" t="str">
        <f>VLOOKUP(24,'Plate Planning'!$A$1:$T$35,10,FALSE)</f>
        <v>Glovebox</v>
      </c>
      <c r="L18" s="214" t="str">
        <f>IF(VLOOKUP(25,'Plate Planning'!$A$1:$T$35,10,FALSE)="","NULL",VLOOKUP(25,'Plate Planning'!$A$1:$T$35,10,FALSE))</f>
        <v>NULL</v>
      </c>
      <c r="M18" s="214" t="str">
        <f>VLOOKUP(26,'Plate Planning'!$A$1:$T$35,10,FALSE)</f>
        <v>ambient</v>
      </c>
      <c r="N18" s="214" t="str">
        <f>IF(VLOOKUP(27,'Plate Planning'!$A$1:$T$35,10,FALSE)=0,"NULL", VLOOKUP(27,'Plate Planning'!$A$1:$T$35,10,FALSE))</f>
        <v>NULL</v>
      </c>
      <c r="O18" s="214" t="str">
        <f>IF(VLOOKUP(3,'Plate Planning'!$A$2:$S$35,18,FALSE)="", "NULL", VLOOKUP(3,'Plate Planning'!$A$2:$S$35,18,FALSE))</f>
        <v>NULL</v>
      </c>
      <c r="P18" s="214" t="str">
        <f>IF(VLOOKUP(4,'Plate Planning'!$A$2:$S$35,18,FALSE)="", "NULL", VLOOKUP(4,'Plate Planning'!$A$2:$S$35,18,FALSE))</f>
        <v>NULL</v>
      </c>
      <c r="Q18" s="214" t="str">
        <f>IF(VLOOKUP(5,'Plate Planning'!$A$2:$S$35,18,FALSE)="", "NULL", VLOOKUP(5,'Plate Planning'!$A$2:$S$35,18,FALSE))</f>
        <v>NULL</v>
      </c>
      <c r="R18" s="214" t="str">
        <f>IF(VLOOKUP(6,'Plate Planning'!$A$2:$S$35,18,FALSE)="", "NULL", VLOOKUP(6,'Plate Planning'!$A$2:$S$35,18,FALSE))</f>
        <v>NULL</v>
      </c>
      <c r="S18" s="214" t="str">
        <f>IF(VLOOKUP(7,'Plate Planning'!$A$2:$S$35,18,FALSE)="", "NULL", VLOOKUP(7,'Plate Planning'!$A$2:$S$35,18,FALSE))</f>
        <v>NULL</v>
      </c>
      <c r="T18" s="214" t="str">
        <f>IF(VLOOKUP(28,'Plate Planning'!$A$1:$T$35,10,FALSE)=0,"NULL",VLOOKUP(28,'Plate Planning'!$A$1:$T$35,10,FALSE))</f>
        <v>NULL</v>
      </c>
      <c r="U18" s="214" t="str">
        <f>IFERROR(VLOOKUP(VLOOKUP(28,'Plate Planning'!$A$1:$T$35,10,FALSE),Dictionaries!$Q$2:$R$72,2,FALSE), "NULL")</f>
        <v>NULL</v>
      </c>
      <c r="V18" s="214" t="str">
        <f>IF(VLOOKUP(28,'Plate Planning'!$A$1:$T$35,10,FALSE)=0,"NULL",VLOOKUP(32,'Plate Planning'!$A$1:$T$35,10,FALSE))</f>
        <v>NULL</v>
      </c>
      <c r="W18" s="214" t="str">
        <f>IF(VLOOKUP(C18+3,'Plate Planning'!$A$1:$S$35,B18+4,FALSE)=0, "", VLOOKUP(C18+3,'Plate Planning'!$A$1:$S$35,B18+4,FALSE))</f>
        <v/>
      </c>
      <c r="X18" s="214" t="str">
        <f>IFERROR(VLOOKUP(W18,'Complex Variable'!$A$2:$S$25,2,FALSE), "")</f>
        <v/>
      </c>
      <c r="Y18" s="327" t="str">
        <f>IFERROR(VLOOKUP(W18,'Complex Variable'!$A$2:$S$25,3,FALSE), "")</f>
        <v/>
      </c>
      <c r="Z18" s="327" t="str">
        <f>IFERROR(VLOOKUP(W18,'Complex Variable'!$A$2:$S$25,5,FALSE), "")</f>
        <v/>
      </c>
      <c r="AA18" s="327" t="str">
        <f>IFERROR(VLOOKUP(W18,'Complex Variable'!$A$2:$S$25,14,FALSE), "")</f>
        <v/>
      </c>
      <c r="AB18" s="602" t="str">
        <f>IFERROR(VLOOKUP(W18,'Complex Variable'!$A$2:$S$25,19,FALSE), "")</f>
        <v/>
      </c>
      <c r="AC18" s="327" t="str">
        <f>IFERROR(VLOOKUP(W18,'Complex Variable'!$A$2:$S$25,13,FALSE), "")</f>
        <v/>
      </c>
      <c r="AD18" s="604" t="str">
        <f t="shared" si="0"/>
        <v/>
      </c>
      <c r="AE18" s="214">
        <f>VLOOKUP(1,Reagents!$B$1:$M$41,2,FALSE)</f>
        <v>0</v>
      </c>
      <c r="AF18" s="214">
        <f>VLOOKUP(1,Reagents!$B$1:$M$41,3,FALSE)</f>
        <v>0</v>
      </c>
      <c r="AG18" s="214" t="str">
        <f>IF(VLOOKUP(1,Reagents!$B$1:$M$41,5,FALSE)=0, "NULL", VLOOKUP(1,Reagents!$B$1:$M$41,5,FALSE))</f>
        <v>NULL</v>
      </c>
      <c r="AH18" s="214" t="str">
        <f>IF(OR(Reagents!$Q$2="Stock slurry",Reagents!$Q$2="Stock solution"),VLOOKUP(1,Reagents!$B$1:$R$41,13,FALSE), "NULL")</f>
        <v/>
      </c>
      <c r="AI18" s="362" t="str">
        <f>IF(OR(Reagents!$Q$2="Stock slurry",Reagents!$Q$2="Stock solution"),VLOOKUP(1,Reagents!$B$1:$R$41,14,FALSE), VLOOKUP(1,Reagents!$B$1:$R$41,11,FALSE))</f>
        <v/>
      </c>
      <c r="AJ18" s="214">
        <f>VLOOKUP(1,Reagents!$B$1:$R$41,17,FALSE)</f>
        <v>0</v>
      </c>
      <c r="AK18" s="284" t="e">
        <f>IF(OR(VLOOKUP(1,Reagents!$B$1:$M$41,4,FALSE)="solvent_2",VLOOKUP(1,Reagents!$B$1:$M$41,4,FALSE)="solvent_3"),VLOOKUP(1,Reagents!$B$1:$M$41,12,FALSE),IF(OR(Reagents!$Q$2="Stock slurry",Reagents!$Q$2="Stock solution"),AI18*AH18, AI18/VLOOKUP(1,Reagents!$B$1:$R$41,6,FALSE)*1000))</f>
        <v>#VALUE!</v>
      </c>
      <c r="AL18" s="214">
        <f>VLOOKUP(2,Reagents!$B$1:$M$41,2,FALSE)</f>
        <v>0</v>
      </c>
      <c r="AM18" s="214">
        <f>VLOOKUP(2,Reagents!$B$1:$M$41,3,FALSE)</f>
        <v>0</v>
      </c>
      <c r="AN18" s="214" t="str">
        <f>IF(VLOOKUP(2,Reagents!$B$1:$M$41,5,FALSE)=0, "NULL", VLOOKUP(2,Reagents!$B$1:$M$41,5,FALSE))</f>
        <v>NULL</v>
      </c>
      <c r="AO18" s="214" t="str">
        <f>IF(OR(Reagents!$Q$3="Stock slurry",Reagents!$Q$3="Stock solution"),VLOOKUP(2,Reagents!$B$1:$R$41,13,FALSE), "NULL")</f>
        <v/>
      </c>
      <c r="AP18" s="362" t="str">
        <f>IF(OR(Reagents!$Q$3="Stock slurry",Reagents!$Q$3="Stock solution"),VLOOKUP(2,Reagents!$B$1:$R$41,14,FALSE), VLOOKUP(2,Reagents!$B$1:$R$41,11,FALSE))</f>
        <v/>
      </c>
      <c r="AQ18" s="214">
        <f>VLOOKUP(2,Reagents!$B$1:$R$41,17,FALSE)</f>
        <v>0</v>
      </c>
      <c r="AR18" s="284" t="e">
        <f>IF(OR(VLOOKUP(2,Reagents!$B$1:$M$41,4,FALSE)="solvent_2",VLOOKUP(2,Reagents!$B$1:$M$41,4,FALSE)="solvent_3"),VLOOKUP(2,Reagents!$B$1:$M$41,12,FALSE),IF(OR(Reagents!$Q$3="Stock slurry",Reagents!$Q$3="Stock solution"),AP18*AO18, AP18/VLOOKUP(2,Reagents!$B$1:$R$41,6,FALSE)*1000))</f>
        <v>#VALUE!</v>
      </c>
      <c r="AS18" s="214">
        <f>VLOOKUP(3,Reagents!$B$1:$M$41,2,FALSE)</f>
        <v>0</v>
      </c>
      <c r="AT18" s="214">
        <f>VLOOKUP(3,Reagents!$B$1:$M$41,3,FALSE)</f>
        <v>0</v>
      </c>
      <c r="AU18" s="214" t="str">
        <f>IF(VLOOKUP(3,Reagents!$B$1:$M$41,5,FALSE)=0, "NULL", VLOOKUP(3,Reagents!$B$1:$M$41,5,FALSE))</f>
        <v>NULL</v>
      </c>
      <c r="AV18" s="214" t="str">
        <f>IF(OR(Reagents!$Q$4="Stock slurry",Reagents!$Q$4="Stock solution"),VLOOKUP(3,Reagents!$B$1:$R$41,13,FALSE), "NULL")</f>
        <v/>
      </c>
      <c r="AW18" s="362" t="str">
        <f>IF(OR(Reagents!$Q$4="Stock slurry",Reagents!$Q$4="Stock solution"),VLOOKUP(3,Reagents!$B$1:$R$41,14,FALSE), VLOOKUP(3,Reagents!$B$1:$R$41,11,FALSE))</f>
        <v/>
      </c>
      <c r="AX18" s="214">
        <f>VLOOKUP(3,Reagents!$B$1:$R$41,17,FALSE)</f>
        <v>0</v>
      </c>
      <c r="AY18" s="284" t="e">
        <f>IF(OR(VLOOKUP(3,Reagents!$B$1:$M$41,4,FALSE)="solvent_2",VLOOKUP(3,Reagents!$B$1:$M$41,4,FALSE)="solvent_3"),VLOOKUP(3,Reagents!$B$1:$M$41,12,FALSE),IF(OR(Reagents!$Q$4="Stock slurry",Reagents!$Q$4="Stock solution"),AW18*AV18, AW18/VLOOKUP(3,Reagents!$B$1:$R$41,6,FALSE)*1000))</f>
        <v>#VALUE!</v>
      </c>
      <c r="AZ18" s="214">
        <f>VLOOKUP(4,Reagents!$B$1:$M$41,2,FALSE)</f>
        <v>0</v>
      </c>
      <c r="BA18" s="214">
        <f>VLOOKUP(4,Reagents!$B$1:$M$41,3,FALSE)</f>
        <v>0</v>
      </c>
      <c r="BB18" s="214" t="str">
        <f>IF(VLOOKUP(4,Reagents!$B$1:$M$41,5,FALSE)=0, "NULL", VLOOKUP(4,Reagents!$B$1:$M$41,5,FALSE))</f>
        <v>NULL</v>
      </c>
      <c r="BC18" s="214" t="str">
        <f>IF(OR(Reagents!$Q$5="Stock slurry",Reagents!$Q$5="Stock solution"),VLOOKUP(4,Reagents!$B$1:$R$41,13,FALSE), "NULL")</f>
        <v/>
      </c>
      <c r="BD18" s="362" t="str">
        <f>IF(OR(Reagents!$Q$5="Stock slurry",Reagents!$Q$5="Stock solution"),VLOOKUP(4,Reagents!$B$1:$R$41,14,FALSE), VLOOKUP(4,Reagents!$B$1:$R$41,11,FALSE))</f>
        <v/>
      </c>
      <c r="BE18" s="214">
        <f>VLOOKUP(4,Reagents!$B$1:$R$41,17,FALSE)</f>
        <v>0</v>
      </c>
      <c r="BF18" s="284" t="e">
        <f>IF(OR(VLOOKUP(4,Reagents!$B$1:$M$41,4,FALSE)="solvent_2",VLOOKUP(4,Reagents!$B$1:$M$41,4,FALSE)="solvent_3"),VLOOKUP(4,Reagents!$B$1:$M$41,12,FALSE),IF(OR(Reagents!$Q$5="Stock slurry",Reagents!$Q$5="Stock solution"),BD18*BC18, BD18/VLOOKUP(4,Reagents!$B$1:$R$41,6,FALSE)*1000))</f>
        <v>#VALUE!</v>
      </c>
      <c r="BG18" s="214">
        <f>VLOOKUP(5,Reagents!$B$1:$M$41,2,FALSE)</f>
        <v>0</v>
      </c>
      <c r="BH18" s="214">
        <f>VLOOKUP(5,Reagents!$B$1:$M$41,3,FALSE)</f>
        <v>0</v>
      </c>
      <c r="BI18" s="214" t="str">
        <f>IF(VLOOKUP(5,Reagents!$B$1:$M$41,5,FALSE)=0, "NULL", VLOOKUP(5,Reagents!$B$1:$M$41,5,FALSE))</f>
        <v>NULL</v>
      </c>
      <c r="BJ18" s="214" t="str">
        <f>IF(OR(Reagents!$Q$6="Stock slurry",Reagents!$Q$6="Stock solution"),VLOOKUP(5,Reagents!$B$1:$R$41,13,FALSE), "NULL")</f>
        <v/>
      </c>
      <c r="BK18" s="362" t="str">
        <f>IF(OR(Reagents!$Q$6="Stock slurry",Reagents!$Q$6="Stock solution"),VLOOKUP(5,Reagents!$B$1:$R$41,14,FALSE), VLOOKUP(5,Reagents!$B$1:$R$41,11,FALSE))</f>
        <v/>
      </c>
      <c r="BL18" s="214">
        <f>VLOOKUP(5,Reagents!$B$1:$R$41,17,FALSE)</f>
        <v>0</v>
      </c>
      <c r="BM18" s="284" t="e">
        <f>IF(OR(VLOOKUP(5,Reagents!$B$1:$M$41,4,FALSE)="solvent_2",VLOOKUP(5,Reagents!$B$1:$M$41,4,FALSE)="solvent_3"),VLOOKUP(5,Reagents!$B$1:$M$41,12,FALSE),IF(OR(Reagents!$Q$6="Stock slurry",Reagents!$Q$6="Stock solution"),BK18*BJ18, BK18/VLOOKUP(5,Reagents!$B$1:$R$41,6,FALSE)*1000))</f>
        <v>#VALUE!</v>
      </c>
      <c r="BN18" s="214">
        <f>VLOOKUP(6,Reagents!$B$1:$M$41,2,FALSE)</f>
        <v>0</v>
      </c>
      <c r="BO18" s="214">
        <f>VLOOKUP(6,Reagents!$B$1:$M$41,3,FALSE)</f>
        <v>0</v>
      </c>
      <c r="BP18" s="214" t="str">
        <f>IF(VLOOKUP(6,Reagents!$B$1:$M$41,5,FALSE)=0, "NULL", VLOOKUP(6,Reagents!$B$1:$M$41,5,FALSE))</f>
        <v>NULL</v>
      </c>
      <c r="BQ18" s="214" t="str">
        <f>IF(OR(Reagents!$Q$7="Stock slurry",Reagents!$Q$7="Stock solution"),VLOOKUP(6,Reagents!$B$1:$R$41,13,FALSE), "NULL")</f>
        <v/>
      </c>
      <c r="BR18" s="362" t="str">
        <f>IF(OR(Reagents!$Q$7="Stock slurry",Reagents!$Q$7="Stock solution"),VLOOKUP(6,Reagents!$B$1:$R$41,14,FALSE), VLOOKUP(6,Reagents!$B$1:$R$41,11,FALSE))</f>
        <v/>
      </c>
      <c r="BS18" s="214">
        <f>VLOOKUP(6,Reagents!$B$1:$R$41,17,FALSE)</f>
        <v>0</v>
      </c>
      <c r="BT18" s="284" t="e">
        <f>IF(OR(VLOOKUP(6,Reagents!$B$1:$M$41,4,FALSE)="solvent_2",VLOOKUP(6,Reagents!$B$1:$M$41,4,FALSE)="solvent_3"),VLOOKUP(6,Reagents!$B$1:$M$41,12,FALSE),IF(OR(Reagents!$Q$7="Stock slurry",Reagents!$Q$7="Stock solution"),BR18*BQ18, BR18/VLOOKUP(6,Reagents!$B$1:$R$41,6,FALSE)*1000))</f>
        <v>#VALUE!</v>
      </c>
      <c r="BU18" s="214">
        <f>VLOOKUP(7,Reagents!$B$1:$M$41,2,FALSE)</f>
        <v>0</v>
      </c>
      <c r="BV18" s="214">
        <f>VLOOKUP(7,Reagents!$B$1:$M$41,3,FALSE)</f>
        <v>0</v>
      </c>
      <c r="BW18" s="214" t="str">
        <f>IF(VLOOKUP(7,Reagents!$B$1:$M$41,5,FALSE)=0, "NULL", VLOOKUP(7,Reagents!$B$1:$M$41,5,FALSE))</f>
        <v>NULL</v>
      </c>
      <c r="BX18" s="214" t="str">
        <f>IF(OR(Reagents!$Q$8="Stock slurry",Reagents!$Q$8="Stock solution"),VLOOKUP(7,Reagents!$B$1:$R$41,13,FALSE), "NULL")</f>
        <v/>
      </c>
      <c r="BY18" s="362" t="str">
        <f>IF(OR(Reagents!$Q$8="Stock slurry",Reagents!$Q$8="Stock solution"),VLOOKUP(7,Reagents!$B$1:$R$41,14,FALSE), VLOOKUP(7,Reagents!$B$1:$R$41,11,FALSE))</f>
        <v/>
      </c>
      <c r="BZ18" s="214">
        <f>VLOOKUP(7,Reagents!$B$1:$R$41,17,FALSE)</f>
        <v>0</v>
      </c>
      <c r="CA18" s="284" t="e">
        <f>IF(OR(VLOOKUP(7,Reagents!$B$1:$M$41,4,FALSE)="solvent_2",VLOOKUP(7,Reagents!$B$1:$M$41,4,FALSE)="solvent_3"),VLOOKUP(7,Reagents!$B$1:$M$41,12,FALSE),IF(OR(Reagents!$Q$8="Stock slurry",Reagents!$Q$8="Stock solution"),BY18*BX18, BY18/VLOOKUP(7,Reagents!$B$1:$R$41,6,FALSE)*1000))</f>
        <v>#VALUE!</v>
      </c>
      <c r="CB18" s="214">
        <f>VLOOKUP(8,Reagents!$B$1:$M$41,2,FALSE)</f>
        <v>0</v>
      </c>
      <c r="CC18" s="214">
        <f>VLOOKUP(8,Reagents!$B$1:$M$41,3,FALSE)</f>
        <v>0</v>
      </c>
      <c r="CD18" s="214" t="str">
        <f>IF(VLOOKUP(8,Reagents!$B$1:$M$41,5,FALSE)=0, "NULL", VLOOKUP(8,Reagents!$B$1:$M$41,5,FALSE))</f>
        <v>NULL</v>
      </c>
      <c r="CE18" s="214" t="str">
        <f>IF(OR(Reagents!$Q$9="Stock slurry",Reagents!$Q$9="Stock solution"),VLOOKUP(8,Reagents!$B$1:$R$41,13,FALSE), "NULL")</f>
        <v/>
      </c>
      <c r="CF18" s="362" t="str">
        <f>IF(OR(Reagents!$Q$9="Stock slurry",Reagents!$Q$9="Stock solution"),VLOOKUP(8,Reagents!$B$1:$R$41,14,FALSE), VLOOKUP(8,Reagents!$B$1:$R$41,11,FALSE))</f>
        <v/>
      </c>
      <c r="CG18" s="214">
        <f>VLOOKUP(8,Reagents!$B$1:$R$41,17,FALSE)</f>
        <v>0</v>
      </c>
      <c r="CH18" s="284" t="e">
        <f>IF(OR(VLOOKUP(8,Reagents!$B$1:$M$41,4,FALSE)="solvent_2",VLOOKUP(8,Reagents!$B$1:$M$41,4,FALSE)="solvent_3"),VLOOKUP(8,Reagents!$B$1:$M$41,12,FALSE),IF(OR(Reagents!$Q$9="Stock slurry",Reagents!$Q$9="Stock solution"),CF18*CE18, CF18/VLOOKUP(8,Reagents!$B$1:$R$41,6,FALSE)*1000))</f>
        <v>#VALUE!</v>
      </c>
      <c r="CI18" s="214">
        <f>VLOOKUP(9,Reagents!$B$1:$M$41,2,FALSE)</f>
        <v>0</v>
      </c>
      <c r="CJ18" s="214">
        <f>VLOOKUP(9,Reagents!$B$1:$M$41,3,FALSE)</f>
        <v>0</v>
      </c>
      <c r="CK18" s="214" t="str">
        <f>IF(VLOOKUP(9,Reagents!$B$1:$M$41,5,FALSE)=0, "NULL", VLOOKUP(9,Reagents!$B$1:$M$41,5,FALSE))</f>
        <v>NULL</v>
      </c>
      <c r="CL18" s="214" t="str">
        <f>IF(OR(Reagents!$Q$10="Stock slurry",Reagents!$Q$10="Stock solution"),VLOOKUP(9,Reagents!$B$1:$R$41,13,FALSE), "NULL")</f>
        <v/>
      </c>
      <c r="CM18" s="362" t="str">
        <f>IF(OR(Reagents!$Q$10="Stock slurry",Reagents!$Q$10="Stock solution"),VLOOKUP(9,Reagents!$B$1:$R$41,14,FALSE), VLOOKUP(9,Reagents!$B$1:$R$41,11,FALSE))</f>
        <v/>
      </c>
      <c r="CN18" s="214">
        <f>VLOOKUP(9,Reagents!$B$1:$R$41,17,FALSE)</f>
        <v>0</v>
      </c>
      <c r="CO18" s="284" t="e">
        <f>IF(OR(VLOOKUP(9,Reagents!$B$1:$M$41,4,FALSE)="solvent_2",VLOOKUP(9,Reagents!$B$1:$M$41,4,FALSE)="solvent_3"),VLOOKUP(9,Reagents!$B$1:$M$41,12,FALSE),IF(OR(Reagents!$Q$10="Stock slurry",Reagents!$Q$10="Stock solution"),CM18*CL18, CM18/VLOOKUP(9,Reagents!$B$1:$R$41,6,FALSE)*1000))</f>
        <v>#VALUE!</v>
      </c>
      <c r="CP18" s="214">
        <f>VLOOKUP(10,Reagents!$B$1:$M$41,2,FALSE)</f>
        <v>0</v>
      </c>
      <c r="CQ18" s="214">
        <f>VLOOKUP(10,Reagents!$B$1:$M$41,3,FALSE)</f>
        <v>0</v>
      </c>
      <c r="CR18" s="214" t="str">
        <f>IF(VLOOKUP(10,Reagents!$B$1:$M$41,5,FALSE)=0, "NULL", VLOOKUP(10,Reagents!$B$1:$M$41,5,FALSE))</f>
        <v>NULL</v>
      </c>
      <c r="CS18" s="214" t="str">
        <f>IF(OR(Reagents!$Q$11="Stock slurry",Reagents!$Q$11="Stock solution"),VLOOKUP(10,Reagents!$B$1:$R$41,13,FALSE), "NULL")</f>
        <v/>
      </c>
      <c r="CT18" s="362" t="str">
        <f>IF(OR(Reagents!$Q$11="Stock slurry",Reagents!$Q$11="Stock solution"),VLOOKUP(10,Reagents!$B$1:$R$41,14,FALSE), VLOOKUP(10,Reagents!$B$1:$R$41,11,FALSE))</f>
        <v/>
      </c>
      <c r="CU18" s="214">
        <f>VLOOKUP(10,Reagents!$B$1:$R$41,17,FALSE)</f>
        <v>0</v>
      </c>
      <c r="CV18" s="284" t="e">
        <f>IF(OR(VLOOKUP(10,Reagents!$B$1:$M$41,4,FALSE)="solvent_2",VLOOKUP(10,Reagents!$B$1:$M$41,4,FALSE)="solvent_3"),VLOOKUP(10,Reagents!$B$1:$M$41,12,FALSE),IF(OR(Reagents!$Q$11="Stock slurry",Reagents!$Q$11="Stock solution"),CT18*CS18, CT18/VLOOKUP(10,Reagents!$B$1:$R$41,6,FALSE)*1000))</f>
        <v>#VALUE!</v>
      </c>
      <c r="CW18" s="214" t="str">
        <f>VLOOKUP(B18+10,Reagents!$B$1:$R$41,2,FALSE)</f>
        <v/>
      </c>
      <c r="CX18" s="214">
        <f>VLOOKUP(B18+10,Reagents!$B$1:$R$41,3,FALSE)</f>
        <v>0</v>
      </c>
      <c r="CY18" s="214" t="str">
        <f>IF(VLOOKUP(B18+10,Reagents!$B$1:$M$41,5,FALSE)=0, "NULL", VLOOKUP(B18+10,Reagents!$B$1:$M$41,5,FALSE))</f>
        <v>NULL</v>
      </c>
      <c r="CZ18" s="214" t="str">
        <f>IF(OR(Reagents!$Q$12="Stock slurry",Reagents!$Q$12="Stock solution"),VLOOKUP(B18+10,Reagents!$B$1:$R$41,13,FALSE), "NULL")</f>
        <v/>
      </c>
      <c r="DA18" s="362" t="str">
        <f>IF(OR(Reagents!$Q$12="Stock slurry",Reagents!$Q$12="Stock solution"),VLOOKUP(B18+10,Reagents!$B$1:$R$41,14,FALSE), VLOOKUP(B18+10,Reagents!$B$1:$R$41,11,FALSE))</f>
        <v/>
      </c>
      <c r="DB18" s="214">
        <f>VLOOKUP(B18+10,Reagents!$B$1:$R$41,17,FALSE)</f>
        <v>0</v>
      </c>
      <c r="DC18" s="284" t="e">
        <f>IF(OR(v1_col="solvent_2",v1_col="solvent_3"),VLOOKUP(B18+10,Reagents!$B$1:$M$41,12,FALSE),IF(OR(Reagents!$Q$12="Stock slurry",Reagents!$Q$12="Stock solution"),DA18*CZ18, DA18/VLOOKUP(B18+10,Reagents!$B$1:$R$41,6,FALSE)*1000))</f>
        <v>#VALUE!</v>
      </c>
      <c r="DD18" s="214" t="str">
        <f>VLOOKUP(B18+22,Reagents!$B$1:$M$41,2,FALSE)</f>
        <v/>
      </c>
      <c r="DE18" s="214">
        <f>VLOOKUP(B18+22,Reagents!$B$1:$R$41,3,FALSE)</f>
        <v>0</v>
      </c>
      <c r="DF18" s="214" t="str">
        <f>IF(VLOOKUP(B18+22,Reagents!$B$1:$M$41,5,FALSE)=0, "NULL", VLOOKUP(B18+22,Reagents!$B$1:$M$41,5,FALSE))</f>
        <v>NULL</v>
      </c>
      <c r="DG18" s="214" t="str">
        <f>IF(OR(Reagents!$Q$18="Stock slurry",Reagents!$Q$12="Stock solution"),VLOOKUP(B18+22,Reagents!$B$1:$R$41,13,FALSE), "NULL")</f>
        <v/>
      </c>
      <c r="DH18" s="362" t="str">
        <f>IF(OR(Reagents!$Q$18="Stock slurry",Reagents!$Q$18="Stock solution"),VLOOKUP(B18+22,Reagents!$B$1:$R$41,14,FALSE), VLOOKUP(B18+22,Reagents!$B$1:$R$41,11,FALSE))</f>
        <v/>
      </c>
      <c r="DI18" s="214">
        <f>VLOOKUP(B18+22,Reagents!$B$1:$R$41,17,FALSE)</f>
        <v>0</v>
      </c>
      <c r="DJ18" s="284" t="e">
        <f>IF(OR(v2_col="solvent_2",v2_col="solvent_3"),VLOOKUP(B18+22,Reagents!$B$1:$M$41,12,FALSE),IF(OR(Reagents!$Q$18="Stock slurry",Reagents!$Q$18="Stock solution"),DH18*DG18, DH18/VLOOKUP(B18+22,Reagents!$B$1:$R$41,6,FALSE)*1000))</f>
        <v>#VALUE!</v>
      </c>
      <c r="DK18" s="214" t="str">
        <f>VLOOKUP(B18+34,Reagents!$B$1:$M$41,2,FALSE)</f>
        <v/>
      </c>
      <c r="DL18" s="214">
        <f>VLOOKUP(B18+34,Reagents!$B$1:$R$41,3,FALSE)</f>
        <v>0</v>
      </c>
      <c r="DM18" s="214" t="str">
        <f>IF(VLOOKUP(B18+34,Reagents!$B$1:$M$41,5,FALSE)=0, "NULL", VLOOKUP(B18+34,Reagents!$B$1:$M$41,5,FALSE))</f>
        <v>NULL</v>
      </c>
      <c r="DN18" s="214" t="str">
        <f>IF(OR(Reagents!$Q$24="Stock slurry",Reagents!$Q$12="Stock solution"),VLOOKUP(B18+34,Reagents!$B$1:$R$41,13,FALSE), "NULL")</f>
        <v/>
      </c>
      <c r="DO18" s="362" t="str">
        <f>IF(OR(Reagents!$Q$24="Stock slurry",Reagents!$Q$24="Stock solution"),VLOOKUP(B18+34,Reagents!$B$1:$R$41,14,FALSE), VLOOKUP(B18+34,Reagents!$B$1:$R$41,11,FALSE))</f>
        <v/>
      </c>
      <c r="DP18" s="214">
        <f>VLOOKUP(B18+34,Reagents!$B$1:$R$41,17,FALSE)</f>
        <v>0</v>
      </c>
      <c r="DQ18" s="284" t="e">
        <f>IF(OR(v3_col="solvent_2",v3_col="solvent_3"),VLOOKUP(B18+34,Reagents!$B$1:$M$41,12,FALSE),IF(OR(Reagents!$Q$24="Stock slurry",Reagents!$Q$24="Stock solution"),DO18*DN18, DO18/VLOOKUP(B18+34,Reagents!$B$1:$R$41,6,FALSE)*1000))</f>
        <v>#VALUE!</v>
      </c>
      <c r="DR18" s="214" t="str">
        <f>VLOOKUP(C18+46,Reagents!$B$1:$M$41,2,FALSE)</f>
        <v/>
      </c>
      <c r="DS18" s="214">
        <f>VLOOKUP(C18+46,Reagents!$B$1:$M$41,3,FALSE)</f>
        <v>0</v>
      </c>
      <c r="DT18" s="214" t="str">
        <f>IF(VLOOKUP(C18+46,Reagents!$B$1:$M$41,5,FALSE)=0, "NULL", VLOOKUP(C18+46,Reagents!$B$1:$M$41,5,FALSE))</f>
        <v>NULL</v>
      </c>
      <c r="DU18" s="214" t="str">
        <f>IF(OR(Reagents!$Q$30="Stock slurry",Reagents!$Q$30="Stock solution"),VLOOKUP(C18+46,Reagents!$B$1:$R$41,13,FALSE), "NULL")</f>
        <v/>
      </c>
      <c r="DV18" s="362" t="str">
        <f>IF(OR(Reagents!$Q$30="Stock slurry",Reagents!$Q$30="Stock solution"),VLOOKUP(C18+46,Reagents!$B$1:$R$41,14,FALSE), VLOOKUP(C18+46,Reagents!$B$1:$R$41,11,FALSE))</f>
        <v/>
      </c>
      <c r="DW18" s="214">
        <f>VLOOKUP(C18+46,Reagents!$B$1:$R$41,17,FALSE)</f>
        <v>0</v>
      </c>
      <c r="DX18" s="284" t="e">
        <f>IF(OR(v4_row="solvent_2",v4_row="solvent_3"),VLOOKUP(C18+46,Reagents!$B$1:$M$41,12,FALSE),IF(OR(Reagents!$Q$30="Stock slurry",Reagents!$Q$30="Stock solution"),DV18*DU18, DV18/VLOOKUP(C18+46,Reagents!$B$1:$R$41,6,FALSE)*1000))</f>
        <v>#VALUE!</v>
      </c>
      <c r="DY18" s="214" t="str">
        <f>VLOOKUP(C18+54,Reagents!$B$1:$M$41,2,FALSE)</f>
        <v/>
      </c>
      <c r="DZ18" s="214">
        <f>VLOOKUP(C18+54,Reagents!$B$1:$M$41,3,FALSE)</f>
        <v>0</v>
      </c>
      <c r="EA18" s="214" t="str">
        <f>IF(VLOOKUP(C18+54,Reagents!$B$1:$M$41,5,FALSE)=0, "NULL", VLOOKUP(C18+54,Reagents!$B$1:$M$41,5,FALSE))</f>
        <v>NULL</v>
      </c>
      <c r="EB18" s="214" t="str">
        <f>IF(OR(Reagents!$Q$34="Stock slurry",Reagents!$Q$34="Stock solution"),VLOOKUP(C18+54,Reagents!$B$1:$R$41,13,FALSE), "NULL")</f>
        <v/>
      </c>
      <c r="EC18" s="362" t="str">
        <f>IF(OR(Reagents!$Q$34="Stock slurry",Reagents!$Q$34="Stock solution"),VLOOKUP(C18+54,Reagents!$B$1:$R$41,14,FALSE), VLOOKUP(C18+54,Reagents!$B$1:$R$41,11,FALSE))</f>
        <v/>
      </c>
      <c r="ED18" s="214">
        <f>VLOOKUP(C18+54,Reagents!$B$1:$R$41,17,FALSE)</f>
        <v>0</v>
      </c>
      <c r="EE18" s="284" t="e">
        <f>IF(OR(v5_row="solvent_2",v5_row="solvent_3"),VLOOKUP(C18+54,Reagents!$B$1:$M$41,12,FALSE),IF(OR(Reagents!$Q$34="Stock slurry",Reagents!$Q$34="Stock solution"),EC18*EB18, EC18/VLOOKUP(C18+54,Reagents!$B$1:$R$41,6,FALSE)*1000))</f>
        <v>#VALUE!</v>
      </c>
      <c r="EF18" s="214" t="str">
        <f>VLOOKUP(C18+62,Reagents!$B$1:$M$41,2,FALSE)</f>
        <v/>
      </c>
      <c r="EG18" s="214">
        <f>VLOOKUP(C18+62,Reagents!$B$1:$M$41,3,FALSE)</f>
        <v>0</v>
      </c>
      <c r="EH18" s="214" t="str">
        <f>IF(VLOOKUP(C18+62,Reagents!$B$1:$M$41,5,FALSE)=0, "NULL", VLOOKUP(C18+62,Reagents!$B$1:$M$41,5,FALSE))</f>
        <v>NULL</v>
      </c>
      <c r="EI18" s="214" t="str">
        <f>IF(OR(Reagents!$Q$38="Stock slurry",Reagents!$Q$38="Stock solution"),VLOOKUP(C18+62,Reagents!$B$1:$R$41,13,FALSE), "NULL")</f>
        <v/>
      </c>
      <c r="EJ18" s="362" t="str">
        <f>IF(OR(Reagents!$Q$38="Stock slurry",Reagents!$Q$38="Stock solution"),VLOOKUP(C18+62,Reagents!$B$1:$R$41,14,FALSE), VLOOKUP(C18+62,Reagents!$B$1:$R$41,11,FALSE))</f>
        <v/>
      </c>
      <c r="EK18" s="214">
        <f>VLOOKUP(C18+62,Reagents!$B$1:$R$41,17,FALSE)</f>
        <v>0</v>
      </c>
      <c r="EL18" s="284" t="e">
        <f>IF(OR(v6_row="solvent_2",v6_row="solvent_3"),VLOOKUP(C18+62,Reagents!$B$1:$M$41,12,FALSE),IF(OR(Reagents!$Q$38="Stock slurry",Reagents!$Q$38="Stock solution"),EJ18*EI18, EJ18/VLOOKUP(C18+62,Reagents!$B$1:$R$41,6,FALSE)*1000))</f>
        <v>#VALUE!</v>
      </c>
      <c r="EM18" s="214">
        <f>VLOOKUP(19,'Plate Planning'!$A$1:$T$35,13,FALSE)</f>
        <v>0</v>
      </c>
      <c r="EN18" s="214">
        <f>VLOOKUP(19,'Plate Planning'!$A$1:$T$35,14,FALSE)</f>
        <v>0</v>
      </c>
      <c r="EO18" s="214">
        <f>VLOOKUP(19,'Plate Planning'!$A$1:$T$35,15,FALSE)</f>
        <v>0</v>
      </c>
      <c r="EP18" s="214">
        <f>VLOOKUP(A18,'Uncorrected Area Counts'!$A$1:$AS$27,3,FALSE)</f>
        <v>0</v>
      </c>
      <c r="EQ18" s="214" t="str">
        <f>VLOOKUP(A18,'Uncorrected Area Counts'!$A$1:$AS$27,4,FALSE)</f>
        <v/>
      </c>
      <c r="ER18" s="214" t="str">
        <f>VLOOKUP(A18,'Uncorrected Area Counts'!$A$1:$AS$27,5,FALSE)</f>
        <v/>
      </c>
      <c r="ES18" s="214">
        <f>VLOOKUP(20,'Plate Planning'!$A$1:$T$35,15,FALSE)</f>
        <v>0</v>
      </c>
      <c r="ET18" s="214">
        <f>VLOOKUP(A18,'Uncorrected Area Counts'!$A$1:$AS$27,7,FALSE)</f>
        <v>0</v>
      </c>
      <c r="EU18" s="214" t="e">
        <f>VLOOKUP(A18,'Uncorrected Area Counts'!$A$1:$AS$27,7,FALSE)/VLOOKUP(A18,'Uncorrected Area Counts'!$A$1:$AS$27,3,FALSE)</f>
        <v>#DIV/0!</v>
      </c>
      <c r="EV18" s="214" t="str">
        <f>IFERROR(VLOOKUP(A18,'Yields &amp; LCAPs'!$A$1:$V$27,3,FALSE), "NULL")</f>
        <v>NULL</v>
      </c>
      <c r="EW18" s="284" t="str">
        <f>IFERROR(VLOOKUP(A18,'Yields &amp; LCAPs'!$A$1:$V$27,4,FALSE), "NULL")</f>
        <v>NULL</v>
      </c>
      <c r="EX18" s="214" t="str">
        <f>VLOOKUP(A18,'Uncorrected Area Counts'!$A$1:$AS$27,8,FALSE)</f>
        <v/>
      </c>
      <c r="EY18" s="214" t="str">
        <f>VLOOKUP(A18,'Uncorrected Area Counts'!$A$1:$AS$27,9,FALSE)</f>
        <v/>
      </c>
      <c r="EZ18" s="214">
        <f>VLOOKUP(22,'Plate Planning'!$A$1:$T$35,15,FALSE)</f>
        <v>0</v>
      </c>
      <c r="FA18" s="214">
        <f>VLOOKUP(A18,'Uncorrected Area Counts'!$A$1:$AS$27,11,FALSE)</f>
        <v>0</v>
      </c>
      <c r="FB18" s="214" t="e">
        <f>VLOOKUP(A18,'Uncorrected Area Counts'!$A$1:$AS$27,11,FALSE)/VLOOKUP(A18,'Uncorrected Area Counts'!$A$1:$AS$27,3,FALSE)</f>
        <v>#DIV/0!</v>
      </c>
      <c r="FC18" s="214" t="str">
        <f>IFERROR(VLOOKUP(A18,'Yields &amp; LCAPs'!$A$1:$V$27,5,FALSE), "NULL")</f>
        <v>NULL</v>
      </c>
      <c r="FD18" s="284" t="str">
        <f>IFERROR(VLOOKUP(A18,'Yields &amp; LCAPs'!$A$1:$V$27,6,FALSE), "NULL")</f>
        <v>NULL</v>
      </c>
      <c r="FE18" s="214" t="str">
        <f>VLOOKUP(A18,'Uncorrected Area Counts'!$A$1:$AS$27,12,FALSE)</f>
        <v/>
      </c>
      <c r="FF18" s="214" t="str">
        <f>VLOOKUP(A18,'Uncorrected Area Counts'!$A$1:$AS$27,13,FALSE)</f>
        <v/>
      </c>
      <c r="FG18" s="214">
        <f>VLOOKUP(24,'Plate Planning'!$A$1:$T$35,15,FALSE)</f>
        <v>0</v>
      </c>
      <c r="FH18" s="214">
        <f>VLOOKUP(A18,'Uncorrected Area Counts'!$A$1:$AS$27,15,FALSE)</f>
        <v>0</v>
      </c>
      <c r="FI18" s="214" t="e">
        <f>VLOOKUP(A18,'Uncorrected Area Counts'!$A$1:$AS$27,15,FALSE)/VLOOKUP(A18,'Uncorrected Area Counts'!$A$1:$AS$27,3,FALSE)</f>
        <v>#DIV/0!</v>
      </c>
      <c r="FJ18" s="214" t="str">
        <f>IFERROR(VLOOKUP(A18,'Yields &amp; LCAPs'!$A$1:$V$27,7,FALSE), "NULL")</f>
        <v>NULL</v>
      </c>
      <c r="FK18" s="284" t="str">
        <f>IFERROR(VLOOKUP(A18,'Yields &amp; LCAPs'!$A$1:$V$27,8,FALSE), "NULL")</f>
        <v>NULL</v>
      </c>
      <c r="FL18" s="214" t="str">
        <f>VLOOKUP(A18,'Uncorrected Area Counts'!$A$1:$AS$27,16,FALSE)</f>
        <v/>
      </c>
      <c r="FM18" s="214" t="str">
        <f>VLOOKUP(A18,'Uncorrected Area Counts'!$A$1:$AS$27,17,FALSE)</f>
        <v/>
      </c>
      <c r="FN18" s="214">
        <f>VLOOKUP(26,'Plate Planning'!$A$1:$T$35,15,FALSE)</f>
        <v>0</v>
      </c>
      <c r="FO18" s="214">
        <f>VLOOKUP(A18,'Uncorrected Area Counts'!$A$1:$AS$27,19,FALSE)</f>
        <v>0</v>
      </c>
      <c r="FP18" s="214" t="e">
        <f>VLOOKUP(A18,'Uncorrected Area Counts'!$A$1:$AS$27,19,FALSE)/VLOOKUP(A18,'Uncorrected Area Counts'!$A$1:$AS$27,3,FALSE)</f>
        <v>#DIV/0!</v>
      </c>
      <c r="FQ18" s="214" t="str">
        <f>IFERROR(VLOOKUP(A18,'Yields &amp; LCAPs'!$A$1:$V$27,9,FALSE), "NULL")</f>
        <v>NULL</v>
      </c>
      <c r="FR18" s="284" t="str">
        <f>IFERROR(VLOOKUP(A18,'Yields &amp; LCAPs'!$A$1:$V$27,10,FALSE), "NULL")</f>
        <v>NULL</v>
      </c>
      <c r="FS18" s="214" t="str">
        <f>VLOOKUP(A18,'Uncorrected Area Counts'!$A$1:$AS$27,20,FALSE)</f>
        <v/>
      </c>
      <c r="FT18" s="214" t="str">
        <f>VLOOKUP(A18,'Uncorrected Area Counts'!$A$1:$AS$27,21,FALSE)</f>
        <v/>
      </c>
      <c r="FU18" s="214">
        <f>VLOOKUP(27,'Plate Planning'!$A$1:$T$35,15,FALSE)</f>
        <v>0</v>
      </c>
      <c r="FV18" s="214">
        <f>VLOOKUP(A18,'Uncorrected Area Counts'!$A$1:$AS$27,23,FALSE)</f>
        <v>0</v>
      </c>
      <c r="FW18" s="214" t="e">
        <f>VLOOKUP(A18,'Uncorrected Area Counts'!$A$1:$AS$27,23,FALSE)/VLOOKUP(A18,'Uncorrected Area Counts'!$A$1:$AS$27,3,FALSE)</f>
        <v>#DIV/0!</v>
      </c>
      <c r="FX18" s="214" t="str">
        <f>IFERROR(VLOOKUP(A18,'Yields &amp; LCAPs'!$A$1:$V$27,11,FALSE), "NULL")</f>
        <v>NULL</v>
      </c>
      <c r="FY18" s="284" t="str">
        <f>IFERROR(VLOOKUP(A18,'Yields &amp; LCAPs'!$A$1:$V$27,12,FALSE), "NULL")</f>
        <v>NULL</v>
      </c>
      <c r="FZ18" s="411" t="str">
        <f>VLOOKUP(A18,'Uncorrected Area Counts'!$A$1:$AS$27,24,FALSE)</f>
        <v/>
      </c>
      <c r="GA18" s="214" t="str">
        <f>VLOOKUP(A18,'Uncorrected Area Counts'!$A$1:$AS$27,25,FALSE)</f>
        <v/>
      </c>
      <c r="GB18" s="214">
        <f>VLOOKUP(28,'Plate Planning'!$A$1:$T$35,15,FALSE)</f>
        <v>0</v>
      </c>
      <c r="GC18" s="214">
        <f>VLOOKUP(A18,'Uncorrected Area Counts'!$A$1:$AS$27,27,FALSE)</f>
        <v>0</v>
      </c>
      <c r="GD18" s="214" t="e">
        <f>VLOOKUP(A18,'Uncorrected Area Counts'!$A$1:$AS$27,27,FALSE)/VLOOKUP(A18,'Uncorrected Area Counts'!$A$1:$AS$27,3,FALSE)</f>
        <v>#DIV/0!</v>
      </c>
      <c r="GE18" s="214" t="str">
        <f>IFERROR(VLOOKUP(A18,'Yields &amp; LCAPs'!$A$1:$V$27,13,FALSE), "NULL")</f>
        <v>NULL</v>
      </c>
      <c r="GF18" s="284" t="str">
        <f>IFERROR(VLOOKUP(A18,'Yields &amp; LCAPs'!$A$1:$V$27,14,FALSE), "NULL")</f>
        <v>NULL</v>
      </c>
      <c r="GG18" s="214" t="str">
        <f>VLOOKUP(A18,'Uncorrected Area Counts'!$A$1:$AS$27,28,FALSE)</f>
        <v/>
      </c>
      <c r="GH18" s="214" t="str">
        <f>VLOOKUP(A18,'Uncorrected Area Counts'!$A$1:$AS$27,29,FALSE)</f>
        <v/>
      </c>
      <c r="GI18" s="214">
        <f>VLOOKUP(29,'Plate Planning'!$A$1:$T$35,15,FALSE)</f>
        <v>0</v>
      </c>
      <c r="GJ18" s="214">
        <f>VLOOKUP(A18,'Uncorrected Area Counts'!$A$1:$AS$27,31,FALSE)</f>
        <v>0</v>
      </c>
      <c r="GK18" s="214" t="e">
        <f>VLOOKUP(A18,'Uncorrected Area Counts'!$A$1:$AS$27,31,FALSE)/VLOOKUP(A18,'Uncorrected Area Counts'!$A$1:$AS$27,3,FALSE)</f>
        <v>#DIV/0!</v>
      </c>
      <c r="GL18" s="214" t="str">
        <f>IFERROR(VLOOKUP(A18,'Yields &amp; LCAPs'!$A$1:$V$27,15,FALSE), "NULL")</f>
        <v>NULL</v>
      </c>
      <c r="GM18" s="284" t="str">
        <f>IFERROR(VLOOKUP(A18,'Yields &amp; LCAPs'!$A$1:$V$27,16,FALSE), "NULL")</f>
        <v>NULL</v>
      </c>
      <c r="GN18" s="214" t="str">
        <f>VLOOKUP(A18,'Uncorrected Area Counts'!$A$1:$AS$27,32,FALSE)</f>
        <v/>
      </c>
      <c r="GO18" s="214" t="str">
        <f>VLOOKUP(A18,'Uncorrected Area Counts'!$A$1:$AS$27,33,FALSE)</f>
        <v/>
      </c>
      <c r="GP18" s="214">
        <f>VLOOKUP(30,'Plate Planning'!$A$1:$T$35,15,FALSE)</f>
        <v>0</v>
      </c>
      <c r="GQ18" s="214">
        <f>VLOOKUP(A18,'Uncorrected Area Counts'!$A$1:$AS$27,35,FALSE)</f>
        <v>0</v>
      </c>
      <c r="GR18" s="214" t="e">
        <f>VLOOKUP(A18,'Uncorrected Area Counts'!$A$1:$AS$27,35,FALSE)/VLOOKUP(A18,'Uncorrected Area Counts'!$A$1:$AS$27,3,FALSE)</f>
        <v>#DIV/0!</v>
      </c>
      <c r="GS18" s="214" t="str">
        <f>IFERROR(VLOOKUP(A18,'Yields &amp; LCAPs'!$A$1:$V$27,17,FALSE), "NULL")</f>
        <v>NULL</v>
      </c>
      <c r="GT18" s="284" t="str">
        <f>IFERROR(VLOOKUP(A18,'Yields &amp; LCAPs'!$A$1:$V$27,18,FALSE), "NULL")</f>
        <v>NULL</v>
      </c>
      <c r="GU18" s="214" t="str">
        <f>VLOOKUP(A18,'Uncorrected Area Counts'!$A$1:$AS$27,36,FALSE)</f>
        <v/>
      </c>
      <c r="GV18" s="214" t="str">
        <f>VLOOKUP(A18,'Uncorrected Area Counts'!$A$1:$AS$27,37,FALSE)</f>
        <v/>
      </c>
      <c r="GW18" s="214">
        <f>VLOOKUP(31,'Plate Planning'!$A$1:$T$35,15,FALSE)</f>
        <v>0</v>
      </c>
      <c r="GX18" s="214">
        <f>VLOOKUP(A18,'Uncorrected Area Counts'!$A$1:$AS$27,39,FALSE)</f>
        <v>0</v>
      </c>
      <c r="GY18" s="214" t="e">
        <f>VLOOKUP(A18,'Uncorrected Area Counts'!$A$1:$AS$27,39,FALSE)/VLOOKUP(A18,'Uncorrected Area Counts'!$A$1:$AS$27,3,FALSE)</f>
        <v>#DIV/0!</v>
      </c>
      <c r="GZ18" s="214" t="str">
        <f>IFERROR(VLOOKUP(A18,'Yields &amp; LCAPs'!$A$1:$V$27,19,FALSE), "NULL")</f>
        <v>NULL</v>
      </c>
      <c r="HA18" s="284" t="str">
        <f>IFERROR(VLOOKUP(A18,'Yields &amp; LCAPs'!$A$1:$V$27,20,FALSE), "NULL")</f>
        <v>NULL</v>
      </c>
      <c r="HB18" s="214" t="str">
        <f>VLOOKUP(A18,'Uncorrected Area Counts'!$A$1:$AS$27,40,FALSE)</f>
        <v/>
      </c>
      <c r="HC18" s="214" t="str">
        <f>VLOOKUP(A18,'Uncorrected Area Counts'!$A$1:$AS$27,41,FALSE)</f>
        <v/>
      </c>
      <c r="HD18" s="214">
        <f>VLOOKUP(32,'Plate Planning'!$A$1:$T$35,15,FALSE)</f>
        <v>0</v>
      </c>
      <c r="HE18" s="214">
        <f>VLOOKUP(A18,'Uncorrected Area Counts'!$A$1:$AS$27,43,FALSE)</f>
        <v>0</v>
      </c>
      <c r="HF18" s="214" t="e">
        <f>VLOOKUP(A18,'Uncorrected Area Counts'!$A$1:$AS$27,43,FALSE)/VLOOKUP(A18,'Uncorrected Area Counts'!$A$1:$AS$27,3,FALSE)</f>
        <v>#DIV/0!</v>
      </c>
      <c r="HG18" s="214" t="str">
        <f>IFERROR(VLOOKUP(A18,'Yields &amp; LCAPs'!$A$1:$V$27,21,FALSE), "NULL")</f>
        <v>NULL</v>
      </c>
      <c r="HH18" s="284" t="str">
        <f>IFERROR(VLOOKUP(A18,'Yields &amp; LCAPs'!$A$1:$V$27,22,FALSE), "NULL")</f>
        <v>NULL</v>
      </c>
      <c r="HI18" s="362"/>
      <c r="HJ18" s="362"/>
      <c r="HK18" s="362"/>
      <c r="HL18" s="362"/>
      <c r="HM18" s="363"/>
      <c r="HN18" s="362"/>
      <c r="HO18" s="362"/>
      <c r="HP18" s="362"/>
      <c r="HQ18" s="362"/>
      <c r="HR18" s="363"/>
    </row>
    <row r="19" spans="1:226">
      <c r="A19" s="216" t="s">
        <v>1190</v>
      </c>
      <c r="B19" s="214">
        <v>6</v>
      </c>
      <c r="C19" s="214">
        <v>3</v>
      </c>
      <c r="D19" s="214" t="str">
        <f>VLOOKUP(18,'Plate Planning'!$A$1:$T$35,10,FALSE)&amp;"_"&amp;VLOOKUP(19,'Plate Planning'!$A$1:$T$35,10,FALSE)&amp;"_"&amp;A19</f>
        <v>__C6</v>
      </c>
      <c r="E19" s="214" t="str">
        <f>IF(VLOOKUP(18,'Plate Planning'!$A$1:$T$35,10,FALSE)="", "NULL", VLOOKUP(18,'Plate Planning'!$A$1:$T$35,10,FALSE))</f>
        <v>NULL</v>
      </c>
      <c r="F19" s="214" t="str">
        <f>IF(VLOOKUP(19,'Plate Planning'!$A$1:$T$35,10,FALSE)="", "NULL", VLOOKUP(19,'Plate Planning'!$A$1:$T$35,10,FALSE))</f>
        <v>NULL</v>
      </c>
      <c r="G19" s="214" t="str">
        <f>IF(VLOOKUP(20,'Plate Planning'!$A$1:$T$35,10,FALSE)="", "NULL", VLOOKUP(20,'Plate Planning'!$A$1:$T$35,10,FALSE))</f>
        <v>NULL</v>
      </c>
      <c r="H19" s="214" t="str">
        <f>IF(VLOOKUP(21,'Plate Planning'!$A$1:$T$35,10,FALSE)="", "NULL", VLOOKUP(21,'Plate Planning'!$A$1:$T$35,10,FALSE))</f>
        <v>NULL</v>
      </c>
      <c r="I19" s="214" t="str">
        <f>IF(VLOOKUP(23,'Plate Planning'!$A$1:$T$35,10,FALSE)="", "NULL", VLOOKUP(23,'Plate Planning'!$A$1:$T$35,10,FALSE))</f>
        <v>NULL</v>
      </c>
      <c r="J19" s="214" t="str">
        <f>IF(VLOOKUP(22,'Plate Planning'!$A$1:$T$35,10,FALSE)="", "NULL", VLOOKUP(22,'Plate Planning'!$A$1:$T$35,10,FALSE))</f>
        <v>NULL</v>
      </c>
      <c r="K19" s="214" t="str">
        <f>VLOOKUP(24,'Plate Planning'!$A$1:$T$35,10,FALSE)</f>
        <v>Glovebox</v>
      </c>
      <c r="L19" s="214" t="str">
        <f>IF(VLOOKUP(25,'Plate Planning'!$A$1:$T$35,10,FALSE)="","NULL",VLOOKUP(25,'Plate Planning'!$A$1:$T$35,10,FALSE))</f>
        <v>NULL</v>
      </c>
      <c r="M19" s="214" t="str">
        <f>VLOOKUP(26,'Plate Planning'!$A$1:$T$35,10,FALSE)</f>
        <v>ambient</v>
      </c>
      <c r="N19" s="214" t="str">
        <f>IF(VLOOKUP(27,'Plate Planning'!$A$1:$T$35,10,FALSE)=0,"NULL", VLOOKUP(27,'Plate Planning'!$A$1:$T$35,10,FALSE))</f>
        <v>NULL</v>
      </c>
      <c r="O19" s="214" t="str">
        <f>IF(VLOOKUP(3,'Plate Planning'!$A$2:$S$35,18,FALSE)="", "NULL", VLOOKUP(3,'Plate Planning'!$A$2:$S$35,18,FALSE))</f>
        <v>NULL</v>
      </c>
      <c r="P19" s="214" t="str">
        <f>IF(VLOOKUP(4,'Plate Planning'!$A$2:$S$35,18,FALSE)="", "NULL", VLOOKUP(4,'Plate Planning'!$A$2:$S$35,18,FALSE))</f>
        <v>NULL</v>
      </c>
      <c r="Q19" s="214" t="str">
        <f>IF(VLOOKUP(5,'Plate Planning'!$A$2:$S$35,18,FALSE)="", "NULL", VLOOKUP(5,'Plate Planning'!$A$2:$S$35,18,FALSE))</f>
        <v>NULL</v>
      </c>
      <c r="R19" s="214" t="str">
        <f>IF(VLOOKUP(6,'Plate Planning'!$A$2:$S$35,18,FALSE)="", "NULL", VLOOKUP(6,'Plate Planning'!$A$2:$S$35,18,FALSE))</f>
        <v>NULL</v>
      </c>
      <c r="S19" s="214" t="str">
        <f>IF(VLOOKUP(7,'Plate Planning'!$A$2:$S$35,18,FALSE)="", "NULL", VLOOKUP(7,'Plate Planning'!$A$2:$S$35,18,FALSE))</f>
        <v>NULL</v>
      </c>
      <c r="T19" s="214" t="str">
        <f>IF(VLOOKUP(28,'Plate Planning'!$A$1:$T$35,10,FALSE)=0,"NULL",VLOOKUP(28,'Plate Planning'!$A$1:$T$35,10,FALSE))</f>
        <v>NULL</v>
      </c>
      <c r="U19" s="214" t="str">
        <f>IFERROR(VLOOKUP(VLOOKUP(28,'Plate Planning'!$A$1:$T$35,10,FALSE),Dictionaries!$Q$2:$R$72,2,FALSE), "NULL")</f>
        <v>NULL</v>
      </c>
      <c r="V19" s="214" t="str">
        <f>IF(VLOOKUP(28,'Plate Planning'!$A$1:$T$35,10,FALSE)=0,"NULL",VLOOKUP(32,'Plate Planning'!$A$1:$T$35,10,FALSE))</f>
        <v>NULL</v>
      </c>
      <c r="W19" s="214" t="str">
        <f>IF(VLOOKUP(C19+3,'Plate Planning'!$A$1:$S$35,B19+4,FALSE)=0, "", VLOOKUP(C19+3,'Plate Planning'!$A$1:$S$35,B19+4,FALSE))</f>
        <v/>
      </c>
      <c r="X19" s="214" t="str">
        <f>IFERROR(VLOOKUP(W19,'Complex Variable'!$A$2:$S$25,2,FALSE), "")</f>
        <v/>
      </c>
      <c r="Y19" s="327" t="str">
        <f>IFERROR(VLOOKUP(W19,'Complex Variable'!$A$2:$S$25,3,FALSE), "")</f>
        <v/>
      </c>
      <c r="Z19" s="327" t="str">
        <f>IFERROR(VLOOKUP(W19,'Complex Variable'!$A$2:$S$25,5,FALSE), "")</f>
        <v/>
      </c>
      <c r="AA19" s="327" t="str">
        <f>IFERROR(VLOOKUP(W19,'Complex Variable'!$A$2:$S$25,14,FALSE), "")</f>
        <v/>
      </c>
      <c r="AB19" s="602" t="str">
        <f>IFERROR(VLOOKUP(W19,'Complex Variable'!$A$2:$S$25,19,FALSE), "")</f>
        <v/>
      </c>
      <c r="AC19" s="327" t="str">
        <f>IFERROR(VLOOKUP(W19,'Complex Variable'!$A$2:$S$25,13,FALSE), "")</f>
        <v/>
      </c>
      <c r="AD19" s="604" t="str">
        <f t="shared" si="0"/>
        <v/>
      </c>
      <c r="AE19" s="214">
        <f>VLOOKUP(1,Reagents!$B$1:$M$41,2,FALSE)</f>
        <v>0</v>
      </c>
      <c r="AF19" s="214">
        <f>VLOOKUP(1,Reagents!$B$1:$M$41,3,FALSE)</f>
        <v>0</v>
      </c>
      <c r="AG19" s="214" t="str">
        <f>IF(VLOOKUP(1,Reagents!$B$1:$M$41,5,FALSE)=0, "NULL", VLOOKUP(1,Reagents!$B$1:$M$41,5,FALSE))</f>
        <v>NULL</v>
      </c>
      <c r="AH19" s="214" t="str">
        <f>IF(OR(Reagents!$Q$2="Stock slurry",Reagents!$Q$2="Stock solution"),VLOOKUP(1,Reagents!$B$1:$R$41,13,FALSE), "NULL")</f>
        <v/>
      </c>
      <c r="AI19" s="362" t="str">
        <f>IF(OR(Reagents!$Q$2="Stock slurry",Reagents!$Q$2="Stock solution"),VLOOKUP(1,Reagents!$B$1:$R$41,14,FALSE), VLOOKUP(1,Reagents!$B$1:$R$41,11,FALSE))</f>
        <v/>
      </c>
      <c r="AJ19" s="214">
        <f>VLOOKUP(1,Reagents!$B$1:$R$41,17,FALSE)</f>
        <v>0</v>
      </c>
      <c r="AK19" s="284" t="e">
        <f>IF(OR(VLOOKUP(1,Reagents!$B$1:$M$41,4,FALSE)="solvent_2",VLOOKUP(1,Reagents!$B$1:$M$41,4,FALSE)="solvent_3"),VLOOKUP(1,Reagents!$B$1:$M$41,12,FALSE),IF(OR(Reagents!$Q$2="Stock slurry",Reagents!$Q$2="Stock solution"),AI19*AH19, AI19/VLOOKUP(1,Reagents!$B$1:$R$41,6,FALSE)*1000))</f>
        <v>#VALUE!</v>
      </c>
      <c r="AL19" s="214">
        <f>VLOOKUP(2,Reagents!$B$1:$M$41,2,FALSE)</f>
        <v>0</v>
      </c>
      <c r="AM19" s="214">
        <f>VLOOKUP(2,Reagents!$B$1:$M$41,3,FALSE)</f>
        <v>0</v>
      </c>
      <c r="AN19" s="214" t="str">
        <f>IF(VLOOKUP(2,Reagents!$B$1:$M$41,5,FALSE)=0, "NULL", VLOOKUP(2,Reagents!$B$1:$M$41,5,FALSE))</f>
        <v>NULL</v>
      </c>
      <c r="AO19" s="214" t="str">
        <f>IF(OR(Reagents!$Q$3="Stock slurry",Reagents!$Q$3="Stock solution"),VLOOKUP(2,Reagents!$B$1:$R$41,13,FALSE), "NULL")</f>
        <v/>
      </c>
      <c r="AP19" s="362" t="str">
        <f>IF(OR(Reagents!$Q$3="Stock slurry",Reagents!$Q$3="Stock solution"),VLOOKUP(2,Reagents!$B$1:$R$41,14,FALSE), VLOOKUP(2,Reagents!$B$1:$R$41,11,FALSE))</f>
        <v/>
      </c>
      <c r="AQ19" s="214">
        <f>VLOOKUP(2,Reagents!$B$1:$R$41,17,FALSE)</f>
        <v>0</v>
      </c>
      <c r="AR19" s="284" t="e">
        <f>IF(OR(VLOOKUP(2,Reagents!$B$1:$M$41,4,FALSE)="solvent_2",VLOOKUP(2,Reagents!$B$1:$M$41,4,FALSE)="solvent_3"),VLOOKUP(2,Reagents!$B$1:$M$41,12,FALSE),IF(OR(Reagents!$Q$3="Stock slurry",Reagents!$Q$3="Stock solution"),AP19*AO19, AP19/VLOOKUP(2,Reagents!$B$1:$R$41,6,FALSE)*1000))</f>
        <v>#VALUE!</v>
      </c>
      <c r="AS19" s="214">
        <f>VLOOKUP(3,Reagents!$B$1:$M$41,2,FALSE)</f>
        <v>0</v>
      </c>
      <c r="AT19" s="214">
        <f>VLOOKUP(3,Reagents!$B$1:$M$41,3,FALSE)</f>
        <v>0</v>
      </c>
      <c r="AU19" s="214" t="str">
        <f>IF(VLOOKUP(3,Reagents!$B$1:$M$41,5,FALSE)=0, "NULL", VLOOKUP(3,Reagents!$B$1:$M$41,5,FALSE))</f>
        <v>NULL</v>
      </c>
      <c r="AV19" s="214" t="str">
        <f>IF(OR(Reagents!$Q$4="Stock slurry",Reagents!$Q$4="Stock solution"),VLOOKUP(3,Reagents!$B$1:$R$41,13,FALSE), "NULL")</f>
        <v/>
      </c>
      <c r="AW19" s="362" t="str">
        <f>IF(OR(Reagents!$Q$4="Stock slurry",Reagents!$Q$4="Stock solution"),VLOOKUP(3,Reagents!$B$1:$R$41,14,FALSE), VLOOKUP(3,Reagents!$B$1:$R$41,11,FALSE))</f>
        <v/>
      </c>
      <c r="AX19" s="214">
        <f>VLOOKUP(3,Reagents!$B$1:$R$41,17,FALSE)</f>
        <v>0</v>
      </c>
      <c r="AY19" s="284" t="e">
        <f>IF(OR(VLOOKUP(3,Reagents!$B$1:$M$41,4,FALSE)="solvent_2",VLOOKUP(3,Reagents!$B$1:$M$41,4,FALSE)="solvent_3"),VLOOKUP(3,Reagents!$B$1:$M$41,12,FALSE),IF(OR(Reagents!$Q$4="Stock slurry",Reagents!$Q$4="Stock solution"),AW19*AV19, AW19/VLOOKUP(3,Reagents!$B$1:$R$41,6,FALSE)*1000))</f>
        <v>#VALUE!</v>
      </c>
      <c r="AZ19" s="214">
        <f>VLOOKUP(4,Reagents!$B$1:$M$41,2,FALSE)</f>
        <v>0</v>
      </c>
      <c r="BA19" s="214">
        <f>VLOOKUP(4,Reagents!$B$1:$M$41,3,FALSE)</f>
        <v>0</v>
      </c>
      <c r="BB19" s="214" t="str">
        <f>IF(VLOOKUP(4,Reagents!$B$1:$M$41,5,FALSE)=0, "NULL", VLOOKUP(4,Reagents!$B$1:$M$41,5,FALSE))</f>
        <v>NULL</v>
      </c>
      <c r="BC19" s="214" t="str">
        <f>IF(OR(Reagents!$Q$5="Stock slurry",Reagents!$Q$5="Stock solution"),VLOOKUP(4,Reagents!$B$1:$R$41,13,FALSE), "NULL")</f>
        <v/>
      </c>
      <c r="BD19" s="362" t="str">
        <f>IF(OR(Reagents!$Q$5="Stock slurry",Reagents!$Q$5="Stock solution"),VLOOKUP(4,Reagents!$B$1:$R$41,14,FALSE), VLOOKUP(4,Reagents!$B$1:$R$41,11,FALSE))</f>
        <v/>
      </c>
      <c r="BE19" s="214">
        <f>VLOOKUP(4,Reagents!$B$1:$R$41,17,FALSE)</f>
        <v>0</v>
      </c>
      <c r="BF19" s="284" t="e">
        <f>IF(OR(VLOOKUP(4,Reagents!$B$1:$M$41,4,FALSE)="solvent_2",VLOOKUP(4,Reagents!$B$1:$M$41,4,FALSE)="solvent_3"),VLOOKUP(4,Reagents!$B$1:$M$41,12,FALSE),IF(OR(Reagents!$Q$5="Stock slurry",Reagents!$Q$5="Stock solution"),BD19*BC19, BD19/VLOOKUP(4,Reagents!$B$1:$R$41,6,FALSE)*1000))</f>
        <v>#VALUE!</v>
      </c>
      <c r="BG19" s="214">
        <f>VLOOKUP(5,Reagents!$B$1:$M$41,2,FALSE)</f>
        <v>0</v>
      </c>
      <c r="BH19" s="214">
        <f>VLOOKUP(5,Reagents!$B$1:$M$41,3,FALSE)</f>
        <v>0</v>
      </c>
      <c r="BI19" s="214" t="str">
        <f>IF(VLOOKUP(5,Reagents!$B$1:$M$41,5,FALSE)=0, "NULL", VLOOKUP(5,Reagents!$B$1:$M$41,5,FALSE))</f>
        <v>NULL</v>
      </c>
      <c r="BJ19" s="214" t="str">
        <f>IF(OR(Reagents!$Q$6="Stock slurry",Reagents!$Q$6="Stock solution"),VLOOKUP(5,Reagents!$B$1:$R$41,13,FALSE), "NULL")</f>
        <v/>
      </c>
      <c r="BK19" s="362" t="str">
        <f>IF(OR(Reagents!$Q$6="Stock slurry",Reagents!$Q$6="Stock solution"),VLOOKUP(5,Reagents!$B$1:$R$41,14,FALSE), VLOOKUP(5,Reagents!$B$1:$R$41,11,FALSE))</f>
        <v/>
      </c>
      <c r="BL19" s="214">
        <f>VLOOKUP(5,Reagents!$B$1:$R$41,17,FALSE)</f>
        <v>0</v>
      </c>
      <c r="BM19" s="284" t="e">
        <f>IF(OR(VLOOKUP(5,Reagents!$B$1:$M$41,4,FALSE)="solvent_2",VLOOKUP(5,Reagents!$B$1:$M$41,4,FALSE)="solvent_3"),VLOOKUP(5,Reagents!$B$1:$M$41,12,FALSE),IF(OR(Reagents!$Q$6="Stock slurry",Reagents!$Q$6="Stock solution"),BK19*BJ19, BK19/VLOOKUP(5,Reagents!$B$1:$R$41,6,FALSE)*1000))</f>
        <v>#VALUE!</v>
      </c>
      <c r="BN19" s="214">
        <f>VLOOKUP(6,Reagents!$B$1:$M$41,2,FALSE)</f>
        <v>0</v>
      </c>
      <c r="BO19" s="214">
        <f>VLOOKUP(6,Reagents!$B$1:$M$41,3,FALSE)</f>
        <v>0</v>
      </c>
      <c r="BP19" s="214" t="str">
        <f>IF(VLOOKUP(6,Reagents!$B$1:$M$41,5,FALSE)=0, "NULL", VLOOKUP(6,Reagents!$B$1:$M$41,5,FALSE))</f>
        <v>NULL</v>
      </c>
      <c r="BQ19" s="214" t="str">
        <f>IF(OR(Reagents!$Q$7="Stock slurry",Reagents!$Q$7="Stock solution"),VLOOKUP(6,Reagents!$B$1:$R$41,13,FALSE), "NULL")</f>
        <v/>
      </c>
      <c r="BR19" s="362" t="str">
        <f>IF(OR(Reagents!$Q$7="Stock slurry",Reagents!$Q$7="Stock solution"),VLOOKUP(6,Reagents!$B$1:$R$41,14,FALSE), VLOOKUP(6,Reagents!$B$1:$R$41,11,FALSE))</f>
        <v/>
      </c>
      <c r="BS19" s="214">
        <f>VLOOKUP(6,Reagents!$B$1:$R$41,17,FALSE)</f>
        <v>0</v>
      </c>
      <c r="BT19" s="284" t="e">
        <f>IF(OR(VLOOKUP(6,Reagents!$B$1:$M$41,4,FALSE)="solvent_2",VLOOKUP(6,Reagents!$B$1:$M$41,4,FALSE)="solvent_3"),VLOOKUP(6,Reagents!$B$1:$M$41,12,FALSE),IF(OR(Reagents!$Q$7="Stock slurry",Reagents!$Q$7="Stock solution"),BR19*BQ19, BR19/VLOOKUP(6,Reagents!$B$1:$R$41,6,FALSE)*1000))</f>
        <v>#VALUE!</v>
      </c>
      <c r="BU19" s="214">
        <f>VLOOKUP(7,Reagents!$B$1:$M$41,2,FALSE)</f>
        <v>0</v>
      </c>
      <c r="BV19" s="214">
        <f>VLOOKUP(7,Reagents!$B$1:$M$41,3,FALSE)</f>
        <v>0</v>
      </c>
      <c r="BW19" s="214" t="str">
        <f>IF(VLOOKUP(7,Reagents!$B$1:$M$41,5,FALSE)=0, "NULL", VLOOKUP(7,Reagents!$B$1:$M$41,5,FALSE))</f>
        <v>NULL</v>
      </c>
      <c r="BX19" s="214" t="str">
        <f>IF(OR(Reagents!$Q$8="Stock slurry",Reagents!$Q$8="Stock solution"),VLOOKUP(7,Reagents!$B$1:$R$41,13,FALSE), "NULL")</f>
        <v/>
      </c>
      <c r="BY19" s="362" t="str">
        <f>IF(OR(Reagents!$Q$8="Stock slurry",Reagents!$Q$8="Stock solution"),VLOOKUP(7,Reagents!$B$1:$R$41,14,FALSE), VLOOKUP(7,Reagents!$B$1:$R$41,11,FALSE))</f>
        <v/>
      </c>
      <c r="BZ19" s="214">
        <f>VLOOKUP(7,Reagents!$B$1:$R$41,17,FALSE)</f>
        <v>0</v>
      </c>
      <c r="CA19" s="284" t="e">
        <f>IF(OR(VLOOKUP(7,Reagents!$B$1:$M$41,4,FALSE)="solvent_2",VLOOKUP(7,Reagents!$B$1:$M$41,4,FALSE)="solvent_3"),VLOOKUP(7,Reagents!$B$1:$M$41,12,FALSE),IF(OR(Reagents!$Q$8="Stock slurry",Reagents!$Q$8="Stock solution"),BY19*BX19, BY19/VLOOKUP(7,Reagents!$B$1:$R$41,6,FALSE)*1000))</f>
        <v>#VALUE!</v>
      </c>
      <c r="CB19" s="214">
        <f>VLOOKUP(8,Reagents!$B$1:$M$41,2,FALSE)</f>
        <v>0</v>
      </c>
      <c r="CC19" s="214">
        <f>VLOOKUP(8,Reagents!$B$1:$M$41,3,FALSE)</f>
        <v>0</v>
      </c>
      <c r="CD19" s="214" t="str">
        <f>IF(VLOOKUP(8,Reagents!$B$1:$M$41,5,FALSE)=0, "NULL", VLOOKUP(8,Reagents!$B$1:$M$41,5,FALSE))</f>
        <v>NULL</v>
      </c>
      <c r="CE19" s="214" t="str">
        <f>IF(OR(Reagents!$Q$9="Stock slurry",Reagents!$Q$9="Stock solution"),VLOOKUP(8,Reagents!$B$1:$R$41,13,FALSE), "NULL")</f>
        <v/>
      </c>
      <c r="CF19" s="362" t="str">
        <f>IF(OR(Reagents!$Q$9="Stock slurry",Reagents!$Q$9="Stock solution"),VLOOKUP(8,Reagents!$B$1:$R$41,14,FALSE), VLOOKUP(8,Reagents!$B$1:$R$41,11,FALSE))</f>
        <v/>
      </c>
      <c r="CG19" s="214">
        <f>VLOOKUP(8,Reagents!$B$1:$R$41,17,FALSE)</f>
        <v>0</v>
      </c>
      <c r="CH19" s="284" t="e">
        <f>IF(OR(VLOOKUP(8,Reagents!$B$1:$M$41,4,FALSE)="solvent_2",VLOOKUP(8,Reagents!$B$1:$M$41,4,FALSE)="solvent_3"),VLOOKUP(8,Reagents!$B$1:$M$41,12,FALSE),IF(OR(Reagents!$Q$9="Stock slurry",Reagents!$Q$9="Stock solution"),CF19*CE19, CF19/VLOOKUP(8,Reagents!$B$1:$R$41,6,FALSE)*1000))</f>
        <v>#VALUE!</v>
      </c>
      <c r="CI19" s="214">
        <f>VLOOKUP(9,Reagents!$B$1:$M$41,2,FALSE)</f>
        <v>0</v>
      </c>
      <c r="CJ19" s="214">
        <f>VLOOKUP(9,Reagents!$B$1:$M$41,3,FALSE)</f>
        <v>0</v>
      </c>
      <c r="CK19" s="214" t="str">
        <f>IF(VLOOKUP(9,Reagents!$B$1:$M$41,5,FALSE)=0, "NULL", VLOOKUP(9,Reagents!$B$1:$M$41,5,FALSE))</f>
        <v>NULL</v>
      </c>
      <c r="CL19" s="214" t="str">
        <f>IF(OR(Reagents!$Q$10="Stock slurry",Reagents!$Q$10="Stock solution"),VLOOKUP(9,Reagents!$B$1:$R$41,13,FALSE), "NULL")</f>
        <v/>
      </c>
      <c r="CM19" s="362" t="str">
        <f>IF(OR(Reagents!$Q$10="Stock slurry",Reagents!$Q$10="Stock solution"),VLOOKUP(9,Reagents!$B$1:$R$41,14,FALSE), VLOOKUP(9,Reagents!$B$1:$R$41,11,FALSE))</f>
        <v/>
      </c>
      <c r="CN19" s="214">
        <f>VLOOKUP(9,Reagents!$B$1:$R$41,17,FALSE)</f>
        <v>0</v>
      </c>
      <c r="CO19" s="284" t="e">
        <f>IF(OR(VLOOKUP(9,Reagents!$B$1:$M$41,4,FALSE)="solvent_2",VLOOKUP(9,Reagents!$B$1:$M$41,4,FALSE)="solvent_3"),VLOOKUP(9,Reagents!$B$1:$M$41,12,FALSE),IF(OR(Reagents!$Q$10="Stock slurry",Reagents!$Q$10="Stock solution"),CM19*CL19, CM19/VLOOKUP(9,Reagents!$B$1:$R$41,6,FALSE)*1000))</f>
        <v>#VALUE!</v>
      </c>
      <c r="CP19" s="214">
        <f>VLOOKUP(10,Reagents!$B$1:$M$41,2,FALSE)</f>
        <v>0</v>
      </c>
      <c r="CQ19" s="214">
        <f>VLOOKUP(10,Reagents!$B$1:$M$41,3,FALSE)</f>
        <v>0</v>
      </c>
      <c r="CR19" s="214" t="str">
        <f>IF(VLOOKUP(10,Reagents!$B$1:$M$41,5,FALSE)=0, "NULL", VLOOKUP(10,Reagents!$B$1:$M$41,5,FALSE))</f>
        <v>NULL</v>
      </c>
      <c r="CS19" s="214" t="str">
        <f>IF(OR(Reagents!$Q$11="Stock slurry",Reagents!$Q$11="Stock solution"),VLOOKUP(10,Reagents!$B$1:$R$41,13,FALSE), "NULL")</f>
        <v/>
      </c>
      <c r="CT19" s="362" t="str">
        <f>IF(OR(Reagents!$Q$11="Stock slurry",Reagents!$Q$11="Stock solution"),VLOOKUP(10,Reagents!$B$1:$R$41,14,FALSE), VLOOKUP(10,Reagents!$B$1:$R$41,11,FALSE))</f>
        <v/>
      </c>
      <c r="CU19" s="214">
        <f>VLOOKUP(10,Reagents!$B$1:$R$41,17,FALSE)</f>
        <v>0</v>
      </c>
      <c r="CV19" s="284" t="e">
        <f>IF(OR(VLOOKUP(10,Reagents!$B$1:$M$41,4,FALSE)="solvent_2",VLOOKUP(10,Reagents!$B$1:$M$41,4,FALSE)="solvent_3"),VLOOKUP(10,Reagents!$B$1:$M$41,12,FALSE),IF(OR(Reagents!$Q$11="Stock slurry",Reagents!$Q$11="Stock solution"),CT19*CS19, CT19/VLOOKUP(10,Reagents!$B$1:$R$41,6,FALSE)*1000))</f>
        <v>#VALUE!</v>
      </c>
      <c r="CW19" s="214" t="str">
        <f>VLOOKUP(B19+10,Reagents!$B$1:$R$41,2,FALSE)</f>
        <v/>
      </c>
      <c r="CX19" s="214">
        <f>VLOOKUP(B19+10,Reagents!$B$1:$R$41,3,FALSE)</f>
        <v>0</v>
      </c>
      <c r="CY19" s="214" t="str">
        <f>IF(VLOOKUP(B19+10,Reagents!$B$1:$M$41,5,FALSE)=0, "NULL", VLOOKUP(B19+10,Reagents!$B$1:$M$41,5,FALSE))</f>
        <v>NULL</v>
      </c>
      <c r="CZ19" s="214" t="str">
        <f>IF(OR(Reagents!$Q$12="Stock slurry",Reagents!$Q$12="Stock solution"),VLOOKUP(B19+10,Reagents!$B$1:$R$41,13,FALSE), "NULL")</f>
        <v/>
      </c>
      <c r="DA19" s="362" t="str">
        <f>IF(OR(Reagents!$Q$12="Stock slurry",Reagents!$Q$12="Stock solution"),VLOOKUP(B19+10,Reagents!$B$1:$R$41,14,FALSE), VLOOKUP(B19+10,Reagents!$B$1:$R$41,11,FALSE))</f>
        <v/>
      </c>
      <c r="DB19" s="214">
        <f>VLOOKUP(B19+10,Reagents!$B$1:$R$41,17,FALSE)</f>
        <v>0</v>
      </c>
      <c r="DC19" s="284" t="e">
        <f>IF(OR(v1_col="solvent_2",v1_col="solvent_3"),VLOOKUP(B19+10,Reagents!$B$1:$M$41,12,FALSE),IF(OR(Reagents!$Q$12="Stock slurry",Reagents!$Q$12="Stock solution"),DA19*CZ19, DA19/VLOOKUP(B19+10,Reagents!$B$1:$R$41,6,FALSE)*1000))</f>
        <v>#VALUE!</v>
      </c>
      <c r="DD19" s="214" t="str">
        <f>VLOOKUP(B19+22,Reagents!$B$1:$M$41,2,FALSE)</f>
        <v/>
      </c>
      <c r="DE19" s="214">
        <f>VLOOKUP(B19+22,Reagents!$B$1:$R$41,3,FALSE)</f>
        <v>0</v>
      </c>
      <c r="DF19" s="214" t="str">
        <f>IF(VLOOKUP(B19+22,Reagents!$B$1:$M$41,5,FALSE)=0, "NULL", VLOOKUP(B19+22,Reagents!$B$1:$M$41,5,FALSE))</f>
        <v>NULL</v>
      </c>
      <c r="DG19" s="214" t="str">
        <f>IF(OR(Reagents!$Q$18="Stock slurry",Reagents!$Q$12="Stock solution"),VLOOKUP(B19+22,Reagents!$B$1:$R$41,13,FALSE), "NULL")</f>
        <v/>
      </c>
      <c r="DH19" s="362" t="str">
        <f>IF(OR(Reagents!$Q$18="Stock slurry",Reagents!$Q$18="Stock solution"),VLOOKUP(B19+22,Reagents!$B$1:$R$41,14,FALSE), VLOOKUP(B19+22,Reagents!$B$1:$R$41,11,FALSE))</f>
        <v/>
      </c>
      <c r="DI19" s="214">
        <f>VLOOKUP(B19+22,Reagents!$B$1:$R$41,17,FALSE)</f>
        <v>0</v>
      </c>
      <c r="DJ19" s="284" t="e">
        <f>IF(OR(v2_col="solvent_2",v2_col="solvent_3"),VLOOKUP(B19+22,Reagents!$B$1:$M$41,12,FALSE),IF(OR(Reagents!$Q$18="Stock slurry",Reagents!$Q$18="Stock solution"),DH19*DG19, DH19/VLOOKUP(B19+22,Reagents!$B$1:$R$41,6,FALSE)*1000))</f>
        <v>#VALUE!</v>
      </c>
      <c r="DK19" s="214" t="str">
        <f>VLOOKUP(B19+34,Reagents!$B$1:$M$41,2,FALSE)</f>
        <v/>
      </c>
      <c r="DL19" s="214">
        <f>VLOOKUP(B19+34,Reagents!$B$1:$R$41,3,FALSE)</f>
        <v>0</v>
      </c>
      <c r="DM19" s="214" t="str">
        <f>IF(VLOOKUP(B19+34,Reagents!$B$1:$M$41,5,FALSE)=0, "NULL", VLOOKUP(B19+34,Reagents!$B$1:$M$41,5,FALSE))</f>
        <v>NULL</v>
      </c>
      <c r="DN19" s="214" t="str">
        <f>IF(OR(Reagents!$Q$24="Stock slurry",Reagents!$Q$12="Stock solution"),VLOOKUP(B19+34,Reagents!$B$1:$R$41,13,FALSE), "NULL")</f>
        <v/>
      </c>
      <c r="DO19" s="362" t="str">
        <f>IF(OR(Reagents!$Q$24="Stock slurry",Reagents!$Q$24="Stock solution"),VLOOKUP(B19+34,Reagents!$B$1:$R$41,14,FALSE), VLOOKUP(B19+34,Reagents!$B$1:$R$41,11,FALSE))</f>
        <v/>
      </c>
      <c r="DP19" s="214">
        <f>VLOOKUP(B19+34,Reagents!$B$1:$R$41,17,FALSE)</f>
        <v>0</v>
      </c>
      <c r="DQ19" s="284" t="e">
        <f>IF(OR(v3_col="solvent_2",v3_col="solvent_3"),VLOOKUP(B19+34,Reagents!$B$1:$M$41,12,FALSE),IF(OR(Reagents!$Q$24="Stock slurry",Reagents!$Q$24="Stock solution"),DO19*DN19, DO19/VLOOKUP(B19+34,Reagents!$B$1:$R$41,6,FALSE)*1000))</f>
        <v>#VALUE!</v>
      </c>
      <c r="DR19" s="214" t="str">
        <f>VLOOKUP(C19+46,Reagents!$B$1:$M$41,2,FALSE)</f>
        <v/>
      </c>
      <c r="DS19" s="214">
        <f>VLOOKUP(C19+46,Reagents!$B$1:$M$41,3,FALSE)</f>
        <v>0</v>
      </c>
      <c r="DT19" s="214" t="str">
        <f>IF(VLOOKUP(C19+46,Reagents!$B$1:$M$41,5,FALSE)=0, "NULL", VLOOKUP(C19+46,Reagents!$B$1:$M$41,5,FALSE))</f>
        <v>NULL</v>
      </c>
      <c r="DU19" s="214" t="str">
        <f>IF(OR(Reagents!$Q$30="Stock slurry",Reagents!$Q$30="Stock solution"),VLOOKUP(C19+46,Reagents!$B$1:$R$41,13,FALSE), "NULL")</f>
        <v/>
      </c>
      <c r="DV19" s="362" t="str">
        <f>IF(OR(Reagents!$Q$30="Stock slurry",Reagents!$Q$30="Stock solution"),VLOOKUP(C19+46,Reagents!$B$1:$R$41,14,FALSE), VLOOKUP(C19+46,Reagents!$B$1:$R$41,11,FALSE))</f>
        <v/>
      </c>
      <c r="DW19" s="214">
        <f>VLOOKUP(C19+46,Reagents!$B$1:$R$41,17,FALSE)</f>
        <v>0</v>
      </c>
      <c r="DX19" s="284" t="e">
        <f>IF(OR(v4_row="solvent_2",v4_row="solvent_3"),VLOOKUP(C19+46,Reagents!$B$1:$M$41,12,FALSE),IF(OR(Reagents!$Q$30="Stock slurry",Reagents!$Q$30="Stock solution"),DV19*DU19, DV19/VLOOKUP(C19+46,Reagents!$B$1:$R$41,6,FALSE)*1000))</f>
        <v>#VALUE!</v>
      </c>
      <c r="DY19" s="214" t="str">
        <f>VLOOKUP(C19+54,Reagents!$B$1:$M$41,2,FALSE)</f>
        <v/>
      </c>
      <c r="DZ19" s="214">
        <f>VLOOKUP(C19+54,Reagents!$B$1:$M$41,3,FALSE)</f>
        <v>0</v>
      </c>
      <c r="EA19" s="214" t="str">
        <f>IF(VLOOKUP(C19+54,Reagents!$B$1:$M$41,5,FALSE)=0, "NULL", VLOOKUP(C19+54,Reagents!$B$1:$M$41,5,FALSE))</f>
        <v>NULL</v>
      </c>
      <c r="EB19" s="214" t="str">
        <f>IF(OR(Reagents!$Q$34="Stock slurry",Reagents!$Q$34="Stock solution"),VLOOKUP(C19+54,Reagents!$B$1:$R$41,13,FALSE), "NULL")</f>
        <v/>
      </c>
      <c r="EC19" s="362" t="str">
        <f>IF(OR(Reagents!$Q$34="Stock slurry",Reagents!$Q$34="Stock solution"),VLOOKUP(C19+54,Reagents!$B$1:$R$41,14,FALSE), VLOOKUP(C19+54,Reagents!$B$1:$R$41,11,FALSE))</f>
        <v/>
      </c>
      <c r="ED19" s="214">
        <f>VLOOKUP(C19+54,Reagents!$B$1:$R$41,17,FALSE)</f>
        <v>0</v>
      </c>
      <c r="EE19" s="284" t="e">
        <f>IF(OR(v5_row="solvent_2",v5_row="solvent_3"),VLOOKUP(C19+54,Reagents!$B$1:$M$41,12,FALSE),IF(OR(Reagents!$Q$34="Stock slurry",Reagents!$Q$34="Stock solution"),EC19*EB19, EC19/VLOOKUP(C19+54,Reagents!$B$1:$R$41,6,FALSE)*1000))</f>
        <v>#VALUE!</v>
      </c>
      <c r="EF19" s="214" t="str">
        <f>VLOOKUP(C19+62,Reagents!$B$1:$M$41,2,FALSE)</f>
        <v/>
      </c>
      <c r="EG19" s="214">
        <f>VLOOKUP(C19+62,Reagents!$B$1:$M$41,3,FALSE)</f>
        <v>0</v>
      </c>
      <c r="EH19" s="214" t="str">
        <f>IF(VLOOKUP(C19+62,Reagents!$B$1:$M$41,5,FALSE)=0, "NULL", VLOOKUP(C19+62,Reagents!$B$1:$M$41,5,FALSE))</f>
        <v>NULL</v>
      </c>
      <c r="EI19" s="214" t="str">
        <f>IF(OR(Reagents!$Q$38="Stock slurry",Reagents!$Q$38="Stock solution"),VLOOKUP(C19+62,Reagents!$B$1:$R$41,13,FALSE), "NULL")</f>
        <v/>
      </c>
      <c r="EJ19" s="362" t="str">
        <f>IF(OR(Reagents!$Q$38="Stock slurry",Reagents!$Q$38="Stock solution"),VLOOKUP(C19+62,Reagents!$B$1:$R$41,14,FALSE), VLOOKUP(C19+62,Reagents!$B$1:$R$41,11,FALSE))</f>
        <v/>
      </c>
      <c r="EK19" s="214">
        <f>VLOOKUP(C19+62,Reagents!$B$1:$R$41,17,FALSE)</f>
        <v>0</v>
      </c>
      <c r="EL19" s="284" t="e">
        <f>IF(OR(v6_row="solvent_2",v6_row="solvent_3"),VLOOKUP(C19+62,Reagents!$B$1:$M$41,12,FALSE),IF(OR(Reagents!$Q$38="Stock slurry",Reagents!$Q$38="Stock solution"),EJ19*EI19, EJ19/VLOOKUP(C19+62,Reagents!$B$1:$R$41,6,FALSE)*1000))</f>
        <v>#VALUE!</v>
      </c>
      <c r="EM19" s="214">
        <f>VLOOKUP(19,'Plate Planning'!$A$1:$T$35,13,FALSE)</f>
        <v>0</v>
      </c>
      <c r="EN19" s="214">
        <f>VLOOKUP(19,'Plate Planning'!$A$1:$T$35,14,FALSE)</f>
        <v>0</v>
      </c>
      <c r="EO19" s="214">
        <f>VLOOKUP(19,'Plate Planning'!$A$1:$T$35,15,FALSE)</f>
        <v>0</v>
      </c>
      <c r="EP19" s="214">
        <f>VLOOKUP(A19,'Uncorrected Area Counts'!$A$1:$AS$27,3,FALSE)</f>
        <v>0</v>
      </c>
      <c r="EQ19" s="214" t="str">
        <f>VLOOKUP(A19,'Uncorrected Area Counts'!$A$1:$AS$27,4,FALSE)</f>
        <v/>
      </c>
      <c r="ER19" s="214" t="str">
        <f>VLOOKUP(A19,'Uncorrected Area Counts'!$A$1:$AS$27,5,FALSE)</f>
        <v/>
      </c>
      <c r="ES19" s="214">
        <f>VLOOKUP(20,'Plate Planning'!$A$1:$T$35,15,FALSE)</f>
        <v>0</v>
      </c>
      <c r="ET19" s="214">
        <f>VLOOKUP(A19,'Uncorrected Area Counts'!$A$1:$AS$27,7,FALSE)</f>
        <v>0</v>
      </c>
      <c r="EU19" s="214" t="e">
        <f>VLOOKUP(A19,'Uncorrected Area Counts'!$A$1:$AS$27,7,FALSE)/VLOOKUP(A19,'Uncorrected Area Counts'!$A$1:$AS$27,3,FALSE)</f>
        <v>#DIV/0!</v>
      </c>
      <c r="EV19" s="214" t="str">
        <f>IFERROR(VLOOKUP(A19,'Yields &amp; LCAPs'!$A$1:$V$27,3,FALSE), "NULL")</f>
        <v>NULL</v>
      </c>
      <c r="EW19" s="284" t="str">
        <f>IFERROR(VLOOKUP(A19,'Yields &amp; LCAPs'!$A$1:$V$27,4,FALSE), "NULL")</f>
        <v>NULL</v>
      </c>
      <c r="EX19" s="214" t="str">
        <f>VLOOKUP(A19,'Uncorrected Area Counts'!$A$1:$AS$27,8,FALSE)</f>
        <v/>
      </c>
      <c r="EY19" s="214" t="str">
        <f>VLOOKUP(A19,'Uncorrected Area Counts'!$A$1:$AS$27,9,FALSE)</f>
        <v/>
      </c>
      <c r="EZ19" s="214">
        <f>VLOOKUP(22,'Plate Planning'!$A$1:$T$35,15,FALSE)</f>
        <v>0</v>
      </c>
      <c r="FA19" s="214">
        <f>VLOOKUP(A19,'Uncorrected Area Counts'!$A$1:$AS$27,11,FALSE)</f>
        <v>0</v>
      </c>
      <c r="FB19" s="214" t="e">
        <f>VLOOKUP(A19,'Uncorrected Area Counts'!$A$1:$AS$27,11,FALSE)/VLOOKUP(A19,'Uncorrected Area Counts'!$A$1:$AS$27,3,FALSE)</f>
        <v>#DIV/0!</v>
      </c>
      <c r="FC19" s="214" t="str">
        <f>IFERROR(VLOOKUP(A19,'Yields &amp; LCAPs'!$A$1:$V$27,5,FALSE), "NULL")</f>
        <v>NULL</v>
      </c>
      <c r="FD19" s="284" t="str">
        <f>IFERROR(VLOOKUP(A19,'Yields &amp; LCAPs'!$A$1:$V$27,6,FALSE), "NULL")</f>
        <v>NULL</v>
      </c>
      <c r="FE19" s="214" t="str">
        <f>VLOOKUP(A19,'Uncorrected Area Counts'!$A$1:$AS$27,12,FALSE)</f>
        <v/>
      </c>
      <c r="FF19" s="214" t="str">
        <f>VLOOKUP(A19,'Uncorrected Area Counts'!$A$1:$AS$27,13,FALSE)</f>
        <v/>
      </c>
      <c r="FG19" s="214">
        <f>VLOOKUP(24,'Plate Planning'!$A$1:$T$35,15,FALSE)</f>
        <v>0</v>
      </c>
      <c r="FH19" s="214">
        <f>VLOOKUP(A19,'Uncorrected Area Counts'!$A$1:$AS$27,15,FALSE)</f>
        <v>0</v>
      </c>
      <c r="FI19" s="214" t="e">
        <f>VLOOKUP(A19,'Uncorrected Area Counts'!$A$1:$AS$27,15,FALSE)/VLOOKUP(A19,'Uncorrected Area Counts'!$A$1:$AS$27,3,FALSE)</f>
        <v>#DIV/0!</v>
      </c>
      <c r="FJ19" s="214" t="str">
        <f>IFERROR(VLOOKUP(A19,'Yields &amp; LCAPs'!$A$1:$V$27,7,FALSE), "NULL")</f>
        <v>NULL</v>
      </c>
      <c r="FK19" s="284" t="str">
        <f>IFERROR(VLOOKUP(A19,'Yields &amp; LCAPs'!$A$1:$V$27,8,FALSE), "NULL")</f>
        <v>NULL</v>
      </c>
      <c r="FL19" s="214" t="str">
        <f>VLOOKUP(A19,'Uncorrected Area Counts'!$A$1:$AS$27,16,FALSE)</f>
        <v/>
      </c>
      <c r="FM19" s="214" t="str">
        <f>VLOOKUP(A19,'Uncorrected Area Counts'!$A$1:$AS$27,17,FALSE)</f>
        <v/>
      </c>
      <c r="FN19" s="214">
        <f>VLOOKUP(26,'Plate Planning'!$A$1:$T$35,15,FALSE)</f>
        <v>0</v>
      </c>
      <c r="FO19" s="214">
        <f>VLOOKUP(A19,'Uncorrected Area Counts'!$A$1:$AS$27,19,FALSE)</f>
        <v>0</v>
      </c>
      <c r="FP19" s="214" t="e">
        <f>VLOOKUP(A19,'Uncorrected Area Counts'!$A$1:$AS$27,19,FALSE)/VLOOKUP(A19,'Uncorrected Area Counts'!$A$1:$AS$27,3,FALSE)</f>
        <v>#DIV/0!</v>
      </c>
      <c r="FQ19" s="214" t="str">
        <f>IFERROR(VLOOKUP(A19,'Yields &amp; LCAPs'!$A$1:$V$27,9,FALSE), "NULL")</f>
        <v>NULL</v>
      </c>
      <c r="FR19" s="284" t="str">
        <f>IFERROR(VLOOKUP(A19,'Yields &amp; LCAPs'!$A$1:$V$27,10,FALSE), "NULL")</f>
        <v>NULL</v>
      </c>
      <c r="FS19" s="214" t="str">
        <f>VLOOKUP(A19,'Uncorrected Area Counts'!$A$1:$AS$27,20,FALSE)</f>
        <v/>
      </c>
      <c r="FT19" s="214" t="str">
        <f>VLOOKUP(A19,'Uncorrected Area Counts'!$A$1:$AS$27,21,FALSE)</f>
        <v/>
      </c>
      <c r="FU19" s="214">
        <f>VLOOKUP(27,'Plate Planning'!$A$1:$T$35,15,FALSE)</f>
        <v>0</v>
      </c>
      <c r="FV19" s="214">
        <f>VLOOKUP(A19,'Uncorrected Area Counts'!$A$1:$AS$27,23,FALSE)</f>
        <v>0</v>
      </c>
      <c r="FW19" s="214" t="e">
        <f>VLOOKUP(A19,'Uncorrected Area Counts'!$A$1:$AS$27,23,FALSE)/VLOOKUP(A19,'Uncorrected Area Counts'!$A$1:$AS$27,3,FALSE)</f>
        <v>#DIV/0!</v>
      </c>
      <c r="FX19" s="214" t="str">
        <f>IFERROR(VLOOKUP(A19,'Yields &amp; LCAPs'!$A$1:$V$27,11,FALSE), "NULL")</f>
        <v>NULL</v>
      </c>
      <c r="FY19" s="284" t="str">
        <f>IFERROR(VLOOKUP(A19,'Yields &amp; LCAPs'!$A$1:$V$27,12,FALSE), "NULL")</f>
        <v>NULL</v>
      </c>
      <c r="FZ19" s="411" t="str">
        <f>VLOOKUP(A19,'Uncorrected Area Counts'!$A$1:$AS$27,24,FALSE)</f>
        <v/>
      </c>
      <c r="GA19" s="214" t="str">
        <f>VLOOKUP(A19,'Uncorrected Area Counts'!$A$1:$AS$27,25,FALSE)</f>
        <v/>
      </c>
      <c r="GB19" s="214">
        <f>VLOOKUP(28,'Plate Planning'!$A$1:$T$35,15,FALSE)</f>
        <v>0</v>
      </c>
      <c r="GC19" s="214">
        <f>VLOOKUP(A19,'Uncorrected Area Counts'!$A$1:$AS$27,27,FALSE)</f>
        <v>0</v>
      </c>
      <c r="GD19" s="214" t="e">
        <f>VLOOKUP(A19,'Uncorrected Area Counts'!$A$1:$AS$27,27,FALSE)/VLOOKUP(A19,'Uncorrected Area Counts'!$A$1:$AS$27,3,FALSE)</f>
        <v>#DIV/0!</v>
      </c>
      <c r="GE19" s="214" t="str">
        <f>IFERROR(VLOOKUP(A19,'Yields &amp; LCAPs'!$A$1:$V$27,13,FALSE), "NULL")</f>
        <v>NULL</v>
      </c>
      <c r="GF19" s="284" t="str">
        <f>IFERROR(VLOOKUP(A19,'Yields &amp; LCAPs'!$A$1:$V$27,14,FALSE), "NULL")</f>
        <v>NULL</v>
      </c>
      <c r="GG19" s="214" t="str">
        <f>VLOOKUP(A19,'Uncorrected Area Counts'!$A$1:$AS$27,28,FALSE)</f>
        <v/>
      </c>
      <c r="GH19" s="214" t="str">
        <f>VLOOKUP(A19,'Uncorrected Area Counts'!$A$1:$AS$27,29,FALSE)</f>
        <v/>
      </c>
      <c r="GI19" s="214">
        <f>VLOOKUP(29,'Plate Planning'!$A$1:$T$35,15,FALSE)</f>
        <v>0</v>
      </c>
      <c r="GJ19" s="214">
        <f>VLOOKUP(A19,'Uncorrected Area Counts'!$A$1:$AS$27,31,FALSE)</f>
        <v>0</v>
      </c>
      <c r="GK19" s="214" t="e">
        <f>VLOOKUP(A19,'Uncorrected Area Counts'!$A$1:$AS$27,31,FALSE)/VLOOKUP(A19,'Uncorrected Area Counts'!$A$1:$AS$27,3,FALSE)</f>
        <v>#DIV/0!</v>
      </c>
      <c r="GL19" s="214" t="str">
        <f>IFERROR(VLOOKUP(A19,'Yields &amp; LCAPs'!$A$1:$V$27,15,FALSE), "NULL")</f>
        <v>NULL</v>
      </c>
      <c r="GM19" s="284" t="str">
        <f>IFERROR(VLOOKUP(A19,'Yields &amp; LCAPs'!$A$1:$V$27,16,FALSE), "NULL")</f>
        <v>NULL</v>
      </c>
      <c r="GN19" s="214" t="str">
        <f>VLOOKUP(A19,'Uncorrected Area Counts'!$A$1:$AS$27,32,FALSE)</f>
        <v/>
      </c>
      <c r="GO19" s="214" t="str">
        <f>VLOOKUP(A19,'Uncorrected Area Counts'!$A$1:$AS$27,33,FALSE)</f>
        <v/>
      </c>
      <c r="GP19" s="214">
        <f>VLOOKUP(30,'Plate Planning'!$A$1:$T$35,15,FALSE)</f>
        <v>0</v>
      </c>
      <c r="GQ19" s="214">
        <f>VLOOKUP(A19,'Uncorrected Area Counts'!$A$1:$AS$27,35,FALSE)</f>
        <v>0</v>
      </c>
      <c r="GR19" s="214" t="e">
        <f>VLOOKUP(A19,'Uncorrected Area Counts'!$A$1:$AS$27,35,FALSE)/VLOOKUP(A19,'Uncorrected Area Counts'!$A$1:$AS$27,3,FALSE)</f>
        <v>#DIV/0!</v>
      </c>
      <c r="GS19" s="214" t="str">
        <f>IFERROR(VLOOKUP(A19,'Yields &amp; LCAPs'!$A$1:$V$27,17,FALSE), "NULL")</f>
        <v>NULL</v>
      </c>
      <c r="GT19" s="284" t="str">
        <f>IFERROR(VLOOKUP(A19,'Yields &amp; LCAPs'!$A$1:$V$27,18,FALSE), "NULL")</f>
        <v>NULL</v>
      </c>
      <c r="GU19" s="214" t="str">
        <f>VLOOKUP(A19,'Uncorrected Area Counts'!$A$1:$AS$27,36,FALSE)</f>
        <v/>
      </c>
      <c r="GV19" s="214" t="str">
        <f>VLOOKUP(A19,'Uncorrected Area Counts'!$A$1:$AS$27,37,FALSE)</f>
        <v/>
      </c>
      <c r="GW19" s="214">
        <f>VLOOKUP(31,'Plate Planning'!$A$1:$T$35,15,FALSE)</f>
        <v>0</v>
      </c>
      <c r="GX19" s="214">
        <f>VLOOKUP(A19,'Uncorrected Area Counts'!$A$1:$AS$27,39,FALSE)</f>
        <v>0</v>
      </c>
      <c r="GY19" s="214" t="e">
        <f>VLOOKUP(A19,'Uncorrected Area Counts'!$A$1:$AS$27,39,FALSE)/VLOOKUP(A19,'Uncorrected Area Counts'!$A$1:$AS$27,3,FALSE)</f>
        <v>#DIV/0!</v>
      </c>
      <c r="GZ19" s="214" t="str">
        <f>IFERROR(VLOOKUP(A19,'Yields &amp; LCAPs'!$A$1:$V$27,19,FALSE), "NULL")</f>
        <v>NULL</v>
      </c>
      <c r="HA19" s="284" t="str">
        <f>IFERROR(VLOOKUP(A19,'Yields &amp; LCAPs'!$A$1:$V$27,20,FALSE), "NULL")</f>
        <v>NULL</v>
      </c>
      <c r="HB19" s="214" t="str">
        <f>VLOOKUP(A19,'Uncorrected Area Counts'!$A$1:$AS$27,40,FALSE)</f>
        <v/>
      </c>
      <c r="HC19" s="214" t="str">
        <f>VLOOKUP(A19,'Uncorrected Area Counts'!$A$1:$AS$27,41,FALSE)</f>
        <v/>
      </c>
      <c r="HD19" s="214">
        <f>VLOOKUP(32,'Plate Planning'!$A$1:$T$35,15,FALSE)</f>
        <v>0</v>
      </c>
      <c r="HE19" s="214">
        <f>VLOOKUP(A19,'Uncorrected Area Counts'!$A$1:$AS$27,43,FALSE)</f>
        <v>0</v>
      </c>
      <c r="HF19" s="214" t="e">
        <f>VLOOKUP(A19,'Uncorrected Area Counts'!$A$1:$AS$27,43,FALSE)/VLOOKUP(A19,'Uncorrected Area Counts'!$A$1:$AS$27,3,FALSE)</f>
        <v>#DIV/0!</v>
      </c>
      <c r="HG19" s="214" t="str">
        <f>IFERROR(VLOOKUP(A19,'Yields &amp; LCAPs'!$A$1:$V$27,21,FALSE), "NULL")</f>
        <v>NULL</v>
      </c>
      <c r="HH19" s="284" t="str">
        <f>IFERROR(VLOOKUP(A19,'Yields &amp; LCAPs'!$A$1:$V$27,22,FALSE), "NULL")</f>
        <v>NULL</v>
      </c>
      <c r="HI19" s="362"/>
      <c r="HJ19" s="362"/>
      <c r="HK19" s="362"/>
      <c r="HL19" s="362"/>
      <c r="HM19" s="363"/>
      <c r="HN19" s="362"/>
      <c r="HO19" s="362"/>
      <c r="HP19" s="362"/>
      <c r="HQ19" s="362"/>
      <c r="HR19" s="363"/>
    </row>
    <row r="20" spans="1:226">
      <c r="A20" s="216" t="s">
        <v>1197</v>
      </c>
      <c r="B20" s="214">
        <v>1</v>
      </c>
      <c r="C20" s="214">
        <v>4</v>
      </c>
      <c r="D20" s="214" t="str">
        <f>VLOOKUP(18,'Plate Planning'!$A$1:$T$35,10,FALSE)&amp;"_"&amp;VLOOKUP(19,'Plate Planning'!$A$1:$T$35,10,FALSE)&amp;"_"&amp;A20</f>
        <v>__D1</v>
      </c>
      <c r="E20" s="214" t="str">
        <f>IF(VLOOKUP(18,'Plate Planning'!$A$1:$T$35,10,FALSE)="", "NULL", VLOOKUP(18,'Plate Planning'!$A$1:$T$35,10,FALSE))</f>
        <v>NULL</v>
      </c>
      <c r="F20" s="214" t="str">
        <f>IF(VLOOKUP(19,'Plate Planning'!$A$1:$T$35,10,FALSE)="", "NULL", VLOOKUP(19,'Plate Planning'!$A$1:$T$35,10,FALSE))</f>
        <v>NULL</v>
      </c>
      <c r="G20" s="214" t="str">
        <f>IF(VLOOKUP(20,'Plate Planning'!$A$1:$T$35,10,FALSE)="", "NULL", VLOOKUP(20,'Plate Planning'!$A$1:$T$35,10,FALSE))</f>
        <v>NULL</v>
      </c>
      <c r="H20" s="214" t="str">
        <f>IF(VLOOKUP(21,'Plate Planning'!$A$1:$T$35,10,FALSE)="", "NULL", VLOOKUP(21,'Plate Planning'!$A$1:$T$35,10,FALSE))</f>
        <v>NULL</v>
      </c>
      <c r="I20" s="214" t="str">
        <f>IF(VLOOKUP(23,'Plate Planning'!$A$1:$T$35,10,FALSE)="", "NULL", VLOOKUP(23,'Plate Planning'!$A$1:$T$35,10,FALSE))</f>
        <v>NULL</v>
      </c>
      <c r="J20" s="214" t="str">
        <f>IF(VLOOKUP(22,'Plate Planning'!$A$1:$T$35,10,FALSE)="", "NULL", VLOOKUP(22,'Plate Planning'!$A$1:$T$35,10,FALSE))</f>
        <v>NULL</v>
      </c>
      <c r="K20" s="214" t="str">
        <f>VLOOKUP(24,'Plate Planning'!$A$1:$T$35,10,FALSE)</f>
        <v>Glovebox</v>
      </c>
      <c r="L20" s="214" t="str">
        <f>IF(VLOOKUP(25,'Plate Planning'!$A$1:$T$35,10,FALSE)="","NULL",VLOOKUP(25,'Plate Planning'!$A$1:$T$35,10,FALSE))</f>
        <v>NULL</v>
      </c>
      <c r="M20" s="214" t="str">
        <f>VLOOKUP(26,'Plate Planning'!$A$1:$T$35,10,FALSE)</f>
        <v>ambient</v>
      </c>
      <c r="N20" s="214" t="str">
        <f>IF(VLOOKUP(27,'Plate Planning'!$A$1:$T$35,10,FALSE)=0,"NULL", VLOOKUP(27,'Plate Planning'!$A$1:$T$35,10,FALSE))</f>
        <v>NULL</v>
      </c>
      <c r="O20" s="214" t="str">
        <f>IF(VLOOKUP(3,'Plate Planning'!$A$2:$S$35,18,FALSE)="", "NULL", VLOOKUP(3,'Plate Planning'!$A$2:$S$35,18,FALSE))</f>
        <v>NULL</v>
      </c>
      <c r="P20" s="214" t="str">
        <f>IF(VLOOKUP(4,'Plate Planning'!$A$2:$S$35,18,FALSE)="", "NULL", VLOOKUP(4,'Plate Planning'!$A$2:$S$35,18,FALSE))</f>
        <v>NULL</v>
      </c>
      <c r="Q20" s="214" t="str">
        <f>IF(VLOOKUP(5,'Plate Planning'!$A$2:$S$35,18,FALSE)="", "NULL", VLOOKUP(5,'Plate Planning'!$A$2:$S$35,18,FALSE))</f>
        <v>NULL</v>
      </c>
      <c r="R20" s="214" t="str">
        <f>IF(VLOOKUP(6,'Plate Planning'!$A$2:$S$35,18,FALSE)="", "NULL", VLOOKUP(6,'Plate Planning'!$A$2:$S$35,18,FALSE))</f>
        <v>NULL</v>
      </c>
      <c r="S20" s="214" t="str">
        <f>IF(VLOOKUP(7,'Plate Planning'!$A$2:$S$35,18,FALSE)="", "NULL", VLOOKUP(7,'Plate Planning'!$A$2:$S$35,18,FALSE))</f>
        <v>NULL</v>
      </c>
      <c r="T20" s="214" t="str">
        <f>IF(VLOOKUP(28,'Plate Planning'!$A$1:$T$35,10,FALSE)=0,"NULL",VLOOKUP(28,'Plate Planning'!$A$1:$T$35,10,FALSE))</f>
        <v>NULL</v>
      </c>
      <c r="U20" s="214" t="str">
        <f>IFERROR(VLOOKUP(VLOOKUP(28,'Plate Planning'!$A$1:$T$35,10,FALSE),Dictionaries!$Q$2:$R$72,2,FALSE), "NULL")</f>
        <v>NULL</v>
      </c>
      <c r="V20" s="214" t="str">
        <f>IF(VLOOKUP(28,'Plate Planning'!$A$1:$T$35,10,FALSE)=0,"NULL",VLOOKUP(32,'Plate Planning'!$A$1:$T$35,10,FALSE))</f>
        <v>NULL</v>
      </c>
      <c r="W20" s="214" t="str">
        <f>IF(VLOOKUP(C20+3,'Plate Planning'!$A$1:$S$35,B20+4,FALSE)=0, "", VLOOKUP(C20+3,'Plate Planning'!$A$1:$S$35,B20+4,FALSE))</f>
        <v/>
      </c>
      <c r="X20" s="214" t="str">
        <f>IFERROR(VLOOKUP(W20,'Complex Variable'!$A$2:$S$25,2,FALSE), "")</f>
        <v/>
      </c>
      <c r="Y20" s="327" t="str">
        <f>IFERROR(VLOOKUP(W20,'Complex Variable'!$A$2:$S$25,3,FALSE), "")</f>
        <v/>
      </c>
      <c r="Z20" s="327" t="str">
        <f>IFERROR(VLOOKUP(W20,'Complex Variable'!$A$2:$S$25,5,FALSE), "")</f>
        <v/>
      </c>
      <c r="AA20" s="327" t="str">
        <f>IFERROR(VLOOKUP(W20,'Complex Variable'!$A$2:$S$25,14,FALSE), "")</f>
        <v/>
      </c>
      <c r="AB20" s="602" t="str">
        <f>IFERROR(VLOOKUP(W20,'Complex Variable'!$A$2:$S$25,19,FALSE), "")</f>
        <v/>
      </c>
      <c r="AC20" s="327" t="str">
        <f>IFERROR(VLOOKUP(W20,'Complex Variable'!$A$2:$S$25,13,FALSE), "")</f>
        <v/>
      </c>
      <c r="AD20" s="604" t="str">
        <f t="shared" si="0"/>
        <v/>
      </c>
      <c r="AE20" s="214">
        <f>VLOOKUP(1,Reagents!$B$1:$M$41,2,FALSE)</f>
        <v>0</v>
      </c>
      <c r="AF20" s="214">
        <f>VLOOKUP(1,Reagents!$B$1:$M$41,3,FALSE)</f>
        <v>0</v>
      </c>
      <c r="AG20" s="214" t="str">
        <f>IF(VLOOKUP(1,Reagents!$B$1:$M$41,5,FALSE)=0, "NULL", VLOOKUP(1,Reagents!$B$1:$M$41,5,FALSE))</f>
        <v>NULL</v>
      </c>
      <c r="AH20" s="214" t="str">
        <f>IF(OR(Reagents!$Q$2="Stock slurry",Reagents!$Q$2="Stock solution"),VLOOKUP(1,Reagents!$B$1:$R$41,13,FALSE), "NULL")</f>
        <v/>
      </c>
      <c r="AI20" s="362" t="str">
        <f>IF(OR(Reagents!$Q$2="Stock slurry",Reagents!$Q$2="Stock solution"),VLOOKUP(1,Reagents!$B$1:$R$41,14,FALSE), VLOOKUP(1,Reagents!$B$1:$R$41,11,FALSE))</f>
        <v/>
      </c>
      <c r="AJ20" s="214">
        <f>VLOOKUP(1,Reagents!$B$1:$R$41,17,FALSE)</f>
        <v>0</v>
      </c>
      <c r="AK20" s="284" t="e">
        <f>IF(OR(VLOOKUP(1,Reagents!$B$1:$M$41,4,FALSE)="solvent_2",VLOOKUP(1,Reagents!$B$1:$M$41,4,FALSE)="solvent_3"),VLOOKUP(1,Reagents!$B$1:$M$41,12,FALSE),IF(OR(Reagents!$Q$2="Stock slurry",Reagents!$Q$2="Stock solution"),AI20*AH20, AI20/VLOOKUP(1,Reagents!$B$1:$R$41,6,FALSE)*1000))</f>
        <v>#VALUE!</v>
      </c>
      <c r="AL20" s="214">
        <f>VLOOKUP(2,Reagents!$B$1:$M$41,2,FALSE)</f>
        <v>0</v>
      </c>
      <c r="AM20" s="214">
        <f>VLOOKUP(2,Reagents!$B$1:$M$41,3,FALSE)</f>
        <v>0</v>
      </c>
      <c r="AN20" s="214" t="str">
        <f>IF(VLOOKUP(2,Reagents!$B$1:$M$41,5,FALSE)=0, "NULL", VLOOKUP(2,Reagents!$B$1:$M$41,5,FALSE))</f>
        <v>NULL</v>
      </c>
      <c r="AO20" s="214" t="str">
        <f>IF(OR(Reagents!$Q$3="Stock slurry",Reagents!$Q$3="Stock solution"),VLOOKUP(2,Reagents!$B$1:$R$41,13,FALSE), "NULL")</f>
        <v/>
      </c>
      <c r="AP20" s="362" t="str">
        <f>IF(OR(Reagents!$Q$3="Stock slurry",Reagents!$Q$3="Stock solution"),VLOOKUP(2,Reagents!$B$1:$R$41,14,FALSE), VLOOKUP(2,Reagents!$B$1:$R$41,11,FALSE))</f>
        <v/>
      </c>
      <c r="AQ20" s="214">
        <f>VLOOKUP(2,Reagents!$B$1:$R$41,17,FALSE)</f>
        <v>0</v>
      </c>
      <c r="AR20" s="284" t="e">
        <f>IF(OR(VLOOKUP(2,Reagents!$B$1:$M$41,4,FALSE)="solvent_2",VLOOKUP(2,Reagents!$B$1:$M$41,4,FALSE)="solvent_3"),VLOOKUP(2,Reagents!$B$1:$M$41,12,FALSE),IF(OR(Reagents!$Q$3="Stock slurry",Reagents!$Q$3="Stock solution"),AP20*AO20, AP20/VLOOKUP(2,Reagents!$B$1:$R$41,6,FALSE)*1000))</f>
        <v>#VALUE!</v>
      </c>
      <c r="AS20" s="214">
        <f>VLOOKUP(3,Reagents!$B$1:$M$41,2,FALSE)</f>
        <v>0</v>
      </c>
      <c r="AT20" s="214">
        <f>VLOOKUP(3,Reagents!$B$1:$M$41,3,FALSE)</f>
        <v>0</v>
      </c>
      <c r="AU20" s="214" t="str">
        <f>IF(VLOOKUP(3,Reagents!$B$1:$M$41,5,FALSE)=0, "NULL", VLOOKUP(3,Reagents!$B$1:$M$41,5,FALSE))</f>
        <v>NULL</v>
      </c>
      <c r="AV20" s="214" t="str">
        <f>IF(OR(Reagents!$Q$4="Stock slurry",Reagents!$Q$4="Stock solution"),VLOOKUP(3,Reagents!$B$1:$R$41,13,FALSE), "NULL")</f>
        <v/>
      </c>
      <c r="AW20" s="362" t="str">
        <f>IF(OR(Reagents!$Q$4="Stock slurry",Reagents!$Q$4="Stock solution"),VLOOKUP(3,Reagents!$B$1:$R$41,14,FALSE), VLOOKUP(3,Reagents!$B$1:$R$41,11,FALSE))</f>
        <v/>
      </c>
      <c r="AX20" s="214">
        <f>VLOOKUP(3,Reagents!$B$1:$R$41,17,FALSE)</f>
        <v>0</v>
      </c>
      <c r="AY20" s="284" t="e">
        <f>IF(OR(VLOOKUP(3,Reagents!$B$1:$M$41,4,FALSE)="solvent_2",VLOOKUP(3,Reagents!$B$1:$M$41,4,FALSE)="solvent_3"),VLOOKUP(3,Reagents!$B$1:$M$41,12,FALSE),IF(OR(Reagents!$Q$4="Stock slurry",Reagents!$Q$4="Stock solution"),AW20*AV20, AW20/VLOOKUP(3,Reagents!$B$1:$R$41,6,FALSE)*1000))</f>
        <v>#VALUE!</v>
      </c>
      <c r="AZ20" s="214">
        <f>VLOOKUP(4,Reagents!$B$1:$M$41,2,FALSE)</f>
        <v>0</v>
      </c>
      <c r="BA20" s="214">
        <f>VLOOKUP(4,Reagents!$B$1:$M$41,3,FALSE)</f>
        <v>0</v>
      </c>
      <c r="BB20" s="214" t="str">
        <f>IF(VLOOKUP(4,Reagents!$B$1:$M$41,5,FALSE)=0, "NULL", VLOOKUP(4,Reagents!$B$1:$M$41,5,FALSE))</f>
        <v>NULL</v>
      </c>
      <c r="BC20" s="214" t="str">
        <f>IF(OR(Reagents!$Q$5="Stock slurry",Reagents!$Q$5="Stock solution"),VLOOKUP(4,Reagents!$B$1:$R$41,13,FALSE), "NULL")</f>
        <v/>
      </c>
      <c r="BD20" s="362" t="str">
        <f>IF(OR(Reagents!$Q$5="Stock slurry",Reagents!$Q$5="Stock solution"),VLOOKUP(4,Reagents!$B$1:$R$41,14,FALSE), VLOOKUP(4,Reagents!$B$1:$R$41,11,FALSE))</f>
        <v/>
      </c>
      <c r="BE20" s="214">
        <f>VLOOKUP(4,Reagents!$B$1:$R$41,17,FALSE)</f>
        <v>0</v>
      </c>
      <c r="BF20" s="284" t="e">
        <f>IF(OR(VLOOKUP(4,Reagents!$B$1:$M$41,4,FALSE)="solvent_2",VLOOKUP(4,Reagents!$B$1:$M$41,4,FALSE)="solvent_3"),VLOOKUP(4,Reagents!$B$1:$M$41,12,FALSE),IF(OR(Reagents!$Q$5="Stock slurry",Reagents!$Q$5="Stock solution"),BD20*BC20, BD20/VLOOKUP(4,Reagents!$B$1:$R$41,6,FALSE)*1000))</f>
        <v>#VALUE!</v>
      </c>
      <c r="BG20" s="214">
        <f>VLOOKUP(5,Reagents!$B$1:$M$41,2,FALSE)</f>
        <v>0</v>
      </c>
      <c r="BH20" s="214">
        <f>VLOOKUP(5,Reagents!$B$1:$M$41,3,FALSE)</f>
        <v>0</v>
      </c>
      <c r="BI20" s="214" t="str">
        <f>IF(VLOOKUP(5,Reagents!$B$1:$M$41,5,FALSE)=0, "NULL", VLOOKUP(5,Reagents!$B$1:$M$41,5,FALSE))</f>
        <v>NULL</v>
      </c>
      <c r="BJ20" s="214" t="str">
        <f>IF(OR(Reagents!$Q$6="Stock slurry",Reagents!$Q$6="Stock solution"),VLOOKUP(5,Reagents!$B$1:$R$41,13,FALSE), "NULL")</f>
        <v/>
      </c>
      <c r="BK20" s="362" t="str">
        <f>IF(OR(Reagents!$Q$6="Stock slurry",Reagents!$Q$6="Stock solution"),VLOOKUP(5,Reagents!$B$1:$R$41,14,FALSE), VLOOKUP(5,Reagents!$B$1:$R$41,11,FALSE))</f>
        <v/>
      </c>
      <c r="BL20" s="214">
        <f>VLOOKUP(5,Reagents!$B$1:$R$41,17,FALSE)</f>
        <v>0</v>
      </c>
      <c r="BM20" s="284" t="e">
        <f>IF(OR(VLOOKUP(5,Reagents!$B$1:$M$41,4,FALSE)="solvent_2",VLOOKUP(5,Reagents!$B$1:$M$41,4,FALSE)="solvent_3"),VLOOKUP(5,Reagents!$B$1:$M$41,12,FALSE),IF(OR(Reagents!$Q$6="Stock slurry",Reagents!$Q$6="Stock solution"),BK20*BJ20, BK20/VLOOKUP(5,Reagents!$B$1:$R$41,6,FALSE)*1000))</f>
        <v>#VALUE!</v>
      </c>
      <c r="BN20" s="214">
        <f>VLOOKUP(6,Reagents!$B$1:$M$41,2,FALSE)</f>
        <v>0</v>
      </c>
      <c r="BO20" s="214">
        <f>VLOOKUP(6,Reagents!$B$1:$M$41,3,FALSE)</f>
        <v>0</v>
      </c>
      <c r="BP20" s="214" t="str">
        <f>IF(VLOOKUP(6,Reagents!$B$1:$M$41,5,FALSE)=0, "NULL", VLOOKUP(6,Reagents!$B$1:$M$41,5,FALSE))</f>
        <v>NULL</v>
      </c>
      <c r="BQ20" s="214" t="str">
        <f>IF(OR(Reagents!$Q$7="Stock slurry",Reagents!$Q$7="Stock solution"),VLOOKUP(6,Reagents!$B$1:$R$41,13,FALSE), "NULL")</f>
        <v/>
      </c>
      <c r="BR20" s="362" t="str">
        <f>IF(OR(Reagents!$Q$7="Stock slurry",Reagents!$Q$7="Stock solution"),VLOOKUP(6,Reagents!$B$1:$R$41,14,FALSE), VLOOKUP(6,Reagents!$B$1:$R$41,11,FALSE))</f>
        <v/>
      </c>
      <c r="BS20" s="214">
        <f>VLOOKUP(6,Reagents!$B$1:$R$41,17,FALSE)</f>
        <v>0</v>
      </c>
      <c r="BT20" s="284" t="e">
        <f>IF(OR(VLOOKUP(6,Reagents!$B$1:$M$41,4,FALSE)="solvent_2",VLOOKUP(6,Reagents!$B$1:$M$41,4,FALSE)="solvent_3"),VLOOKUP(6,Reagents!$B$1:$M$41,12,FALSE),IF(OR(Reagents!$Q$7="Stock slurry",Reagents!$Q$7="Stock solution"),BR20*BQ20, BR20/VLOOKUP(6,Reagents!$B$1:$R$41,6,FALSE)*1000))</f>
        <v>#VALUE!</v>
      </c>
      <c r="BU20" s="214">
        <f>VLOOKUP(7,Reagents!$B$1:$M$41,2,FALSE)</f>
        <v>0</v>
      </c>
      <c r="BV20" s="214">
        <f>VLOOKUP(7,Reagents!$B$1:$M$41,3,FALSE)</f>
        <v>0</v>
      </c>
      <c r="BW20" s="214" t="str">
        <f>IF(VLOOKUP(7,Reagents!$B$1:$M$41,5,FALSE)=0, "NULL", VLOOKUP(7,Reagents!$B$1:$M$41,5,FALSE))</f>
        <v>NULL</v>
      </c>
      <c r="BX20" s="214" t="str">
        <f>IF(OR(Reagents!$Q$8="Stock slurry",Reagents!$Q$8="Stock solution"),VLOOKUP(7,Reagents!$B$1:$R$41,13,FALSE), "NULL")</f>
        <v/>
      </c>
      <c r="BY20" s="362" t="str">
        <f>IF(OR(Reagents!$Q$8="Stock slurry",Reagents!$Q$8="Stock solution"),VLOOKUP(7,Reagents!$B$1:$R$41,14,FALSE), VLOOKUP(7,Reagents!$B$1:$R$41,11,FALSE))</f>
        <v/>
      </c>
      <c r="BZ20" s="214">
        <f>VLOOKUP(7,Reagents!$B$1:$R$41,17,FALSE)</f>
        <v>0</v>
      </c>
      <c r="CA20" s="284" t="e">
        <f>IF(OR(VLOOKUP(7,Reagents!$B$1:$M$41,4,FALSE)="solvent_2",VLOOKUP(7,Reagents!$B$1:$M$41,4,FALSE)="solvent_3"),VLOOKUP(7,Reagents!$B$1:$M$41,12,FALSE),IF(OR(Reagents!$Q$8="Stock slurry",Reagents!$Q$8="Stock solution"),BY20*BX20, BY20/VLOOKUP(7,Reagents!$B$1:$R$41,6,FALSE)*1000))</f>
        <v>#VALUE!</v>
      </c>
      <c r="CB20" s="214">
        <f>VLOOKUP(8,Reagents!$B$1:$M$41,2,FALSE)</f>
        <v>0</v>
      </c>
      <c r="CC20" s="214">
        <f>VLOOKUP(8,Reagents!$B$1:$M$41,3,FALSE)</f>
        <v>0</v>
      </c>
      <c r="CD20" s="214" t="str">
        <f>IF(VLOOKUP(8,Reagents!$B$1:$M$41,5,FALSE)=0, "NULL", VLOOKUP(8,Reagents!$B$1:$M$41,5,FALSE))</f>
        <v>NULL</v>
      </c>
      <c r="CE20" s="214" t="str">
        <f>IF(OR(Reagents!$Q$9="Stock slurry",Reagents!$Q$9="Stock solution"),VLOOKUP(8,Reagents!$B$1:$R$41,13,FALSE), "NULL")</f>
        <v/>
      </c>
      <c r="CF20" s="362" t="str">
        <f>IF(OR(Reagents!$Q$9="Stock slurry",Reagents!$Q$9="Stock solution"),VLOOKUP(8,Reagents!$B$1:$R$41,14,FALSE), VLOOKUP(8,Reagents!$B$1:$R$41,11,FALSE))</f>
        <v/>
      </c>
      <c r="CG20" s="214">
        <f>VLOOKUP(8,Reagents!$B$1:$R$41,17,FALSE)</f>
        <v>0</v>
      </c>
      <c r="CH20" s="284" t="e">
        <f>IF(OR(VLOOKUP(8,Reagents!$B$1:$M$41,4,FALSE)="solvent_2",VLOOKUP(8,Reagents!$B$1:$M$41,4,FALSE)="solvent_3"),VLOOKUP(8,Reagents!$B$1:$M$41,12,FALSE),IF(OR(Reagents!$Q$9="Stock slurry",Reagents!$Q$9="Stock solution"),CF20*CE20, CF20/VLOOKUP(8,Reagents!$B$1:$R$41,6,FALSE)*1000))</f>
        <v>#VALUE!</v>
      </c>
      <c r="CI20" s="214">
        <f>VLOOKUP(9,Reagents!$B$1:$M$41,2,FALSE)</f>
        <v>0</v>
      </c>
      <c r="CJ20" s="214">
        <f>VLOOKUP(9,Reagents!$B$1:$M$41,3,FALSE)</f>
        <v>0</v>
      </c>
      <c r="CK20" s="214" t="str">
        <f>IF(VLOOKUP(9,Reagents!$B$1:$M$41,5,FALSE)=0, "NULL", VLOOKUP(9,Reagents!$B$1:$M$41,5,FALSE))</f>
        <v>NULL</v>
      </c>
      <c r="CL20" s="214" t="str">
        <f>IF(OR(Reagents!$Q$10="Stock slurry",Reagents!$Q$10="Stock solution"),VLOOKUP(9,Reagents!$B$1:$R$41,13,FALSE), "NULL")</f>
        <v/>
      </c>
      <c r="CM20" s="362" t="str">
        <f>IF(OR(Reagents!$Q$10="Stock slurry",Reagents!$Q$10="Stock solution"),VLOOKUP(9,Reagents!$B$1:$R$41,14,FALSE), VLOOKUP(9,Reagents!$B$1:$R$41,11,FALSE))</f>
        <v/>
      </c>
      <c r="CN20" s="214">
        <f>VLOOKUP(9,Reagents!$B$1:$R$41,17,FALSE)</f>
        <v>0</v>
      </c>
      <c r="CO20" s="284" t="e">
        <f>IF(OR(VLOOKUP(9,Reagents!$B$1:$M$41,4,FALSE)="solvent_2",VLOOKUP(9,Reagents!$B$1:$M$41,4,FALSE)="solvent_3"),VLOOKUP(9,Reagents!$B$1:$M$41,12,FALSE),IF(OR(Reagents!$Q$10="Stock slurry",Reagents!$Q$10="Stock solution"),CM20*CL20, CM20/VLOOKUP(9,Reagents!$B$1:$R$41,6,FALSE)*1000))</f>
        <v>#VALUE!</v>
      </c>
      <c r="CP20" s="214">
        <f>VLOOKUP(10,Reagents!$B$1:$M$41,2,FALSE)</f>
        <v>0</v>
      </c>
      <c r="CQ20" s="214">
        <f>VLOOKUP(10,Reagents!$B$1:$M$41,3,FALSE)</f>
        <v>0</v>
      </c>
      <c r="CR20" s="214" t="str">
        <f>IF(VLOOKUP(10,Reagents!$B$1:$M$41,5,FALSE)=0, "NULL", VLOOKUP(10,Reagents!$B$1:$M$41,5,FALSE))</f>
        <v>NULL</v>
      </c>
      <c r="CS20" s="214" t="str">
        <f>IF(OR(Reagents!$Q$11="Stock slurry",Reagents!$Q$11="Stock solution"),VLOOKUP(10,Reagents!$B$1:$R$41,13,FALSE), "NULL")</f>
        <v/>
      </c>
      <c r="CT20" s="362" t="str">
        <f>IF(OR(Reagents!$Q$11="Stock slurry",Reagents!$Q$11="Stock solution"),VLOOKUP(10,Reagents!$B$1:$R$41,14,FALSE), VLOOKUP(10,Reagents!$B$1:$R$41,11,FALSE))</f>
        <v/>
      </c>
      <c r="CU20" s="214">
        <f>VLOOKUP(10,Reagents!$B$1:$R$41,17,FALSE)</f>
        <v>0</v>
      </c>
      <c r="CV20" s="284" t="e">
        <f>IF(OR(VLOOKUP(10,Reagents!$B$1:$M$41,4,FALSE)="solvent_2",VLOOKUP(10,Reagents!$B$1:$M$41,4,FALSE)="solvent_3"),VLOOKUP(10,Reagents!$B$1:$M$41,12,FALSE),IF(OR(Reagents!$Q$11="Stock slurry",Reagents!$Q$11="Stock solution"),CT20*CS20, CT20/VLOOKUP(10,Reagents!$B$1:$R$41,6,FALSE)*1000))</f>
        <v>#VALUE!</v>
      </c>
      <c r="CW20" s="214" t="str">
        <f>VLOOKUP(B20+10,Reagents!$B$1:$R$41,2,FALSE)</f>
        <v/>
      </c>
      <c r="CX20" s="214">
        <f>VLOOKUP(B20+10,Reagents!$B$1:$R$41,3,FALSE)</f>
        <v>0</v>
      </c>
      <c r="CY20" s="214" t="str">
        <f>IF(VLOOKUP(B20+10,Reagents!$B$1:$M$41,5,FALSE)=0, "NULL", VLOOKUP(B20+10,Reagents!$B$1:$M$41,5,FALSE))</f>
        <v>NULL</v>
      </c>
      <c r="CZ20" s="214" t="str">
        <f>IF(OR(Reagents!$Q$12="Stock slurry",Reagents!$Q$12="Stock solution"),VLOOKUP(B20+10,Reagents!$B$1:$R$41,13,FALSE), "NULL")</f>
        <v/>
      </c>
      <c r="DA20" s="362" t="str">
        <f>IF(OR(Reagents!$Q$12="Stock slurry",Reagents!$Q$12="Stock solution"),VLOOKUP(B20+10,Reagents!$B$1:$R$41,14,FALSE), VLOOKUP(B20+10,Reagents!$B$1:$R$41,11,FALSE))</f>
        <v/>
      </c>
      <c r="DB20" s="214">
        <f>VLOOKUP(B20+10,Reagents!$B$1:$R$41,17,FALSE)</f>
        <v>0</v>
      </c>
      <c r="DC20" s="284" t="e">
        <f>IF(OR(v1_col="solvent_2",v1_col="solvent_3"),VLOOKUP(B20+10,Reagents!$B$1:$M$41,12,FALSE),IF(OR(Reagents!$Q$12="Stock slurry",Reagents!$Q$12="Stock solution"),DA20*CZ20, DA20/VLOOKUP(B20+10,Reagents!$B$1:$R$41,6,FALSE)*1000))</f>
        <v>#VALUE!</v>
      </c>
      <c r="DD20" s="214" t="str">
        <f>VLOOKUP(B20+22,Reagents!$B$1:$M$41,2,FALSE)</f>
        <v/>
      </c>
      <c r="DE20" s="214">
        <f>VLOOKUP(B20+22,Reagents!$B$1:$R$41,3,FALSE)</f>
        <v>0</v>
      </c>
      <c r="DF20" s="214" t="str">
        <f>IF(VLOOKUP(B20+22,Reagents!$B$1:$M$41,5,FALSE)=0, "NULL", VLOOKUP(B20+22,Reagents!$B$1:$M$41,5,FALSE))</f>
        <v>NULL</v>
      </c>
      <c r="DG20" s="214" t="str">
        <f>IF(OR(Reagents!$Q$18="Stock slurry",Reagents!$Q$12="Stock solution"),VLOOKUP(B20+22,Reagents!$B$1:$R$41,13,FALSE), "NULL")</f>
        <v/>
      </c>
      <c r="DH20" s="362" t="str">
        <f>IF(OR(Reagents!$Q$18="Stock slurry",Reagents!$Q$18="Stock solution"),VLOOKUP(B20+22,Reagents!$B$1:$R$41,14,FALSE), VLOOKUP(B20+22,Reagents!$B$1:$R$41,11,FALSE))</f>
        <v/>
      </c>
      <c r="DI20" s="214">
        <f>VLOOKUP(B20+22,Reagents!$B$1:$R$41,17,FALSE)</f>
        <v>0</v>
      </c>
      <c r="DJ20" s="284" t="e">
        <f>IF(OR(v2_col="solvent_2",v2_col="solvent_3"),VLOOKUP(B20+22,Reagents!$B$1:$M$41,12,FALSE),IF(OR(Reagents!$Q$18="Stock slurry",Reagents!$Q$18="Stock solution"),DH20*DG20, DH20/VLOOKUP(B20+22,Reagents!$B$1:$R$41,6,FALSE)*1000))</f>
        <v>#VALUE!</v>
      </c>
      <c r="DK20" s="214" t="str">
        <f>VLOOKUP(B20+34,Reagents!$B$1:$M$41,2,FALSE)</f>
        <v/>
      </c>
      <c r="DL20" s="214">
        <f>VLOOKUP(B20+34,Reagents!$B$1:$R$41,3,FALSE)</f>
        <v>0</v>
      </c>
      <c r="DM20" s="214" t="str">
        <f>IF(VLOOKUP(B20+34,Reagents!$B$1:$M$41,5,FALSE)=0, "NULL", VLOOKUP(B20+34,Reagents!$B$1:$M$41,5,FALSE))</f>
        <v>NULL</v>
      </c>
      <c r="DN20" s="214" t="str">
        <f>IF(OR(Reagents!$Q$24="Stock slurry",Reagents!$Q$12="Stock solution"),VLOOKUP(B20+34,Reagents!$B$1:$R$41,13,FALSE), "NULL")</f>
        <v/>
      </c>
      <c r="DO20" s="362" t="str">
        <f>IF(OR(Reagents!$Q$24="Stock slurry",Reagents!$Q$24="Stock solution"),VLOOKUP(B20+34,Reagents!$B$1:$R$41,14,FALSE), VLOOKUP(B20+34,Reagents!$B$1:$R$41,11,FALSE))</f>
        <v/>
      </c>
      <c r="DP20" s="214">
        <f>VLOOKUP(B20+34,Reagents!$B$1:$R$41,17,FALSE)</f>
        <v>0</v>
      </c>
      <c r="DQ20" s="284" t="e">
        <f>IF(OR(v3_col="solvent_2",v3_col="solvent_3"),VLOOKUP(B20+34,Reagents!$B$1:$M$41,12,FALSE),IF(OR(Reagents!$Q$24="Stock slurry",Reagents!$Q$24="Stock solution"),DO20*DN20, DO20/VLOOKUP(B20+34,Reagents!$B$1:$R$41,6,FALSE)*1000))</f>
        <v>#VALUE!</v>
      </c>
      <c r="DR20" s="214" t="str">
        <f>VLOOKUP(C20+46,Reagents!$B$1:$M$41,2,FALSE)</f>
        <v/>
      </c>
      <c r="DS20" s="214">
        <f>VLOOKUP(C20+46,Reagents!$B$1:$M$41,3,FALSE)</f>
        <v>0</v>
      </c>
      <c r="DT20" s="214" t="str">
        <f>IF(VLOOKUP(C20+46,Reagents!$B$1:$M$41,5,FALSE)=0, "NULL", VLOOKUP(C20+46,Reagents!$B$1:$M$41,5,FALSE))</f>
        <v>NULL</v>
      </c>
      <c r="DU20" s="214" t="str">
        <f>IF(OR(Reagents!$Q$30="Stock slurry",Reagents!$Q$30="Stock solution"),VLOOKUP(C20+46,Reagents!$B$1:$R$41,13,FALSE), "NULL")</f>
        <v/>
      </c>
      <c r="DV20" s="362" t="str">
        <f>IF(OR(Reagents!$Q$30="Stock slurry",Reagents!$Q$30="Stock solution"),VLOOKUP(C20+46,Reagents!$B$1:$R$41,14,FALSE), VLOOKUP(C20+46,Reagents!$B$1:$R$41,11,FALSE))</f>
        <v/>
      </c>
      <c r="DW20" s="214">
        <f>VLOOKUP(C20+46,Reagents!$B$1:$R$41,17,FALSE)</f>
        <v>0</v>
      </c>
      <c r="DX20" s="284" t="e">
        <f>IF(OR(v4_row="solvent_2",v4_row="solvent_3"),VLOOKUP(C20+46,Reagents!$B$1:$M$41,12,FALSE),IF(OR(Reagents!$Q$30="Stock slurry",Reagents!$Q$30="Stock solution"),DV20*DU20, DV20/VLOOKUP(C20+46,Reagents!$B$1:$R$41,6,FALSE)*1000))</f>
        <v>#VALUE!</v>
      </c>
      <c r="DY20" s="214" t="str">
        <f>VLOOKUP(C20+54,Reagents!$B$1:$M$41,2,FALSE)</f>
        <v/>
      </c>
      <c r="DZ20" s="214">
        <f>VLOOKUP(C20+54,Reagents!$B$1:$M$41,3,FALSE)</f>
        <v>0</v>
      </c>
      <c r="EA20" s="214" t="str">
        <f>IF(VLOOKUP(C20+54,Reagents!$B$1:$M$41,5,FALSE)=0, "NULL", VLOOKUP(C20+54,Reagents!$B$1:$M$41,5,FALSE))</f>
        <v>NULL</v>
      </c>
      <c r="EB20" s="214" t="str">
        <f>IF(OR(Reagents!$Q$34="Stock slurry",Reagents!$Q$34="Stock solution"),VLOOKUP(C20+54,Reagents!$B$1:$R$41,13,FALSE), "NULL")</f>
        <v/>
      </c>
      <c r="EC20" s="362" t="str">
        <f>IF(OR(Reagents!$Q$34="Stock slurry",Reagents!$Q$34="Stock solution"),VLOOKUP(C20+54,Reagents!$B$1:$R$41,14,FALSE), VLOOKUP(C20+54,Reagents!$B$1:$R$41,11,FALSE))</f>
        <v/>
      </c>
      <c r="ED20" s="214">
        <f>VLOOKUP(C20+54,Reagents!$B$1:$R$41,17,FALSE)</f>
        <v>0</v>
      </c>
      <c r="EE20" s="284" t="e">
        <f>IF(OR(v5_row="solvent_2",v5_row="solvent_3"),VLOOKUP(C20+54,Reagents!$B$1:$M$41,12,FALSE),IF(OR(Reagents!$Q$34="Stock slurry",Reagents!$Q$34="Stock solution"),EC20*EB20, EC20/VLOOKUP(C20+54,Reagents!$B$1:$R$41,6,FALSE)*1000))</f>
        <v>#VALUE!</v>
      </c>
      <c r="EF20" s="214" t="str">
        <f>VLOOKUP(C20+62,Reagents!$B$1:$M$41,2,FALSE)</f>
        <v/>
      </c>
      <c r="EG20" s="214">
        <f>VLOOKUP(C20+62,Reagents!$B$1:$M$41,3,FALSE)</f>
        <v>0</v>
      </c>
      <c r="EH20" s="214" t="str">
        <f>IF(VLOOKUP(C20+62,Reagents!$B$1:$M$41,5,FALSE)=0, "NULL", VLOOKUP(C20+62,Reagents!$B$1:$M$41,5,FALSE))</f>
        <v>NULL</v>
      </c>
      <c r="EI20" s="214" t="str">
        <f>IF(OR(Reagents!$Q$38="Stock slurry",Reagents!$Q$38="Stock solution"),VLOOKUP(C20+62,Reagents!$B$1:$R$41,13,FALSE), "NULL")</f>
        <v/>
      </c>
      <c r="EJ20" s="362" t="str">
        <f>IF(OR(Reagents!$Q$38="Stock slurry",Reagents!$Q$38="Stock solution"),VLOOKUP(C20+62,Reagents!$B$1:$R$41,14,FALSE), VLOOKUP(C20+62,Reagents!$B$1:$R$41,11,FALSE))</f>
        <v/>
      </c>
      <c r="EK20" s="214">
        <f>VLOOKUP(C20+62,Reagents!$B$1:$R$41,17,FALSE)</f>
        <v>0</v>
      </c>
      <c r="EL20" s="284" t="e">
        <f>IF(OR(v6_row="solvent_2",v6_row="solvent_3"),VLOOKUP(C20+62,Reagents!$B$1:$M$41,12,FALSE),IF(OR(Reagents!$Q$38="Stock slurry",Reagents!$Q$38="Stock solution"),EJ20*EI20, EJ20/VLOOKUP(C20+62,Reagents!$B$1:$R$41,6,FALSE)*1000))</f>
        <v>#VALUE!</v>
      </c>
      <c r="EM20" s="214">
        <f>VLOOKUP(19,'Plate Planning'!$A$1:$T$35,13,FALSE)</f>
        <v>0</v>
      </c>
      <c r="EN20" s="214">
        <f>VLOOKUP(19,'Plate Planning'!$A$1:$T$35,14,FALSE)</f>
        <v>0</v>
      </c>
      <c r="EO20" s="214">
        <f>VLOOKUP(19,'Plate Planning'!$A$1:$T$35,15,FALSE)</f>
        <v>0</v>
      </c>
      <c r="EP20" s="214">
        <f>VLOOKUP(A20,'Uncorrected Area Counts'!$A$1:$AS$27,3,FALSE)</f>
        <v>0</v>
      </c>
      <c r="EQ20" s="214" t="str">
        <f>VLOOKUP(A20,'Uncorrected Area Counts'!$A$1:$AS$27,4,FALSE)</f>
        <v/>
      </c>
      <c r="ER20" s="214" t="str">
        <f>VLOOKUP(A20,'Uncorrected Area Counts'!$A$1:$AS$27,5,FALSE)</f>
        <v/>
      </c>
      <c r="ES20" s="214">
        <f>VLOOKUP(20,'Plate Planning'!$A$1:$T$35,15,FALSE)</f>
        <v>0</v>
      </c>
      <c r="ET20" s="214">
        <f>VLOOKUP(A20,'Uncorrected Area Counts'!$A$1:$AS$27,7,FALSE)</f>
        <v>0</v>
      </c>
      <c r="EU20" s="214" t="e">
        <f>VLOOKUP(A20,'Uncorrected Area Counts'!$A$1:$AS$27,7,FALSE)/VLOOKUP(A20,'Uncorrected Area Counts'!$A$1:$AS$27,3,FALSE)</f>
        <v>#DIV/0!</v>
      </c>
      <c r="EV20" s="214" t="str">
        <f>IFERROR(VLOOKUP(A20,'Yields &amp; LCAPs'!$A$1:$V$27,3,FALSE), "NULL")</f>
        <v>NULL</v>
      </c>
      <c r="EW20" s="284" t="str">
        <f>IFERROR(VLOOKUP(A20,'Yields &amp; LCAPs'!$A$1:$V$27,4,FALSE), "NULL")</f>
        <v>NULL</v>
      </c>
      <c r="EX20" s="214" t="str">
        <f>VLOOKUP(A20,'Uncorrected Area Counts'!$A$1:$AS$27,8,FALSE)</f>
        <v/>
      </c>
      <c r="EY20" s="214" t="str">
        <f>VLOOKUP(A20,'Uncorrected Area Counts'!$A$1:$AS$27,9,FALSE)</f>
        <v/>
      </c>
      <c r="EZ20" s="214">
        <f>VLOOKUP(22,'Plate Planning'!$A$1:$T$35,15,FALSE)</f>
        <v>0</v>
      </c>
      <c r="FA20" s="214">
        <f>VLOOKUP(A20,'Uncorrected Area Counts'!$A$1:$AS$27,11,FALSE)</f>
        <v>0</v>
      </c>
      <c r="FB20" s="214" t="e">
        <f>VLOOKUP(A20,'Uncorrected Area Counts'!$A$1:$AS$27,11,FALSE)/VLOOKUP(A20,'Uncorrected Area Counts'!$A$1:$AS$27,3,FALSE)</f>
        <v>#DIV/0!</v>
      </c>
      <c r="FC20" s="214" t="str">
        <f>IFERROR(VLOOKUP(A20,'Yields &amp; LCAPs'!$A$1:$V$27,5,FALSE), "NULL")</f>
        <v>NULL</v>
      </c>
      <c r="FD20" s="284" t="str">
        <f>IFERROR(VLOOKUP(A20,'Yields &amp; LCAPs'!$A$1:$V$27,6,FALSE), "NULL")</f>
        <v>NULL</v>
      </c>
      <c r="FE20" s="214" t="str">
        <f>VLOOKUP(A20,'Uncorrected Area Counts'!$A$1:$AS$27,12,FALSE)</f>
        <v/>
      </c>
      <c r="FF20" s="214" t="str">
        <f>VLOOKUP(A20,'Uncorrected Area Counts'!$A$1:$AS$27,13,FALSE)</f>
        <v/>
      </c>
      <c r="FG20" s="214">
        <f>VLOOKUP(24,'Plate Planning'!$A$1:$T$35,15,FALSE)</f>
        <v>0</v>
      </c>
      <c r="FH20" s="214">
        <f>VLOOKUP(A20,'Uncorrected Area Counts'!$A$1:$AS$27,15,FALSE)</f>
        <v>0</v>
      </c>
      <c r="FI20" s="214" t="e">
        <f>VLOOKUP(A20,'Uncorrected Area Counts'!$A$1:$AS$27,15,FALSE)/VLOOKUP(A20,'Uncorrected Area Counts'!$A$1:$AS$27,3,FALSE)</f>
        <v>#DIV/0!</v>
      </c>
      <c r="FJ20" s="214" t="str">
        <f>IFERROR(VLOOKUP(A20,'Yields &amp; LCAPs'!$A$1:$V$27,7,FALSE), "NULL")</f>
        <v>NULL</v>
      </c>
      <c r="FK20" s="284" t="str">
        <f>IFERROR(VLOOKUP(A20,'Yields &amp; LCAPs'!$A$1:$V$27,8,FALSE), "NULL")</f>
        <v>NULL</v>
      </c>
      <c r="FL20" s="214" t="str">
        <f>VLOOKUP(A20,'Uncorrected Area Counts'!$A$1:$AS$27,16,FALSE)</f>
        <v/>
      </c>
      <c r="FM20" s="214" t="str">
        <f>VLOOKUP(A20,'Uncorrected Area Counts'!$A$1:$AS$27,17,FALSE)</f>
        <v/>
      </c>
      <c r="FN20" s="214">
        <f>VLOOKUP(26,'Plate Planning'!$A$1:$T$35,15,FALSE)</f>
        <v>0</v>
      </c>
      <c r="FO20" s="214">
        <f>VLOOKUP(A20,'Uncorrected Area Counts'!$A$1:$AS$27,19,FALSE)</f>
        <v>0</v>
      </c>
      <c r="FP20" s="214" t="e">
        <f>VLOOKUP(A20,'Uncorrected Area Counts'!$A$1:$AS$27,19,FALSE)/VLOOKUP(A20,'Uncorrected Area Counts'!$A$1:$AS$27,3,FALSE)</f>
        <v>#DIV/0!</v>
      </c>
      <c r="FQ20" s="214" t="str">
        <f>IFERROR(VLOOKUP(A20,'Yields &amp; LCAPs'!$A$1:$V$27,9,FALSE), "NULL")</f>
        <v>NULL</v>
      </c>
      <c r="FR20" s="284" t="str">
        <f>IFERROR(VLOOKUP(A20,'Yields &amp; LCAPs'!$A$1:$V$27,10,FALSE), "NULL")</f>
        <v>NULL</v>
      </c>
      <c r="FS20" s="214" t="str">
        <f>VLOOKUP(A20,'Uncorrected Area Counts'!$A$1:$AS$27,20,FALSE)</f>
        <v/>
      </c>
      <c r="FT20" s="214" t="str">
        <f>VLOOKUP(A20,'Uncorrected Area Counts'!$A$1:$AS$27,21,FALSE)</f>
        <v/>
      </c>
      <c r="FU20" s="214">
        <f>VLOOKUP(27,'Plate Planning'!$A$1:$T$35,15,FALSE)</f>
        <v>0</v>
      </c>
      <c r="FV20" s="214">
        <f>VLOOKUP(A20,'Uncorrected Area Counts'!$A$1:$AS$27,23,FALSE)</f>
        <v>0</v>
      </c>
      <c r="FW20" s="214" t="e">
        <f>VLOOKUP(A20,'Uncorrected Area Counts'!$A$1:$AS$27,23,FALSE)/VLOOKUP(A20,'Uncorrected Area Counts'!$A$1:$AS$27,3,FALSE)</f>
        <v>#DIV/0!</v>
      </c>
      <c r="FX20" s="214" t="str">
        <f>IFERROR(VLOOKUP(A20,'Yields &amp; LCAPs'!$A$1:$V$27,11,FALSE), "NULL")</f>
        <v>NULL</v>
      </c>
      <c r="FY20" s="284" t="str">
        <f>IFERROR(VLOOKUP(A20,'Yields &amp; LCAPs'!$A$1:$V$27,12,FALSE), "NULL")</f>
        <v>NULL</v>
      </c>
      <c r="FZ20" s="411" t="str">
        <f>VLOOKUP(A20,'Uncorrected Area Counts'!$A$1:$AS$27,24,FALSE)</f>
        <v/>
      </c>
      <c r="GA20" s="214" t="str">
        <f>VLOOKUP(A20,'Uncorrected Area Counts'!$A$1:$AS$27,25,FALSE)</f>
        <v/>
      </c>
      <c r="GB20" s="214">
        <f>VLOOKUP(28,'Plate Planning'!$A$1:$T$35,15,FALSE)</f>
        <v>0</v>
      </c>
      <c r="GC20" s="214">
        <f>VLOOKUP(A20,'Uncorrected Area Counts'!$A$1:$AS$27,27,FALSE)</f>
        <v>0</v>
      </c>
      <c r="GD20" s="214" t="e">
        <f>VLOOKUP(A20,'Uncorrected Area Counts'!$A$1:$AS$27,27,FALSE)/VLOOKUP(A20,'Uncorrected Area Counts'!$A$1:$AS$27,3,FALSE)</f>
        <v>#DIV/0!</v>
      </c>
      <c r="GE20" s="214" t="str">
        <f>IFERROR(VLOOKUP(A20,'Yields &amp; LCAPs'!$A$1:$V$27,13,FALSE), "NULL")</f>
        <v>NULL</v>
      </c>
      <c r="GF20" s="284" t="str">
        <f>IFERROR(VLOOKUP(A20,'Yields &amp; LCAPs'!$A$1:$V$27,14,FALSE), "NULL")</f>
        <v>NULL</v>
      </c>
      <c r="GG20" s="214" t="str">
        <f>VLOOKUP(A20,'Uncorrected Area Counts'!$A$1:$AS$27,28,FALSE)</f>
        <v/>
      </c>
      <c r="GH20" s="214" t="str">
        <f>VLOOKUP(A20,'Uncorrected Area Counts'!$A$1:$AS$27,29,FALSE)</f>
        <v/>
      </c>
      <c r="GI20" s="214">
        <f>VLOOKUP(29,'Plate Planning'!$A$1:$T$35,15,FALSE)</f>
        <v>0</v>
      </c>
      <c r="GJ20" s="214">
        <f>VLOOKUP(A20,'Uncorrected Area Counts'!$A$1:$AS$27,31,FALSE)</f>
        <v>0</v>
      </c>
      <c r="GK20" s="214" t="e">
        <f>VLOOKUP(A20,'Uncorrected Area Counts'!$A$1:$AS$27,31,FALSE)/VLOOKUP(A20,'Uncorrected Area Counts'!$A$1:$AS$27,3,FALSE)</f>
        <v>#DIV/0!</v>
      </c>
      <c r="GL20" s="214" t="str">
        <f>IFERROR(VLOOKUP(A20,'Yields &amp; LCAPs'!$A$1:$V$27,15,FALSE), "NULL")</f>
        <v>NULL</v>
      </c>
      <c r="GM20" s="284" t="str">
        <f>IFERROR(VLOOKUP(A20,'Yields &amp; LCAPs'!$A$1:$V$27,16,FALSE), "NULL")</f>
        <v>NULL</v>
      </c>
      <c r="GN20" s="214" t="str">
        <f>VLOOKUP(A20,'Uncorrected Area Counts'!$A$1:$AS$27,32,FALSE)</f>
        <v/>
      </c>
      <c r="GO20" s="214" t="str">
        <f>VLOOKUP(A20,'Uncorrected Area Counts'!$A$1:$AS$27,33,FALSE)</f>
        <v/>
      </c>
      <c r="GP20" s="214">
        <f>VLOOKUP(30,'Plate Planning'!$A$1:$T$35,15,FALSE)</f>
        <v>0</v>
      </c>
      <c r="GQ20" s="214">
        <f>VLOOKUP(A20,'Uncorrected Area Counts'!$A$1:$AS$27,35,FALSE)</f>
        <v>0</v>
      </c>
      <c r="GR20" s="214" t="e">
        <f>VLOOKUP(A20,'Uncorrected Area Counts'!$A$1:$AS$27,35,FALSE)/VLOOKUP(A20,'Uncorrected Area Counts'!$A$1:$AS$27,3,FALSE)</f>
        <v>#DIV/0!</v>
      </c>
      <c r="GS20" s="214" t="str">
        <f>IFERROR(VLOOKUP(A20,'Yields &amp; LCAPs'!$A$1:$V$27,17,FALSE), "NULL")</f>
        <v>NULL</v>
      </c>
      <c r="GT20" s="284" t="str">
        <f>IFERROR(VLOOKUP(A20,'Yields &amp; LCAPs'!$A$1:$V$27,18,FALSE), "NULL")</f>
        <v>NULL</v>
      </c>
      <c r="GU20" s="214" t="str">
        <f>VLOOKUP(A20,'Uncorrected Area Counts'!$A$1:$AS$27,36,FALSE)</f>
        <v/>
      </c>
      <c r="GV20" s="214" t="str">
        <f>VLOOKUP(A20,'Uncorrected Area Counts'!$A$1:$AS$27,37,FALSE)</f>
        <v/>
      </c>
      <c r="GW20" s="214">
        <f>VLOOKUP(31,'Plate Planning'!$A$1:$T$35,15,FALSE)</f>
        <v>0</v>
      </c>
      <c r="GX20" s="214">
        <f>VLOOKUP(A20,'Uncorrected Area Counts'!$A$1:$AS$27,39,FALSE)</f>
        <v>0</v>
      </c>
      <c r="GY20" s="214" t="e">
        <f>VLOOKUP(A20,'Uncorrected Area Counts'!$A$1:$AS$27,39,FALSE)/VLOOKUP(A20,'Uncorrected Area Counts'!$A$1:$AS$27,3,FALSE)</f>
        <v>#DIV/0!</v>
      </c>
      <c r="GZ20" s="214" t="str">
        <f>IFERROR(VLOOKUP(A20,'Yields &amp; LCAPs'!$A$1:$V$27,19,FALSE), "NULL")</f>
        <v>NULL</v>
      </c>
      <c r="HA20" s="284" t="str">
        <f>IFERROR(VLOOKUP(A20,'Yields &amp; LCAPs'!$A$1:$V$27,20,FALSE), "NULL")</f>
        <v>NULL</v>
      </c>
      <c r="HB20" s="214" t="str">
        <f>VLOOKUP(A20,'Uncorrected Area Counts'!$A$1:$AS$27,40,FALSE)</f>
        <v/>
      </c>
      <c r="HC20" s="214" t="str">
        <f>VLOOKUP(A20,'Uncorrected Area Counts'!$A$1:$AS$27,41,FALSE)</f>
        <v/>
      </c>
      <c r="HD20" s="214">
        <f>VLOOKUP(32,'Plate Planning'!$A$1:$T$35,15,FALSE)</f>
        <v>0</v>
      </c>
      <c r="HE20" s="214">
        <f>VLOOKUP(A20,'Uncorrected Area Counts'!$A$1:$AS$27,43,FALSE)</f>
        <v>0</v>
      </c>
      <c r="HF20" s="214" t="e">
        <f>VLOOKUP(A20,'Uncorrected Area Counts'!$A$1:$AS$27,43,FALSE)/VLOOKUP(A20,'Uncorrected Area Counts'!$A$1:$AS$27,3,FALSE)</f>
        <v>#DIV/0!</v>
      </c>
      <c r="HG20" s="214" t="str">
        <f>IFERROR(VLOOKUP(A20,'Yields &amp; LCAPs'!$A$1:$V$27,21,FALSE), "NULL")</f>
        <v>NULL</v>
      </c>
      <c r="HH20" s="284" t="str">
        <f>IFERROR(VLOOKUP(A20,'Yields &amp; LCAPs'!$A$1:$V$27,22,FALSE), "NULL")</f>
        <v>NULL</v>
      </c>
      <c r="HI20" s="362"/>
      <c r="HJ20" s="362"/>
      <c r="HK20" s="362"/>
      <c r="HL20" s="362"/>
      <c r="HM20" s="363"/>
      <c r="HN20" s="362"/>
      <c r="HO20" s="362"/>
      <c r="HP20" s="362"/>
      <c r="HQ20" s="362"/>
      <c r="HR20" s="363"/>
    </row>
    <row r="21" spans="1:226">
      <c r="A21" s="216" t="s">
        <v>1198</v>
      </c>
      <c r="B21" s="214">
        <v>2</v>
      </c>
      <c r="C21" s="214">
        <v>4</v>
      </c>
      <c r="D21" s="214" t="str">
        <f>VLOOKUP(18,'Plate Planning'!$A$1:$T$35,10,FALSE)&amp;"_"&amp;VLOOKUP(19,'Plate Planning'!$A$1:$T$35,10,FALSE)&amp;"_"&amp;A21</f>
        <v>__D2</v>
      </c>
      <c r="E21" s="214" t="str">
        <f>IF(VLOOKUP(18,'Plate Planning'!$A$1:$T$35,10,FALSE)="", "NULL", VLOOKUP(18,'Plate Planning'!$A$1:$T$35,10,FALSE))</f>
        <v>NULL</v>
      </c>
      <c r="F21" s="214" t="str">
        <f>IF(VLOOKUP(19,'Plate Planning'!$A$1:$T$35,10,FALSE)="", "NULL", VLOOKUP(19,'Plate Planning'!$A$1:$T$35,10,FALSE))</f>
        <v>NULL</v>
      </c>
      <c r="G21" s="214" t="str">
        <f>IF(VLOOKUP(20,'Plate Planning'!$A$1:$T$35,10,FALSE)="", "NULL", VLOOKUP(20,'Plate Planning'!$A$1:$T$35,10,FALSE))</f>
        <v>NULL</v>
      </c>
      <c r="H21" s="214" t="str">
        <f>IF(VLOOKUP(21,'Plate Planning'!$A$1:$T$35,10,FALSE)="", "NULL", VLOOKUP(21,'Plate Planning'!$A$1:$T$35,10,FALSE))</f>
        <v>NULL</v>
      </c>
      <c r="I21" s="214" t="str">
        <f>IF(VLOOKUP(23,'Plate Planning'!$A$1:$T$35,10,FALSE)="", "NULL", VLOOKUP(23,'Plate Planning'!$A$1:$T$35,10,FALSE))</f>
        <v>NULL</v>
      </c>
      <c r="J21" s="214" t="str">
        <f>IF(VLOOKUP(22,'Plate Planning'!$A$1:$T$35,10,FALSE)="", "NULL", VLOOKUP(22,'Plate Planning'!$A$1:$T$35,10,FALSE))</f>
        <v>NULL</v>
      </c>
      <c r="K21" s="214" t="str">
        <f>VLOOKUP(24,'Plate Planning'!$A$1:$T$35,10,FALSE)</f>
        <v>Glovebox</v>
      </c>
      <c r="L21" s="214" t="str">
        <f>IF(VLOOKUP(25,'Plate Planning'!$A$1:$T$35,10,FALSE)="","NULL",VLOOKUP(25,'Plate Planning'!$A$1:$T$35,10,FALSE))</f>
        <v>NULL</v>
      </c>
      <c r="M21" s="214" t="str">
        <f>VLOOKUP(26,'Plate Planning'!$A$1:$T$35,10,FALSE)</f>
        <v>ambient</v>
      </c>
      <c r="N21" s="214" t="str">
        <f>IF(VLOOKUP(27,'Plate Planning'!$A$1:$T$35,10,FALSE)=0,"NULL", VLOOKUP(27,'Plate Planning'!$A$1:$T$35,10,FALSE))</f>
        <v>NULL</v>
      </c>
      <c r="O21" s="214" t="str">
        <f>IF(VLOOKUP(3,'Plate Planning'!$A$2:$S$35,18,FALSE)="", "NULL", VLOOKUP(3,'Plate Planning'!$A$2:$S$35,18,FALSE))</f>
        <v>NULL</v>
      </c>
      <c r="P21" s="214" t="str">
        <f>IF(VLOOKUP(4,'Plate Planning'!$A$2:$S$35,18,FALSE)="", "NULL", VLOOKUP(4,'Plate Planning'!$A$2:$S$35,18,FALSE))</f>
        <v>NULL</v>
      </c>
      <c r="Q21" s="214" t="str">
        <f>IF(VLOOKUP(5,'Plate Planning'!$A$2:$S$35,18,FALSE)="", "NULL", VLOOKUP(5,'Plate Planning'!$A$2:$S$35,18,FALSE))</f>
        <v>NULL</v>
      </c>
      <c r="R21" s="214" t="str">
        <f>IF(VLOOKUP(6,'Plate Planning'!$A$2:$S$35,18,FALSE)="", "NULL", VLOOKUP(6,'Plate Planning'!$A$2:$S$35,18,FALSE))</f>
        <v>NULL</v>
      </c>
      <c r="S21" s="214" t="str">
        <f>IF(VLOOKUP(7,'Plate Planning'!$A$2:$S$35,18,FALSE)="", "NULL", VLOOKUP(7,'Plate Planning'!$A$2:$S$35,18,FALSE))</f>
        <v>NULL</v>
      </c>
      <c r="T21" s="214" t="str">
        <f>IF(VLOOKUP(28,'Plate Planning'!$A$1:$T$35,10,FALSE)=0,"NULL",VLOOKUP(28,'Plate Planning'!$A$1:$T$35,10,FALSE))</f>
        <v>NULL</v>
      </c>
      <c r="U21" s="214" t="str">
        <f>IFERROR(VLOOKUP(VLOOKUP(28,'Plate Planning'!$A$1:$T$35,10,FALSE),Dictionaries!$Q$2:$R$72,2,FALSE), "NULL")</f>
        <v>NULL</v>
      </c>
      <c r="V21" s="214" t="str">
        <f>IF(VLOOKUP(28,'Plate Planning'!$A$1:$T$35,10,FALSE)=0,"NULL",VLOOKUP(32,'Plate Planning'!$A$1:$T$35,10,FALSE))</f>
        <v>NULL</v>
      </c>
      <c r="W21" s="214" t="str">
        <f>IF(VLOOKUP(C21+3,'Plate Planning'!$A$1:$S$35,B21+4,FALSE)=0, "", VLOOKUP(C21+3,'Plate Planning'!$A$1:$S$35,B21+4,FALSE))</f>
        <v/>
      </c>
      <c r="X21" s="214" t="str">
        <f>IFERROR(VLOOKUP(W21,'Complex Variable'!$A$2:$S$25,2,FALSE), "")</f>
        <v/>
      </c>
      <c r="Y21" s="327" t="str">
        <f>IFERROR(VLOOKUP(W21,'Complex Variable'!$A$2:$S$25,3,FALSE), "")</f>
        <v/>
      </c>
      <c r="Z21" s="327" t="str">
        <f>IFERROR(VLOOKUP(W21,'Complex Variable'!$A$2:$S$25,5,FALSE), "")</f>
        <v/>
      </c>
      <c r="AA21" s="327" t="str">
        <f>IFERROR(VLOOKUP(W21,'Complex Variable'!$A$2:$S$25,14,FALSE), "")</f>
        <v/>
      </c>
      <c r="AB21" s="602" t="str">
        <f>IFERROR(VLOOKUP(W21,'Complex Variable'!$A$2:$S$25,19,FALSE), "")</f>
        <v/>
      </c>
      <c r="AC21" s="327" t="str">
        <f>IFERROR(VLOOKUP(W21,'Complex Variable'!$A$2:$S$25,13,FALSE), "")</f>
        <v/>
      </c>
      <c r="AD21" s="604" t="str">
        <f t="shared" si="0"/>
        <v/>
      </c>
      <c r="AE21" s="214">
        <f>VLOOKUP(1,Reagents!$B$1:$M$41,2,FALSE)</f>
        <v>0</v>
      </c>
      <c r="AF21" s="214">
        <f>VLOOKUP(1,Reagents!$B$1:$M$41,3,FALSE)</f>
        <v>0</v>
      </c>
      <c r="AG21" s="214" t="str">
        <f>IF(VLOOKUP(1,Reagents!$B$1:$M$41,5,FALSE)=0, "NULL", VLOOKUP(1,Reagents!$B$1:$M$41,5,FALSE))</f>
        <v>NULL</v>
      </c>
      <c r="AH21" s="214" t="str">
        <f>IF(OR(Reagents!$Q$2="Stock slurry",Reagents!$Q$2="Stock solution"),VLOOKUP(1,Reagents!$B$1:$R$41,13,FALSE), "NULL")</f>
        <v/>
      </c>
      <c r="AI21" s="362" t="str">
        <f>IF(OR(Reagents!$Q$2="Stock slurry",Reagents!$Q$2="Stock solution"),VLOOKUP(1,Reagents!$B$1:$R$41,14,FALSE), VLOOKUP(1,Reagents!$B$1:$R$41,11,FALSE))</f>
        <v/>
      </c>
      <c r="AJ21" s="214">
        <f>VLOOKUP(1,Reagents!$B$1:$R$41,17,FALSE)</f>
        <v>0</v>
      </c>
      <c r="AK21" s="284" t="e">
        <f>IF(OR(VLOOKUP(1,Reagents!$B$1:$M$41,4,FALSE)="solvent_2",VLOOKUP(1,Reagents!$B$1:$M$41,4,FALSE)="solvent_3"),VLOOKUP(1,Reagents!$B$1:$M$41,12,FALSE),IF(OR(Reagents!$Q$2="Stock slurry",Reagents!$Q$2="Stock solution"),AI21*AH21, AI21/VLOOKUP(1,Reagents!$B$1:$R$41,6,FALSE)*1000))</f>
        <v>#VALUE!</v>
      </c>
      <c r="AL21" s="214">
        <f>VLOOKUP(2,Reagents!$B$1:$M$41,2,FALSE)</f>
        <v>0</v>
      </c>
      <c r="AM21" s="214">
        <f>VLOOKUP(2,Reagents!$B$1:$M$41,3,FALSE)</f>
        <v>0</v>
      </c>
      <c r="AN21" s="214" t="str">
        <f>IF(VLOOKUP(2,Reagents!$B$1:$M$41,5,FALSE)=0, "NULL", VLOOKUP(2,Reagents!$B$1:$M$41,5,FALSE))</f>
        <v>NULL</v>
      </c>
      <c r="AO21" s="214" t="str">
        <f>IF(OR(Reagents!$Q$3="Stock slurry",Reagents!$Q$3="Stock solution"),VLOOKUP(2,Reagents!$B$1:$R$41,13,FALSE), "NULL")</f>
        <v/>
      </c>
      <c r="AP21" s="362" t="str">
        <f>IF(OR(Reagents!$Q$3="Stock slurry",Reagents!$Q$3="Stock solution"),VLOOKUP(2,Reagents!$B$1:$R$41,14,FALSE), VLOOKUP(2,Reagents!$B$1:$R$41,11,FALSE))</f>
        <v/>
      </c>
      <c r="AQ21" s="214">
        <f>VLOOKUP(2,Reagents!$B$1:$R$41,17,FALSE)</f>
        <v>0</v>
      </c>
      <c r="AR21" s="284" t="e">
        <f>IF(OR(VLOOKUP(2,Reagents!$B$1:$M$41,4,FALSE)="solvent_2",VLOOKUP(2,Reagents!$B$1:$M$41,4,FALSE)="solvent_3"),VLOOKUP(2,Reagents!$B$1:$M$41,12,FALSE),IF(OR(Reagents!$Q$3="Stock slurry",Reagents!$Q$3="Stock solution"),AP21*AO21, AP21/VLOOKUP(2,Reagents!$B$1:$R$41,6,FALSE)*1000))</f>
        <v>#VALUE!</v>
      </c>
      <c r="AS21" s="214">
        <f>VLOOKUP(3,Reagents!$B$1:$M$41,2,FALSE)</f>
        <v>0</v>
      </c>
      <c r="AT21" s="214">
        <f>VLOOKUP(3,Reagents!$B$1:$M$41,3,FALSE)</f>
        <v>0</v>
      </c>
      <c r="AU21" s="214" t="str">
        <f>IF(VLOOKUP(3,Reagents!$B$1:$M$41,5,FALSE)=0, "NULL", VLOOKUP(3,Reagents!$B$1:$M$41,5,FALSE))</f>
        <v>NULL</v>
      </c>
      <c r="AV21" s="214" t="str">
        <f>IF(OR(Reagents!$Q$4="Stock slurry",Reagents!$Q$4="Stock solution"),VLOOKUP(3,Reagents!$B$1:$R$41,13,FALSE), "NULL")</f>
        <v/>
      </c>
      <c r="AW21" s="362" t="str">
        <f>IF(OR(Reagents!$Q$4="Stock slurry",Reagents!$Q$4="Stock solution"),VLOOKUP(3,Reagents!$B$1:$R$41,14,FALSE), VLOOKUP(3,Reagents!$B$1:$R$41,11,FALSE))</f>
        <v/>
      </c>
      <c r="AX21" s="214">
        <f>VLOOKUP(3,Reagents!$B$1:$R$41,17,FALSE)</f>
        <v>0</v>
      </c>
      <c r="AY21" s="284" t="e">
        <f>IF(OR(VLOOKUP(3,Reagents!$B$1:$M$41,4,FALSE)="solvent_2",VLOOKUP(3,Reagents!$B$1:$M$41,4,FALSE)="solvent_3"),VLOOKUP(3,Reagents!$B$1:$M$41,12,FALSE),IF(OR(Reagents!$Q$4="Stock slurry",Reagents!$Q$4="Stock solution"),AW21*AV21, AW21/VLOOKUP(3,Reagents!$B$1:$R$41,6,FALSE)*1000))</f>
        <v>#VALUE!</v>
      </c>
      <c r="AZ21" s="214">
        <f>VLOOKUP(4,Reagents!$B$1:$M$41,2,FALSE)</f>
        <v>0</v>
      </c>
      <c r="BA21" s="214">
        <f>VLOOKUP(4,Reagents!$B$1:$M$41,3,FALSE)</f>
        <v>0</v>
      </c>
      <c r="BB21" s="214" t="str">
        <f>IF(VLOOKUP(4,Reagents!$B$1:$M$41,5,FALSE)=0, "NULL", VLOOKUP(4,Reagents!$B$1:$M$41,5,FALSE))</f>
        <v>NULL</v>
      </c>
      <c r="BC21" s="214" t="str">
        <f>IF(OR(Reagents!$Q$5="Stock slurry",Reagents!$Q$5="Stock solution"),VLOOKUP(4,Reagents!$B$1:$R$41,13,FALSE), "NULL")</f>
        <v/>
      </c>
      <c r="BD21" s="362" t="str">
        <f>IF(OR(Reagents!$Q$5="Stock slurry",Reagents!$Q$5="Stock solution"),VLOOKUP(4,Reagents!$B$1:$R$41,14,FALSE), VLOOKUP(4,Reagents!$B$1:$R$41,11,FALSE))</f>
        <v/>
      </c>
      <c r="BE21" s="214">
        <f>VLOOKUP(4,Reagents!$B$1:$R$41,17,FALSE)</f>
        <v>0</v>
      </c>
      <c r="BF21" s="284" t="e">
        <f>IF(OR(VLOOKUP(4,Reagents!$B$1:$M$41,4,FALSE)="solvent_2",VLOOKUP(4,Reagents!$B$1:$M$41,4,FALSE)="solvent_3"),VLOOKUP(4,Reagents!$B$1:$M$41,12,FALSE),IF(OR(Reagents!$Q$5="Stock slurry",Reagents!$Q$5="Stock solution"),BD21*BC21, BD21/VLOOKUP(4,Reagents!$B$1:$R$41,6,FALSE)*1000))</f>
        <v>#VALUE!</v>
      </c>
      <c r="BG21" s="214">
        <f>VLOOKUP(5,Reagents!$B$1:$M$41,2,FALSE)</f>
        <v>0</v>
      </c>
      <c r="BH21" s="214">
        <f>VLOOKUP(5,Reagents!$B$1:$M$41,3,FALSE)</f>
        <v>0</v>
      </c>
      <c r="BI21" s="214" t="str">
        <f>IF(VLOOKUP(5,Reagents!$B$1:$M$41,5,FALSE)=0, "NULL", VLOOKUP(5,Reagents!$B$1:$M$41,5,FALSE))</f>
        <v>NULL</v>
      </c>
      <c r="BJ21" s="214" t="str">
        <f>IF(OR(Reagents!$Q$6="Stock slurry",Reagents!$Q$6="Stock solution"),VLOOKUP(5,Reagents!$B$1:$R$41,13,FALSE), "NULL")</f>
        <v/>
      </c>
      <c r="BK21" s="362" t="str">
        <f>IF(OR(Reagents!$Q$6="Stock slurry",Reagents!$Q$6="Stock solution"),VLOOKUP(5,Reagents!$B$1:$R$41,14,FALSE), VLOOKUP(5,Reagents!$B$1:$R$41,11,FALSE))</f>
        <v/>
      </c>
      <c r="BL21" s="214">
        <f>VLOOKUP(5,Reagents!$B$1:$R$41,17,FALSE)</f>
        <v>0</v>
      </c>
      <c r="BM21" s="284" t="e">
        <f>IF(OR(VLOOKUP(5,Reagents!$B$1:$M$41,4,FALSE)="solvent_2",VLOOKUP(5,Reagents!$B$1:$M$41,4,FALSE)="solvent_3"),VLOOKUP(5,Reagents!$B$1:$M$41,12,FALSE),IF(OR(Reagents!$Q$6="Stock slurry",Reagents!$Q$6="Stock solution"),BK21*BJ21, BK21/VLOOKUP(5,Reagents!$B$1:$R$41,6,FALSE)*1000))</f>
        <v>#VALUE!</v>
      </c>
      <c r="BN21" s="214">
        <f>VLOOKUP(6,Reagents!$B$1:$M$41,2,FALSE)</f>
        <v>0</v>
      </c>
      <c r="BO21" s="214">
        <f>VLOOKUP(6,Reagents!$B$1:$M$41,3,FALSE)</f>
        <v>0</v>
      </c>
      <c r="BP21" s="214" t="str">
        <f>IF(VLOOKUP(6,Reagents!$B$1:$M$41,5,FALSE)=0, "NULL", VLOOKUP(6,Reagents!$B$1:$M$41,5,FALSE))</f>
        <v>NULL</v>
      </c>
      <c r="BQ21" s="214" t="str">
        <f>IF(OR(Reagents!$Q$7="Stock slurry",Reagents!$Q$7="Stock solution"),VLOOKUP(6,Reagents!$B$1:$R$41,13,FALSE), "NULL")</f>
        <v/>
      </c>
      <c r="BR21" s="362" t="str">
        <f>IF(OR(Reagents!$Q$7="Stock slurry",Reagents!$Q$7="Stock solution"),VLOOKUP(6,Reagents!$B$1:$R$41,14,FALSE), VLOOKUP(6,Reagents!$B$1:$R$41,11,FALSE))</f>
        <v/>
      </c>
      <c r="BS21" s="214">
        <f>VLOOKUP(6,Reagents!$B$1:$R$41,17,FALSE)</f>
        <v>0</v>
      </c>
      <c r="BT21" s="284" t="e">
        <f>IF(OR(VLOOKUP(6,Reagents!$B$1:$M$41,4,FALSE)="solvent_2",VLOOKUP(6,Reagents!$B$1:$M$41,4,FALSE)="solvent_3"),VLOOKUP(6,Reagents!$B$1:$M$41,12,FALSE),IF(OR(Reagents!$Q$7="Stock slurry",Reagents!$Q$7="Stock solution"),BR21*BQ21, BR21/VLOOKUP(6,Reagents!$B$1:$R$41,6,FALSE)*1000))</f>
        <v>#VALUE!</v>
      </c>
      <c r="BU21" s="214">
        <f>VLOOKUP(7,Reagents!$B$1:$M$41,2,FALSE)</f>
        <v>0</v>
      </c>
      <c r="BV21" s="214">
        <f>VLOOKUP(7,Reagents!$B$1:$M$41,3,FALSE)</f>
        <v>0</v>
      </c>
      <c r="BW21" s="214" t="str">
        <f>IF(VLOOKUP(7,Reagents!$B$1:$M$41,5,FALSE)=0, "NULL", VLOOKUP(7,Reagents!$B$1:$M$41,5,FALSE))</f>
        <v>NULL</v>
      </c>
      <c r="BX21" s="214" t="str">
        <f>IF(OR(Reagents!$Q$8="Stock slurry",Reagents!$Q$8="Stock solution"),VLOOKUP(7,Reagents!$B$1:$R$41,13,FALSE), "NULL")</f>
        <v/>
      </c>
      <c r="BY21" s="362" t="str">
        <f>IF(OR(Reagents!$Q$8="Stock slurry",Reagents!$Q$8="Stock solution"),VLOOKUP(7,Reagents!$B$1:$R$41,14,FALSE), VLOOKUP(7,Reagents!$B$1:$R$41,11,FALSE))</f>
        <v/>
      </c>
      <c r="BZ21" s="214">
        <f>VLOOKUP(7,Reagents!$B$1:$R$41,17,FALSE)</f>
        <v>0</v>
      </c>
      <c r="CA21" s="284" t="e">
        <f>IF(OR(VLOOKUP(7,Reagents!$B$1:$M$41,4,FALSE)="solvent_2",VLOOKUP(7,Reagents!$B$1:$M$41,4,FALSE)="solvent_3"),VLOOKUP(7,Reagents!$B$1:$M$41,12,FALSE),IF(OR(Reagents!$Q$8="Stock slurry",Reagents!$Q$8="Stock solution"),BY21*BX21, BY21/VLOOKUP(7,Reagents!$B$1:$R$41,6,FALSE)*1000))</f>
        <v>#VALUE!</v>
      </c>
      <c r="CB21" s="214">
        <f>VLOOKUP(8,Reagents!$B$1:$M$41,2,FALSE)</f>
        <v>0</v>
      </c>
      <c r="CC21" s="214">
        <f>VLOOKUP(8,Reagents!$B$1:$M$41,3,FALSE)</f>
        <v>0</v>
      </c>
      <c r="CD21" s="214" t="str">
        <f>IF(VLOOKUP(8,Reagents!$B$1:$M$41,5,FALSE)=0, "NULL", VLOOKUP(8,Reagents!$B$1:$M$41,5,FALSE))</f>
        <v>NULL</v>
      </c>
      <c r="CE21" s="214" t="str">
        <f>IF(OR(Reagents!$Q$9="Stock slurry",Reagents!$Q$9="Stock solution"),VLOOKUP(8,Reagents!$B$1:$R$41,13,FALSE), "NULL")</f>
        <v/>
      </c>
      <c r="CF21" s="362" t="str">
        <f>IF(OR(Reagents!$Q$9="Stock slurry",Reagents!$Q$9="Stock solution"),VLOOKUP(8,Reagents!$B$1:$R$41,14,FALSE), VLOOKUP(8,Reagents!$B$1:$R$41,11,FALSE))</f>
        <v/>
      </c>
      <c r="CG21" s="214">
        <f>VLOOKUP(8,Reagents!$B$1:$R$41,17,FALSE)</f>
        <v>0</v>
      </c>
      <c r="CH21" s="284" t="e">
        <f>IF(OR(VLOOKUP(8,Reagents!$B$1:$M$41,4,FALSE)="solvent_2",VLOOKUP(8,Reagents!$B$1:$M$41,4,FALSE)="solvent_3"),VLOOKUP(8,Reagents!$B$1:$M$41,12,FALSE),IF(OR(Reagents!$Q$9="Stock slurry",Reagents!$Q$9="Stock solution"),CF21*CE21, CF21/VLOOKUP(8,Reagents!$B$1:$R$41,6,FALSE)*1000))</f>
        <v>#VALUE!</v>
      </c>
      <c r="CI21" s="214">
        <f>VLOOKUP(9,Reagents!$B$1:$M$41,2,FALSE)</f>
        <v>0</v>
      </c>
      <c r="CJ21" s="214">
        <f>VLOOKUP(9,Reagents!$B$1:$M$41,3,FALSE)</f>
        <v>0</v>
      </c>
      <c r="CK21" s="214" t="str">
        <f>IF(VLOOKUP(9,Reagents!$B$1:$M$41,5,FALSE)=0, "NULL", VLOOKUP(9,Reagents!$B$1:$M$41,5,FALSE))</f>
        <v>NULL</v>
      </c>
      <c r="CL21" s="214" t="str">
        <f>IF(OR(Reagents!$Q$10="Stock slurry",Reagents!$Q$10="Stock solution"),VLOOKUP(9,Reagents!$B$1:$R$41,13,FALSE), "NULL")</f>
        <v/>
      </c>
      <c r="CM21" s="362" t="str">
        <f>IF(OR(Reagents!$Q$10="Stock slurry",Reagents!$Q$10="Stock solution"),VLOOKUP(9,Reagents!$B$1:$R$41,14,FALSE), VLOOKUP(9,Reagents!$B$1:$R$41,11,FALSE))</f>
        <v/>
      </c>
      <c r="CN21" s="214">
        <f>VLOOKUP(9,Reagents!$B$1:$R$41,17,FALSE)</f>
        <v>0</v>
      </c>
      <c r="CO21" s="284" t="e">
        <f>IF(OR(VLOOKUP(9,Reagents!$B$1:$M$41,4,FALSE)="solvent_2",VLOOKUP(9,Reagents!$B$1:$M$41,4,FALSE)="solvent_3"),VLOOKUP(9,Reagents!$B$1:$M$41,12,FALSE),IF(OR(Reagents!$Q$10="Stock slurry",Reagents!$Q$10="Stock solution"),CM21*CL21, CM21/VLOOKUP(9,Reagents!$B$1:$R$41,6,FALSE)*1000))</f>
        <v>#VALUE!</v>
      </c>
      <c r="CP21" s="214">
        <f>VLOOKUP(10,Reagents!$B$1:$M$41,2,FALSE)</f>
        <v>0</v>
      </c>
      <c r="CQ21" s="214">
        <f>VLOOKUP(10,Reagents!$B$1:$M$41,3,FALSE)</f>
        <v>0</v>
      </c>
      <c r="CR21" s="214" t="str">
        <f>IF(VLOOKUP(10,Reagents!$B$1:$M$41,5,FALSE)=0, "NULL", VLOOKUP(10,Reagents!$B$1:$M$41,5,FALSE))</f>
        <v>NULL</v>
      </c>
      <c r="CS21" s="214" t="str">
        <f>IF(OR(Reagents!$Q$11="Stock slurry",Reagents!$Q$11="Stock solution"),VLOOKUP(10,Reagents!$B$1:$R$41,13,FALSE), "NULL")</f>
        <v/>
      </c>
      <c r="CT21" s="362" t="str">
        <f>IF(OR(Reagents!$Q$11="Stock slurry",Reagents!$Q$11="Stock solution"),VLOOKUP(10,Reagents!$B$1:$R$41,14,FALSE), VLOOKUP(10,Reagents!$B$1:$R$41,11,FALSE))</f>
        <v/>
      </c>
      <c r="CU21" s="214">
        <f>VLOOKUP(10,Reagents!$B$1:$R$41,17,FALSE)</f>
        <v>0</v>
      </c>
      <c r="CV21" s="284" t="e">
        <f>IF(OR(VLOOKUP(10,Reagents!$B$1:$M$41,4,FALSE)="solvent_2",VLOOKUP(10,Reagents!$B$1:$M$41,4,FALSE)="solvent_3"),VLOOKUP(10,Reagents!$B$1:$M$41,12,FALSE),IF(OR(Reagents!$Q$11="Stock slurry",Reagents!$Q$11="Stock solution"),CT21*CS21, CT21/VLOOKUP(10,Reagents!$B$1:$R$41,6,FALSE)*1000))</f>
        <v>#VALUE!</v>
      </c>
      <c r="CW21" s="214" t="str">
        <f>VLOOKUP(B21+10,Reagents!$B$1:$R$41,2,FALSE)</f>
        <v/>
      </c>
      <c r="CX21" s="214">
        <f>VLOOKUP(B21+10,Reagents!$B$1:$R$41,3,FALSE)</f>
        <v>0</v>
      </c>
      <c r="CY21" s="214" t="str">
        <f>IF(VLOOKUP(B21+10,Reagents!$B$1:$M$41,5,FALSE)=0, "NULL", VLOOKUP(B21+10,Reagents!$B$1:$M$41,5,FALSE))</f>
        <v>NULL</v>
      </c>
      <c r="CZ21" s="214" t="str">
        <f>IF(OR(Reagents!$Q$12="Stock slurry",Reagents!$Q$12="Stock solution"),VLOOKUP(B21+10,Reagents!$B$1:$R$41,13,FALSE), "NULL")</f>
        <v/>
      </c>
      <c r="DA21" s="362" t="str">
        <f>IF(OR(Reagents!$Q$12="Stock slurry",Reagents!$Q$12="Stock solution"),VLOOKUP(B21+10,Reagents!$B$1:$R$41,14,FALSE), VLOOKUP(B21+10,Reagents!$B$1:$R$41,11,FALSE))</f>
        <v/>
      </c>
      <c r="DB21" s="214">
        <f>VLOOKUP(B21+10,Reagents!$B$1:$R$41,17,FALSE)</f>
        <v>0</v>
      </c>
      <c r="DC21" s="284" t="e">
        <f>IF(OR(v1_col="solvent_2",v1_col="solvent_3"),VLOOKUP(B21+10,Reagents!$B$1:$M$41,12,FALSE),IF(OR(Reagents!$Q$12="Stock slurry",Reagents!$Q$12="Stock solution"),DA21*CZ21, DA21/VLOOKUP(B21+10,Reagents!$B$1:$R$41,6,FALSE)*1000))</f>
        <v>#VALUE!</v>
      </c>
      <c r="DD21" s="214" t="str">
        <f>VLOOKUP(B21+22,Reagents!$B$1:$M$41,2,FALSE)</f>
        <v/>
      </c>
      <c r="DE21" s="214">
        <f>VLOOKUP(B21+22,Reagents!$B$1:$R$41,3,FALSE)</f>
        <v>0</v>
      </c>
      <c r="DF21" s="214" t="str">
        <f>IF(VLOOKUP(B21+22,Reagents!$B$1:$M$41,5,FALSE)=0, "NULL", VLOOKUP(B21+22,Reagents!$B$1:$M$41,5,FALSE))</f>
        <v>NULL</v>
      </c>
      <c r="DG21" s="214" t="str">
        <f>IF(OR(Reagents!$Q$18="Stock slurry",Reagents!$Q$12="Stock solution"),VLOOKUP(B21+22,Reagents!$B$1:$R$41,13,FALSE), "NULL")</f>
        <v/>
      </c>
      <c r="DH21" s="362" t="str">
        <f>IF(OR(Reagents!$Q$18="Stock slurry",Reagents!$Q$18="Stock solution"),VLOOKUP(B21+22,Reagents!$B$1:$R$41,14,FALSE), VLOOKUP(B21+22,Reagents!$B$1:$R$41,11,FALSE))</f>
        <v/>
      </c>
      <c r="DI21" s="214">
        <f>VLOOKUP(B21+22,Reagents!$B$1:$R$41,17,FALSE)</f>
        <v>0</v>
      </c>
      <c r="DJ21" s="284" t="e">
        <f>IF(OR(v2_col="solvent_2",v2_col="solvent_3"),VLOOKUP(B21+22,Reagents!$B$1:$M$41,12,FALSE),IF(OR(Reagents!$Q$18="Stock slurry",Reagents!$Q$18="Stock solution"),DH21*DG21, DH21/VLOOKUP(B21+22,Reagents!$B$1:$R$41,6,FALSE)*1000))</f>
        <v>#VALUE!</v>
      </c>
      <c r="DK21" s="214" t="str">
        <f>VLOOKUP(B21+34,Reagents!$B$1:$M$41,2,FALSE)</f>
        <v/>
      </c>
      <c r="DL21" s="214">
        <f>VLOOKUP(B21+34,Reagents!$B$1:$R$41,3,FALSE)</f>
        <v>0</v>
      </c>
      <c r="DM21" s="214" t="str">
        <f>IF(VLOOKUP(B21+34,Reagents!$B$1:$M$41,5,FALSE)=0, "NULL", VLOOKUP(B21+34,Reagents!$B$1:$M$41,5,FALSE))</f>
        <v>NULL</v>
      </c>
      <c r="DN21" s="214" t="str">
        <f>IF(OR(Reagents!$Q$24="Stock slurry",Reagents!$Q$12="Stock solution"),VLOOKUP(B21+34,Reagents!$B$1:$R$41,13,FALSE), "NULL")</f>
        <v/>
      </c>
      <c r="DO21" s="362" t="str">
        <f>IF(OR(Reagents!$Q$24="Stock slurry",Reagents!$Q$24="Stock solution"),VLOOKUP(B21+34,Reagents!$B$1:$R$41,14,FALSE), VLOOKUP(B21+34,Reagents!$B$1:$R$41,11,FALSE))</f>
        <v/>
      </c>
      <c r="DP21" s="214">
        <f>VLOOKUP(B21+34,Reagents!$B$1:$R$41,17,FALSE)</f>
        <v>0</v>
      </c>
      <c r="DQ21" s="284" t="e">
        <f>IF(OR(v3_col="solvent_2",v3_col="solvent_3"),VLOOKUP(B21+34,Reagents!$B$1:$M$41,12,FALSE),IF(OR(Reagents!$Q$24="Stock slurry",Reagents!$Q$24="Stock solution"),DO21*DN21, DO21/VLOOKUP(B21+34,Reagents!$B$1:$R$41,6,FALSE)*1000))</f>
        <v>#VALUE!</v>
      </c>
      <c r="DR21" s="214" t="str">
        <f>VLOOKUP(C21+46,Reagents!$B$1:$M$41,2,FALSE)</f>
        <v/>
      </c>
      <c r="DS21" s="214">
        <f>VLOOKUP(C21+46,Reagents!$B$1:$M$41,3,FALSE)</f>
        <v>0</v>
      </c>
      <c r="DT21" s="214" t="str">
        <f>IF(VLOOKUP(C21+46,Reagents!$B$1:$M$41,5,FALSE)=0, "NULL", VLOOKUP(C21+46,Reagents!$B$1:$M$41,5,FALSE))</f>
        <v>NULL</v>
      </c>
      <c r="DU21" s="214" t="str">
        <f>IF(OR(Reagents!$Q$30="Stock slurry",Reagents!$Q$30="Stock solution"),VLOOKUP(C21+46,Reagents!$B$1:$R$41,13,FALSE), "NULL")</f>
        <v/>
      </c>
      <c r="DV21" s="362" t="str">
        <f>IF(OR(Reagents!$Q$30="Stock slurry",Reagents!$Q$30="Stock solution"),VLOOKUP(C21+46,Reagents!$B$1:$R$41,14,FALSE), VLOOKUP(C21+46,Reagents!$B$1:$R$41,11,FALSE))</f>
        <v/>
      </c>
      <c r="DW21" s="214">
        <f>VLOOKUP(C21+46,Reagents!$B$1:$R$41,17,FALSE)</f>
        <v>0</v>
      </c>
      <c r="DX21" s="284" t="e">
        <f>IF(OR(v4_row="solvent_2",v4_row="solvent_3"),VLOOKUP(C21+46,Reagents!$B$1:$M$41,12,FALSE),IF(OR(Reagents!$Q$30="Stock slurry",Reagents!$Q$30="Stock solution"),DV21*DU21, DV21/VLOOKUP(C21+46,Reagents!$B$1:$R$41,6,FALSE)*1000))</f>
        <v>#VALUE!</v>
      </c>
      <c r="DY21" s="214" t="str">
        <f>VLOOKUP(C21+54,Reagents!$B$1:$M$41,2,FALSE)</f>
        <v/>
      </c>
      <c r="DZ21" s="214">
        <f>VLOOKUP(C21+54,Reagents!$B$1:$M$41,3,FALSE)</f>
        <v>0</v>
      </c>
      <c r="EA21" s="214" t="str">
        <f>IF(VLOOKUP(C21+54,Reagents!$B$1:$M$41,5,FALSE)=0, "NULL", VLOOKUP(C21+54,Reagents!$B$1:$M$41,5,FALSE))</f>
        <v>NULL</v>
      </c>
      <c r="EB21" s="214" t="str">
        <f>IF(OR(Reagents!$Q$34="Stock slurry",Reagents!$Q$34="Stock solution"),VLOOKUP(C21+54,Reagents!$B$1:$R$41,13,FALSE), "NULL")</f>
        <v/>
      </c>
      <c r="EC21" s="362" t="str">
        <f>IF(OR(Reagents!$Q$34="Stock slurry",Reagents!$Q$34="Stock solution"),VLOOKUP(C21+54,Reagents!$B$1:$R$41,14,FALSE), VLOOKUP(C21+54,Reagents!$B$1:$R$41,11,FALSE))</f>
        <v/>
      </c>
      <c r="ED21" s="214">
        <f>VLOOKUP(C21+54,Reagents!$B$1:$R$41,17,FALSE)</f>
        <v>0</v>
      </c>
      <c r="EE21" s="284" t="e">
        <f>IF(OR(v5_row="solvent_2",v5_row="solvent_3"),VLOOKUP(C21+54,Reagents!$B$1:$M$41,12,FALSE),IF(OR(Reagents!$Q$34="Stock slurry",Reagents!$Q$34="Stock solution"),EC21*EB21, EC21/VLOOKUP(C21+54,Reagents!$B$1:$R$41,6,FALSE)*1000))</f>
        <v>#VALUE!</v>
      </c>
      <c r="EF21" s="214" t="str">
        <f>VLOOKUP(C21+62,Reagents!$B$1:$M$41,2,FALSE)</f>
        <v/>
      </c>
      <c r="EG21" s="214">
        <f>VLOOKUP(C21+62,Reagents!$B$1:$M$41,3,FALSE)</f>
        <v>0</v>
      </c>
      <c r="EH21" s="214" t="str">
        <f>IF(VLOOKUP(C21+62,Reagents!$B$1:$M$41,5,FALSE)=0, "NULL", VLOOKUP(C21+62,Reagents!$B$1:$M$41,5,FALSE))</f>
        <v>NULL</v>
      </c>
      <c r="EI21" s="214" t="str">
        <f>IF(OR(Reagents!$Q$38="Stock slurry",Reagents!$Q$38="Stock solution"),VLOOKUP(C21+62,Reagents!$B$1:$R$41,13,FALSE), "NULL")</f>
        <v/>
      </c>
      <c r="EJ21" s="362" t="str">
        <f>IF(OR(Reagents!$Q$38="Stock slurry",Reagents!$Q$38="Stock solution"),VLOOKUP(C21+62,Reagents!$B$1:$R$41,14,FALSE), VLOOKUP(C21+62,Reagents!$B$1:$R$41,11,FALSE))</f>
        <v/>
      </c>
      <c r="EK21" s="214">
        <f>VLOOKUP(C21+62,Reagents!$B$1:$R$41,17,FALSE)</f>
        <v>0</v>
      </c>
      <c r="EL21" s="284" t="e">
        <f>IF(OR(v6_row="solvent_2",v6_row="solvent_3"),VLOOKUP(C21+62,Reagents!$B$1:$M$41,12,FALSE),IF(OR(Reagents!$Q$38="Stock slurry",Reagents!$Q$38="Stock solution"),EJ21*EI21, EJ21/VLOOKUP(C21+62,Reagents!$B$1:$R$41,6,FALSE)*1000))</f>
        <v>#VALUE!</v>
      </c>
      <c r="EM21" s="214">
        <f>VLOOKUP(19,'Plate Planning'!$A$1:$T$35,13,FALSE)</f>
        <v>0</v>
      </c>
      <c r="EN21" s="214">
        <f>VLOOKUP(19,'Plate Planning'!$A$1:$T$35,14,FALSE)</f>
        <v>0</v>
      </c>
      <c r="EO21" s="214">
        <f>VLOOKUP(19,'Plate Planning'!$A$1:$T$35,15,FALSE)</f>
        <v>0</v>
      </c>
      <c r="EP21" s="214">
        <f>VLOOKUP(A21,'Uncorrected Area Counts'!$A$1:$AS$27,3,FALSE)</f>
        <v>0</v>
      </c>
      <c r="EQ21" s="214" t="str">
        <f>VLOOKUP(A21,'Uncorrected Area Counts'!$A$1:$AS$27,4,FALSE)</f>
        <v/>
      </c>
      <c r="ER21" s="214" t="str">
        <f>VLOOKUP(A21,'Uncorrected Area Counts'!$A$1:$AS$27,5,FALSE)</f>
        <v/>
      </c>
      <c r="ES21" s="214">
        <f>VLOOKUP(20,'Plate Planning'!$A$1:$T$35,15,FALSE)</f>
        <v>0</v>
      </c>
      <c r="ET21" s="214">
        <f>VLOOKUP(A21,'Uncorrected Area Counts'!$A$1:$AS$27,7,FALSE)</f>
        <v>0</v>
      </c>
      <c r="EU21" s="214" t="e">
        <f>VLOOKUP(A21,'Uncorrected Area Counts'!$A$1:$AS$27,7,FALSE)/VLOOKUP(A21,'Uncorrected Area Counts'!$A$1:$AS$27,3,FALSE)</f>
        <v>#DIV/0!</v>
      </c>
      <c r="EV21" s="214" t="str">
        <f>IFERROR(VLOOKUP(A21,'Yields &amp; LCAPs'!$A$1:$V$27,3,FALSE), "NULL")</f>
        <v>NULL</v>
      </c>
      <c r="EW21" s="284" t="str">
        <f>IFERROR(VLOOKUP(A21,'Yields &amp; LCAPs'!$A$1:$V$27,4,FALSE), "NULL")</f>
        <v>NULL</v>
      </c>
      <c r="EX21" s="214" t="str">
        <f>VLOOKUP(A21,'Uncorrected Area Counts'!$A$1:$AS$27,8,FALSE)</f>
        <v/>
      </c>
      <c r="EY21" s="214" t="str">
        <f>VLOOKUP(A21,'Uncorrected Area Counts'!$A$1:$AS$27,9,FALSE)</f>
        <v/>
      </c>
      <c r="EZ21" s="214">
        <f>VLOOKUP(22,'Plate Planning'!$A$1:$T$35,15,FALSE)</f>
        <v>0</v>
      </c>
      <c r="FA21" s="214">
        <f>VLOOKUP(A21,'Uncorrected Area Counts'!$A$1:$AS$27,11,FALSE)</f>
        <v>0</v>
      </c>
      <c r="FB21" s="214" t="e">
        <f>VLOOKUP(A21,'Uncorrected Area Counts'!$A$1:$AS$27,11,FALSE)/VLOOKUP(A21,'Uncorrected Area Counts'!$A$1:$AS$27,3,FALSE)</f>
        <v>#DIV/0!</v>
      </c>
      <c r="FC21" s="214" t="str">
        <f>IFERROR(VLOOKUP(A21,'Yields &amp; LCAPs'!$A$1:$V$27,5,FALSE), "NULL")</f>
        <v>NULL</v>
      </c>
      <c r="FD21" s="284" t="str">
        <f>IFERROR(VLOOKUP(A21,'Yields &amp; LCAPs'!$A$1:$V$27,6,FALSE), "NULL")</f>
        <v>NULL</v>
      </c>
      <c r="FE21" s="214" t="str">
        <f>VLOOKUP(A21,'Uncorrected Area Counts'!$A$1:$AS$27,12,FALSE)</f>
        <v/>
      </c>
      <c r="FF21" s="214" t="str">
        <f>VLOOKUP(A21,'Uncorrected Area Counts'!$A$1:$AS$27,13,FALSE)</f>
        <v/>
      </c>
      <c r="FG21" s="214">
        <f>VLOOKUP(24,'Plate Planning'!$A$1:$T$35,15,FALSE)</f>
        <v>0</v>
      </c>
      <c r="FH21" s="214">
        <f>VLOOKUP(A21,'Uncorrected Area Counts'!$A$1:$AS$27,15,FALSE)</f>
        <v>0</v>
      </c>
      <c r="FI21" s="214" t="e">
        <f>VLOOKUP(A21,'Uncorrected Area Counts'!$A$1:$AS$27,15,FALSE)/VLOOKUP(A21,'Uncorrected Area Counts'!$A$1:$AS$27,3,FALSE)</f>
        <v>#DIV/0!</v>
      </c>
      <c r="FJ21" s="214" t="str">
        <f>IFERROR(VLOOKUP(A21,'Yields &amp; LCAPs'!$A$1:$V$27,7,FALSE), "NULL")</f>
        <v>NULL</v>
      </c>
      <c r="FK21" s="284" t="str">
        <f>IFERROR(VLOOKUP(A21,'Yields &amp; LCAPs'!$A$1:$V$27,8,FALSE), "NULL")</f>
        <v>NULL</v>
      </c>
      <c r="FL21" s="214" t="str">
        <f>VLOOKUP(A21,'Uncorrected Area Counts'!$A$1:$AS$27,16,FALSE)</f>
        <v/>
      </c>
      <c r="FM21" s="214" t="str">
        <f>VLOOKUP(A21,'Uncorrected Area Counts'!$A$1:$AS$27,17,FALSE)</f>
        <v/>
      </c>
      <c r="FN21" s="214">
        <f>VLOOKUP(26,'Plate Planning'!$A$1:$T$35,15,FALSE)</f>
        <v>0</v>
      </c>
      <c r="FO21" s="214">
        <f>VLOOKUP(A21,'Uncorrected Area Counts'!$A$1:$AS$27,19,FALSE)</f>
        <v>0</v>
      </c>
      <c r="FP21" s="214" t="e">
        <f>VLOOKUP(A21,'Uncorrected Area Counts'!$A$1:$AS$27,19,FALSE)/VLOOKUP(A21,'Uncorrected Area Counts'!$A$1:$AS$27,3,FALSE)</f>
        <v>#DIV/0!</v>
      </c>
      <c r="FQ21" s="214" t="str">
        <f>IFERROR(VLOOKUP(A21,'Yields &amp; LCAPs'!$A$1:$V$27,9,FALSE), "NULL")</f>
        <v>NULL</v>
      </c>
      <c r="FR21" s="284" t="str">
        <f>IFERROR(VLOOKUP(A21,'Yields &amp; LCAPs'!$A$1:$V$27,10,FALSE), "NULL")</f>
        <v>NULL</v>
      </c>
      <c r="FS21" s="214" t="str">
        <f>VLOOKUP(A21,'Uncorrected Area Counts'!$A$1:$AS$27,20,FALSE)</f>
        <v/>
      </c>
      <c r="FT21" s="214" t="str">
        <f>VLOOKUP(A21,'Uncorrected Area Counts'!$A$1:$AS$27,21,FALSE)</f>
        <v/>
      </c>
      <c r="FU21" s="214">
        <f>VLOOKUP(27,'Plate Planning'!$A$1:$T$35,15,FALSE)</f>
        <v>0</v>
      </c>
      <c r="FV21" s="214">
        <f>VLOOKUP(A21,'Uncorrected Area Counts'!$A$1:$AS$27,23,FALSE)</f>
        <v>0</v>
      </c>
      <c r="FW21" s="214" t="e">
        <f>VLOOKUP(A21,'Uncorrected Area Counts'!$A$1:$AS$27,23,FALSE)/VLOOKUP(A21,'Uncorrected Area Counts'!$A$1:$AS$27,3,FALSE)</f>
        <v>#DIV/0!</v>
      </c>
      <c r="FX21" s="214" t="str">
        <f>IFERROR(VLOOKUP(A21,'Yields &amp; LCAPs'!$A$1:$V$27,11,FALSE), "NULL")</f>
        <v>NULL</v>
      </c>
      <c r="FY21" s="284" t="str">
        <f>IFERROR(VLOOKUP(A21,'Yields &amp; LCAPs'!$A$1:$V$27,12,FALSE), "NULL")</f>
        <v>NULL</v>
      </c>
      <c r="FZ21" s="411" t="str">
        <f>VLOOKUP(A21,'Uncorrected Area Counts'!$A$1:$AS$27,24,FALSE)</f>
        <v/>
      </c>
      <c r="GA21" s="214" t="str">
        <f>VLOOKUP(A21,'Uncorrected Area Counts'!$A$1:$AS$27,25,FALSE)</f>
        <v/>
      </c>
      <c r="GB21" s="214">
        <f>VLOOKUP(28,'Plate Planning'!$A$1:$T$35,15,FALSE)</f>
        <v>0</v>
      </c>
      <c r="GC21" s="214">
        <f>VLOOKUP(A21,'Uncorrected Area Counts'!$A$1:$AS$27,27,FALSE)</f>
        <v>0</v>
      </c>
      <c r="GD21" s="214" t="e">
        <f>VLOOKUP(A21,'Uncorrected Area Counts'!$A$1:$AS$27,27,FALSE)/VLOOKUP(A21,'Uncorrected Area Counts'!$A$1:$AS$27,3,FALSE)</f>
        <v>#DIV/0!</v>
      </c>
      <c r="GE21" s="214" t="str">
        <f>IFERROR(VLOOKUP(A21,'Yields &amp; LCAPs'!$A$1:$V$27,13,FALSE), "NULL")</f>
        <v>NULL</v>
      </c>
      <c r="GF21" s="284" t="str">
        <f>IFERROR(VLOOKUP(A21,'Yields &amp; LCAPs'!$A$1:$V$27,14,FALSE), "NULL")</f>
        <v>NULL</v>
      </c>
      <c r="GG21" s="214" t="str">
        <f>VLOOKUP(A21,'Uncorrected Area Counts'!$A$1:$AS$27,28,FALSE)</f>
        <v/>
      </c>
      <c r="GH21" s="214" t="str">
        <f>VLOOKUP(A21,'Uncorrected Area Counts'!$A$1:$AS$27,29,FALSE)</f>
        <v/>
      </c>
      <c r="GI21" s="214">
        <f>VLOOKUP(29,'Plate Planning'!$A$1:$T$35,15,FALSE)</f>
        <v>0</v>
      </c>
      <c r="GJ21" s="214">
        <f>VLOOKUP(A21,'Uncorrected Area Counts'!$A$1:$AS$27,31,FALSE)</f>
        <v>0</v>
      </c>
      <c r="GK21" s="214" t="e">
        <f>VLOOKUP(A21,'Uncorrected Area Counts'!$A$1:$AS$27,31,FALSE)/VLOOKUP(A21,'Uncorrected Area Counts'!$A$1:$AS$27,3,FALSE)</f>
        <v>#DIV/0!</v>
      </c>
      <c r="GL21" s="214" t="str">
        <f>IFERROR(VLOOKUP(A21,'Yields &amp; LCAPs'!$A$1:$V$27,15,FALSE), "NULL")</f>
        <v>NULL</v>
      </c>
      <c r="GM21" s="284" t="str">
        <f>IFERROR(VLOOKUP(A21,'Yields &amp; LCAPs'!$A$1:$V$27,16,FALSE), "NULL")</f>
        <v>NULL</v>
      </c>
      <c r="GN21" s="214" t="str">
        <f>VLOOKUP(A21,'Uncorrected Area Counts'!$A$1:$AS$27,32,FALSE)</f>
        <v/>
      </c>
      <c r="GO21" s="214" t="str">
        <f>VLOOKUP(A21,'Uncorrected Area Counts'!$A$1:$AS$27,33,FALSE)</f>
        <v/>
      </c>
      <c r="GP21" s="214">
        <f>VLOOKUP(30,'Plate Planning'!$A$1:$T$35,15,FALSE)</f>
        <v>0</v>
      </c>
      <c r="GQ21" s="214">
        <f>VLOOKUP(A21,'Uncorrected Area Counts'!$A$1:$AS$27,35,FALSE)</f>
        <v>0</v>
      </c>
      <c r="GR21" s="214" t="e">
        <f>VLOOKUP(A21,'Uncorrected Area Counts'!$A$1:$AS$27,35,FALSE)/VLOOKUP(A21,'Uncorrected Area Counts'!$A$1:$AS$27,3,FALSE)</f>
        <v>#DIV/0!</v>
      </c>
      <c r="GS21" s="214" t="str">
        <f>IFERROR(VLOOKUP(A21,'Yields &amp; LCAPs'!$A$1:$V$27,17,FALSE), "NULL")</f>
        <v>NULL</v>
      </c>
      <c r="GT21" s="284" t="str">
        <f>IFERROR(VLOOKUP(A21,'Yields &amp; LCAPs'!$A$1:$V$27,18,FALSE), "NULL")</f>
        <v>NULL</v>
      </c>
      <c r="GU21" s="214" t="str">
        <f>VLOOKUP(A21,'Uncorrected Area Counts'!$A$1:$AS$27,36,FALSE)</f>
        <v/>
      </c>
      <c r="GV21" s="214" t="str">
        <f>VLOOKUP(A21,'Uncorrected Area Counts'!$A$1:$AS$27,37,FALSE)</f>
        <v/>
      </c>
      <c r="GW21" s="214">
        <f>VLOOKUP(31,'Plate Planning'!$A$1:$T$35,15,FALSE)</f>
        <v>0</v>
      </c>
      <c r="GX21" s="214">
        <f>VLOOKUP(A21,'Uncorrected Area Counts'!$A$1:$AS$27,39,FALSE)</f>
        <v>0</v>
      </c>
      <c r="GY21" s="214" t="e">
        <f>VLOOKUP(A21,'Uncorrected Area Counts'!$A$1:$AS$27,39,FALSE)/VLOOKUP(A21,'Uncorrected Area Counts'!$A$1:$AS$27,3,FALSE)</f>
        <v>#DIV/0!</v>
      </c>
      <c r="GZ21" s="214" t="str">
        <f>IFERROR(VLOOKUP(A21,'Yields &amp; LCAPs'!$A$1:$V$27,19,FALSE), "NULL")</f>
        <v>NULL</v>
      </c>
      <c r="HA21" s="284" t="str">
        <f>IFERROR(VLOOKUP(A21,'Yields &amp; LCAPs'!$A$1:$V$27,20,FALSE), "NULL")</f>
        <v>NULL</v>
      </c>
      <c r="HB21" s="214" t="str">
        <f>VLOOKUP(A21,'Uncorrected Area Counts'!$A$1:$AS$27,40,FALSE)</f>
        <v/>
      </c>
      <c r="HC21" s="214" t="str">
        <f>VLOOKUP(A21,'Uncorrected Area Counts'!$A$1:$AS$27,41,FALSE)</f>
        <v/>
      </c>
      <c r="HD21" s="214">
        <f>VLOOKUP(32,'Plate Planning'!$A$1:$T$35,15,FALSE)</f>
        <v>0</v>
      </c>
      <c r="HE21" s="214">
        <f>VLOOKUP(A21,'Uncorrected Area Counts'!$A$1:$AS$27,43,FALSE)</f>
        <v>0</v>
      </c>
      <c r="HF21" s="214" t="e">
        <f>VLOOKUP(A21,'Uncorrected Area Counts'!$A$1:$AS$27,43,FALSE)/VLOOKUP(A21,'Uncorrected Area Counts'!$A$1:$AS$27,3,FALSE)</f>
        <v>#DIV/0!</v>
      </c>
      <c r="HG21" s="214" t="str">
        <f>IFERROR(VLOOKUP(A21,'Yields &amp; LCAPs'!$A$1:$V$27,21,FALSE), "NULL")</f>
        <v>NULL</v>
      </c>
      <c r="HH21" s="284" t="str">
        <f>IFERROR(VLOOKUP(A21,'Yields &amp; LCAPs'!$A$1:$V$27,22,FALSE), "NULL")</f>
        <v>NULL</v>
      </c>
      <c r="HI21" s="362"/>
      <c r="HJ21" s="362"/>
      <c r="HK21" s="362"/>
      <c r="HL21" s="362"/>
      <c r="HM21" s="363"/>
      <c r="HN21" s="362"/>
      <c r="HO21" s="362"/>
      <c r="HP21" s="362"/>
      <c r="HQ21" s="362"/>
      <c r="HR21" s="363"/>
    </row>
    <row r="22" spans="1:226">
      <c r="A22" s="216" t="s">
        <v>1199</v>
      </c>
      <c r="B22" s="214">
        <v>3</v>
      </c>
      <c r="C22" s="214">
        <v>4</v>
      </c>
      <c r="D22" s="214" t="str">
        <f>VLOOKUP(18,'Plate Planning'!$A$1:$T$35,10,FALSE)&amp;"_"&amp;VLOOKUP(19,'Plate Planning'!$A$1:$T$35,10,FALSE)&amp;"_"&amp;A22</f>
        <v>__D3</v>
      </c>
      <c r="E22" s="214" t="str">
        <f>IF(VLOOKUP(18,'Plate Planning'!$A$1:$T$35,10,FALSE)="", "NULL", VLOOKUP(18,'Plate Planning'!$A$1:$T$35,10,FALSE))</f>
        <v>NULL</v>
      </c>
      <c r="F22" s="214" t="str">
        <f>IF(VLOOKUP(19,'Plate Planning'!$A$1:$T$35,10,FALSE)="", "NULL", VLOOKUP(19,'Plate Planning'!$A$1:$T$35,10,FALSE))</f>
        <v>NULL</v>
      </c>
      <c r="G22" s="214" t="str">
        <f>IF(VLOOKUP(20,'Plate Planning'!$A$1:$T$35,10,FALSE)="", "NULL", VLOOKUP(20,'Plate Planning'!$A$1:$T$35,10,FALSE))</f>
        <v>NULL</v>
      </c>
      <c r="H22" s="214" t="str">
        <f>IF(VLOOKUP(21,'Plate Planning'!$A$1:$T$35,10,FALSE)="", "NULL", VLOOKUP(21,'Plate Planning'!$A$1:$T$35,10,FALSE))</f>
        <v>NULL</v>
      </c>
      <c r="I22" s="214" t="str">
        <f>IF(VLOOKUP(23,'Plate Planning'!$A$1:$T$35,10,FALSE)="", "NULL", VLOOKUP(23,'Plate Planning'!$A$1:$T$35,10,FALSE))</f>
        <v>NULL</v>
      </c>
      <c r="J22" s="214" t="str">
        <f>IF(VLOOKUP(22,'Plate Planning'!$A$1:$T$35,10,FALSE)="", "NULL", VLOOKUP(22,'Plate Planning'!$A$1:$T$35,10,FALSE))</f>
        <v>NULL</v>
      </c>
      <c r="K22" s="214" t="str">
        <f>VLOOKUP(24,'Plate Planning'!$A$1:$T$35,10,FALSE)</f>
        <v>Glovebox</v>
      </c>
      <c r="L22" s="214" t="str">
        <f>IF(VLOOKUP(25,'Plate Planning'!$A$1:$T$35,10,FALSE)="","NULL",VLOOKUP(25,'Plate Planning'!$A$1:$T$35,10,FALSE))</f>
        <v>NULL</v>
      </c>
      <c r="M22" s="214" t="str">
        <f>VLOOKUP(26,'Plate Planning'!$A$1:$T$35,10,FALSE)</f>
        <v>ambient</v>
      </c>
      <c r="N22" s="214" t="str">
        <f>IF(VLOOKUP(27,'Plate Planning'!$A$1:$T$35,10,FALSE)=0,"NULL", VLOOKUP(27,'Plate Planning'!$A$1:$T$35,10,FALSE))</f>
        <v>NULL</v>
      </c>
      <c r="O22" s="214" t="str">
        <f>IF(VLOOKUP(3,'Plate Planning'!$A$2:$S$35,18,FALSE)="", "NULL", VLOOKUP(3,'Plate Planning'!$A$2:$S$35,18,FALSE))</f>
        <v>NULL</v>
      </c>
      <c r="P22" s="214" t="str">
        <f>IF(VLOOKUP(4,'Plate Planning'!$A$2:$S$35,18,FALSE)="", "NULL", VLOOKUP(4,'Plate Planning'!$A$2:$S$35,18,FALSE))</f>
        <v>NULL</v>
      </c>
      <c r="Q22" s="214" t="str">
        <f>IF(VLOOKUP(5,'Plate Planning'!$A$2:$S$35,18,FALSE)="", "NULL", VLOOKUP(5,'Plate Planning'!$A$2:$S$35,18,FALSE))</f>
        <v>NULL</v>
      </c>
      <c r="R22" s="214" t="str">
        <f>IF(VLOOKUP(6,'Plate Planning'!$A$2:$S$35,18,FALSE)="", "NULL", VLOOKUP(6,'Plate Planning'!$A$2:$S$35,18,FALSE))</f>
        <v>NULL</v>
      </c>
      <c r="S22" s="214" t="str">
        <f>IF(VLOOKUP(7,'Plate Planning'!$A$2:$S$35,18,FALSE)="", "NULL", VLOOKUP(7,'Plate Planning'!$A$2:$S$35,18,FALSE))</f>
        <v>NULL</v>
      </c>
      <c r="T22" s="214" t="str">
        <f>IF(VLOOKUP(28,'Plate Planning'!$A$1:$T$35,10,FALSE)=0,"NULL",VLOOKUP(28,'Plate Planning'!$A$1:$T$35,10,FALSE))</f>
        <v>NULL</v>
      </c>
      <c r="U22" s="214" t="str">
        <f>IFERROR(VLOOKUP(VLOOKUP(28,'Plate Planning'!$A$1:$T$35,10,FALSE),Dictionaries!$Q$2:$R$72,2,FALSE), "NULL")</f>
        <v>NULL</v>
      </c>
      <c r="V22" s="214" t="str">
        <f>IF(VLOOKUP(28,'Plate Planning'!$A$1:$T$35,10,FALSE)=0,"NULL",VLOOKUP(32,'Plate Planning'!$A$1:$T$35,10,FALSE))</f>
        <v>NULL</v>
      </c>
      <c r="W22" s="214" t="str">
        <f>IF(VLOOKUP(C22+3,'Plate Planning'!$A$1:$S$35,B22+4,FALSE)=0, "", VLOOKUP(C22+3,'Plate Planning'!$A$1:$S$35,B22+4,FALSE))</f>
        <v/>
      </c>
      <c r="X22" s="214" t="str">
        <f>IFERROR(VLOOKUP(W22,'Complex Variable'!$A$2:$S$25,2,FALSE), "")</f>
        <v/>
      </c>
      <c r="Y22" s="327" t="str">
        <f>IFERROR(VLOOKUP(W22,'Complex Variable'!$A$2:$S$25,3,FALSE), "")</f>
        <v/>
      </c>
      <c r="Z22" s="327" t="str">
        <f>IFERROR(VLOOKUP(W22,'Complex Variable'!$A$2:$S$25,5,FALSE), "")</f>
        <v/>
      </c>
      <c r="AA22" s="327" t="str">
        <f>IFERROR(VLOOKUP(W22,'Complex Variable'!$A$2:$S$25,14,FALSE), "")</f>
        <v/>
      </c>
      <c r="AB22" s="602" t="str">
        <f>IFERROR(VLOOKUP(W22,'Complex Variable'!$A$2:$S$25,19,FALSE), "")</f>
        <v/>
      </c>
      <c r="AC22" s="327" t="str">
        <f>IFERROR(VLOOKUP(W22,'Complex Variable'!$A$2:$S$25,13,FALSE), "")</f>
        <v/>
      </c>
      <c r="AD22" s="604" t="str">
        <f t="shared" si="0"/>
        <v/>
      </c>
      <c r="AE22" s="214">
        <f>VLOOKUP(1,Reagents!$B$1:$M$41,2,FALSE)</f>
        <v>0</v>
      </c>
      <c r="AF22" s="214">
        <f>VLOOKUP(1,Reagents!$B$1:$M$41,3,FALSE)</f>
        <v>0</v>
      </c>
      <c r="AG22" s="214" t="str">
        <f>IF(VLOOKUP(1,Reagents!$B$1:$M$41,5,FALSE)=0, "NULL", VLOOKUP(1,Reagents!$B$1:$M$41,5,FALSE))</f>
        <v>NULL</v>
      </c>
      <c r="AH22" s="214" t="str">
        <f>IF(OR(Reagents!$Q$2="Stock slurry",Reagents!$Q$2="Stock solution"),VLOOKUP(1,Reagents!$B$1:$R$41,13,FALSE), "NULL")</f>
        <v/>
      </c>
      <c r="AI22" s="362" t="str">
        <f>IF(OR(Reagents!$Q$2="Stock slurry",Reagents!$Q$2="Stock solution"),VLOOKUP(1,Reagents!$B$1:$R$41,14,FALSE), VLOOKUP(1,Reagents!$B$1:$R$41,11,FALSE))</f>
        <v/>
      </c>
      <c r="AJ22" s="214">
        <f>VLOOKUP(1,Reagents!$B$1:$R$41,17,FALSE)</f>
        <v>0</v>
      </c>
      <c r="AK22" s="284" t="e">
        <f>IF(OR(VLOOKUP(1,Reagents!$B$1:$M$41,4,FALSE)="solvent_2",VLOOKUP(1,Reagents!$B$1:$M$41,4,FALSE)="solvent_3"),VLOOKUP(1,Reagents!$B$1:$M$41,12,FALSE),IF(OR(Reagents!$Q$2="Stock slurry",Reagents!$Q$2="Stock solution"),AI22*AH22, AI22/VLOOKUP(1,Reagents!$B$1:$R$41,6,FALSE)*1000))</f>
        <v>#VALUE!</v>
      </c>
      <c r="AL22" s="214">
        <f>VLOOKUP(2,Reagents!$B$1:$M$41,2,FALSE)</f>
        <v>0</v>
      </c>
      <c r="AM22" s="214">
        <f>VLOOKUP(2,Reagents!$B$1:$M$41,3,FALSE)</f>
        <v>0</v>
      </c>
      <c r="AN22" s="214" t="str">
        <f>IF(VLOOKUP(2,Reagents!$B$1:$M$41,5,FALSE)=0, "NULL", VLOOKUP(2,Reagents!$B$1:$M$41,5,FALSE))</f>
        <v>NULL</v>
      </c>
      <c r="AO22" s="214" t="str">
        <f>IF(OR(Reagents!$Q$3="Stock slurry",Reagents!$Q$3="Stock solution"),VLOOKUP(2,Reagents!$B$1:$R$41,13,FALSE), "NULL")</f>
        <v/>
      </c>
      <c r="AP22" s="362" t="str">
        <f>IF(OR(Reagents!$Q$3="Stock slurry",Reagents!$Q$3="Stock solution"),VLOOKUP(2,Reagents!$B$1:$R$41,14,FALSE), VLOOKUP(2,Reagents!$B$1:$R$41,11,FALSE))</f>
        <v/>
      </c>
      <c r="AQ22" s="214">
        <f>VLOOKUP(2,Reagents!$B$1:$R$41,17,FALSE)</f>
        <v>0</v>
      </c>
      <c r="AR22" s="284" t="e">
        <f>IF(OR(VLOOKUP(2,Reagents!$B$1:$M$41,4,FALSE)="solvent_2",VLOOKUP(2,Reagents!$B$1:$M$41,4,FALSE)="solvent_3"),VLOOKUP(2,Reagents!$B$1:$M$41,12,FALSE),IF(OR(Reagents!$Q$3="Stock slurry",Reagents!$Q$3="Stock solution"),AP22*AO22, AP22/VLOOKUP(2,Reagents!$B$1:$R$41,6,FALSE)*1000))</f>
        <v>#VALUE!</v>
      </c>
      <c r="AS22" s="214">
        <f>VLOOKUP(3,Reagents!$B$1:$M$41,2,FALSE)</f>
        <v>0</v>
      </c>
      <c r="AT22" s="214">
        <f>VLOOKUP(3,Reagents!$B$1:$M$41,3,FALSE)</f>
        <v>0</v>
      </c>
      <c r="AU22" s="214" t="str">
        <f>IF(VLOOKUP(3,Reagents!$B$1:$M$41,5,FALSE)=0, "NULL", VLOOKUP(3,Reagents!$B$1:$M$41,5,FALSE))</f>
        <v>NULL</v>
      </c>
      <c r="AV22" s="214" t="str">
        <f>IF(OR(Reagents!$Q$4="Stock slurry",Reagents!$Q$4="Stock solution"),VLOOKUP(3,Reagents!$B$1:$R$41,13,FALSE), "NULL")</f>
        <v/>
      </c>
      <c r="AW22" s="362" t="str">
        <f>IF(OR(Reagents!$Q$4="Stock slurry",Reagents!$Q$4="Stock solution"),VLOOKUP(3,Reagents!$B$1:$R$41,14,FALSE), VLOOKUP(3,Reagents!$B$1:$R$41,11,FALSE))</f>
        <v/>
      </c>
      <c r="AX22" s="214">
        <f>VLOOKUP(3,Reagents!$B$1:$R$41,17,FALSE)</f>
        <v>0</v>
      </c>
      <c r="AY22" s="284" t="e">
        <f>IF(OR(VLOOKUP(3,Reagents!$B$1:$M$41,4,FALSE)="solvent_2",VLOOKUP(3,Reagents!$B$1:$M$41,4,FALSE)="solvent_3"),VLOOKUP(3,Reagents!$B$1:$M$41,12,FALSE),IF(OR(Reagents!$Q$4="Stock slurry",Reagents!$Q$4="Stock solution"),AW22*AV22, AW22/VLOOKUP(3,Reagents!$B$1:$R$41,6,FALSE)*1000))</f>
        <v>#VALUE!</v>
      </c>
      <c r="AZ22" s="214">
        <f>VLOOKUP(4,Reagents!$B$1:$M$41,2,FALSE)</f>
        <v>0</v>
      </c>
      <c r="BA22" s="214">
        <f>VLOOKUP(4,Reagents!$B$1:$M$41,3,FALSE)</f>
        <v>0</v>
      </c>
      <c r="BB22" s="214" t="str">
        <f>IF(VLOOKUP(4,Reagents!$B$1:$M$41,5,FALSE)=0, "NULL", VLOOKUP(4,Reagents!$B$1:$M$41,5,FALSE))</f>
        <v>NULL</v>
      </c>
      <c r="BC22" s="214" t="str">
        <f>IF(OR(Reagents!$Q$5="Stock slurry",Reagents!$Q$5="Stock solution"),VLOOKUP(4,Reagents!$B$1:$R$41,13,FALSE), "NULL")</f>
        <v/>
      </c>
      <c r="BD22" s="362" t="str">
        <f>IF(OR(Reagents!$Q$5="Stock slurry",Reagents!$Q$5="Stock solution"),VLOOKUP(4,Reagents!$B$1:$R$41,14,FALSE), VLOOKUP(4,Reagents!$B$1:$R$41,11,FALSE))</f>
        <v/>
      </c>
      <c r="BE22" s="214">
        <f>VLOOKUP(4,Reagents!$B$1:$R$41,17,FALSE)</f>
        <v>0</v>
      </c>
      <c r="BF22" s="284" t="e">
        <f>IF(OR(VLOOKUP(4,Reagents!$B$1:$M$41,4,FALSE)="solvent_2",VLOOKUP(4,Reagents!$B$1:$M$41,4,FALSE)="solvent_3"),VLOOKUP(4,Reagents!$B$1:$M$41,12,FALSE),IF(OR(Reagents!$Q$5="Stock slurry",Reagents!$Q$5="Stock solution"),BD22*BC22, BD22/VLOOKUP(4,Reagents!$B$1:$R$41,6,FALSE)*1000))</f>
        <v>#VALUE!</v>
      </c>
      <c r="BG22" s="214">
        <f>VLOOKUP(5,Reagents!$B$1:$M$41,2,FALSE)</f>
        <v>0</v>
      </c>
      <c r="BH22" s="214">
        <f>VLOOKUP(5,Reagents!$B$1:$M$41,3,FALSE)</f>
        <v>0</v>
      </c>
      <c r="BI22" s="214" t="str">
        <f>IF(VLOOKUP(5,Reagents!$B$1:$M$41,5,FALSE)=0, "NULL", VLOOKUP(5,Reagents!$B$1:$M$41,5,FALSE))</f>
        <v>NULL</v>
      </c>
      <c r="BJ22" s="214" t="str">
        <f>IF(OR(Reagents!$Q$6="Stock slurry",Reagents!$Q$6="Stock solution"),VLOOKUP(5,Reagents!$B$1:$R$41,13,FALSE), "NULL")</f>
        <v/>
      </c>
      <c r="BK22" s="362" t="str">
        <f>IF(OR(Reagents!$Q$6="Stock slurry",Reagents!$Q$6="Stock solution"),VLOOKUP(5,Reagents!$B$1:$R$41,14,FALSE), VLOOKUP(5,Reagents!$B$1:$R$41,11,FALSE))</f>
        <v/>
      </c>
      <c r="BL22" s="214">
        <f>VLOOKUP(5,Reagents!$B$1:$R$41,17,FALSE)</f>
        <v>0</v>
      </c>
      <c r="BM22" s="284" t="e">
        <f>IF(OR(VLOOKUP(5,Reagents!$B$1:$M$41,4,FALSE)="solvent_2",VLOOKUP(5,Reagents!$B$1:$M$41,4,FALSE)="solvent_3"),VLOOKUP(5,Reagents!$B$1:$M$41,12,FALSE),IF(OR(Reagents!$Q$6="Stock slurry",Reagents!$Q$6="Stock solution"),BK22*BJ22, BK22/VLOOKUP(5,Reagents!$B$1:$R$41,6,FALSE)*1000))</f>
        <v>#VALUE!</v>
      </c>
      <c r="BN22" s="214">
        <f>VLOOKUP(6,Reagents!$B$1:$M$41,2,FALSE)</f>
        <v>0</v>
      </c>
      <c r="BO22" s="214">
        <f>VLOOKUP(6,Reagents!$B$1:$M$41,3,FALSE)</f>
        <v>0</v>
      </c>
      <c r="BP22" s="214" t="str">
        <f>IF(VLOOKUP(6,Reagents!$B$1:$M$41,5,FALSE)=0, "NULL", VLOOKUP(6,Reagents!$B$1:$M$41,5,FALSE))</f>
        <v>NULL</v>
      </c>
      <c r="BQ22" s="214" t="str">
        <f>IF(OR(Reagents!$Q$7="Stock slurry",Reagents!$Q$7="Stock solution"),VLOOKUP(6,Reagents!$B$1:$R$41,13,FALSE), "NULL")</f>
        <v/>
      </c>
      <c r="BR22" s="362" t="str">
        <f>IF(OR(Reagents!$Q$7="Stock slurry",Reagents!$Q$7="Stock solution"),VLOOKUP(6,Reagents!$B$1:$R$41,14,FALSE), VLOOKUP(6,Reagents!$B$1:$R$41,11,FALSE))</f>
        <v/>
      </c>
      <c r="BS22" s="214">
        <f>VLOOKUP(6,Reagents!$B$1:$R$41,17,FALSE)</f>
        <v>0</v>
      </c>
      <c r="BT22" s="284" t="e">
        <f>IF(OR(VLOOKUP(6,Reagents!$B$1:$M$41,4,FALSE)="solvent_2",VLOOKUP(6,Reagents!$B$1:$M$41,4,FALSE)="solvent_3"),VLOOKUP(6,Reagents!$B$1:$M$41,12,FALSE),IF(OR(Reagents!$Q$7="Stock slurry",Reagents!$Q$7="Stock solution"),BR22*BQ22, BR22/VLOOKUP(6,Reagents!$B$1:$R$41,6,FALSE)*1000))</f>
        <v>#VALUE!</v>
      </c>
      <c r="BU22" s="214">
        <f>VLOOKUP(7,Reagents!$B$1:$M$41,2,FALSE)</f>
        <v>0</v>
      </c>
      <c r="BV22" s="214">
        <f>VLOOKUP(7,Reagents!$B$1:$M$41,3,FALSE)</f>
        <v>0</v>
      </c>
      <c r="BW22" s="214" t="str">
        <f>IF(VLOOKUP(7,Reagents!$B$1:$M$41,5,FALSE)=0, "NULL", VLOOKUP(7,Reagents!$B$1:$M$41,5,FALSE))</f>
        <v>NULL</v>
      </c>
      <c r="BX22" s="214" t="str">
        <f>IF(OR(Reagents!$Q$8="Stock slurry",Reagents!$Q$8="Stock solution"),VLOOKUP(7,Reagents!$B$1:$R$41,13,FALSE), "NULL")</f>
        <v/>
      </c>
      <c r="BY22" s="362" t="str">
        <f>IF(OR(Reagents!$Q$8="Stock slurry",Reagents!$Q$8="Stock solution"),VLOOKUP(7,Reagents!$B$1:$R$41,14,FALSE), VLOOKUP(7,Reagents!$B$1:$R$41,11,FALSE))</f>
        <v/>
      </c>
      <c r="BZ22" s="214">
        <f>VLOOKUP(7,Reagents!$B$1:$R$41,17,FALSE)</f>
        <v>0</v>
      </c>
      <c r="CA22" s="284" t="e">
        <f>IF(OR(VLOOKUP(7,Reagents!$B$1:$M$41,4,FALSE)="solvent_2",VLOOKUP(7,Reagents!$B$1:$M$41,4,FALSE)="solvent_3"),VLOOKUP(7,Reagents!$B$1:$M$41,12,FALSE),IF(OR(Reagents!$Q$8="Stock slurry",Reagents!$Q$8="Stock solution"),BY22*BX22, BY22/VLOOKUP(7,Reagents!$B$1:$R$41,6,FALSE)*1000))</f>
        <v>#VALUE!</v>
      </c>
      <c r="CB22" s="214">
        <f>VLOOKUP(8,Reagents!$B$1:$M$41,2,FALSE)</f>
        <v>0</v>
      </c>
      <c r="CC22" s="214">
        <f>VLOOKUP(8,Reagents!$B$1:$M$41,3,FALSE)</f>
        <v>0</v>
      </c>
      <c r="CD22" s="214" t="str">
        <f>IF(VLOOKUP(8,Reagents!$B$1:$M$41,5,FALSE)=0, "NULL", VLOOKUP(8,Reagents!$B$1:$M$41,5,FALSE))</f>
        <v>NULL</v>
      </c>
      <c r="CE22" s="214" t="str">
        <f>IF(OR(Reagents!$Q$9="Stock slurry",Reagents!$Q$9="Stock solution"),VLOOKUP(8,Reagents!$B$1:$R$41,13,FALSE), "NULL")</f>
        <v/>
      </c>
      <c r="CF22" s="362" t="str">
        <f>IF(OR(Reagents!$Q$9="Stock slurry",Reagents!$Q$9="Stock solution"),VLOOKUP(8,Reagents!$B$1:$R$41,14,FALSE), VLOOKUP(8,Reagents!$B$1:$R$41,11,FALSE))</f>
        <v/>
      </c>
      <c r="CG22" s="214">
        <f>VLOOKUP(8,Reagents!$B$1:$R$41,17,FALSE)</f>
        <v>0</v>
      </c>
      <c r="CH22" s="284" t="e">
        <f>IF(OR(VLOOKUP(8,Reagents!$B$1:$M$41,4,FALSE)="solvent_2",VLOOKUP(8,Reagents!$B$1:$M$41,4,FALSE)="solvent_3"),VLOOKUP(8,Reagents!$B$1:$M$41,12,FALSE),IF(OR(Reagents!$Q$9="Stock slurry",Reagents!$Q$9="Stock solution"),CF22*CE22, CF22/VLOOKUP(8,Reagents!$B$1:$R$41,6,FALSE)*1000))</f>
        <v>#VALUE!</v>
      </c>
      <c r="CI22" s="214">
        <f>VLOOKUP(9,Reagents!$B$1:$M$41,2,FALSE)</f>
        <v>0</v>
      </c>
      <c r="CJ22" s="214">
        <f>VLOOKUP(9,Reagents!$B$1:$M$41,3,FALSE)</f>
        <v>0</v>
      </c>
      <c r="CK22" s="214" t="str">
        <f>IF(VLOOKUP(9,Reagents!$B$1:$M$41,5,FALSE)=0, "NULL", VLOOKUP(9,Reagents!$B$1:$M$41,5,FALSE))</f>
        <v>NULL</v>
      </c>
      <c r="CL22" s="214" t="str">
        <f>IF(OR(Reagents!$Q$10="Stock slurry",Reagents!$Q$10="Stock solution"),VLOOKUP(9,Reagents!$B$1:$R$41,13,FALSE), "NULL")</f>
        <v/>
      </c>
      <c r="CM22" s="362" t="str">
        <f>IF(OR(Reagents!$Q$10="Stock slurry",Reagents!$Q$10="Stock solution"),VLOOKUP(9,Reagents!$B$1:$R$41,14,FALSE), VLOOKUP(9,Reagents!$B$1:$R$41,11,FALSE))</f>
        <v/>
      </c>
      <c r="CN22" s="214">
        <f>VLOOKUP(9,Reagents!$B$1:$R$41,17,FALSE)</f>
        <v>0</v>
      </c>
      <c r="CO22" s="284" t="e">
        <f>IF(OR(VLOOKUP(9,Reagents!$B$1:$M$41,4,FALSE)="solvent_2",VLOOKUP(9,Reagents!$B$1:$M$41,4,FALSE)="solvent_3"),VLOOKUP(9,Reagents!$B$1:$M$41,12,FALSE),IF(OR(Reagents!$Q$10="Stock slurry",Reagents!$Q$10="Stock solution"),CM22*CL22, CM22/VLOOKUP(9,Reagents!$B$1:$R$41,6,FALSE)*1000))</f>
        <v>#VALUE!</v>
      </c>
      <c r="CP22" s="214">
        <f>VLOOKUP(10,Reagents!$B$1:$M$41,2,FALSE)</f>
        <v>0</v>
      </c>
      <c r="CQ22" s="214">
        <f>VLOOKUP(10,Reagents!$B$1:$M$41,3,FALSE)</f>
        <v>0</v>
      </c>
      <c r="CR22" s="214" t="str">
        <f>IF(VLOOKUP(10,Reagents!$B$1:$M$41,5,FALSE)=0, "NULL", VLOOKUP(10,Reagents!$B$1:$M$41,5,FALSE))</f>
        <v>NULL</v>
      </c>
      <c r="CS22" s="214" t="str">
        <f>IF(OR(Reagents!$Q$11="Stock slurry",Reagents!$Q$11="Stock solution"),VLOOKUP(10,Reagents!$B$1:$R$41,13,FALSE), "NULL")</f>
        <v/>
      </c>
      <c r="CT22" s="362" t="str">
        <f>IF(OR(Reagents!$Q$11="Stock slurry",Reagents!$Q$11="Stock solution"),VLOOKUP(10,Reagents!$B$1:$R$41,14,FALSE), VLOOKUP(10,Reagents!$B$1:$R$41,11,FALSE))</f>
        <v/>
      </c>
      <c r="CU22" s="214">
        <f>VLOOKUP(10,Reagents!$B$1:$R$41,17,FALSE)</f>
        <v>0</v>
      </c>
      <c r="CV22" s="284" t="e">
        <f>IF(OR(VLOOKUP(10,Reagents!$B$1:$M$41,4,FALSE)="solvent_2",VLOOKUP(10,Reagents!$B$1:$M$41,4,FALSE)="solvent_3"),VLOOKUP(10,Reagents!$B$1:$M$41,12,FALSE),IF(OR(Reagents!$Q$11="Stock slurry",Reagents!$Q$11="Stock solution"),CT22*CS22, CT22/VLOOKUP(10,Reagents!$B$1:$R$41,6,FALSE)*1000))</f>
        <v>#VALUE!</v>
      </c>
      <c r="CW22" s="214" t="str">
        <f>VLOOKUP(B22+10,Reagents!$B$1:$R$41,2,FALSE)</f>
        <v/>
      </c>
      <c r="CX22" s="214">
        <f>VLOOKUP(B22+10,Reagents!$B$1:$R$41,3,FALSE)</f>
        <v>0</v>
      </c>
      <c r="CY22" s="214" t="str">
        <f>IF(VLOOKUP(B22+10,Reagents!$B$1:$M$41,5,FALSE)=0, "NULL", VLOOKUP(B22+10,Reagents!$B$1:$M$41,5,FALSE))</f>
        <v>NULL</v>
      </c>
      <c r="CZ22" s="214" t="str">
        <f>IF(OR(Reagents!$Q$12="Stock slurry",Reagents!$Q$12="Stock solution"),VLOOKUP(B22+10,Reagents!$B$1:$R$41,13,FALSE), "NULL")</f>
        <v/>
      </c>
      <c r="DA22" s="362" t="str">
        <f>IF(OR(Reagents!$Q$12="Stock slurry",Reagents!$Q$12="Stock solution"),VLOOKUP(B22+10,Reagents!$B$1:$R$41,14,FALSE), VLOOKUP(B22+10,Reagents!$B$1:$R$41,11,FALSE))</f>
        <v/>
      </c>
      <c r="DB22" s="214">
        <f>VLOOKUP(B22+10,Reagents!$B$1:$R$41,17,FALSE)</f>
        <v>0</v>
      </c>
      <c r="DC22" s="284" t="e">
        <f>IF(OR(v1_col="solvent_2",v1_col="solvent_3"),VLOOKUP(B22+10,Reagents!$B$1:$M$41,12,FALSE),IF(OR(Reagents!$Q$12="Stock slurry",Reagents!$Q$12="Stock solution"),DA22*CZ22, DA22/VLOOKUP(B22+10,Reagents!$B$1:$R$41,6,FALSE)*1000))</f>
        <v>#VALUE!</v>
      </c>
      <c r="DD22" s="214" t="str">
        <f>VLOOKUP(B22+22,Reagents!$B$1:$M$41,2,FALSE)</f>
        <v/>
      </c>
      <c r="DE22" s="214">
        <f>VLOOKUP(B22+22,Reagents!$B$1:$R$41,3,FALSE)</f>
        <v>0</v>
      </c>
      <c r="DF22" s="214" t="str">
        <f>IF(VLOOKUP(B22+22,Reagents!$B$1:$M$41,5,FALSE)=0, "NULL", VLOOKUP(B22+22,Reagents!$B$1:$M$41,5,FALSE))</f>
        <v>NULL</v>
      </c>
      <c r="DG22" s="214" t="str">
        <f>IF(OR(Reagents!$Q$18="Stock slurry",Reagents!$Q$12="Stock solution"),VLOOKUP(B22+22,Reagents!$B$1:$R$41,13,FALSE), "NULL")</f>
        <v/>
      </c>
      <c r="DH22" s="362" t="str">
        <f>IF(OR(Reagents!$Q$18="Stock slurry",Reagents!$Q$18="Stock solution"),VLOOKUP(B22+22,Reagents!$B$1:$R$41,14,FALSE), VLOOKUP(B22+22,Reagents!$B$1:$R$41,11,FALSE))</f>
        <v/>
      </c>
      <c r="DI22" s="214">
        <f>VLOOKUP(B22+22,Reagents!$B$1:$R$41,17,FALSE)</f>
        <v>0</v>
      </c>
      <c r="DJ22" s="284" t="e">
        <f>IF(OR(v2_col="solvent_2",v2_col="solvent_3"),VLOOKUP(B22+22,Reagents!$B$1:$M$41,12,FALSE),IF(OR(Reagents!$Q$18="Stock slurry",Reagents!$Q$18="Stock solution"),DH22*DG22, DH22/VLOOKUP(B22+22,Reagents!$B$1:$R$41,6,FALSE)*1000))</f>
        <v>#VALUE!</v>
      </c>
      <c r="DK22" s="214" t="str">
        <f>VLOOKUP(B22+34,Reagents!$B$1:$M$41,2,FALSE)</f>
        <v/>
      </c>
      <c r="DL22" s="214">
        <f>VLOOKUP(B22+34,Reagents!$B$1:$R$41,3,FALSE)</f>
        <v>0</v>
      </c>
      <c r="DM22" s="214" t="str">
        <f>IF(VLOOKUP(B22+34,Reagents!$B$1:$M$41,5,FALSE)=0, "NULL", VLOOKUP(B22+34,Reagents!$B$1:$M$41,5,FALSE))</f>
        <v>NULL</v>
      </c>
      <c r="DN22" s="214" t="str">
        <f>IF(OR(Reagents!$Q$24="Stock slurry",Reagents!$Q$12="Stock solution"),VLOOKUP(B22+34,Reagents!$B$1:$R$41,13,FALSE), "NULL")</f>
        <v/>
      </c>
      <c r="DO22" s="362" t="str">
        <f>IF(OR(Reagents!$Q$24="Stock slurry",Reagents!$Q$24="Stock solution"),VLOOKUP(B22+34,Reagents!$B$1:$R$41,14,FALSE), VLOOKUP(B22+34,Reagents!$B$1:$R$41,11,FALSE))</f>
        <v/>
      </c>
      <c r="DP22" s="214">
        <f>VLOOKUP(B22+34,Reagents!$B$1:$R$41,17,FALSE)</f>
        <v>0</v>
      </c>
      <c r="DQ22" s="284" t="e">
        <f>IF(OR(v3_col="solvent_2",v3_col="solvent_3"),VLOOKUP(B22+34,Reagents!$B$1:$M$41,12,FALSE),IF(OR(Reagents!$Q$24="Stock slurry",Reagents!$Q$24="Stock solution"),DO22*DN22, DO22/VLOOKUP(B22+34,Reagents!$B$1:$R$41,6,FALSE)*1000))</f>
        <v>#VALUE!</v>
      </c>
      <c r="DR22" s="214" t="str">
        <f>VLOOKUP(C22+46,Reagents!$B$1:$M$41,2,FALSE)</f>
        <v/>
      </c>
      <c r="DS22" s="214">
        <f>VLOOKUP(C22+46,Reagents!$B$1:$M$41,3,FALSE)</f>
        <v>0</v>
      </c>
      <c r="DT22" s="214" t="str">
        <f>IF(VLOOKUP(C22+46,Reagents!$B$1:$M$41,5,FALSE)=0, "NULL", VLOOKUP(C22+46,Reagents!$B$1:$M$41,5,FALSE))</f>
        <v>NULL</v>
      </c>
      <c r="DU22" s="214" t="str">
        <f>IF(OR(Reagents!$Q$30="Stock slurry",Reagents!$Q$30="Stock solution"),VLOOKUP(C22+46,Reagents!$B$1:$R$41,13,FALSE), "NULL")</f>
        <v/>
      </c>
      <c r="DV22" s="362" t="str">
        <f>IF(OR(Reagents!$Q$30="Stock slurry",Reagents!$Q$30="Stock solution"),VLOOKUP(C22+46,Reagents!$B$1:$R$41,14,FALSE), VLOOKUP(C22+46,Reagents!$B$1:$R$41,11,FALSE))</f>
        <v/>
      </c>
      <c r="DW22" s="214">
        <f>VLOOKUP(C22+46,Reagents!$B$1:$R$41,17,FALSE)</f>
        <v>0</v>
      </c>
      <c r="DX22" s="284" t="e">
        <f>IF(OR(v4_row="solvent_2",v4_row="solvent_3"),VLOOKUP(C22+46,Reagents!$B$1:$M$41,12,FALSE),IF(OR(Reagents!$Q$30="Stock slurry",Reagents!$Q$30="Stock solution"),DV22*DU22, DV22/VLOOKUP(C22+46,Reagents!$B$1:$R$41,6,FALSE)*1000))</f>
        <v>#VALUE!</v>
      </c>
      <c r="DY22" s="214" t="str">
        <f>VLOOKUP(C22+54,Reagents!$B$1:$M$41,2,FALSE)</f>
        <v/>
      </c>
      <c r="DZ22" s="214">
        <f>VLOOKUP(C22+54,Reagents!$B$1:$M$41,3,FALSE)</f>
        <v>0</v>
      </c>
      <c r="EA22" s="214" t="str">
        <f>IF(VLOOKUP(C22+54,Reagents!$B$1:$M$41,5,FALSE)=0, "NULL", VLOOKUP(C22+54,Reagents!$B$1:$M$41,5,FALSE))</f>
        <v>NULL</v>
      </c>
      <c r="EB22" s="214" t="str">
        <f>IF(OR(Reagents!$Q$34="Stock slurry",Reagents!$Q$34="Stock solution"),VLOOKUP(C22+54,Reagents!$B$1:$R$41,13,FALSE), "NULL")</f>
        <v/>
      </c>
      <c r="EC22" s="362" t="str">
        <f>IF(OR(Reagents!$Q$34="Stock slurry",Reagents!$Q$34="Stock solution"),VLOOKUP(C22+54,Reagents!$B$1:$R$41,14,FALSE), VLOOKUP(C22+54,Reagents!$B$1:$R$41,11,FALSE))</f>
        <v/>
      </c>
      <c r="ED22" s="214">
        <f>VLOOKUP(C22+54,Reagents!$B$1:$R$41,17,FALSE)</f>
        <v>0</v>
      </c>
      <c r="EE22" s="284" t="e">
        <f>IF(OR(v5_row="solvent_2",v5_row="solvent_3"),VLOOKUP(C22+54,Reagents!$B$1:$M$41,12,FALSE),IF(OR(Reagents!$Q$34="Stock slurry",Reagents!$Q$34="Stock solution"),EC22*EB22, EC22/VLOOKUP(C22+54,Reagents!$B$1:$R$41,6,FALSE)*1000))</f>
        <v>#VALUE!</v>
      </c>
      <c r="EF22" s="214" t="str">
        <f>VLOOKUP(C22+62,Reagents!$B$1:$M$41,2,FALSE)</f>
        <v/>
      </c>
      <c r="EG22" s="214">
        <f>VLOOKUP(C22+62,Reagents!$B$1:$M$41,3,FALSE)</f>
        <v>0</v>
      </c>
      <c r="EH22" s="214" t="str">
        <f>IF(VLOOKUP(C22+62,Reagents!$B$1:$M$41,5,FALSE)=0, "NULL", VLOOKUP(C22+62,Reagents!$B$1:$M$41,5,FALSE))</f>
        <v>NULL</v>
      </c>
      <c r="EI22" s="214" t="str">
        <f>IF(OR(Reagents!$Q$38="Stock slurry",Reagents!$Q$38="Stock solution"),VLOOKUP(C22+62,Reagents!$B$1:$R$41,13,FALSE), "NULL")</f>
        <v/>
      </c>
      <c r="EJ22" s="362" t="str">
        <f>IF(OR(Reagents!$Q$38="Stock slurry",Reagents!$Q$38="Stock solution"),VLOOKUP(C22+62,Reagents!$B$1:$R$41,14,FALSE), VLOOKUP(C22+62,Reagents!$B$1:$R$41,11,FALSE))</f>
        <v/>
      </c>
      <c r="EK22" s="214">
        <f>VLOOKUP(C22+62,Reagents!$B$1:$R$41,17,FALSE)</f>
        <v>0</v>
      </c>
      <c r="EL22" s="284" t="e">
        <f>IF(OR(v6_row="solvent_2",v6_row="solvent_3"),VLOOKUP(C22+62,Reagents!$B$1:$M$41,12,FALSE),IF(OR(Reagents!$Q$38="Stock slurry",Reagents!$Q$38="Stock solution"),EJ22*EI22, EJ22/VLOOKUP(C22+62,Reagents!$B$1:$R$41,6,FALSE)*1000))</f>
        <v>#VALUE!</v>
      </c>
      <c r="EM22" s="214">
        <f>VLOOKUP(19,'Plate Planning'!$A$1:$T$35,13,FALSE)</f>
        <v>0</v>
      </c>
      <c r="EN22" s="214">
        <f>VLOOKUP(19,'Plate Planning'!$A$1:$T$35,14,FALSE)</f>
        <v>0</v>
      </c>
      <c r="EO22" s="214">
        <f>VLOOKUP(19,'Plate Planning'!$A$1:$T$35,15,FALSE)</f>
        <v>0</v>
      </c>
      <c r="EP22" s="214">
        <f>VLOOKUP(A22,'Uncorrected Area Counts'!$A$1:$AS$27,3,FALSE)</f>
        <v>0</v>
      </c>
      <c r="EQ22" s="214" t="str">
        <f>VLOOKUP(A22,'Uncorrected Area Counts'!$A$1:$AS$27,4,FALSE)</f>
        <v/>
      </c>
      <c r="ER22" s="214" t="str">
        <f>VLOOKUP(A22,'Uncorrected Area Counts'!$A$1:$AS$27,5,FALSE)</f>
        <v/>
      </c>
      <c r="ES22" s="214">
        <f>VLOOKUP(20,'Plate Planning'!$A$1:$T$35,15,FALSE)</f>
        <v>0</v>
      </c>
      <c r="ET22" s="214">
        <f>VLOOKUP(A22,'Uncorrected Area Counts'!$A$1:$AS$27,7,FALSE)</f>
        <v>0</v>
      </c>
      <c r="EU22" s="214" t="e">
        <f>VLOOKUP(A22,'Uncorrected Area Counts'!$A$1:$AS$27,7,FALSE)/VLOOKUP(A22,'Uncorrected Area Counts'!$A$1:$AS$27,3,FALSE)</f>
        <v>#DIV/0!</v>
      </c>
      <c r="EV22" s="214" t="str">
        <f>IFERROR(VLOOKUP(A22,'Yields &amp; LCAPs'!$A$1:$V$27,3,FALSE), "NULL")</f>
        <v>NULL</v>
      </c>
      <c r="EW22" s="284" t="str">
        <f>IFERROR(VLOOKUP(A22,'Yields &amp; LCAPs'!$A$1:$V$27,4,FALSE), "NULL")</f>
        <v>NULL</v>
      </c>
      <c r="EX22" s="214" t="str">
        <f>VLOOKUP(A22,'Uncorrected Area Counts'!$A$1:$AS$27,8,FALSE)</f>
        <v/>
      </c>
      <c r="EY22" s="214" t="str">
        <f>VLOOKUP(A22,'Uncorrected Area Counts'!$A$1:$AS$27,9,FALSE)</f>
        <v/>
      </c>
      <c r="EZ22" s="214">
        <f>VLOOKUP(22,'Plate Planning'!$A$1:$T$35,15,FALSE)</f>
        <v>0</v>
      </c>
      <c r="FA22" s="214">
        <f>VLOOKUP(A22,'Uncorrected Area Counts'!$A$1:$AS$27,11,FALSE)</f>
        <v>0</v>
      </c>
      <c r="FB22" s="214" t="e">
        <f>VLOOKUP(A22,'Uncorrected Area Counts'!$A$1:$AS$27,11,FALSE)/VLOOKUP(A22,'Uncorrected Area Counts'!$A$1:$AS$27,3,FALSE)</f>
        <v>#DIV/0!</v>
      </c>
      <c r="FC22" s="214" t="str">
        <f>IFERROR(VLOOKUP(A22,'Yields &amp; LCAPs'!$A$1:$V$27,5,FALSE), "NULL")</f>
        <v>NULL</v>
      </c>
      <c r="FD22" s="284" t="str">
        <f>IFERROR(VLOOKUP(A22,'Yields &amp; LCAPs'!$A$1:$V$27,6,FALSE), "NULL")</f>
        <v>NULL</v>
      </c>
      <c r="FE22" s="214" t="str">
        <f>VLOOKUP(A22,'Uncorrected Area Counts'!$A$1:$AS$27,12,FALSE)</f>
        <v/>
      </c>
      <c r="FF22" s="214" t="str">
        <f>VLOOKUP(A22,'Uncorrected Area Counts'!$A$1:$AS$27,13,FALSE)</f>
        <v/>
      </c>
      <c r="FG22" s="214">
        <f>VLOOKUP(24,'Plate Planning'!$A$1:$T$35,15,FALSE)</f>
        <v>0</v>
      </c>
      <c r="FH22" s="214">
        <f>VLOOKUP(A22,'Uncorrected Area Counts'!$A$1:$AS$27,15,FALSE)</f>
        <v>0</v>
      </c>
      <c r="FI22" s="214" t="e">
        <f>VLOOKUP(A22,'Uncorrected Area Counts'!$A$1:$AS$27,15,FALSE)/VLOOKUP(A22,'Uncorrected Area Counts'!$A$1:$AS$27,3,FALSE)</f>
        <v>#DIV/0!</v>
      </c>
      <c r="FJ22" s="214" t="str">
        <f>IFERROR(VLOOKUP(A22,'Yields &amp; LCAPs'!$A$1:$V$27,7,FALSE), "NULL")</f>
        <v>NULL</v>
      </c>
      <c r="FK22" s="284" t="str">
        <f>IFERROR(VLOOKUP(A22,'Yields &amp; LCAPs'!$A$1:$V$27,8,FALSE), "NULL")</f>
        <v>NULL</v>
      </c>
      <c r="FL22" s="214" t="str">
        <f>VLOOKUP(A22,'Uncorrected Area Counts'!$A$1:$AS$27,16,FALSE)</f>
        <v/>
      </c>
      <c r="FM22" s="214" t="str">
        <f>VLOOKUP(A22,'Uncorrected Area Counts'!$A$1:$AS$27,17,FALSE)</f>
        <v/>
      </c>
      <c r="FN22" s="214">
        <f>VLOOKUP(26,'Plate Planning'!$A$1:$T$35,15,FALSE)</f>
        <v>0</v>
      </c>
      <c r="FO22" s="214">
        <f>VLOOKUP(A22,'Uncorrected Area Counts'!$A$1:$AS$27,19,FALSE)</f>
        <v>0</v>
      </c>
      <c r="FP22" s="214" t="e">
        <f>VLOOKUP(A22,'Uncorrected Area Counts'!$A$1:$AS$27,19,FALSE)/VLOOKUP(A22,'Uncorrected Area Counts'!$A$1:$AS$27,3,FALSE)</f>
        <v>#DIV/0!</v>
      </c>
      <c r="FQ22" s="214" t="str">
        <f>IFERROR(VLOOKUP(A22,'Yields &amp; LCAPs'!$A$1:$V$27,9,FALSE), "NULL")</f>
        <v>NULL</v>
      </c>
      <c r="FR22" s="284" t="str">
        <f>IFERROR(VLOOKUP(A22,'Yields &amp; LCAPs'!$A$1:$V$27,10,FALSE), "NULL")</f>
        <v>NULL</v>
      </c>
      <c r="FS22" s="214" t="str">
        <f>VLOOKUP(A22,'Uncorrected Area Counts'!$A$1:$AS$27,20,FALSE)</f>
        <v/>
      </c>
      <c r="FT22" s="214" t="str">
        <f>VLOOKUP(A22,'Uncorrected Area Counts'!$A$1:$AS$27,21,FALSE)</f>
        <v/>
      </c>
      <c r="FU22" s="214">
        <f>VLOOKUP(27,'Plate Planning'!$A$1:$T$35,15,FALSE)</f>
        <v>0</v>
      </c>
      <c r="FV22" s="214">
        <f>VLOOKUP(A22,'Uncorrected Area Counts'!$A$1:$AS$27,23,FALSE)</f>
        <v>0</v>
      </c>
      <c r="FW22" s="214" t="e">
        <f>VLOOKUP(A22,'Uncorrected Area Counts'!$A$1:$AS$27,23,FALSE)/VLOOKUP(A22,'Uncorrected Area Counts'!$A$1:$AS$27,3,FALSE)</f>
        <v>#DIV/0!</v>
      </c>
      <c r="FX22" s="214" t="str">
        <f>IFERROR(VLOOKUP(A22,'Yields &amp; LCAPs'!$A$1:$V$27,11,FALSE), "NULL")</f>
        <v>NULL</v>
      </c>
      <c r="FY22" s="284" t="str">
        <f>IFERROR(VLOOKUP(A22,'Yields &amp; LCAPs'!$A$1:$V$27,12,FALSE), "NULL")</f>
        <v>NULL</v>
      </c>
      <c r="FZ22" s="411" t="str">
        <f>VLOOKUP(A22,'Uncorrected Area Counts'!$A$1:$AS$27,24,FALSE)</f>
        <v/>
      </c>
      <c r="GA22" s="214" t="str">
        <f>VLOOKUP(A22,'Uncorrected Area Counts'!$A$1:$AS$27,25,FALSE)</f>
        <v/>
      </c>
      <c r="GB22" s="214">
        <f>VLOOKUP(28,'Plate Planning'!$A$1:$T$35,15,FALSE)</f>
        <v>0</v>
      </c>
      <c r="GC22" s="214">
        <f>VLOOKUP(A22,'Uncorrected Area Counts'!$A$1:$AS$27,27,FALSE)</f>
        <v>0</v>
      </c>
      <c r="GD22" s="214" t="e">
        <f>VLOOKUP(A22,'Uncorrected Area Counts'!$A$1:$AS$27,27,FALSE)/VLOOKUP(A22,'Uncorrected Area Counts'!$A$1:$AS$27,3,FALSE)</f>
        <v>#DIV/0!</v>
      </c>
      <c r="GE22" s="214" t="str">
        <f>IFERROR(VLOOKUP(A22,'Yields &amp; LCAPs'!$A$1:$V$27,13,FALSE), "NULL")</f>
        <v>NULL</v>
      </c>
      <c r="GF22" s="284" t="str">
        <f>IFERROR(VLOOKUP(A22,'Yields &amp; LCAPs'!$A$1:$V$27,14,FALSE), "NULL")</f>
        <v>NULL</v>
      </c>
      <c r="GG22" s="214" t="str">
        <f>VLOOKUP(A22,'Uncorrected Area Counts'!$A$1:$AS$27,28,FALSE)</f>
        <v/>
      </c>
      <c r="GH22" s="214" t="str">
        <f>VLOOKUP(A22,'Uncorrected Area Counts'!$A$1:$AS$27,29,FALSE)</f>
        <v/>
      </c>
      <c r="GI22" s="214">
        <f>VLOOKUP(29,'Plate Planning'!$A$1:$T$35,15,FALSE)</f>
        <v>0</v>
      </c>
      <c r="GJ22" s="214">
        <f>VLOOKUP(A22,'Uncorrected Area Counts'!$A$1:$AS$27,31,FALSE)</f>
        <v>0</v>
      </c>
      <c r="GK22" s="214" t="e">
        <f>VLOOKUP(A22,'Uncorrected Area Counts'!$A$1:$AS$27,31,FALSE)/VLOOKUP(A22,'Uncorrected Area Counts'!$A$1:$AS$27,3,FALSE)</f>
        <v>#DIV/0!</v>
      </c>
      <c r="GL22" s="214" t="str">
        <f>IFERROR(VLOOKUP(A22,'Yields &amp; LCAPs'!$A$1:$V$27,15,FALSE), "NULL")</f>
        <v>NULL</v>
      </c>
      <c r="GM22" s="284" t="str">
        <f>IFERROR(VLOOKUP(A22,'Yields &amp; LCAPs'!$A$1:$V$27,16,FALSE), "NULL")</f>
        <v>NULL</v>
      </c>
      <c r="GN22" s="214" t="str">
        <f>VLOOKUP(A22,'Uncorrected Area Counts'!$A$1:$AS$27,32,FALSE)</f>
        <v/>
      </c>
      <c r="GO22" s="214" t="str">
        <f>VLOOKUP(A22,'Uncorrected Area Counts'!$A$1:$AS$27,33,FALSE)</f>
        <v/>
      </c>
      <c r="GP22" s="214">
        <f>VLOOKUP(30,'Plate Planning'!$A$1:$T$35,15,FALSE)</f>
        <v>0</v>
      </c>
      <c r="GQ22" s="214">
        <f>VLOOKUP(A22,'Uncorrected Area Counts'!$A$1:$AS$27,35,FALSE)</f>
        <v>0</v>
      </c>
      <c r="GR22" s="214" t="e">
        <f>VLOOKUP(A22,'Uncorrected Area Counts'!$A$1:$AS$27,35,FALSE)/VLOOKUP(A22,'Uncorrected Area Counts'!$A$1:$AS$27,3,FALSE)</f>
        <v>#DIV/0!</v>
      </c>
      <c r="GS22" s="214" t="str">
        <f>IFERROR(VLOOKUP(A22,'Yields &amp; LCAPs'!$A$1:$V$27,17,FALSE), "NULL")</f>
        <v>NULL</v>
      </c>
      <c r="GT22" s="284" t="str">
        <f>IFERROR(VLOOKUP(A22,'Yields &amp; LCAPs'!$A$1:$V$27,18,FALSE), "NULL")</f>
        <v>NULL</v>
      </c>
      <c r="GU22" s="214" t="str">
        <f>VLOOKUP(A22,'Uncorrected Area Counts'!$A$1:$AS$27,36,FALSE)</f>
        <v/>
      </c>
      <c r="GV22" s="214" t="str">
        <f>VLOOKUP(A22,'Uncorrected Area Counts'!$A$1:$AS$27,37,FALSE)</f>
        <v/>
      </c>
      <c r="GW22" s="214">
        <f>VLOOKUP(31,'Plate Planning'!$A$1:$T$35,15,FALSE)</f>
        <v>0</v>
      </c>
      <c r="GX22" s="214">
        <f>VLOOKUP(A22,'Uncorrected Area Counts'!$A$1:$AS$27,39,FALSE)</f>
        <v>0</v>
      </c>
      <c r="GY22" s="214" t="e">
        <f>VLOOKUP(A22,'Uncorrected Area Counts'!$A$1:$AS$27,39,FALSE)/VLOOKUP(A22,'Uncorrected Area Counts'!$A$1:$AS$27,3,FALSE)</f>
        <v>#DIV/0!</v>
      </c>
      <c r="GZ22" s="214" t="str">
        <f>IFERROR(VLOOKUP(A22,'Yields &amp; LCAPs'!$A$1:$V$27,19,FALSE), "NULL")</f>
        <v>NULL</v>
      </c>
      <c r="HA22" s="284" t="str">
        <f>IFERROR(VLOOKUP(A22,'Yields &amp; LCAPs'!$A$1:$V$27,20,FALSE), "NULL")</f>
        <v>NULL</v>
      </c>
      <c r="HB22" s="214" t="str">
        <f>VLOOKUP(A22,'Uncorrected Area Counts'!$A$1:$AS$27,40,FALSE)</f>
        <v/>
      </c>
      <c r="HC22" s="214" t="str">
        <f>VLOOKUP(A22,'Uncorrected Area Counts'!$A$1:$AS$27,41,FALSE)</f>
        <v/>
      </c>
      <c r="HD22" s="214">
        <f>VLOOKUP(32,'Plate Planning'!$A$1:$T$35,15,FALSE)</f>
        <v>0</v>
      </c>
      <c r="HE22" s="214">
        <f>VLOOKUP(A22,'Uncorrected Area Counts'!$A$1:$AS$27,43,FALSE)</f>
        <v>0</v>
      </c>
      <c r="HF22" s="214" t="e">
        <f>VLOOKUP(A22,'Uncorrected Area Counts'!$A$1:$AS$27,43,FALSE)/VLOOKUP(A22,'Uncorrected Area Counts'!$A$1:$AS$27,3,FALSE)</f>
        <v>#DIV/0!</v>
      </c>
      <c r="HG22" s="214" t="str">
        <f>IFERROR(VLOOKUP(A22,'Yields &amp; LCAPs'!$A$1:$V$27,21,FALSE), "NULL")</f>
        <v>NULL</v>
      </c>
      <c r="HH22" s="284" t="str">
        <f>IFERROR(VLOOKUP(A22,'Yields &amp; LCAPs'!$A$1:$V$27,22,FALSE), "NULL")</f>
        <v>NULL</v>
      </c>
      <c r="HI22" s="362"/>
      <c r="HJ22" s="362"/>
      <c r="HK22" s="362"/>
      <c r="HL22" s="362"/>
      <c r="HM22" s="363"/>
      <c r="HN22" s="362"/>
      <c r="HO22" s="362"/>
      <c r="HP22" s="362"/>
      <c r="HQ22" s="362"/>
      <c r="HR22" s="363"/>
    </row>
    <row r="23" spans="1:226">
      <c r="A23" s="216" t="s">
        <v>1200</v>
      </c>
      <c r="B23" s="214">
        <v>4</v>
      </c>
      <c r="C23" s="214">
        <v>4</v>
      </c>
      <c r="D23" s="214" t="str">
        <f>VLOOKUP(18,'Plate Planning'!$A$1:$T$35,10,FALSE)&amp;"_"&amp;VLOOKUP(19,'Plate Planning'!$A$1:$T$35,10,FALSE)&amp;"_"&amp;A23</f>
        <v>__D4</v>
      </c>
      <c r="E23" s="214" t="str">
        <f>IF(VLOOKUP(18,'Plate Planning'!$A$1:$T$35,10,FALSE)="", "NULL", VLOOKUP(18,'Plate Planning'!$A$1:$T$35,10,FALSE))</f>
        <v>NULL</v>
      </c>
      <c r="F23" s="214" t="str">
        <f>IF(VLOOKUP(19,'Plate Planning'!$A$1:$T$35,10,FALSE)="", "NULL", VLOOKUP(19,'Plate Planning'!$A$1:$T$35,10,FALSE))</f>
        <v>NULL</v>
      </c>
      <c r="G23" s="214" t="str">
        <f>IF(VLOOKUP(20,'Plate Planning'!$A$1:$T$35,10,FALSE)="", "NULL", VLOOKUP(20,'Plate Planning'!$A$1:$T$35,10,FALSE))</f>
        <v>NULL</v>
      </c>
      <c r="H23" s="214" t="str">
        <f>IF(VLOOKUP(21,'Plate Planning'!$A$1:$T$35,10,FALSE)="", "NULL", VLOOKUP(21,'Plate Planning'!$A$1:$T$35,10,FALSE))</f>
        <v>NULL</v>
      </c>
      <c r="I23" s="214" t="str">
        <f>IF(VLOOKUP(23,'Plate Planning'!$A$1:$T$35,10,FALSE)="", "NULL", VLOOKUP(23,'Plate Planning'!$A$1:$T$35,10,FALSE))</f>
        <v>NULL</v>
      </c>
      <c r="J23" s="214" t="str">
        <f>IF(VLOOKUP(22,'Plate Planning'!$A$1:$T$35,10,FALSE)="", "NULL", VLOOKUP(22,'Plate Planning'!$A$1:$T$35,10,FALSE))</f>
        <v>NULL</v>
      </c>
      <c r="K23" s="214" t="str">
        <f>VLOOKUP(24,'Plate Planning'!$A$1:$T$35,10,FALSE)</f>
        <v>Glovebox</v>
      </c>
      <c r="L23" s="214" t="str">
        <f>IF(VLOOKUP(25,'Plate Planning'!$A$1:$T$35,10,FALSE)="","NULL",VLOOKUP(25,'Plate Planning'!$A$1:$T$35,10,FALSE))</f>
        <v>NULL</v>
      </c>
      <c r="M23" s="214" t="str">
        <f>VLOOKUP(26,'Plate Planning'!$A$1:$T$35,10,FALSE)</f>
        <v>ambient</v>
      </c>
      <c r="N23" s="214" t="str">
        <f>IF(VLOOKUP(27,'Plate Planning'!$A$1:$T$35,10,FALSE)=0,"NULL", VLOOKUP(27,'Plate Planning'!$A$1:$T$35,10,FALSE))</f>
        <v>NULL</v>
      </c>
      <c r="O23" s="214" t="str">
        <f>IF(VLOOKUP(3,'Plate Planning'!$A$2:$S$35,18,FALSE)="", "NULL", VLOOKUP(3,'Plate Planning'!$A$2:$S$35,18,FALSE))</f>
        <v>NULL</v>
      </c>
      <c r="P23" s="214" t="str">
        <f>IF(VLOOKUP(4,'Plate Planning'!$A$2:$S$35,18,FALSE)="", "NULL", VLOOKUP(4,'Plate Planning'!$A$2:$S$35,18,FALSE))</f>
        <v>NULL</v>
      </c>
      <c r="Q23" s="214" t="str">
        <f>IF(VLOOKUP(5,'Plate Planning'!$A$2:$S$35,18,FALSE)="", "NULL", VLOOKUP(5,'Plate Planning'!$A$2:$S$35,18,FALSE))</f>
        <v>NULL</v>
      </c>
      <c r="R23" s="214" t="str">
        <f>IF(VLOOKUP(6,'Plate Planning'!$A$2:$S$35,18,FALSE)="", "NULL", VLOOKUP(6,'Plate Planning'!$A$2:$S$35,18,FALSE))</f>
        <v>NULL</v>
      </c>
      <c r="S23" s="214" t="str">
        <f>IF(VLOOKUP(7,'Plate Planning'!$A$2:$S$35,18,FALSE)="", "NULL", VLOOKUP(7,'Plate Planning'!$A$2:$S$35,18,FALSE))</f>
        <v>NULL</v>
      </c>
      <c r="T23" s="214" t="str">
        <f>IF(VLOOKUP(28,'Plate Planning'!$A$1:$T$35,10,FALSE)=0,"NULL",VLOOKUP(28,'Plate Planning'!$A$1:$T$35,10,FALSE))</f>
        <v>NULL</v>
      </c>
      <c r="U23" s="214" t="str">
        <f>IFERROR(VLOOKUP(VLOOKUP(28,'Plate Planning'!$A$1:$T$35,10,FALSE),Dictionaries!$Q$2:$R$72,2,FALSE), "NULL")</f>
        <v>NULL</v>
      </c>
      <c r="V23" s="214" t="str">
        <f>IF(VLOOKUP(28,'Plate Planning'!$A$1:$T$35,10,FALSE)=0,"NULL",VLOOKUP(32,'Plate Planning'!$A$1:$T$35,10,FALSE))</f>
        <v>NULL</v>
      </c>
      <c r="W23" s="214" t="str">
        <f>IF(VLOOKUP(C23+3,'Plate Planning'!$A$1:$S$35,B23+4,FALSE)=0, "", VLOOKUP(C23+3,'Plate Planning'!$A$1:$S$35,B23+4,FALSE))</f>
        <v/>
      </c>
      <c r="X23" s="214" t="str">
        <f>IFERROR(VLOOKUP(W23,'Complex Variable'!$A$2:$S$25,2,FALSE), "")</f>
        <v/>
      </c>
      <c r="Y23" s="327" t="str">
        <f>IFERROR(VLOOKUP(W23,'Complex Variable'!$A$2:$S$25,3,FALSE), "")</f>
        <v/>
      </c>
      <c r="Z23" s="327" t="str">
        <f>IFERROR(VLOOKUP(W23,'Complex Variable'!$A$2:$S$25,5,FALSE), "")</f>
        <v/>
      </c>
      <c r="AA23" s="327" t="str">
        <f>IFERROR(VLOOKUP(W23,'Complex Variable'!$A$2:$S$25,14,FALSE), "")</f>
        <v/>
      </c>
      <c r="AB23" s="602" t="str">
        <f>IFERROR(VLOOKUP(W23,'Complex Variable'!$A$2:$S$25,19,FALSE), "")</f>
        <v/>
      </c>
      <c r="AC23" s="327" t="str">
        <f>IFERROR(VLOOKUP(W23,'Complex Variable'!$A$2:$S$25,13,FALSE), "")</f>
        <v/>
      </c>
      <c r="AD23" s="604" t="str">
        <f t="shared" si="0"/>
        <v/>
      </c>
      <c r="AE23" s="214">
        <f>VLOOKUP(1,Reagents!$B$1:$M$41,2,FALSE)</f>
        <v>0</v>
      </c>
      <c r="AF23" s="214">
        <f>VLOOKUP(1,Reagents!$B$1:$M$41,3,FALSE)</f>
        <v>0</v>
      </c>
      <c r="AG23" s="214" t="str">
        <f>IF(VLOOKUP(1,Reagents!$B$1:$M$41,5,FALSE)=0, "NULL", VLOOKUP(1,Reagents!$B$1:$M$41,5,FALSE))</f>
        <v>NULL</v>
      </c>
      <c r="AH23" s="214" t="str">
        <f>IF(OR(Reagents!$Q$2="Stock slurry",Reagents!$Q$2="Stock solution"),VLOOKUP(1,Reagents!$B$1:$R$41,13,FALSE), "NULL")</f>
        <v/>
      </c>
      <c r="AI23" s="362" t="str">
        <f>IF(OR(Reagents!$Q$2="Stock slurry",Reagents!$Q$2="Stock solution"),VLOOKUP(1,Reagents!$B$1:$R$41,14,FALSE), VLOOKUP(1,Reagents!$B$1:$R$41,11,FALSE))</f>
        <v/>
      </c>
      <c r="AJ23" s="214">
        <f>VLOOKUP(1,Reagents!$B$1:$R$41,17,FALSE)</f>
        <v>0</v>
      </c>
      <c r="AK23" s="284" t="e">
        <f>IF(OR(VLOOKUP(1,Reagents!$B$1:$M$41,4,FALSE)="solvent_2",VLOOKUP(1,Reagents!$B$1:$M$41,4,FALSE)="solvent_3"),VLOOKUP(1,Reagents!$B$1:$M$41,12,FALSE),IF(OR(Reagents!$Q$2="Stock slurry",Reagents!$Q$2="Stock solution"),AI23*AH23, AI23/VLOOKUP(1,Reagents!$B$1:$R$41,6,FALSE)*1000))</f>
        <v>#VALUE!</v>
      </c>
      <c r="AL23" s="214">
        <f>VLOOKUP(2,Reagents!$B$1:$M$41,2,FALSE)</f>
        <v>0</v>
      </c>
      <c r="AM23" s="214">
        <f>VLOOKUP(2,Reagents!$B$1:$M$41,3,FALSE)</f>
        <v>0</v>
      </c>
      <c r="AN23" s="214" t="str">
        <f>IF(VLOOKUP(2,Reagents!$B$1:$M$41,5,FALSE)=0, "NULL", VLOOKUP(2,Reagents!$B$1:$M$41,5,FALSE))</f>
        <v>NULL</v>
      </c>
      <c r="AO23" s="214" t="str">
        <f>IF(OR(Reagents!$Q$3="Stock slurry",Reagents!$Q$3="Stock solution"),VLOOKUP(2,Reagents!$B$1:$R$41,13,FALSE), "NULL")</f>
        <v/>
      </c>
      <c r="AP23" s="362" t="str">
        <f>IF(OR(Reagents!$Q$3="Stock slurry",Reagents!$Q$3="Stock solution"),VLOOKUP(2,Reagents!$B$1:$R$41,14,FALSE), VLOOKUP(2,Reagents!$B$1:$R$41,11,FALSE))</f>
        <v/>
      </c>
      <c r="AQ23" s="214">
        <f>VLOOKUP(2,Reagents!$B$1:$R$41,17,FALSE)</f>
        <v>0</v>
      </c>
      <c r="AR23" s="284" t="e">
        <f>IF(OR(VLOOKUP(2,Reagents!$B$1:$M$41,4,FALSE)="solvent_2",VLOOKUP(2,Reagents!$B$1:$M$41,4,FALSE)="solvent_3"),VLOOKUP(2,Reagents!$B$1:$M$41,12,FALSE),IF(OR(Reagents!$Q$3="Stock slurry",Reagents!$Q$3="Stock solution"),AP23*AO23, AP23/VLOOKUP(2,Reagents!$B$1:$R$41,6,FALSE)*1000))</f>
        <v>#VALUE!</v>
      </c>
      <c r="AS23" s="214">
        <f>VLOOKUP(3,Reagents!$B$1:$M$41,2,FALSE)</f>
        <v>0</v>
      </c>
      <c r="AT23" s="214">
        <f>VLOOKUP(3,Reagents!$B$1:$M$41,3,FALSE)</f>
        <v>0</v>
      </c>
      <c r="AU23" s="214" t="str">
        <f>IF(VLOOKUP(3,Reagents!$B$1:$M$41,5,FALSE)=0, "NULL", VLOOKUP(3,Reagents!$B$1:$M$41,5,FALSE))</f>
        <v>NULL</v>
      </c>
      <c r="AV23" s="214" t="str">
        <f>IF(OR(Reagents!$Q$4="Stock slurry",Reagents!$Q$4="Stock solution"),VLOOKUP(3,Reagents!$B$1:$R$41,13,FALSE), "NULL")</f>
        <v/>
      </c>
      <c r="AW23" s="362" t="str">
        <f>IF(OR(Reagents!$Q$4="Stock slurry",Reagents!$Q$4="Stock solution"),VLOOKUP(3,Reagents!$B$1:$R$41,14,FALSE), VLOOKUP(3,Reagents!$B$1:$R$41,11,FALSE))</f>
        <v/>
      </c>
      <c r="AX23" s="214">
        <f>VLOOKUP(3,Reagents!$B$1:$R$41,17,FALSE)</f>
        <v>0</v>
      </c>
      <c r="AY23" s="284" t="e">
        <f>IF(OR(VLOOKUP(3,Reagents!$B$1:$M$41,4,FALSE)="solvent_2",VLOOKUP(3,Reagents!$B$1:$M$41,4,FALSE)="solvent_3"),VLOOKUP(3,Reagents!$B$1:$M$41,12,FALSE),IF(OR(Reagents!$Q$4="Stock slurry",Reagents!$Q$4="Stock solution"),AW23*AV23, AW23/VLOOKUP(3,Reagents!$B$1:$R$41,6,FALSE)*1000))</f>
        <v>#VALUE!</v>
      </c>
      <c r="AZ23" s="214">
        <f>VLOOKUP(4,Reagents!$B$1:$M$41,2,FALSE)</f>
        <v>0</v>
      </c>
      <c r="BA23" s="214">
        <f>VLOOKUP(4,Reagents!$B$1:$M$41,3,FALSE)</f>
        <v>0</v>
      </c>
      <c r="BB23" s="214" t="str">
        <f>IF(VLOOKUP(4,Reagents!$B$1:$M$41,5,FALSE)=0, "NULL", VLOOKUP(4,Reagents!$B$1:$M$41,5,FALSE))</f>
        <v>NULL</v>
      </c>
      <c r="BC23" s="214" t="str">
        <f>IF(OR(Reagents!$Q$5="Stock slurry",Reagents!$Q$5="Stock solution"),VLOOKUP(4,Reagents!$B$1:$R$41,13,FALSE), "NULL")</f>
        <v/>
      </c>
      <c r="BD23" s="362" t="str">
        <f>IF(OR(Reagents!$Q$5="Stock slurry",Reagents!$Q$5="Stock solution"),VLOOKUP(4,Reagents!$B$1:$R$41,14,FALSE), VLOOKUP(4,Reagents!$B$1:$R$41,11,FALSE))</f>
        <v/>
      </c>
      <c r="BE23" s="214">
        <f>VLOOKUP(4,Reagents!$B$1:$R$41,17,FALSE)</f>
        <v>0</v>
      </c>
      <c r="BF23" s="284" t="e">
        <f>IF(OR(VLOOKUP(4,Reagents!$B$1:$M$41,4,FALSE)="solvent_2",VLOOKUP(4,Reagents!$B$1:$M$41,4,FALSE)="solvent_3"),VLOOKUP(4,Reagents!$B$1:$M$41,12,FALSE),IF(OR(Reagents!$Q$5="Stock slurry",Reagents!$Q$5="Stock solution"),BD23*BC23, BD23/VLOOKUP(4,Reagents!$B$1:$R$41,6,FALSE)*1000))</f>
        <v>#VALUE!</v>
      </c>
      <c r="BG23" s="214">
        <f>VLOOKUP(5,Reagents!$B$1:$M$41,2,FALSE)</f>
        <v>0</v>
      </c>
      <c r="BH23" s="214">
        <f>VLOOKUP(5,Reagents!$B$1:$M$41,3,FALSE)</f>
        <v>0</v>
      </c>
      <c r="BI23" s="214" t="str">
        <f>IF(VLOOKUP(5,Reagents!$B$1:$M$41,5,FALSE)=0, "NULL", VLOOKUP(5,Reagents!$B$1:$M$41,5,FALSE))</f>
        <v>NULL</v>
      </c>
      <c r="BJ23" s="214" t="str">
        <f>IF(OR(Reagents!$Q$6="Stock slurry",Reagents!$Q$6="Stock solution"),VLOOKUP(5,Reagents!$B$1:$R$41,13,FALSE), "NULL")</f>
        <v/>
      </c>
      <c r="BK23" s="362" t="str">
        <f>IF(OR(Reagents!$Q$6="Stock slurry",Reagents!$Q$6="Stock solution"),VLOOKUP(5,Reagents!$B$1:$R$41,14,FALSE), VLOOKUP(5,Reagents!$B$1:$R$41,11,FALSE))</f>
        <v/>
      </c>
      <c r="BL23" s="214">
        <f>VLOOKUP(5,Reagents!$B$1:$R$41,17,FALSE)</f>
        <v>0</v>
      </c>
      <c r="BM23" s="284" t="e">
        <f>IF(OR(VLOOKUP(5,Reagents!$B$1:$M$41,4,FALSE)="solvent_2",VLOOKUP(5,Reagents!$B$1:$M$41,4,FALSE)="solvent_3"),VLOOKUP(5,Reagents!$B$1:$M$41,12,FALSE),IF(OR(Reagents!$Q$6="Stock slurry",Reagents!$Q$6="Stock solution"),BK23*BJ23, BK23/VLOOKUP(5,Reagents!$B$1:$R$41,6,FALSE)*1000))</f>
        <v>#VALUE!</v>
      </c>
      <c r="BN23" s="214">
        <f>VLOOKUP(6,Reagents!$B$1:$M$41,2,FALSE)</f>
        <v>0</v>
      </c>
      <c r="BO23" s="214">
        <f>VLOOKUP(6,Reagents!$B$1:$M$41,3,FALSE)</f>
        <v>0</v>
      </c>
      <c r="BP23" s="214" t="str">
        <f>IF(VLOOKUP(6,Reagents!$B$1:$M$41,5,FALSE)=0, "NULL", VLOOKUP(6,Reagents!$B$1:$M$41,5,FALSE))</f>
        <v>NULL</v>
      </c>
      <c r="BQ23" s="214" t="str">
        <f>IF(OR(Reagents!$Q$7="Stock slurry",Reagents!$Q$7="Stock solution"),VLOOKUP(6,Reagents!$B$1:$R$41,13,FALSE), "NULL")</f>
        <v/>
      </c>
      <c r="BR23" s="362" t="str">
        <f>IF(OR(Reagents!$Q$7="Stock slurry",Reagents!$Q$7="Stock solution"),VLOOKUP(6,Reagents!$B$1:$R$41,14,FALSE), VLOOKUP(6,Reagents!$B$1:$R$41,11,FALSE))</f>
        <v/>
      </c>
      <c r="BS23" s="214">
        <f>VLOOKUP(6,Reagents!$B$1:$R$41,17,FALSE)</f>
        <v>0</v>
      </c>
      <c r="BT23" s="284" t="e">
        <f>IF(OR(VLOOKUP(6,Reagents!$B$1:$M$41,4,FALSE)="solvent_2",VLOOKUP(6,Reagents!$B$1:$M$41,4,FALSE)="solvent_3"),VLOOKUP(6,Reagents!$B$1:$M$41,12,FALSE),IF(OR(Reagents!$Q$7="Stock slurry",Reagents!$Q$7="Stock solution"),BR23*BQ23, BR23/VLOOKUP(6,Reagents!$B$1:$R$41,6,FALSE)*1000))</f>
        <v>#VALUE!</v>
      </c>
      <c r="BU23" s="214">
        <f>VLOOKUP(7,Reagents!$B$1:$M$41,2,FALSE)</f>
        <v>0</v>
      </c>
      <c r="BV23" s="214">
        <f>VLOOKUP(7,Reagents!$B$1:$M$41,3,FALSE)</f>
        <v>0</v>
      </c>
      <c r="BW23" s="214" t="str">
        <f>IF(VLOOKUP(7,Reagents!$B$1:$M$41,5,FALSE)=0, "NULL", VLOOKUP(7,Reagents!$B$1:$M$41,5,FALSE))</f>
        <v>NULL</v>
      </c>
      <c r="BX23" s="214" t="str">
        <f>IF(OR(Reagents!$Q$8="Stock slurry",Reagents!$Q$8="Stock solution"),VLOOKUP(7,Reagents!$B$1:$R$41,13,FALSE), "NULL")</f>
        <v/>
      </c>
      <c r="BY23" s="362" t="str">
        <f>IF(OR(Reagents!$Q$8="Stock slurry",Reagents!$Q$8="Stock solution"),VLOOKUP(7,Reagents!$B$1:$R$41,14,FALSE), VLOOKUP(7,Reagents!$B$1:$R$41,11,FALSE))</f>
        <v/>
      </c>
      <c r="BZ23" s="214">
        <f>VLOOKUP(7,Reagents!$B$1:$R$41,17,FALSE)</f>
        <v>0</v>
      </c>
      <c r="CA23" s="284" t="e">
        <f>IF(OR(VLOOKUP(7,Reagents!$B$1:$M$41,4,FALSE)="solvent_2",VLOOKUP(7,Reagents!$B$1:$M$41,4,FALSE)="solvent_3"),VLOOKUP(7,Reagents!$B$1:$M$41,12,FALSE),IF(OR(Reagents!$Q$8="Stock slurry",Reagents!$Q$8="Stock solution"),BY23*BX23, BY23/VLOOKUP(7,Reagents!$B$1:$R$41,6,FALSE)*1000))</f>
        <v>#VALUE!</v>
      </c>
      <c r="CB23" s="214">
        <f>VLOOKUP(8,Reagents!$B$1:$M$41,2,FALSE)</f>
        <v>0</v>
      </c>
      <c r="CC23" s="214">
        <f>VLOOKUP(8,Reagents!$B$1:$M$41,3,FALSE)</f>
        <v>0</v>
      </c>
      <c r="CD23" s="214" t="str">
        <f>IF(VLOOKUP(8,Reagents!$B$1:$M$41,5,FALSE)=0, "NULL", VLOOKUP(8,Reagents!$B$1:$M$41,5,FALSE))</f>
        <v>NULL</v>
      </c>
      <c r="CE23" s="214" t="str">
        <f>IF(OR(Reagents!$Q$9="Stock slurry",Reagents!$Q$9="Stock solution"),VLOOKUP(8,Reagents!$B$1:$R$41,13,FALSE), "NULL")</f>
        <v/>
      </c>
      <c r="CF23" s="362" t="str">
        <f>IF(OR(Reagents!$Q$9="Stock slurry",Reagents!$Q$9="Stock solution"),VLOOKUP(8,Reagents!$B$1:$R$41,14,FALSE), VLOOKUP(8,Reagents!$B$1:$R$41,11,FALSE))</f>
        <v/>
      </c>
      <c r="CG23" s="214">
        <f>VLOOKUP(8,Reagents!$B$1:$R$41,17,FALSE)</f>
        <v>0</v>
      </c>
      <c r="CH23" s="284" t="e">
        <f>IF(OR(VLOOKUP(8,Reagents!$B$1:$M$41,4,FALSE)="solvent_2",VLOOKUP(8,Reagents!$B$1:$M$41,4,FALSE)="solvent_3"),VLOOKUP(8,Reagents!$B$1:$M$41,12,FALSE),IF(OR(Reagents!$Q$9="Stock slurry",Reagents!$Q$9="Stock solution"),CF23*CE23, CF23/VLOOKUP(8,Reagents!$B$1:$R$41,6,FALSE)*1000))</f>
        <v>#VALUE!</v>
      </c>
      <c r="CI23" s="214">
        <f>VLOOKUP(9,Reagents!$B$1:$M$41,2,FALSE)</f>
        <v>0</v>
      </c>
      <c r="CJ23" s="214">
        <f>VLOOKUP(9,Reagents!$B$1:$M$41,3,FALSE)</f>
        <v>0</v>
      </c>
      <c r="CK23" s="214" t="str">
        <f>IF(VLOOKUP(9,Reagents!$B$1:$M$41,5,FALSE)=0, "NULL", VLOOKUP(9,Reagents!$B$1:$M$41,5,FALSE))</f>
        <v>NULL</v>
      </c>
      <c r="CL23" s="214" t="str">
        <f>IF(OR(Reagents!$Q$10="Stock slurry",Reagents!$Q$10="Stock solution"),VLOOKUP(9,Reagents!$B$1:$R$41,13,FALSE), "NULL")</f>
        <v/>
      </c>
      <c r="CM23" s="362" t="str">
        <f>IF(OR(Reagents!$Q$10="Stock slurry",Reagents!$Q$10="Stock solution"),VLOOKUP(9,Reagents!$B$1:$R$41,14,FALSE), VLOOKUP(9,Reagents!$B$1:$R$41,11,FALSE))</f>
        <v/>
      </c>
      <c r="CN23" s="214">
        <f>VLOOKUP(9,Reagents!$B$1:$R$41,17,FALSE)</f>
        <v>0</v>
      </c>
      <c r="CO23" s="284" t="e">
        <f>IF(OR(VLOOKUP(9,Reagents!$B$1:$M$41,4,FALSE)="solvent_2",VLOOKUP(9,Reagents!$B$1:$M$41,4,FALSE)="solvent_3"),VLOOKUP(9,Reagents!$B$1:$M$41,12,FALSE),IF(OR(Reagents!$Q$10="Stock slurry",Reagents!$Q$10="Stock solution"),CM23*CL23, CM23/VLOOKUP(9,Reagents!$B$1:$R$41,6,FALSE)*1000))</f>
        <v>#VALUE!</v>
      </c>
      <c r="CP23" s="214">
        <f>VLOOKUP(10,Reagents!$B$1:$M$41,2,FALSE)</f>
        <v>0</v>
      </c>
      <c r="CQ23" s="214">
        <f>VLOOKUP(10,Reagents!$B$1:$M$41,3,FALSE)</f>
        <v>0</v>
      </c>
      <c r="CR23" s="214" t="str">
        <f>IF(VLOOKUP(10,Reagents!$B$1:$M$41,5,FALSE)=0, "NULL", VLOOKUP(10,Reagents!$B$1:$M$41,5,FALSE))</f>
        <v>NULL</v>
      </c>
      <c r="CS23" s="214" t="str">
        <f>IF(OR(Reagents!$Q$11="Stock slurry",Reagents!$Q$11="Stock solution"),VLOOKUP(10,Reagents!$B$1:$R$41,13,FALSE), "NULL")</f>
        <v/>
      </c>
      <c r="CT23" s="362" t="str">
        <f>IF(OR(Reagents!$Q$11="Stock slurry",Reagents!$Q$11="Stock solution"),VLOOKUP(10,Reagents!$B$1:$R$41,14,FALSE), VLOOKUP(10,Reagents!$B$1:$R$41,11,FALSE))</f>
        <v/>
      </c>
      <c r="CU23" s="214">
        <f>VLOOKUP(10,Reagents!$B$1:$R$41,17,FALSE)</f>
        <v>0</v>
      </c>
      <c r="CV23" s="284" t="e">
        <f>IF(OR(VLOOKUP(10,Reagents!$B$1:$M$41,4,FALSE)="solvent_2",VLOOKUP(10,Reagents!$B$1:$M$41,4,FALSE)="solvent_3"),VLOOKUP(10,Reagents!$B$1:$M$41,12,FALSE),IF(OR(Reagents!$Q$11="Stock slurry",Reagents!$Q$11="Stock solution"),CT23*CS23, CT23/VLOOKUP(10,Reagents!$B$1:$R$41,6,FALSE)*1000))</f>
        <v>#VALUE!</v>
      </c>
      <c r="CW23" s="214" t="str">
        <f>VLOOKUP(B23+10,Reagents!$B$1:$R$41,2,FALSE)</f>
        <v/>
      </c>
      <c r="CX23" s="214">
        <f>VLOOKUP(B23+10,Reagents!$B$1:$R$41,3,FALSE)</f>
        <v>0</v>
      </c>
      <c r="CY23" s="214" t="str">
        <f>IF(VLOOKUP(B23+10,Reagents!$B$1:$M$41,5,FALSE)=0, "NULL", VLOOKUP(B23+10,Reagents!$B$1:$M$41,5,FALSE))</f>
        <v>NULL</v>
      </c>
      <c r="CZ23" s="214" t="str">
        <f>IF(OR(Reagents!$Q$12="Stock slurry",Reagents!$Q$12="Stock solution"),VLOOKUP(B23+10,Reagents!$B$1:$R$41,13,FALSE), "NULL")</f>
        <v/>
      </c>
      <c r="DA23" s="362" t="str">
        <f>IF(OR(Reagents!$Q$12="Stock slurry",Reagents!$Q$12="Stock solution"),VLOOKUP(B23+10,Reagents!$B$1:$R$41,14,FALSE), VLOOKUP(B23+10,Reagents!$B$1:$R$41,11,FALSE))</f>
        <v/>
      </c>
      <c r="DB23" s="214">
        <f>VLOOKUP(B23+10,Reagents!$B$1:$R$41,17,FALSE)</f>
        <v>0</v>
      </c>
      <c r="DC23" s="284" t="e">
        <f>IF(OR(v1_col="solvent_2",v1_col="solvent_3"),VLOOKUP(B23+10,Reagents!$B$1:$M$41,12,FALSE),IF(OR(Reagents!$Q$12="Stock slurry",Reagents!$Q$12="Stock solution"),DA23*CZ23, DA23/VLOOKUP(B23+10,Reagents!$B$1:$R$41,6,FALSE)*1000))</f>
        <v>#VALUE!</v>
      </c>
      <c r="DD23" s="214" t="str">
        <f>VLOOKUP(B23+22,Reagents!$B$1:$M$41,2,FALSE)</f>
        <v/>
      </c>
      <c r="DE23" s="214">
        <f>VLOOKUP(B23+22,Reagents!$B$1:$R$41,3,FALSE)</f>
        <v>0</v>
      </c>
      <c r="DF23" s="214" t="str">
        <f>IF(VLOOKUP(B23+22,Reagents!$B$1:$M$41,5,FALSE)=0, "NULL", VLOOKUP(B23+22,Reagents!$B$1:$M$41,5,FALSE))</f>
        <v>NULL</v>
      </c>
      <c r="DG23" s="214" t="str">
        <f>IF(OR(Reagents!$Q$18="Stock slurry",Reagents!$Q$12="Stock solution"),VLOOKUP(B23+22,Reagents!$B$1:$R$41,13,FALSE), "NULL")</f>
        <v/>
      </c>
      <c r="DH23" s="362" t="str">
        <f>IF(OR(Reagents!$Q$18="Stock slurry",Reagents!$Q$18="Stock solution"),VLOOKUP(B23+22,Reagents!$B$1:$R$41,14,FALSE), VLOOKUP(B23+22,Reagents!$B$1:$R$41,11,FALSE))</f>
        <v/>
      </c>
      <c r="DI23" s="214">
        <f>VLOOKUP(B23+22,Reagents!$B$1:$R$41,17,FALSE)</f>
        <v>0</v>
      </c>
      <c r="DJ23" s="284" t="e">
        <f>IF(OR(v2_col="solvent_2",v2_col="solvent_3"),VLOOKUP(B23+22,Reagents!$B$1:$M$41,12,FALSE),IF(OR(Reagents!$Q$18="Stock slurry",Reagents!$Q$18="Stock solution"),DH23*DG23, DH23/VLOOKUP(B23+22,Reagents!$B$1:$R$41,6,FALSE)*1000))</f>
        <v>#VALUE!</v>
      </c>
      <c r="DK23" s="214" t="str">
        <f>VLOOKUP(B23+34,Reagents!$B$1:$M$41,2,FALSE)</f>
        <v/>
      </c>
      <c r="DL23" s="214">
        <f>VLOOKUP(B23+34,Reagents!$B$1:$R$41,3,FALSE)</f>
        <v>0</v>
      </c>
      <c r="DM23" s="214" t="str">
        <f>IF(VLOOKUP(B23+34,Reagents!$B$1:$M$41,5,FALSE)=0, "NULL", VLOOKUP(B23+34,Reagents!$B$1:$M$41,5,FALSE))</f>
        <v>NULL</v>
      </c>
      <c r="DN23" s="214" t="str">
        <f>IF(OR(Reagents!$Q$24="Stock slurry",Reagents!$Q$12="Stock solution"),VLOOKUP(B23+34,Reagents!$B$1:$R$41,13,FALSE), "NULL")</f>
        <v/>
      </c>
      <c r="DO23" s="362" t="str">
        <f>IF(OR(Reagents!$Q$24="Stock slurry",Reagents!$Q$24="Stock solution"),VLOOKUP(B23+34,Reagents!$B$1:$R$41,14,FALSE), VLOOKUP(B23+34,Reagents!$B$1:$R$41,11,FALSE))</f>
        <v/>
      </c>
      <c r="DP23" s="214">
        <f>VLOOKUP(B23+34,Reagents!$B$1:$R$41,17,FALSE)</f>
        <v>0</v>
      </c>
      <c r="DQ23" s="284" t="e">
        <f>IF(OR(v3_col="solvent_2",v3_col="solvent_3"),VLOOKUP(B23+34,Reagents!$B$1:$M$41,12,FALSE),IF(OR(Reagents!$Q$24="Stock slurry",Reagents!$Q$24="Stock solution"),DO23*DN23, DO23/VLOOKUP(B23+34,Reagents!$B$1:$R$41,6,FALSE)*1000))</f>
        <v>#VALUE!</v>
      </c>
      <c r="DR23" s="214" t="str">
        <f>VLOOKUP(C23+46,Reagents!$B$1:$M$41,2,FALSE)</f>
        <v/>
      </c>
      <c r="DS23" s="214">
        <f>VLOOKUP(C23+46,Reagents!$B$1:$M$41,3,FALSE)</f>
        <v>0</v>
      </c>
      <c r="DT23" s="214" t="str">
        <f>IF(VLOOKUP(C23+46,Reagents!$B$1:$M$41,5,FALSE)=0, "NULL", VLOOKUP(C23+46,Reagents!$B$1:$M$41,5,FALSE))</f>
        <v>NULL</v>
      </c>
      <c r="DU23" s="214" t="str">
        <f>IF(OR(Reagents!$Q$30="Stock slurry",Reagents!$Q$30="Stock solution"),VLOOKUP(C23+46,Reagents!$B$1:$R$41,13,FALSE), "NULL")</f>
        <v/>
      </c>
      <c r="DV23" s="362" t="str">
        <f>IF(OR(Reagents!$Q$30="Stock slurry",Reagents!$Q$30="Stock solution"),VLOOKUP(C23+46,Reagents!$B$1:$R$41,14,FALSE), VLOOKUP(C23+46,Reagents!$B$1:$R$41,11,FALSE))</f>
        <v/>
      </c>
      <c r="DW23" s="214">
        <f>VLOOKUP(C23+46,Reagents!$B$1:$R$41,17,FALSE)</f>
        <v>0</v>
      </c>
      <c r="DX23" s="284" t="e">
        <f>IF(OR(v4_row="solvent_2",v4_row="solvent_3"),VLOOKUP(C23+46,Reagents!$B$1:$M$41,12,FALSE),IF(OR(Reagents!$Q$30="Stock slurry",Reagents!$Q$30="Stock solution"),DV23*DU23, DV23/VLOOKUP(C23+46,Reagents!$B$1:$R$41,6,FALSE)*1000))</f>
        <v>#VALUE!</v>
      </c>
      <c r="DY23" s="214" t="str">
        <f>VLOOKUP(C23+54,Reagents!$B$1:$M$41,2,FALSE)</f>
        <v/>
      </c>
      <c r="DZ23" s="214">
        <f>VLOOKUP(C23+54,Reagents!$B$1:$M$41,3,FALSE)</f>
        <v>0</v>
      </c>
      <c r="EA23" s="214" t="str">
        <f>IF(VLOOKUP(C23+54,Reagents!$B$1:$M$41,5,FALSE)=0, "NULL", VLOOKUP(C23+54,Reagents!$B$1:$M$41,5,FALSE))</f>
        <v>NULL</v>
      </c>
      <c r="EB23" s="214" t="str">
        <f>IF(OR(Reagents!$Q$34="Stock slurry",Reagents!$Q$34="Stock solution"),VLOOKUP(C23+54,Reagents!$B$1:$R$41,13,FALSE), "NULL")</f>
        <v/>
      </c>
      <c r="EC23" s="362" t="str">
        <f>IF(OR(Reagents!$Q$34="Stock slurry",Reagents!$Q$34="Stock solution"),VLOOKUP(C23+54,Reagents!$B$1:$R$41,14,FALSE), VLOOKUP(C23+54,Reagents!$B$1:$R$41,11,FALSE))</f>
        <v/>
      </c>
      <c r="ED23" s="214">
        <f>VLOOKUP(C23+54,Reagents!$B$1:$R$41,17,FALSE)</f>
        <v>0</v>
      </c>
      <c r="EE23" s="284" t="e">
        <f>IF(OR(v5_row="solvent_2",v5_row="solvent_3"),VLOOKUP(C23+54,Reagents!$B$1:$M$41,12,FALSE),IF(OR(Reagents!$Q$34="Stock slurry",Reagents!$Q$34="Stock solution"),EC23*EB23, EC23/VLOOKUP(C23+54,Reagents!$B$1:$R$41,6,FALSE)*1000))</f>
        <v>#VALUE!</v>
      </c>
      <c r="EF23" s="214" t="str">
        <f>VLOOKUP(C23+62,Reagents!$B$1:$M$41,2,FALSE)</f>
        <v/>
      </c>
      <c r="EG23" s="214">
        <f>VLOOKUP(C23+62,Reagents!$B$1:$M$41,3,FALSE)</f>
        <v>0</v>
      </c>
      <c r="EH23" s="214" t="str">
        <f>IF(VLOOKUP(C23+62,Reagents!$B$1:$M$41,5,FALSE)=0, "NULL", VLOOKUP(C23+62,Reagents!$B$1:$M$41,5,FALSE))</f>
        <v>NULL</v>
      </c>
      <c r="EI23" s="214" t="str">
        <f>IF(OR(Reagents!$Q$38="Stock slurry",Reagents!$Q$38="Stock solution"),VLOOKUP(C23+62,Reagents!$B$1:$R$41,13,FALSE), "NULL")</f>
        <v/>
      </c>
      <c r="EJ23" s="362" t="str">
        <f>IF(OR(Reagents!$Q$38="Stock slurry",Reagents!$Q$38="Stock solution"),VLOOKUP(C23+62,Reagents!$B$1:$R$41,14,FALSE), VLOOKUP(C23+62,Reagents!$B$1:$R$41,11,FALSE))</f>
        <v/>
      </c>
      <c r="EK23" s="214">
        <f>VLOOKUP(C23+62,Reagents!$B$1:$R$41,17,FALSE)</f>
        <v>0</v>
      </c>
      <c r="EL23" s="284" t="e">
        <f>IF(OR(v6_row="solvent_2",v6_row="solvent_3"),VLOOKUP(C23+62,Reagents!$B$1:$M$41,12,FALSE),IF(OR(Reagents!$Q$38="Stock slurry",Reagents!$Q$38="Stock solution"),EJ23*EI23, EJ23/VLOOKUP(C23+62,Reagents!$B$1:$R$41,6,FALSE)*1000))</f>
        <v>#VALUE!</v>
      </c>
      <c r="EM23" s="214">
        <f>VLOOKUP(19,'Plate Planning'!$A$1:$T$35,13,FALSE)</f>
        <v>0</v>
      </c>
      <c r="EN23" s="214">
        <f>VLOOKUP(19,'Plate Planning'!$A$1:$T$35,14,FALSE)</f>
        <v>0</v>
      </c>
      <c r="EO23" s="214">
        <f>VLOOKUP(19,'Plate Planning'!$A$1:$T$35,15,FALSE)</f>
        <v>0</v>
      </c>
      <c r="EP23" s="214">
        <f>VLOOKUP(A23,'Uncorrected Area Counts'!$A$1:$AS$27,3,FALSE)</f>
        <v>0</v>
      </c>
      <c r="EQ23" s="214" t="str">
        <f>VLOOKUP(A23,'Uncorrected Area Counts'!$A$1:$AS$27,4,FALSE)</f>
        <v/>
      </c>
      <c r="ER23" s="214" t="str">
        <f>VLOOKUP(A23,'Uncorrected Area Counts'!$A$1:$AS$27,5,FALSE)</f>
        <v/>
      </c>
      <c r="ES23" s="214">
        <f>VLOOKUP(20,'Plate Planning'!$A$1:$T$35,15,FALSE)</f>
        <v>0</v>
      </c>
      <c r="ET23" s="214">
        <f>VLOOKUP(A23,'Uncorrected Area Counts'!$A$1:$AS$27,7,FALSE)</f>
        <v>0</v>
      </c>
      <c r="EU23" s="214" t="e">
        <f>VLOOKUP(A23,'Uncorrected Area Counts'!$A$1:$AS$27,7,FALSE)/VLOOKUP(A23,'Uncorrected Area Counts'!$A$1:$AS$27,3,FALSE)</f>
        <v>#DIV/0!</v>
      </c>
      <c r="EV23" s="214" t="str">
        <f>IFERROR(VLOOKUP(A23,'Yields &amp; LCAPs'!$A$1:$V$27,3,FALSE), "NULL")</f>
        <v>NULL</v>
      </c>
      <c r="EW23" s="284" t="str">
        <f>IFERROR(VLOOKUP(A23,'Yields &amp; LCAPs'!$A$1:$V$27,4,FALSE), "NULL")</f>
        <v>NULL</v>
      </c>
      <c r="EX23" s="214" t="str">
        <f>VLOOKUP(A23,'Uncorrected Area Counts'!$A$1:$AS$27,8,FALSE)</f>
        <v/>
      </c>
      <c r="EY23" s="214" t="str">
        <f>VLOOKUP(A23,'Uncorrected Area Counts'!$A$1:$AS$27,9,FALSE)</f>
        <v/>
      </c>
      <c r="EZ23" s="214">
        <f>VLOOKUP(22,'Plate Planning'!$A$1:$T$35,15,FALSE)</f>
        <v>0</v>
      </c>
      <c r="FA23" s="214">
        <f>VLOOKUP(A23,'Uncorrected Area Counts'!$A$1:$AS$27,11,FALSE)</f>
        <v>0</v>
      </c>
      <c r="FB23" s="214" t="e">
        <f>VLOOKUP(A23,'Uncorrected Area Counts'!$A$1:$AS$27,11,FALSE)/VLOOKUP(A23,'Uncorrected Area Counts'!$A$1:$AS$27,3,FALSE)</f>
        <v>#DIV/0!</v>
      </c>
      <c r="FC23" s="214" t="str">
        <f>IFERROR(VLOOKUP(A23,'Yields &amp; LCAPs'!$A$1:$V$27,5,FALSE), "NULL")</f>
        <v>NULL</v>
      </c>
      <c r="FD23" s="284" t="str">
        <f>IFERROR(VLOOKUP(A23,'Yields &amp; LCAPs'!$A$1:$V$27,6,FALSE), "NULL")</f>
        <v>NULL</v>
      </c>
      <c r="FE23" s="214" t="str">
        <f>VLOOKUP(A23,'Uncorrected Area Counts'!$A$1:$AS$27,12,FALSE)</f>
        <v/>
      </c>
      <c r="FF23" s="214" t="str">
        <f>VLOOKUP(A23,'Uncorrected Area Counts'!$A$1:$AS$27,13,FALSE)</f>
        <v/>
      </c>
      <c r="FG23" s="214">
        <f>VLOOKUP(24,'Plate Planning'!$A$1:$T$35,15,FALSE)</f>
        <v>0</v>
      </c>
      <c r="FH23" s="214">
        <f>VLOOKUP(A23,'Uncorrected Area Counts'!$A$1:$AS$27,15,FALSE)</f>
        <v>0</v>
      </c>
      <c r="FI23" s="214" t="e">
        <f>VLOOKUP(A23,'Uncorrected Area Counts'!$A$1:$AS$27,15,FALSE)/VLOOKUP(A23,'Uncorrected Area Counts'!$A$1:$AS$27,3,FALSE)</f>
        <v>#DIV/0!</v>
      </c>
      <c r="FJ23" s="214" t="str">
        <f>IFERROR(VLOOKUP(A23,'Yields &amp; LCAPs'!$A$1:$V$27,7,FALSE), "NULL")</f>
        <v>NULL</v>
      </c>
      <c r="FK23" s="284" t="str">
        <f>IFERROR(VLOOKUP(A23,'Yields &amp; LCAPs'!$A$1:$V$27,8,FALSE), "NULL")</f>
        <v>NULL</v>
      </c>
      <c r="FL23" s="214" t="str">
        <f>VLOOKUP(A23,'Uncorrected Area Counts'!$A$1:$AS$27,16,FALSE)</f>
        <v/>
      </c>
      <c r="FM23" s="214" t="str">
        <f>VLOOKUP(A23,'Uncorrected Area Counts'!$A$1:$AS$27,17,FALSE)</f>
        <v/>
      </c>
      <c r="FN23" s="214">
        <f>VLOOKUP(26,'Plate Planning'!$A$1:$T$35,15,FALSE)</f>
        <v>0</v>
      </c>
      <c r="FO23" s="214">
        <f>VLOOKUP(A23,'Uncorrected Area Counts'!$A$1:$AS$27,19,FALSE)</f>
        <v>0</v>
      </c>
      <c r="FP23" s="214" t="e">
        <f>VLOOKUP(A23,'Uncorrected Area Counts'!$A$1:$AS$27,19,FALSE)/VLOOKUP(A23,'Uncorrected Area Counts'!$A$1:$AS$27,3,FALSE)</f>
        <v>#DIV/0!</v>
      </c>
      <c r="FQ23" s="214" t="str">
        <f>IFERROR(VLOOKUP(A23,'Yields &amp; LCAPs'!$A$1:$V$27,9,FALSE), "NULL")</f>
        <v>NULL</v>
      </c>
      <c r="FR23" s="284" t="str">
        <f>IFERROR(VLOOKUP(A23,'Yields &amp; LCAPs'!$A$1:$V$27,10,FALSE), "NULL")</f>
        <v>NULL</v>
      </c>
      <c r="FS23" s="214" t="str">
        <f>VLOOKUP(A23,'Uncorrected Area Counts'!$A$1:$AS$27,20,FALSE)</f>
        <v/>
      </c>
      <c r="FT23" s="214" t="str">
        <f>VLOOKUP(A23,'Uncorrected Area Counts'!$A$1:$AS$27,21,FALSE)</f>
        <v/>
      </c>
      <c r="FU23" s="214">
        <f>VLOOKUP(27,'Plate Planning'!$A$1:$T$35,15,FALSE)</f>
        <v>0</v>
      </c>
      <c r="FV23" s="214">
        <f>VLOOKUP(A23,'Uncorrected Area Counts'!$A$1:$AS$27,23,FALSE)</f>
        <v>0</v>
      </c>
      <c r="FW23" s="214" t="e">
        <f>VLOOKUP(A23,'Uncorrected Area Counts'!$A$1:$AS$27,23,FALSE)/VLOOKUP(A23,'Uncorrected Area Counts'!$A$1:$AS$27,3,FALSE)</f>
        <v>#DIV/0!</v>
      </c>
      <c r="FX23" s="214" t="str">
        <f>IFERROR(VLOOKUP(A23,'Yields &amp; LCAPs'!$A$1:$V$27,11,FALSE), "NULL")</f>
        <v>NULL</v>
      </c>
      <c r="FY23" s="284" t="str">
        <f>IFERROR(VLOOKUP(A23,'Yields &amp; LCAPs'!$A$1:$V$27,12,FALSE), "NULL")</f>
        <v>NULL</v>
      </c>
      <c r="FZ23" s="411" t="str">
        <f>VLOOKUP(A23,'Uncorrected Area Counts'!$A$1:$AS$27,24,FALSE)</f>
        <v/>
      </c>
      <c r="GA23" s="214" t="str">
        <f>VLOOKUP(A23,'Uncorrected Area Counts'!$A$1:$AS$27,25,FALSE)</f>
        <v/>
      </c>
      <c r="GB23" s="214">
        <f>VLOOKUP(28,'Plate Planning'!$A$1:$T$35,15,FALSE)</f>
        <v>0</v>
      </c>
      <c r="GC23" s="214">
        <f>VLOOKUP(A23,'Uncorrected Area Counts'!$A$1:$AS$27,27,FALSE)</f>
        <v>0</v>
      </c>
      <c r="GD23" s="214" t="e">
        <f>VLOOKUP(A23,'Uncorrected Area Counts'!$A$1:$AS$27,27,FALSE)/VLOOKUP(A23,'Uncorrected Area Counts'!$A$1:$AS$27,3,FALSE)</f>
        <v>#DIV/0!</v>
      </c>
      <c r="GE23" s="214" t="str">
        <f>IFERROR(VLOOKUP(A23,'Yields &amp; LCAPs'!$A$1:$V$27,13,FALSE), "NULL")</f>
        <v>NULL</v>
      </c>
      <c r="GF23" s="284" t="str">
        <f>IFERROR(VLOOKUP(A23,'Yields &amp; LCAPs'!$A$1:$V$27,14,FALSE), "NULL")</f>
        <v>NULL</v>
      </c>
      <c r="GG23" s="214" t="str">
        <f>VLOOKUP(A23,'Uncorrected Area Counts'!$A$1:$AS$27,28,FALSE)</f>
        <v/>
      </c>
      <c r="GH23" s="214" t="str">
        <f>VLOOKUP(A23,'Uncorrected Area Counts'!$A$1:$AS$27,29,FALSE)</f>
        <v/>
      </c>
      <c r="GI23" s="214">
        <f>VLOOKUP(29,'Plate Planning'!$A$1:$T$35,15,FALSE)</f>
        <v>0</v>
      </c>
      <c r="GJ23" s="214">
        <f>VLOOKUP(A23,'Uncorrected Area Counts'!$A$1:$AS$27,31,FALSE)</f>
        <v>0</v>
      </c>
      <c r="GK23" s="214" t="e">
        <f>VLOOKUP(A23,'Uncorrected Area Counts'!$A$1:$AS$27,31,FALSE)/VLOOKUP(A23,'Uncorrected Area Counts'!$A$1:$AS$27,3,FALSE)</f>
        <v>#DIV/0!</v>
      </c>
      <c r="GL23" s="214" t="str">
        <f>IFERROR(VLOOKUP(A23,'Yields &amp; LCAPs'!$A$1:$V$27,15,FALSE), "NULL")</f>
        <v>NULL</v>
      </c>
      <c r="GM23" s="284" t="str">
        <f>IFERROR(VLOOKUP(A23,'Yields &amp; LCAPs'!$A$1:$V$27,16,FALSE), "NULL")</f>
        <v>NULL</v>
      </c>
      <c r="GN23" s="214" t="str">
        <f>VLOOKUP(A23,'Uncorrected Area Counts'!$A$1:$AS$27,32,FALSE)</f>
        <v/>
      </c>
      <c r="GO23" s="214" t="str">
        <f>VLOOKUP(A23,'Uncorrected Area Counts'!$A$1:$AS$27,33,FALSE)</f>
        <v/>
      </c>
      <c r="GP23" s="214">
        <f>VLOOKUP(30,'Plate Planning'!$A$1:$T$35,15,FALSE)</f>
        <v>0</v>
      </c>
      <c r="GQ23" s="214">
        <f>VLOOKUP(A23,'Uncorrected Area Counts'!$A$1:$AS$27,35,FALSE)</f>
        <v>0</v>
      </c>
      <c r="GR23" s="214" t="e">
        <f>VLOOKUP(A23,'Uncorrected Area Counts'!$A$1:$AS$27,35,FALSE)/VLOOKUP(A23,'Uncorrected Area Counts'!$A$1:$AS$27,3,FALSE)</f>
        <v>#DIV/0!</v>
      </c>
      <c r="GS23" s="214" t="str">
        <f>IFERROR(VLOOKUP(A23,'Yields &amp; LCAPs'!$A$1:$V$27,17,FALSE), "NULL")</f>
        <v>NULL</v>
      </c>
      <c r="GT23" s="284" t="str">
        <f>IFERROR(VLOOKUP(A23,'Yields &amp; LCAPs'!$A$1:$V$27,18,FALSE), "NULL")</f>
        <v>NULL</v>
      </c>
      <c r="GU23" s="214" t="str">
        <f>VLOOKUP(A23,'Uncorrected Area Counts'!$A$1:$AS$27,36,FALSE)</f>
        <v/>
      </c>
      <c r="GV23" s="214" t="str">
        <f>VLOOKUP(A23,'Uncorrected Area Counts'!$A$1:$AS$27,37,FALSE)</f>
        <v/>
      </c>
      <c r="GW23" s="214">
        <f>VLOOKUP(31,'Plate Planning'!$A$1:$T$35,15,FALSE)</f>
        <v>0</v>
      </c>
      <c r="GX23" s="214">
        <f>VLOOKUP(A23,'Uncorrected Area Counts'!$A$1:$AS$27,39,FALSE)</f>
        <v>0</v>
      </c>
      <c r="GY23" s="214" t="e">
        <f>VLOOKUP(A23,'Uncorrected Area Counts'!$A$1:$AS$27,39,FALSE)/VLOOKUP(A23,'Uncorrected Area Counts'!$A$1:$AS$27,3,FALSE)</f>
        <v>#DIV/0!</v>
      </c>
      <c r="GZ23" s="214" t="str">
        <f>IFERROR(VLOOKUP(A23,'Yields &amp; LCAPs'!$A$1:$V$27,19,FALSE), "NULL")</f>
        <v>NULL</v>
      </c>
      <c r="HA23" s="284" t="str">
        <f>IFERROR(VLOOKUP(A23,'Yields &amp; LCAPs'!$A$1:$V$27,20,FALSE), "NULL")</f>
        <v>NULL</v>
      </c>
      <c r="HB23" s="214" t="str">
        <f>VLOOKUP(A23,'Uncorrected Area Counts'!$A$1:$AS$27,40,FALSE)</f>
        <v/>
      </c>
      <c r="HC23" s="214" t="str">
        <f>VLOOKUP(A23,'Uncorrected Area Counts'!$A$1:$AS$27,41,FALSE)</f>
        <v/>
      </c>
      <c r="HD23" s="214">
        <f>VLOOKUP(32,'Plate Planning'!$A$1:$T$35,15,FALSE)</f>
        <v>0</v>
      </c>
      <c r="HE23" s="214">
        <f>VLOOKUP(A23,'Uncorrected Area Counts'!$A$1:$AS$27,43,FALSE)</f>
        <v>0</v>
      </c>
      <c r="HF23" s="214" t="e">
        <f>VLOOKUP(A23,'Uncorrected Area Counts'!$A$1:$AS$27,43,FALSE)/VLOOKUP(A23,'Uncorrected Area Counts'!$A$1:$AS$27,3,FALSE)</f>
        <v>#DIV/0!</v>
      </c>
      <c r="HG23" s="214" t="str">
        <f>IFERROR(VLOOKUP(A23,'Yields &amp; LCAPs'!$A$1:$V$27,21,FALSE), "NULL")</f>
        <v>NULL</v>
      </c>
      <c r="HH23" s="284" t="str">
        <f>IFERROR(VLOOKUP(A23,'Yields &amp; LCAPs'!$A$1:$V$27,22,FALSE), "NULL")</f>
        <v>NULL</v>
      </c>
      <c r="HI23" s="362"/>
      <c r="HJ23" s="362"/>
      <c r="HK23" s="362"/>
      <c r="HL23" s="362"/>
      <c r="HM23" s="363"/>
      <c r="HN23" s="362"/>
      <c r="HO23" s="362"/>
      <c r="HP23" s="362"/>
      <c r="HQ23" s="362"/>
      <c r="HR23" s="363"/>
    </row>
    <row r="24" spans="1:226">
      <c r="A24" s="216" t="s">
        <v>1201</v>
      </c>
      <c r="B24" s="214">
        <v>5</v>
      </c>
      <c r="C24" s="214">
        <v>4</v>
      </c>
      <c r="D24" s="214" t="str">
        <f>VLOOKUP(18,'Plate Planning'!$A$1:$T$35,10,FALSE)&amp;"_"&amp;VLOOKUP(19,'Plate Planning'!$A$1:$T$35,10,FALSE)&amp;"_"&amp;A24</f>
        <v>__D5</v>
      </c>
      <c r="E24" s="214" t="str">
        <f>IF(VLOOKUP(18,'Plate Planning'!$A$1:$T$35,10,FALSE)="", "NULL", VLOOKUP(18,'Plate Planning'!$A$1:$T$35,10,FALSE))</f>
        <v>NULL</v>
      </c>
      <c r="F24" s="214" t="str">
        <f>IF(VLOOKUP(19,'Plate Planning'!$A$1:$T$35,10,FALSE)="", "NULL", VLOOKUP(19,'Plate Planning'!$A$1:$T$35,10,FALSE))</f>
        <v>NULL</v>
      </c>
      <c r="G24" s="214" t="str">
        <f>IF(VLOOKUP(20,'Plate Planning'!$A$1:$T$35,10,FALSE)="", "NULL", VLOOKUP(20,'Plate Planning'!$A$1:$T$35,10,FALSE))</f>
        <v>NULL</v>
      </c>
      <c r="H24" s="214" t="str">
        <f>IF(VLOOKUP(21,'Plate Planning'!$A$1:$T$35,10,FALSE)="", "NULL", VLOOKUP(21,'Plate Planning'!$A$1:$T$35,10,FALSE))</f>
        <v>NULL</v>
      </c>
      <c r="I24" s="214" t="str">
        <f>IF(VLOOKUP(23,'Plate Planning'!$A$1:$T$35,10,FALSE)="", "NULL", VLOOKUP(23,'Plate Planning'!$A$1:$T$35,10,FALSE))</f>
        <v>NULL</v>
      </c>
      <c r="J24" s="214" t="str">
        <f>IF(VLOOKUP(22,'Plate Planning'!$A$1:$T$35,10,FALSE)="", "NULL", VLOOKUP(22,'Plate Planning'!$A$1:$T$35,10,FALSE))</f>
        <v>NULL</v>
      </c>
      <c r="K24" s="214" t="str">
        <f>VLOOKUP(24,'Plate Planning'!$A$1:$T$35,10,FALSE)</f>
        <v>Glovebox</v>
      </c>
      <c r="L24" s="214" t="str">
        <f>IF(VLOOKUP(25,'Plate Planning'!$A$1:$T$35,10,FALSE)="","NULL",VLOOKUP(25,'Plate Planning'!$A$1:$T$35,10,FALSE))</f>
        <v>NULL</v>
      </c>
      <c r="M24" s="214" t="str">
        <f>VLOOKUP(26,'Plate Planning'!$A$1:$T$35,10,FALSE)</f>
        <v>ambient</v>
      </c>
      <c r="N24" s="214" t="str">
        <f>IF(VLOOKUP(27,'Plate Planning'!$A$1:$T$35,10,FALSE)=0,"NULL", VLOOKUP(27,'Plate Planning'!$A$1:$T$35,10,FALSE))</f>
        <v>NULL</v>
      </c>
      <c r="O24" s="214" t="str">
        <f>IF(VLOOKUP(3,'Plate Planning'!$A$2:$S$35,18,FALSE)="", "NULL", VLOOKUP(3,'Plate Planning'!$A$2:$S$35,18,FALSE))</f>
        <v>NULL</v>
      </c>
      <c r="P24" s="214" t="str">
        <f>IF(VLOOKUP(4,'Plate Planning'!$A$2:$S$35,18,FALSE)="", "NULL", VLOOKUP(4,'Plate Planning'!$A$2:$S$35,18,FALSE))</f>
        <v>NULL</v>
      </c>
      <c r="Q24" s="214" t="str">
        <f>IF(VLOOKUP(5,'Plate Planning'!$A$2:$S$35,18,FALSE)="", "NULL", VLOOKUP(5,'Plate Planning'!$A$2:$S$35,18,FALSE))</f>
        <v>NULL</v>
      </c>
      <c r="R24" s="214" t="str">
        <f>IF(VLOOKUP(6,'Plate Planning'!$A$2:$S$35,18,FALSE)="", "NULL", VLOOKUP(6,'Plate Planning'!$A$2:$S$35,18,FALSE))</f>
        <v>NULL</v>
      </c>
      <c r="S24" s="214" t="str">
        <f>IF(VLOOKUP(7,'Plate Planning'!$A$2:$S$35,18,FALSE)="", "NULL", VLOOKUP(7,'Plate Planning'!$A$2:$S$35,18,FALSE))</f>
        <v>NULL</v>
      </c>
      <c r="T24" s="214" t="str">
        <f>IF(VLOOKUP(28,'Plate Planning'!$A$1:$T$35,10,FALSE)=0,"NULL",VLOOKUP(28,'Plate Planning'!$A$1:$T$35,10,FALSE))</f>
        <v>NULL</v>
      </c>
      <c r="U24" s="214" t="str">
        <f>IFERROR(VLOOKUP(VLOOKUP(28,'Plate Planning'!$A$1:$T$35,10,FALSE),Dictionaries!$Q$2:$R$72,2,FALSE), "NULL")</f>
        <v>NULL</v>
      </c>
      <c r="V24" s="214" t="str">
        <f>IF(VLOOKUP(28,'Plate Planning'!$A$1:$T$35,10,FALSE)=0,"NULL",VLOOKUP(32,'Plate Planning'!$A$1:$T$35,10,FALSE))</f>
        <v>NULL</v>
      </c>
      <c r="W24" s="214" t="str">
        <f>IF(VLOOKUP(C24+3,'Plate Planning'!$A$1:$S$35,B24+4,FALSE)=0, "", VLOOKUP(C24+3,'Plate Planning'!$A$1:$S$35,B24+4,FALSE))</f>
        <v/>
      </c>
      <c r="X24" s="214" t="str">
        <f>IFERROR(VLOOKUP(W24,'Complex Variable'!$A$2:$S$25,2,FALSE), "")</f>
        <v/>
      </c>
      <c r="Y24" s="327" t="str">
        <f>IFERROR(VLOOKUP(W24,'Complex Variable'!$A$2:$S$25,3,FALSE), "")</f>
        <v/>
      </c>
      <c r="Z24" s="327" t="str">
        <f>IFERROR(VLOOKUP(W24,'Complex Variable'!$A$2:$S$25,5,FALSE), "")</f>
        <v/>
      </c>
      <c r="AA24" s="327" t="str">
        <f>IFERROR(VLOOKUP(W24,'Complex Variable'!$A$2:$S$25,14,FALSE), "")</f>
        <v/>
      </c>
      <c r="AB24" s="602" t="str">
        <f>IFERROR(VLOOKUP(W24,'Complex Variable'!$A$2:$S$25,19,FALSE), "")</f>
        <v/>
      </c>
      <c r="AC24" s="327" t="str">
        <f>IFERROR(VLOOKUP(W24,'Complex Variable'!$A$2:$S$25,13,FALSE), "")</f>
        <v/>
      </c>
      <c r="AD24" s="604" t="str">
        <f t="shared" si="0"/>
        <v/>
      </c>
      <c r="AE24" s="214">
        <f>VLOOKUP(1,Reagents!$B$1:$M$41,2,FALSE)</f>
        <v>0</v>
      </c>
      <c r="AF24" s="214">
        <f>VLOOKUP(1,Reagents!$B$1:$M$41,3,FALSE)</f>
        <v>0</v>
      </c>
      <c r="AG24" s="214" t="str">
        <f>IF(VLOOKUP(1,Reagents!$B$1:$M$41,5,FALSE)=0, "NULL", VLOOKUP(1,Reagents!$B$1:$M$41,5,FALSE))</f>
        <v>NULL</v>
      </c>
      <c r="AH24" s="214" t="str">
        <f>IF(OR(Reagents!$Q$2="Stock slurry",Reagents!$Q$2="Stock solution"),VLOOKUP(1,Reagents!$B$1:$R$41,13,FALSE), "NULL")</f>
        <v/>
      </c>
      <c r="AI24" s="362" t="str">
        <f>IF(OR(Reagents!$Q$2="Stock slurry",Reagents!$Q$2="Stock solution"),VLOOKUP(1,Reagents!$B$1:$R$41,14,FALSE), VLOOKUP(1,Reagents!$B$1:$R$41,11,FALSE))</f>
        <v/>
      </c>
      <c r="AJ24" s="214">
        <f>VLOOKUP(1,Reagents!$B$1:$R$41,17,FALSE)</f>
        <v>0</v>
      </c>
      <c r="AK24" s="284" t="e">
        <f>IF(OR(VLOOKUP(1,Reagents!$B$1:$M$41,4,FALSE)="solvent_2",VLOOKUP(1,Reagents!$B$1:$M$41,4,FALSE)="solvent_3"),VLOOKUP(1,Reagents!$B$1:$M$41,12,FALSE),IF(OR(Reagents!$Q$2="Stock slurry",Reagents!$Q$2="Stock solution"),AI24*AH24, AI24/VLOOKUP(1,Reagents!$B$1:$R$41,6,FALSE)*1000))</f>
        <v>#VALUE!</v>
      </c>
      <c r="AL24" s="214">
        <f>VLOOKUP(2,Reagents!$B$1:$M$41,2,FALSE)</f>
        <v>0</v>
      </c>
      <c r="AM24" s="214">
        <f>VLOOKUP(2,Reagents!$B$1:$M$41,3,FALSE)</f>
        <v>0</v>
      </c>
      <c r="AN24" s="214" t="str">
        <f>IF(VLOOKUP(2,Reagents!$B$1:$M$41,5,FALSE)=0, "NULL", VLOOKUP(2,Reagents!$B$1:$M$41,5,FALSE))</f>
        <v>NULL</v>
      </c>
      <c r="AO24" s="214" t="str">
        <f>IF(OR(Reagents!$Q$3="Stock slurry",Reagents!$Q$3="Stock solution"),VLOOKUP(2,Reagents!$B$1:$R$41,13,FALSE), "NULL")</f>
        <v/>
      </c>
      <c r="AP24" s="362" t="str">
        <f>IF(OR(Reagents!$Q$3="Stock slurry",Reagents!$Q$3="Stock solution"),VLOOKUP(2,Reagents!$B$1:$R$41,14,FALSE), VLOOKUP(2,Reagents!$B$1:$R$41,11,FALSE))</f>
        <v/>
      </c>
      <c r="AQ24" s="214">
        <f>VLOOKUP(2,Reagents!$B$1:$R$41,17,FALSE)</f>
        <v>0</v>
      </c>
      <c r="AR24" s="284" t="e">
        <f>IF(OR(VLOOKUP(2,Reagents!$B$1:$M$41,4,FALSE)="solvent_2",VLOOKUP(2,Reagents!$B$1:$M$41,4,FALSE)="solvent_3"),VLOOKUP(2,Reagents!$B$1:$M$41,12,FALSE),IF(OR(Reagents!$Q$3="Stock slurry",Reagents!$Q$3="Stock solution"),AP24*AO24, AP24/VLOOKUP(2,Reagents!$B$1:$R$41,6,FALSE)*1000))</f>
        <v>#VALUE!</v>
      </c>
      <c r="AS24" s="214">
        <f>VLOOKUP(3,Reagents!$B$1:$M$41,2,FALSE)</f>
        <v>0</v>
      </c>
      <c r="AT24" s="214">
        <f>VLOOKUP(3,Reagents!$B$1:$M$41,3,FALSE)</f>
        <v>0</v>
      </c>
      <c r="AU24" s="214" t="str">
        <f>IF(VLOOKUP(3,Reagents!$B$1:$M$41,5,FALSE)=0, "NULL", VLOOKUP(3,Reagents!$B$1:$M$41,5,FALSE))</f>
        <v>NULL</v>
      </c>
      <c r="AV24" s="214" t="str">
        <f>IF(OR(Reagents!$Q$4="Stock slurry",Reagents!$Q$4="Stock solution"),VLOOKUP(3,Reagents!$B$1:$R$41,13,FALSE), "NULL")</f>
        <v/>
      </c>
      <c r="AW24" s="362" t="str">
        <f>IF(OR(Reagents!$Q$4="Stock slurry",Reagents!$Q$4="Stock solution"),VLOOKUP(3,Reagents!$B$1:$R$41,14,FALSE), VLOOKUP(3,Reagents!$B$1:$R$41,11,FALSE))</f>
        <v/>
      </c>
      <c r="AX24" s="214">
        <f>VLOOKUP(3,Reagents!$B$1:$R$41,17,FALSE)</f>
        <v>0</v>
      </c>
      <c r="AY24" s="284" t="e">
        <f>IF(OR(VLOOKUP(3,Reagents!$B$1:$M$41,4,FALSE)="solvent_2",VLOOKUP(3,Reagents!$B$1:$M$41,4,FALSE)="solvent_3"),VLOOKUP(3,Reagents!$B$1:$M$41,12,FALSE),IF(OR(Reagents!$Q$4="Stock slurry",Reagents!$Q$4="Stock solution"),AW24*AV24, AW24/VLOOKUP(3,Reagents!$B$1:$R$41,6,FALSE)*1000))</f>
        <v>#VALUE!</v>
      </c>
      <c r="AZ24" s="214">
        <f>VLOOKUP(4,Reagents!$B$1:$M$41,2,FALSE)</f>
        <v>0</v>
      </c>
      <c r="BA24" s="214">
        <f>VLOOKUP(4,Reagents!$B$1:$M$41,3,FALSE)</f>
        <v>0</v>
      </c>
      <c r="BB24" s="214" t="str">
        <f>IF(VLOOKUP(4,Reagents!$B$1:$M$41,5,FALSE)=0, "NULL", VLOOKUP(4,Reagents!$B$1:$M$41,5,FALSE))</f>
        <v>NULL</v>
      </c>
      <c r="BC24" s="214" t="str">
        <f>IF(OR(Reagents!$Q$5="Stock slurry",Reagents!$Q$5="Stock solution"),VLOOKUP(4,Reagents!$B$1:$R$41,13,FALSE), "NULL")</f>
        <v/>
      </c>
      <c r="BD24" s="362" t="str">
        <f>IF(OR(Reagents!$Q$5="Stock slurry",Reagents!$Q$5="Stock solution"),VLOOKUP(4,Reagents!$B$1:$R$41,14,FALSE), VLOOKUP(4,Reagents!$B$1:$R$41,11,FALSE))</f>
        <v/>
      </c>
      <c r="BE24" s="214">
        <f>VLOOKUP(4,Reagents!$B$1:$R$41,17,FALSE)</f>
        <v>0</v>
      </c>
      <c r="BF24" s="284" t="e">
        <f>IF(OR(VLOOKUP(4,Reagents!$B$1:$M$41,4,FALSE)="solvent_2",VLOOKUP(4,Reagents!$B$1:$M$41,4,FALSE)="solvent_3"),VLOOKUP(4,Reagents!$B$1:$M$41,12,FALSE),IF(OR(Reagents!$Q$5="Stock slurry",Reagents!$Q$5="Stock solution"),BD24*BC24, BD24/VLOOKUP(4,Reagents!$B$1:$R$41,6,FALSE)*1000))</f>
        <v>#VALUE!</v>
      </c>
      <c r="BG24" s="214">
        <f>VLOOKUP(5,Reagents!$B$1:$M$41,2,FALSE)</f>
        <v>0</v>
      </c>
      <c r="BH24" s="214">
        <f>VLOOKUP(5,Reagents!$B$1:$M$41,3,FALSE)</f>
        <v>0</v>
      </c>
      <c r="BI24" s="214" t="str">
        <f>IF(VLOOKUP(5,Reagents!$B$1:$M$41,5,FALSE)=0, "NULL", VLOOKUP(5,Reagents!$B$1:$M$41,5,FALSE))</f>
        <v>NULL</v>
      </c>
      <c r="BJ24" s="214" t="str">
        <f>IF(OR(Reagents!$Q$6="Stock slurry",Reagents!$Q$6="Stock solution"),VLOOKUP(5,Reagents!$B$1:$R$41,13,FALSE), "NULL")</f>
        <v/>
      </c>
      <c r="BK24" s="362" t="str">
        <f>IF(OR(Reagents!$Q$6="Stock slurry",Reagents!$Q$6="Stock solution"),VLOOKUP(5,Reagents!$B$1:$R$41,14,FALSE), VLOOKUP(5,Reagents!$B$1:$R$41,11,FALSE))</f>
        <v/>
      </c>
      <c r="BL24" s="214">
        <f>VLOOKUP(5,Reagents!$B$1:$R$41,17,FALSE)</f>
        <v>0</v>
      </c>
      <c r="BM24" s="284" t="e">
        <f>IF(OR(VLOOKUP(5,Reagents!$B$1:$M$41,4,FALSE)="solvent_2",VLOOKUP(5,Reagents!$B$1:$M$41,4,FALSE)="solvent_3"),VLOOKUP(5,Reagents!$B$1:$M$41,12,FALSE),IF(OR(Reagents!$Q$6="Stock slurry",Reagents!$Q$6="Stock solution"),BK24*BJ24, BK24/VLOOKUP(5,Reagents!$B$1:$R$41,6,FALSE)*1000))</f>
        <v>#VALUE!</v>
      </c>
      <c r="BN24" s="214">
        <f>VLOOKUP(6,Reagents!$B$1:$M$41,2,FALSE)</f>
        <v>0</v>
      </c>
      <c r="BO24" s="214">
        <f>VLOOKUP(6,Reagents!$B$1:$M$41,3,FALSE)</f>
        <v>0</v>
      </c>
      <c r="BP24" s="214" t="str">
        <f>IF(VLOOKUP(6,Reagents!$B$1:$M$41,5,FALSE)=0, "NULL", VLOOKUP(6,Reagents!$B$1:$M$41,5,FALSE))</f>
        <v>NULL</v>
      </c>
      <c r="BQ24" s="214" t="str">
        <f>IF(OR(Reagents!$Q$7="Stock slurry",Reagents!$Q$7="Stock solution"),VLOOKUP(6,Reagents!$B$1:$R$41,13,FALSE), "NULL")</f>
        <v/>
      </c>
      <c r="BR24" s="362" t="str">
        <f>IF(OR(Reagents!$Q$7="Stock slurry",Reagents!$Q$7="Stock solution"),VLOOKUP(6,Reagents!$B$1:$R$41,14,FALSE), VLOOKUP(6,Reagents!$B$1:$R$41,11,FALSE))</f>
        <v/>
      </c>
      <c r="BS24" s="214">
        <f>VLOOKUP(6,Reagents!$B$1:$R$41,17,FALSE)</f>
        <v>0</v>
      </c>
      <c r="BT24" s="284" t="e">
        <f>IF(OR(VLOOKUP(6,Reagents!$B$1:$M$41,4,FALSE)="solvent_2",VLOOKUP(6,Reagents!$B$1:$M$41,4,FALSE)="solvent_3"),VLOOKUP(6,Reagents!$B$1:$M$41,12,FALSE),IF(OR(Reagents!$Q$7="Stock slurry",Reagents!$Q$7="Stock solution"),BR24*BQ24, BR24/VLOOKUP(6,Reagents!$B$1:$R$41,6,FALSE)*1000))</f>
        <v>#VALUE!</v>
      </c>
      <c r="BU24" s="214">
        <f>VLOOKUP(7,Reagents!$B$1:$M$41,2,FALSE)</f>
        <v>0</v>
      </c>
      <c r="BV24" s="214">
        <f>VLOOKUP(7,Reagents!$B$1:$M$41,3,FALSE)</f>
        <v>0</v>
      </c>
      <c r="BW24" s="214" t="str">
        <f>IF(VLOOKUP(7,Reagents!$B$1:$M$41,5,FALSE)=0, "NULL", VLOOKUP(7,Reagents!$B$1:$M$41,5,FALSE))</f>
        <v>NULL</v>
      </c>
      <c r="BX24" s="214" t="str">
        <f>IF(OR(Reagents!$Q$8="Stock slurry",Reagents!$Q$8="Stock solution"),VLOOKUP(7,Reagents!$B$1:$R$41,13,FALSE), "NULL")</f>
        <v/>
      </c>
      <c r="BY24" s="362" t="str">
        <f>IF(OR(Reagents!$Q$8="Stock slurry",Reagents!$Q$8="Stock solution"),VLOOKUP(7,Reagents!$B$1:$R$41,14,FALSE), VLOOKUP(7,Reagents!$B$1:$R$41,11,FALSE))</f>
        <v/>
      </c>
      <c r="BZ24" s="214">
        <f>VLOOKUP(7,Reagents!$B$1:$R$41,17,FALSE)</f>
        <v>0</v>
      </c>
      <c r="CA24" s="284" t="e">
        <f>IF(OR(VLOOKUP(7,Reagents!$B$1:$M$41,4,FALSE)="solvent_2",VLOOKUP(7,Reagents!$B$1:$M$41,4,FALSE)="solvent_3"),VLOOKUP(7,Reagents!$B$1:$M$41,12,FALSE),IF(OR(Reagents!$Q$8="Stock slurry",Reagents!$Q$8="Stock solution"),BY24*BX24, BY24/VLOOKUP(7,Reagents!$B$1:$R$41,6,FALSE)*1000))</f>
        <v>#VALUE!</v>
      </c>
      <c r="CB24" s="214">
        <f>VLOOKUP(8,Reagents!$B$1:$M$41,2,FALSE)</f>
        <v>0</v>
      </c>
      <c r="CC24" s="214">
        <f>VLOOKUP(8,Reagents!$B$1:$M$41,3,FALSE)</f>
        <v>0</v>
      </c>
      <c r="CD24" s="214" t="str">
        <f>IF(VLOOKUP(8,Reagents!$B$1:$M$41,5,FALSE)=0, "NULL", VLOOKUP(8,Reagents!$B$1:$M$41,5,FALSE))</f>
        <v>NULL</v>
      </c>
      <c r="CE24" s="214" t="str">
        <f>IF(OR(Reagents!$Q$9="Stock slurry",Reagents!$Q$9="Stock solution"),VLOOKUP(8,Reagents!$B$1:$R$41,13,FALSE), "NULL")</f>
        <v/>
      </c>
      <c r="CF24" s="362" t="str">
        <f>IF(OR(Reagents!$Q$9="Stock slurry",Reagents!$Q$9="Stock solution"),VLOOKUP(8,Reagents!$B$1:$R$41,14,FALSE), VLOOKUP(8,Reagents!$B$1:$R$41,11,FALSE))</f>
        <v/>
      </c>
      <c r="CG24" s="214">
        <f>VLOOKUP(8,Reagents!$B$1:$R$41,17,FALSE)</f>
        <v>0</v>
      </c>
      <c r="CH24" s="284" t="e">
        <f>IF(OR(VLOOKUP(8,Reagents!$B$1:$M$41,4,FALSE)="solvent_2",VLOOKUP(8,Reagents!$B$1:$M$41,4,FALSE)="solvent_3"),VLOOKUP(8,Reagents!$B$1:$M$41,12,FALSE),IF(OR(Reagents!$Q$9="Stock slurry",Reagents!$Q$9="Stock solution"),CF24*CE24, CF24/VLOOKUP(8,Reagents!$B$1:$R$41,6,FALSE)*1000))</f>
        <v>#VALUE!</v>
      </c>
      <c r="CI24" s="214">
        <f>VLOOKUP(9,Reagents!$B$1:$M$41,2,FALSE)</f>
        <v>0</v>
      </c>
      <c r="CJ24" s="214">
        <f>VLOOKUP(9,Reagents!$B$1:$M$41,3,FALSE)</f>
        <v>0</v>
      </c>
      <c r="CK24" s="214" t="str">
        <f>IF(VLOOKUP(9,Reagents!$B$1:$M$41,5,FALSE)=0, "NULL", VLOOKUP(9,Reagents!$B$1:$M$41,5,FALSE))</f>
        <v>NULL</v>
      </c>
      <c r="CL24" s="214" t="str">
        <f>IF(OR(Reagents!$Q$10="Stock slurry",Reagents!$Q$10="Stock solution"),VLOOKUP(9,Reagents!$B$1:$R$41,13,FALSE), "NULL")</f>
        <v/>
      </c>
      <c r="CM24" s="362" t="str">
        <f>IF(OR(Reagents!$Q$10="Stock slurry",Reagents!$Q$10="Stock solution"),VLOOKUP(9,Reagents!$B$1:$R$41,14,FALSE), VLOOKUP(9,Reagents!$B$1:$R$41,11,FALSE))</f>
        <v/>
      </c>
      <c r="CN24" s="214">
        <f>VLOOKUP(9,Reagents!$B$1:$R$41,17,FALSE)</f>
        <v>0</v>
      </c>
      <c r="CO24" s="284" t="e">
        <f>IF(OR(VLOOKUP(9,Reagents!$B$1:$M$41,4,FALSE)="solvent_2",VLOOKUP(9,Reagents!$B$1:$M$41,4,FALSE)="solvent_3"),VLOOKUP(9,Reagents!$B$1:$M$41,12,FALSE),IF(OR(Reagents!$Q$10="Stock slurry",Reagents!$Q$10="Stock solution"),CM24*CL24, CM24/VLOOKUP(9,Reagents!$B$1:$R$41,6,FALSE)*1000))</f>
        <v>#VALUE!</v>
      </c>
      <c r="CP24" s="214">
        <f>VLOOKUP(10,Reagents!$B$1:$M$41,2,FALSE)</f>
        <v>0</v>
      </c>
      <c r="CQ24" s="214">
        <f>VLOOKUP(10,Reagents!$B$1:$M$41,3,FALSE)</f>
        <v>0</v>
      </c>
      <c r="CR24" s="214" t="str">
        <f>IF(VLOOKUP(10,Reagents!$B$1:$M$41,5,FALSE)=0, "NULL", VLOOKUP(10,Reagents!$B$1:$M$41,5,FALSE))</f>
        <v>NULL</v>
      </c>
      <c r="CS24" s="214" t="str">
        <f>IF(OR(Reagents!$Q$11="Stock slurry",Reagents!$Q$11="Stock solution"),VLOOKUP(10,Reagents!$B$1:$R$41,13,FALSE), "NULL")</f>
        <v/>
      </c>
      <c r="CT24" s="362" t="str">
        <f>IF(OR(Reagents!$Q$11="Stock slurry",Reagents!$Q$11="Stock solution"),VLOOKUP(10,Reagents!$B$1:$R$41,14,FALSE), VLOOKUP(10,Reagents!$B$1:$R$41,11,FALSE))</f>
        <v/>
      </c>
      <c r="CU24" s="214">
        <f>VLOOKUP(10,Reagents!$B$1:$R$41,17,FALSE)</f>
        <v>0</v>
      </c>
      <c r="CV24" s="284" t="e">
        <f>IF(OR(VLOOKUP(10,Reagents!$B$1:$M$41,4,FALSE)="solvent_2",VLOOKUP(10,Reagents!$B$1:$M$41,4,FALSE)="solvent_3"),VLOOKUP(10,Reagents!$B$1:$M$41,12,FALSE),IF(OR(Reagents!$Q$11="Stock slurry",Reagents!$Q$11="Stock solution"),CT24*CS24, CT24/VLOOKUP(10,Reagents!$B$1:$R$41,6,FALSE)*1000))</f>
        <v>#VALUE!</v>
      </c>
      <c r="CW24" s="214" t="str">
        <f>VLOOKUP(B24+10,Reagents!$B$1:$R$41,2,FALSE)</f>
        <v/>
      </c>
      <c r="CX24" s="214">
        <f>VLOOKUP(B24+10,Reagents!$B$1:$R$41,3,FALSE)</f>
        <v>0</v>
      </c>
      <c r="CY24" s="214" t="str">
        <f>IF(VLOOKUP(B24+10,Reagents!$B$1:$M$41,5,FALSE)=0, "NULL", VLOOKUP(B24+10,Reagents!$B$1:$M$41,5,FALSE))</f>
        <v>NULL</v>
      </c>
      <c r="CZ24" s="214" t="str">
        <f>IF(OR(Reagents!$Q$12="Stock slurry",Reagents!$Q$12="Stock solution"),VLOOKUP(B24+10,Reagents!$B$1:$R$41,13,FALSE), "NULL")</f>
        <v/>
      </c>
      <c r="DA24" s="362" t="str">
        <f>IF(OR(Reagents!$Q$12="Stock slurry",Reagents!$Q$12="Stock solution"),VLOOKUP(B24+10,Reagents!$B$1:$R$41,14,FALSE), VLOOKUP(B24+10,Reagents!$B$1:$R$41,11,FALSE))</f>
        <v/>
      </c>
      <c r="DB24" s="214">
        <f>VLOOKUP(B24+10,Reagents!$B$1:$R$41,17,FALSE)</f>
        <v>0</v>
      </c>
      <c r="DC24" s="284" t="e">
        <f>IF(OR(v1_col="solvent_2",v1_col="solvent_3"),VLOOKUP(B24+10,Reagents!$B$1:$M$41,12,FALSE),IF(OR(Reagents!$Q$12="Stock slurry",Reagents!$Q$12="Stock solution"),DA24*CZ24, DA24/VLOOKUP(B24+10,Reagents!$B$1:$R$41,6,FALSE)*1000))</f>
        <v>#VALUE!</v>
      </c>
      <c r="DD24" s="214" t="str">
        <f>VLOOKUP(B24+22,Reagents!$B$1:$M$41,2,FALSE)</f>
        <v/>
      </c>
      <c r="DE24" s="214">
        <f>VLOOKUP(B24+22,Reagents!$B$1:$R$41,3,FALSE)</f>
        <v>0</v>
      </c>
      <c r="DF24" s="214" t="str">
        <f>IF(VLOOKUP(B24+22,Reagents!$B$1:$M$41,5,FALSE)=0, "NULL", VLOOKUP(B24+22,Reagents!$B$1:$M$41,5,FALSE))</f>
        <v>NULL</v>
      </c>
      <c r="DG24" s="214" t="str">
        <f>IF(OR(Reagents!$Q$18="Stock slurry",Reagents!$Q$12="Stock solution"),VLOOKUP(B24+22,Reagents!$B$1:$R$41,13,FALSE), "NULL")</f>
        <v/>
      </c>
      <c r="DH24" s="362" t="str">
        <f>IF(OR(Reagents!$Q$18="Stock slurry",Reagents!$Q$18="Stock solution"),VLOOKUP(B24+22,Reagents!$B$1:$R$41,14,FALSE), VLOOKUP(B24+22,Reagents!$B$1:$R$41,11,FALSE))</f>
        <v/>
      </c>
      <c r="DI24" s="214">
        <f>VLOOKUP(B24+22,Reagents!$B$1:$R$41,17,FALSE)</f>
        <v>0</v>
      </c>
      <c r="DJ24" s="284" t="e">
        <f>IF(OR(v2_col="solvent_2",v2_col="solvent_3"),VLOOKUP(B24+22,Reagents!$B$1:$M$41,12,FALSE),IF(OR(Reagents!$Q$18="Stock slurry",Reagents!$Q$18="Stock solution"),DH24*DG24, DH24/VLOOKUP(B24+22,Reagents!$B$1:$R$41,6,FALSE)*1000))</f>
        <v>#VALUE!</v>
      </c>
      <c r="DK24" s="214" t="str">
        <f>VLOOKUP(B24+34,Reagents!$B$1:$M$41,2,FALSE)</f>
        <v/>
      </c>
      <c r="DL24" s="214">
        <f>VLOOKUP(B24+34,Reagents!$B$1:$R$41,3,FALSE)</f>
        <v>0</v>
      </c>
      <c r="DM24" s="214" t="str">
        <f>IF(VLOOKUP(B24+34,Reagents!$B$1:$M$41,5,FALSE)=0, "NULL", VLOOKUP(B24+34,Reagents!$B$1:$M$41,5,FALSE))</f>
        <v>NULL</v>
      </c>
      <c r="DN24" s="214" t="str">
        <f>IF(OR(Reagents!$Q$24="Stock slurry",Reagents!$Q$12="Stock solution"),VLOOKUP(B24+34,Reagents!$B$1:$R$41,13,FALSE), "NULL")</f>
        <v/>
      </c>
      <c r="DO24" s="362" t="str">
        <f>IF(OR(Reagents!$Q$24="Stock slurry",Reagents!$Q$24="Stock solution"),VLOOKUP(B24+34,Reagents!$B$1:$R$41,14,FALSE), VLOOKUP(B24+34,Reagents!$B$1:$R$41,11,FALSE))</f>
        <v/>
      </c>
      <c r="DP24" s="214">
        <f>VLOOKUP(B24+34,Reagents!$B$1:$R$41,17,FALSE)</f>
        <v>0</v>
      </c>
      <c r="DQ24" s="284" t="e">
        <f>IF(OR(v3_col="solvent_2",v3_col="solvent_3"),VLOOKUP(B24+34,Reagents!$B$1:$M$41,12,FALSE),IF(OR(Reagents!$Q$24="Stock slurry",Reagents!$Q$24="Stock solution"),DO24*DN24, DO24/VLOOKUP(B24+34,Reagents!$B$1:$R$41,6,FALSE)*1000))</f>
        <v>#VALUE!</v>
      </c>
      <c r="DR24" s="214" t="str">
        <f>VLOOKUP(C24+46,Reagents!$B$1:$M$41,2,FALSE)</f>
        <v/>
      </c>
      <c r="DS24" s="214">
        <f>VLOOKUP(C24+46,Reagents!$B$1:$M$41,3,FALSE)</f>
        <v>0</v>
      </c>
      <c r="DT24" s="214" t="str">
        <f>IF(VLOOKUP(C24+46,Reagents!$B$1:$M$41,5,FALSE)=0, "NULL", VLOOKUP(C24+46,Reagents!$B$1:$M$41,5,FALSE))</f>
        <v>NULL</v>
      </c>
      <c r="DU24" s="214" t="str">
        <f>IF(OR(Reagents!$Q$30="Stock slurry",Reagents!$Q$30="Stock solution"),VLOOKUP(C24+46,Reagents!$B$1:$R$41,13,FALSE), "NULL")</f>
        <v/>
      </c>
      <c r="DV24" s="362" t="str">
        <f>IF(OR(Reagents!$Q$30="Stock slurry",Reagents!$Q$30="Stock solution"),VLOOKUP(C24+46,Reagents!$B$1:$R$41,14,FALSE), VLOOKUP(C24+46,Reagents!$B$1:$R$41,11,FALSE))</f>
        <v/>
      </c>
      <c r="DW24" s="214">
        <f>VLOOKUP(C24+46,Reagents!$B$1:$R$41,17,FALSE)</f>
        <v>0</v>
      </c>
      <c r="DX24" s="284" t="e">
        <f>IF(OR(v4_row="solvent_2",v4_row="solvent_3"),VLOOKUP(C24+46,Reagents!$B$1:$M$41,12,FALSE),IF(OR(Reagents!$Q$30="Stock slurry",Reagents!$Q$30="Stock solution"),DV24*DU24, DV24/VLOOKUP(C24+46,Reagents!$B$1:$R$41,6,FALSE)*1000))</f>
        <v>#VALUE!</v>
      </c>
      <c r="DY24" s="214" t="str">
        <f>VLOOKUP(C24+54,Reagents!$B$1:$M$41,2,FALSE)</f>
        <v/>
      </c>
      <c r="DZ24" s="214">
        <f>VLOOKUP(C24+54,Reagents!$B$1:$M$41,3,FALSE)</f>
        <v>0</v>
      </c>
      <c r="EA24" s="214" t="str">
        <f>IF(VLOOKUP(C24+54,Reagents!$B$1:$M$41,5,FALSE)=0, "NULL", VLOOKUP(C24+54,Reagents!$B$1:$M$41,5,FALSE))</f>
        <v>NULL</v>
      </c>
      <c r="EB24" s="214" t="str">
        <f>IF(OR(Reagents!$Q$34="Stock slurry",Reagents!$Q$34="Stock solution"),VLOOKUP(C24+54,Reagents!$B$1:$R$41,13,FALSE), "NULL")</f>
        <v/>
      </c>
      <c r="EC24" s="362" t="str">
        <f>IF(OR(Reagents!$Q$34="Stock slurry",Reagents!$Q$34="Stock solution"),VLOOKUP(C24+54,Reagents!$B$1:$R$41,14,FALSE), VLOOKUP(C24+54,Reagents!$B$1:$R$41,11,FALSE))</f>
        <v/>
      </c>
      <c r="ED24" s="214">
        <f>VLOOKUP(C24+54,Reagents!$B$1:$R$41,17,FALSE)</f>
        <v>0</v>
      </c>
      <c r="EE24" s="284" t="e">
        <f>IF(OR(v5_row="solvent_2",v5_row="solvent_3"),VLOOKUP(C24+54,Reagents!$B$1:$M$41,12,FALSE),IF(OR(Reagents!$Q$34="Stock slurry",Reagents!$Q$34="Stock solution"),EC24*EB24, EC24/VLOOKUP(C24+54,Reagents!$B$1:$R$41,6,FALSE)*1000))</f>
        <v>#VALUE!</v>
      </c>
      <c r="EF24" s="214" t="str">
        <f>VLOOKUP(C24+62,Reagents!$B$1:$M$41,2,FALSE)</f>
        <v/>
      </c>
      <c r="EG24" s="214">
        <f>VLOOKUP(C24+62,Reagents!$B$1:$M$41,3,FALSE)</f>
        <v>0</v>
      </c>
      <c r="EH24" s="214" t="str">
        <f>IF(VLOOKUP(C24+62,Reagents!$B$1:$M$41,5,FALSE)=0, "NULL", VLOOKUP(C24+62,Reagents!$B$1:$M$41,5,FALSE))</f>
        <v>NULL</v>
      </c>
      <c r="EI24" s="214" t="str">
        <f>IF(OR(Reagents!$Q$38="Stock slurry",Reagents!$Q$38="Stock solution"),VLOOKUP(C24+62,Reagents!$B$1:$R$41,13,FALSE), "NULL")</f>
        <v/>
      </c>
      <c r="EJ24" s="362" t="str">
        <f>IF(OR(Reagents!$Q$38="Stock slurry",Reagents!$Q$38="Stock solution"),VLOOKUP(C24+62,Reagents!$B$1:$R$41,14,FALSE), VLOOKUP(C24+62,Reagents!$B$1:$R$41,11,FALSE))</f>
        <v/>
      </c>
      <c r="EK24" s="214">
        <f>VLOOKUP(C24+62,Reagents!$B$1:$R$41,17,FALSE)</f>
        <v>0</v>
      </c>
      <c r="EL24" s="284" t="e">
        <f>IF(OR(v6_row="solvent_2",v6_row="solvent_3"),VLOOKUP(C24+62,Reagents!$B$1:$M$41,12,FALSE),IF(OR(Reagents!$Q$38="Stock slurry",Reagents!$Q$38="Stock solution"),EJ24*EI24, EJ24/VLOOKUP(C24+62,Reagents!$B$1:$R$41,6,FALSE)*1000))</f>
        <v>#VALUE!</v>
      </c>
      <c r="EM24" s="214">
        <f>VLOOKUP(19,'Plate Planning'!$A$1:$T$35,13,FALSE)</f>
        <v>0</v>
      </c>
      <c r="EN24" s="214">
        <f>VLOOKUP(19,'Plate Planning'!$A$1:$T$35,14,FALSE)</f>
        <v>0</v>
      </c>
      <c r="EO24" s="214">
        <f>VLOOKUP(19,'Plate Planning'!$A$1:$T$35,15,FALSE)</f>
        <v>0</v>
      </c>
      <c r="EP24" s="214">
        <f>VLOOKUP(A24,'Uncorrected Area Counts'!$A$1:$AS$27,3,FALSE)</f>
        <v>0</v>
      </c>
      <c r="EQ24" s="214" t="str">
        <f>VLOOKUP(A24,'Uncorrected Area Counts'!$A$1:$AS$27,4,FALSE)</f>
        <v/>
      </c>
      <c r="ER24" s="214" t="str">
        <f>VLOOKUP(A24,'Uncorrected Area Counts'!$A$1:$AS$27,5,FALSE)</f>
        <v/>
      </c>
      <c r="ES24" s="214">
        <f>VLOOKUP(20,'Plate Planning'!$A$1:$T$35,15,FALSE)</f>
        <v>0</v>
      </c>
      <c r="ET24" s="214">
        <f>VLOOKUP(A24,'Uncorrected Area Counts'!$A$1:$AS$27,7,FALSE)</f>
        <v>0</v>
      </c>
      <c r="EU24" s="214" t="e">
        <f>VLOOKUP(A24,'Uncorrected Area Counts'!$A$1:$AS$27,7,FALSE)/VLOOKUP(A24,'Uncorrected Area Counts'!$A$1:$AS$27,3,FALSE)</f>
        <v>#DIV/0!</v>
      </c>
      <c r="EV24" s="214" t="str">
        <f>IFERROR(VLOOKUP(A24,'Yields &amp; LCAPs'!$A$1:$V$27,3,FALSE), "NULL")</f>
        <v>NULL</v>
      </c>
      <c r="EW24" s="284" t="str">
        <f>IFERROR(VLOOKUP(A24,'Yields &amp; LCAPs'!$A$1:$V$27,4,FALSE), "NULL")</f>
        <v>NULL</v>
      </c>
      <c r="EX24" s="214" t="str">
        <f>VLOOKUP(A24,'Uncorrected Area Counts'!$A$1:$AS$27,8,FALSE)</f>
        <v/>
      </c>
      <c r="EY24" s="214" t="str">
        <f>VLOOKUP(A24,'Uncorrected Area Counts'!$A$1:$AS$27,9,FALSE)</f>
        <v/>
      </c>
      <c r="EZ24" s="214">
        <f>VLOOKUP(22,'Plate Planning'!$A$1:$T$35,15,FALSE)</f>
        <v>0</v>
      </c>
      <c r="FA24" s="214">
        <f>VLOOKUP(A24,'Uncorrected Area Counts'!$A$1:$AS$27,11,FALSE)</f>
        <v>0</v>
      </c>
      <c r="FB24" s="214" t="e">
        <f>VLOOKUP(A24,'Uncorrected Area Counts'!$A$1:$AS$27,11,FALSE)/VLOOKUP(A24,'Uncorrected Area Counts'!$A$1:$AS$27,3,FALSE)</f>
        <v>#DIV/0!</v>
      </c>
      <c r="FC24" s="214" t="str">
        <f>IFERROR(VLOOKUP(A24,'Yields &amp; LCAPs'!$A$1:$V$27,5,FALSE), "NULL")</f>
        <v>NULL</v>
      </c>
      <c r="FD24" s="284" t="str">
        <f>IFERROR(VLOOKUP(A24,'Yields &amp; LCAPs'!$A$1:$V$27,6,FALSE), "NULL")</f>
        <v>NULL</v>
      </c>
      <c r="FE24" s="214" t="str">
        <f>VLOOKUP(A24,'Uncorrected Area Counts'!$A$1:$AS$27,12,FALSE)</f>
        <v/>
      </c>
      <c r="FF24" s="214" t="str">
        <f>VLOOKUP(A24,'Uncorrected Area Counts'!$A$1:$AS$27,13,FALSE)</f>
        <v/>
      </c>
      <c r="FG24" s="214">
        <f>VLOOKUP(24,'Plate Planning'!$A$1:$T$35,15,FALSE)</f>
        <v>0</v>
      </c>
      <c r="FH24" s="214">
        <f>VLOOKUP(A24,'Uncorrected Area Counts'!$A$1:$AS$27,15,FALSE)</f>
        <v>0</v>
      </c>
      <c r="FI24" s="214" t="e">
        <f>VLOOKUP(A24,'Uncorrected Area Counts'!$A$1:$AS$27,15,FALSE)/VLOOKUP(A24,'Uncorrected Area Counts'!$A$1:$AS$27,3,FALSE)</f>
        <v>#DIV/0!</v>
      </c>
      <c r="FJ24" s="214" t="str">
        <f>IFERROR(VLOOKUP(A24,'Yields &amp; LCAPs'!$A$1:$V$27,7,FALSE), "NULL")</f>
        <v>NULL</v>
      </c>
      <c r="FK24" s="284" t="str">
        <f>IFERROR(VLOOKUP(A24,'Yields &amp; LCAPs'!$A$1:$V$27,8,FALSE), "NULL")</f>
        <v>NULL</v>
      </c>
      <c r="FL24" s="214" t="str">
        <f>VLOOKUP(A24,'Uncorrected Area Counts'!$A$1:$AS$27,16,FALSE)</f>
        <v/>
      </c>
      <c r="FM24" s="214" t="str">
        <f>VLOOKUP(A24,'Uncorrected Area Counts'!$A$1:$AS$27,17,FALSE)</f>
        <v/>
      </c>
      <c r="FN24" s="214">
        <f>VLOOKUP(26,'Plate Planning'!$A$1:$T$35,15,FALSE)</f>
        <v>0</v>
      </c>
      <c r="FO24" s="214">
        <f>VLOOKUP(A24,'Uncorrected Area Counts'!$A$1:$AS$27,19,FALSE)</f>
        <v>0</v>
      </c>
      <c r="FP24" s="214" t="e">
        <f>VLOOKUP(A24,'Uncorrected Area Counts'!$A$1:$AS$27,19,FALSE)/VLOOKUP(A24,'Uncorrected Area Counts'!$A$1:$AS$27,3,FALSE)</f>
        <v>#DIV/0!</v>
      </c>
      <c r="FQ24" s="214" t="str">
        <f>IFERROR(VLOOKUP(A24,'Yields &amp; LCAPs'!$A$1:$V$27,9,FALSE), "NULL")</f>
        <v>NULL</v>
      </c>
      <c r="FR24" s="284" t="str">
        <f>IFERROR(VLOOKUP(A24,'Yields &amp; LCAPs'!$A$1:$V$27,10,FALSE), "NULL")</f>
        <v>NULL</v>
      </c>
      <c r="FS24" s="214" t="str">
        <f>VLOOKUP(A24,'Uncorrected Area Counts'!$A$1:$AS$27,20,FALSE)</f>
        <v/>
      </c>
      <c r="FT24" s="214" t="str">
        <f>VLOOKUP(A24,'Uncorrected Area Counts'!$A$1:$AS$27,21,FALSE)</f>
        <v/>
      </c>
      <c r="FU24" s="214">
        <f>VLOOKUP(27,'Plate Planning'!$A$1:$T$35,15,FALSE)</f>
        <v>0</v>
      </c>
      <c r="FV24" s="214">
        <f>VLOOKUP(A24,'Uncorrected Area Counts'!$A$1:$AS$27,23,FALSE)</f>
        <v>0</v>
      </c>
      <c r="FW24" s="214" t="e">
        <f>VLOOKUP(A24,'Uncorrected Area Counts'!$A$1:$AS$27,23,FALSE)/VLOOKUP(A24,'Uncorrected Area Counts'!$A$1:$AS$27,3,FALSE)</f>
        <v>#DIV/0!</v>
      </c>
      <c r="FX24" s="214" t="str">
        <f>IFERROR(VLOOKUP(A24,'Yields &amp; LCAPs'!$A$1:$V$27,11,FALSE), "NULL")</f>
        <v>NULL</v>
      </c>
      <c r="FY24" s="284" t="str">
        <f>IFERROR(VLOOKUP(A24,'Yields &amp; LCAPs'!$A$1:$V$27,12,FALSE), "NULL")</f>
        <v>NULL</v>
      </c>
      <c r="FZ24" s="411" t="str">
        <f>VLOOKUP(A24,'Uncorrected Area Counts'!$A$1:$AS$27,24,FALSE)</f>
        <v/>
      </c>
      <c r="GA24" s="214" t="str">
        <f>VLOOKUP(A24,'Uncorrected Area Counts'!$A$1:$AS$27,25,FALSE)</f>
        <v/>
      </c>
      <c r="GB24" s="214">
        <f>VLOOKUP(28,'Plate Planning'!$A$1:$T$35,15,FALSE)</f>
        <v>0</v>
      </c>
      <c r="GC24" s="214">
        <f>VLOOKUP(A24,'Uncorrected Area Counts'!$A$1:$AS$27,27,FALSE)</f>
        <v>0</v>
      </c>
      <c r="GD24" s="214" t="e">
        <f>VLOOKUP(A24,'Uncorrected Area Counts'!$A$1:$AS$27,27,FALSE)/VLOOKUP(A24,'Uncorrected Area Counts'!$A$1:$AS$27,3,FALSE)</f>
        <v>#DIV/0!</v>
      </c>
      <c r="GE24" s="214" t="str">
        <f>IFERROR(VLOOKUP(A24,'Yields &amp; LCAPs'!$A$1:$V$27,13,FALSE), "NULL")</f>
        <v>NULL</v>
      </c>
      <c r="GF24" s="284" t="str">
        <f>IFERROR(VLOOKUP(A24,'Yields &amp; LCAPs'!$A$1:$V$27,14,FALSE), "NULL")</f>
        <v>NULL</v>
      </c>
      <c r="GG24" s="214" t="str">
        <f>VLOOKUP(A24,'Uncorrected Area Counts'!$A$1:$AS$27,28,FALSE)</f>
        <v/>
      </c>
      <c r="GH24" s="214" t="str">
        <f>VLOOKUP(A24,'Uncorrected Area Counts'!$A$1:$AS$27,29,FALSE)</f>
        <v/>
      </c>
      <c r="GI24" s="214">
        <f>VLOOKUP(29,'Plate Planning'!$A$1:$T$35,15,FALSE)</f>
        <v>0</v>
      </c>
      <c r="GJ24" s="214">
        <f>VLOOKUP(A24,'Uncorrected Area Counts'!$A$1:$AS$27,31,FALSE)</f>
        <v>0</v>
      </c>
      <c r="GK24" s="214" t="e">
        <f>VLOOKUP(A24,'Uncorrected Area Counts'!$A$1:$AS$27,31,FALSE)/VLOOKUP(A24,'Uncorrected Area Counts'!$A$1:$AS$27,3,FALSE)</f>
        <v>#DIV/0!</v>
      </c>
      <c r="GL24" s="214" t="str">
        <f>IFERROR(VLOOKUP(A24,'Yields &amp; LCAPs'!$A$1:$V$27,15,FALSE), "NULL")</f>
        <v>NULL</v>
      </c>
      <c r="GM24" s="284" t="str">
        <f>IFERROR(VLOOKUP(A24,'Yields &amp; LCAPs'!$A$1:$V$27,16,FALSE), "NULL")</f>
        <v>NULL</v>
      </c>
      <c r="GN24" s="214" t="str">
        <f>VLOOKUP(A24,'Uncorrected Area Counts'!$A$1:$AS$27,32,FALSE)</f>
        <v/>
      </c>
      <c r="GO24" s="214" t="str">
        <f>VLOOKUP(A24,'Uncorrected Area Counts'!$A$1:$AS$27,33,FALSE)</f>
        <v/>
      </c>
      <c r="GP24" s="214">
        <f>VLOOKUP(30,'Plate Planning'!$A$1:$T$35,15,FALSE)</f>
        <v>0</v>
      </c>
      <c r="GQ24" s="214">
        <f>VLOOKUP(A24,'Uncorrected Area Counts'!$A$1:$AS$27,35,FALSE)</f>
        <v>0</v>
      </c>
      <c r="GR24" s="214" t="e">
        <f>VLOOKUP(A24,'Uncorrected Area Counts'!$A$1:$AS$27,35,FALSE)/VLOOKUP(A24,'Uncorrected Area Counts'!$A$1:$AS$27,3,FALSE)</f>
        <v>#DIV/0!</v>
      </c>
      <c r="GS24" s="214" t="str">
        <f>IFERROR(VLOOKUP(A24,'Yields &amp; LCAPs'!$A$1:$V$27,17,FALSE), "NULL")</f>
        <v>NULL</v>
      </c>
      <c r="GT24" s="284" t="str">
        <f>IFERROR(VLOOKUP(A24,'Yields &amp; LCAPs'!$A$1:$V$27,18,FALSE), "NULL")</f>
        <v>NULL</v>
      </c>
      <c r="GU24" s="214" t="str">
        <f>VLOOKUP(A24,'Uncorrected Area Counts'!$A$1:$AS$27,36,FALSE)</f>
        <v/>
      </c>
      <c r="GV24" s="214" t="str">
        <f>VLOOKUP(A24,'Uncorrected Area Counts'!$A$1:$AS$27,37,FALSE)</f>
        <v/>
      </c>
      <c r="GW24" s="214">
        <f>VLOOKUP(31,'Plate Planning'!$A$1:$T$35,15,FALSE)</f>
        <v>0</v>
      </c>
      <c r="GX24" s="214">
        <f>VLOOKUP(A24,'Uncorrected Area Counts'!$A$1:$AS$27,39,FALSE)</f>
        <v>0</v>
      </c>
      <c r="GY24" s="214" t="e">
        <f>VLOOKUP(A24,'Uncorrected Area Counts'!$A$1:$AS$27,39,FALSE)/VLOOKUP(A24,'Uncorrected Area Counts'!$A$1:$AS$27,3,FALSE)</f>
        <v>#DIV/0!</v>
      </c>
      <c r="GZ24" s="214" t="str">
        <f>IFERROR(VLOOKUP(A24,'Yields &amp; LCAPs'!$A$1:$V$27,19,FALSE), "NULL")</f>
        <v>NULL</v>
      </c>
      <c r="HA24" s="284" t="str">
        <f>IFERROR(VLOOKUP(A24,'Yields &amp; LCAPs'!$A$1:$V$27,20,FALSE), "NULL")</f>
        <v>NULL</v>
      </c>
      <c r="HB24" s="214" t="str">
        <f>VLOOKUP(A24,'Uncorrected Area Counts'!$A$1:$AS$27,40,FALSE)</f>
        <v/>
      </c>
      <c r="HC24" s="214" t="str">
        <f>VLOOKUP(A24,'Uncorrected Area Counts'!$A$1:$AS$27,41,FALSE)</f>
        <v/>
      </c>
      <c r="HD24" s="214">
        <f>VLOOKUP(32,'Plate Planning'!$A$1:$T$35,15,FALSE)</f>
        <v>0</v>
      </c>
      <c r="HE24" s="214">
        <f>VLOOKUP(A24,'Uncorrected Area Counts'!$A$1:$AS$27,43,FALSE)</f>
        <v>0</v>
      </c>
      <c r="HF24" s="214" t="e">
        <f>VLOOKUP(A24,'Uncorrected Area Counts'!$A$1:$AS$27,43,FALSE)/VLOOKUP(A24,'Uncorrected Area Counts'!$A$1:$AS$27,3,FALSE)</f>
        <v>#DIV/0!</v>
      </c>
      <c r="HG24" s="214" t="str">
        <f>IFERROR(VLOOKUP(A24,'Yields &amp; LCAPs'!$A$1:$V$27,21,FALSE), "NULL")</f>
        <v>NULL</v>
      </c>
      <c r="HH24" s="284" t="str">
        <f>IFERROR(VLOOKUP(A24,'Yields &amp; LCAPs'!$A$1:$V$27,22,FALSE), "NULL")</f>
        <v>NULL</v>
      </c>
      <c r="HI24" s="362"/>
      <c r="HJ24" s="362"/>
      <c r="HK24" s="362"/>
      <c r="HL24" s="362"/>
      <c r="HM24" s="363"/>
      <c r="HN24" s="362"/>
      <c r="HO24" s="362"/>
      <c r="HP24" s="362"/>
      <c r="HQ24" s="362"/>
      <c r="HR24" s="363"/>
    </row>
    <row r="25" spans="1:226">
      <c r="A25" s="216" t="s">
        <v>1202</v>
      </c>
      <c r="B25" s="214">
        <v>6</v>
      </c>
      <c r="C25" s="214">
        <v>4</v>
      </c>
      <c r="D25" s="214" t="str">
        <f>VLOOKUP(18,'Plate Planning'!$A$1:$T$35,10,FALSE)&amp;"_"&amp;VLOOKUP(19,'Plate Planning'!$A$1:$T$35,10,FALSE)&amp;"_"&amp;A25</f>
        <v>__D6</v>
      </c>
      <c r="E25" s="214" t="str">
        <f>IF(VLOOKUP(18,'Plate Planning'!$A$1:$T$35,10,FALSE)="", "NULL", VLOOKUP(18,'Plate Planning'!$A$1:$T$35,10,FALSE))</f>
        <v>NULL</v>
      </c>
      <c r="F25" s="214" t="str">
        <f>IF(VLOOKUP(19,'Plate Planning'!$A$1:$T$35,10,FALSE)="", "NULL", VLOOKUP(19,'Plate Planning'!$A$1:$T$35,10,FALSE))</f>
        <v>NULL</v>
      </c>
      <c r="G25" s="214" t="str">
        <f>IF(VLOOKUP(20,'Plate Planning'!$A$1:$T$35,10,FALSE)="", "NULL", VLOOKUP(20,'Plate Planning'!$A$1:$T$35,10,FALSE))</f>
        <v>NULL</v>
      </c>
      <c r="H25" s="214" t="str">
        <f>IF(VLOOKUP(21,'Plate Planning'!$A$1:$T$35,10,FALSE)="", "NULL", VLOOKUP(21,'Plate Planning'!$A$1:$T$35,10,FALSE))</f>
        <v>NULL</v>
      </c>
      <c r="I25" s="214" t="str">
        <f>IF(VLOOKUP(23,'Plate Planning'!$A$1:$T$35,10,FALSE)="", "NULL", VLOOKUP(23,'Plate Planning'!$A$1:$T$35,10,FALSE))</f>
        <v>NULL</v>
      </c>
      <c r="J25" s="214" t="str">
        <f>IF(VLOOKUP(22,'Plate Planning'!$A$1:$T$35,10,FALSE)="", "NULL", VLOOKUP(22,'Plate Planning'!$A$1:$T$35,10,FALSE))</f>
        <v>NULL</v>
      </c>
      <c r="K25" s="214" t="str">
        <f>VLOOKUP(24,'Plate Planning'!$A$1:$T$35,10,FALSE)</f>
        <v>Glovebox</v>
      </c>
      <c r="L25" s="214" t="str">
        <f>IF(VLOOKUP(25,'Plate Planning'!$A$1:$T$35,10,FALSE)="","NULL",VLOOKUP(25,'Plate Planning'!$A$1:$T$35,10,FALSE))</f>
        <v>NULL</v>
      </c>
      <c r="M25" s="214" t="str">
        <f>VLOOKUP(26,'Plate Planning'!$A$1:$T$35,10,FALSE)</f>
        <v>ambient</v>
      </c>
      <c r="N25" s="214" t="str">
        <f>IF(VLOOKUP(27,'Plate Planning'!$A$1:$T$35,10,FALSE)=0,"NULL", VLOOKUP(27,'Plate Planning'!$A$1:$T$35,10,FALSE))</f>
        <v>NULL</v>
      </c>
      <c r="O25" s="214" t="str">
        <f>IF(VLOOKUP(3,'Plate Planning'!$A$2:$S$35,18,FALSE)="", "NULL", VLOOKUP(3,'Plate Planning'!$A$2:$S$35,18,FALSE))</f>
        <v>NULL</v>
      </c>
      <c r="P25" s="214" t="str">
        <f>IF(VLOOKUP(4,'Plate Planning'!$A$2:$S$35,18,FALSE)="", "NULL", VLOOKUP(4,'Plate Planning'!$A$2:$S$35,18,FALSE))</f>
        <v>NULL</v>
      </c>
      <c r="Q25" s="214" t="str">
        <f>IF(VLOOKUP(5,'Plate Planning'!$A$2:$S$35,18,FALSE)="", "NULL", VLOOKUP(5,'Plate Planning'!$A$2:$S$35,18,FALSE))</f>
        <v>NULL</v>
      </c>
      <c r="R25" s="214" t="str">
        <f>IF(VLOOKUP(6,'Plate Planning'!$A$2:$S$35,18,FALSE)="", "NULL", VLOOKUP(6,'Plate Planning'!$A$2:$S$35,18,FALSE))</f>
        <v>NULL</v>
      </c>
      <c r="S25" s="214" t="str">
        <f>IF(VLOOKUP(7,'Plate Planning'!$A$2:$S$35,18,FALSE)="", "NULL", VLOOKUP(7,'Plate Planning'!$A$2:$S$35,18,FALSE))</f>
        <v>NULL</v>
      </c>
      <c r="T25" s="214" t="str">
        <f>IF(VLOOKUP(28,'Plate Planning'!$A$1:$T$35,10,FALSE)=0,"NULL",VLOOKUP(28,'Plate Planning'!$A$1:$T$35,10,FALSE))</f>
        <v>NULL</v>
      </c>
      <c r="U25" s="214" t="str">
        <f>IFERROR(VLOOKUP(VLOOKUP(28,'Plate Planning'!$A$1:$T$35,10,FALSE),Dictionaries!$Q$2:$R$72,2,FALSE), "NULL")</f>
        <v>NULL</v>
      </c>
      <c r="V25" s="214" t="str">
        <f>IF(VLOOKUP(28,'Plate Planning'!$A$1:$T$35,10,FALSE)=0,"NULL",VLOOKUP(32,'Plate Planning'!$A$1:$T$35,10,FALSE))</f>
        <v>NULL</v>
      </c>
      <c r="W25" s="214" t="str">
        <f>IF(VLOOKUP(C25+3,'Plate Planning'!$A$1:$S$35,B25+4,FALSE)=0, "", VLOOKUP(C25+3,'Plate Planning'!$A$1:$S$35,B25+4,FALSE))</f>
        <v/>
      </c>
      <c r="X25" s="214" t="str">
        <f>IFERROR(VLOOKUP(W25,'Complex Variable'!$A$2:$S$25,2,FALSE), "")</f>
        <v/>
      </c>
      <c r="Y25" s="327" t="str">
        <f>IFERROR(VLOOKUP(W25,'Complex Variable'!$A$2:$S$25,3,FALSE), "")</f>
        <v/>
      </c>
      <c r="Z25" s="327" t="str">
        <f>IFERROR(VLOOKUP(W25,'Complex Variable'!$A$2:$S$25,5,FALSE), "")</f>
        <v/>
      </c>
      <c r="AA25" s="327" t="str">
        <f>IFERROR(VLOOKUP(W25,'Complex Variable'!$A$2:$S$25,14,FALSE), "")</f>
        <v/>
      </c>
      <c r="AB25" s="602" t="str">
        <f>IFERROR(VLOOKUP(W25,'Complex Variable'!$A$2:$S$25,19,FALSE), "")</f>
        <v/>
      </c>
      <c r="AC25" s="327" t="str">
        <f>IFERROR(VLOOKUP(W25,'Complex Variable'!$A$2:$S$25,13,FALSE), "")</f>
        <v/>
      </c>
      <c r="AD25" s="604" t="str">
        <f t="shared" si="0"/>
        <v/>
      </c>
      <c r="AE25" s="214">
        <f>VLOOKUP(1,Reagents!$B$1:$M$41,2,FALSE)</f>
        <v>0</v>
      </c>
      <c r="AF25" s="214">
        <f>VLOOKUP(1,Reagents!$B$1:$M$41,3,FALSE)</f>
        <v>0</v>
      </c>
      <c r="AG25" s="214" t="str">
        <f>IF(VLOOKUP(1,Reagents!$B$1:$M$41,5,FALSE)=0, "NULL", VLOOKUP(1,Reagents!$B$1:$M$41,5,FALSE))</f>
        <v>NULL</v>
      </c>
      <c r="AH25" s="214" t="str">
        <f>IF(OR(Reagents!$Q$2="Stock slurry",Reagents!$Q$2="Stock solution"),VLOOKUP(1,Reagents!$B$1:$R$41,13,FALSE), "NULL")</f>
        <v/>
      </c>
      <c r="AI25" s="362" t="str">
        <f>IF(OR(Reagents!$Q$2="Stock slurry",Reagents!$Q$2="Stock solution"),VLOOKUP(1,Reagents!$B$1:$R$41,14,FALSE), VLOOKUP(1,Reagents!$B$1:$R$41,11,FALSE))</f>
        <v/>
      </c>
      <c r="AJ25" s="214">
        <f>VLOOKUP(1,Reagents!$B$1:$R$41,17,FALSE)</f>
        <v>0</v>
      </c>
      <c r="AK25" s="284" t="e">
        <f>IF(OR(VLOOKUP(1,Reagents!$B$1:$M$41,4,FALSE)="solvent_2",VLOOKUP(1,Reagents!$B$1:$M$41,4,FALSE)="solvent_3"),VLOOKUP(1,Reagents!$B$1:$M$41,12,FALSE),IF(OR(Reagents!$Q$2="Stock slurry",Reagents!$Q$2="Stock solution"),AI25*AH25, AI25/VLOOKUP(1,Reagents!$B$1:$R$41,6,FALSE)*1000))</f>
        <v>#VALUE!</v>
      </c>
      <c r="AL25" s="214">
        <f>VLOOKUP(2,Reagents!$B$1:$M$41,2,FALSE)</f>
        <v>0</v>
      </c>
      <c r="AM25" s="214">
        <f>VLOOKUP(2,Reagents!$B$1:$M$41,3,FALSE)</f>
        <v>0</v>
      </c>
      <c r="AN25" s="214" t="str">
        <f>IF(VLOOKUP(2,Reagents!$B$1:$M$41,5,FALSE)=0, "NULL", VLOOKUP(2,Reagents!$B$1:$M$41,5,FALSE))</f>
        <v>NULL</v>
      </c>
      <c r="AO25" s="214" t="str">
        <f>IF(OR(Reagents!$Q$3="Stock slurry",Reagents!$Q$3="Stock solution"),VLOOKUP(2,Reagents!$B$1:$R$41,13,FALSE), "NULL")</f>
        <v/>
      </c>
      <c r="AP25" s="362" t="str">
        <f>IF(OR(Reagents!$Q$3="Stock slurry",Reagents!$Q$3="Stock solution"),VLOOKUP(2,Reagents!$B$1:$R$41,14,FALSE), VLOOKUP(2,Reagents!$B$1:$R$41,11,FALSE))</f>
        <v/>
      </c>
      <c r="AQ25" s="214">
        <f>VLOOKUP(2,Reagents!$B$1:$R$41,17,FALSE)</f>
        <v>0</v>
      </c>
      <c r="AR25" s="284" t="e">
        <f>IF(OR(VLOOKUP(2,Reagents!$B$1:$M$41,4,FALSE)="solvent_2",VLOOKUP(2,Reagents!$B$1:$M$41,4,FALSE)="solvent_3"),VLOOKUP(2,Reagents!$B$1:$M$41,12,FALSE),IF(OR(Reagents!$Q$3="Stock slurry",Reagents!$Q$3="Stock solution"),AP25*AO25, AP25/VLOOKUP(2,Reagents!$B$1:$R$41,6,FALSE)*1000))</f>
        <v>#VALUE!</v>
      </c>
      <c r="AS25" s="214">
        <f>VLOOKUP(3,Reagents!$B$1:$M$41,2,FALSE)</f>
        <v>0</v>
      </c>
      <c r="AT25" s="214">
        <f>VLOOKUP(3,Reagents!$B$1:$M$41,3,FALSE)</f>
        <v>0</v>
      </c>
      <c r="AU25" s="214" t="str">
        <f>IF(VLOOKUP(3,Reagents!$B$1:$M$41,5,FALSE)=0, "NULL", VLOOKUP(3,Reagents!$B$1:$M$41,5,FALSE))</f>
        <v>NULL</v>
      </c>
      <c r="AV25" s="214" t="str">
        <f>IF(OR(Reagents!$Q$4="Stock slurry",Reagents!$Q$4="Stock solution"),VLOOKUP(3,Reagents!$B$1:$R$41,13,FALSE), "NULL")</f>
        <v/>
      </c>
      <c r="AW25" s="362" t="str">
        <f>IF(OR(Reagents!$Q$4="Stock slurry",Reagents!$Q$4="Stock solution"),VLOOKUP(3,Reagents!$B$1:$R$41,14,FALSE), VLOOKUP(3,Reagents!$B$1:$R$41,11,FALSE))</f>
        <v/>
      </c>
      <c r="AX25" s="214">
        <f>VLOOKUP(3,Reagents!$B$1:$R$41,17,FALSE)</f>
        <v>0</v>
      </c>
      <c r="AY25" s="284" t="e">
        <f>IF(OR(VLOOKUP(3,Reagents!$B$1:$M$41,4,FALSE)="solvent_2",VLOOKUP(3,Reagents!$B$1:$M$41,4,FALSE)="solvent_3"),VLOOKUP(3,Reagents!$B$1:$M$41,12,FALSE),IF(OR(Reagents!$Q$4="Stock slurry",Reagents!$Q$4="Stock solution"),AW25*AV25, AW25/VLOOKUP(3,Reagents!$B$1:$R$41,6,FALSE)*1000))</f>
        <v>#VALUE!</v>
      </c>
      <c r="AZ25" s="214">
        <f>VLOOKUP(4,Reagents!$B$1:$M$41,2,FALSE)</f>
        <v>0</v>
      </c>
      <c r="BA25" s="214">
        <f>VLOOKUP(4,Reagents!$B$1:$M$41,3,FALSE)</f>
        <v>0</v>
      </c>
      <c r="BB25" s="214" t="str">
        <f>IF(VLOOKUP(4,Reagents!$B$1:$M$41,5,FALSE)=0, "NULL", VLOOKUP(4,Reagents!$B$1:$M$41,5,FALSE))</f>
        <v>NULL</v>
      </c>
      <c r="BC25" s="214" t="str">
        <f>IF(OR(Reagents!$Q$5="Stock slurry",Reagents!$Q$5="Stock solution"),VLOOKUP(4,Reagents!$B$1:$R$41,13,FALSE), "NULL")</f>
        <v/>
      </c>
      <c r="BD25" s="362" t="str">
        <f>IF(OR(Reagents!$Q$5="Stock slurry",Reagents!$Q$5="Stock solution"),VLOOKUP(4,Reagents!$B$1:$R$41,14,FALSE), VLOOKUP(4,Reagents!$B$1:$R$41,11,FALSE))</f>
        <v/>
      </c>
      <c r="BE25" s="214">
        <f>VLOOKUP(4,Reagents!$B$1:$R$41,17,FALSE)</f>
        <v>0</v>
      </c>
      <c r="BF25" s="284" t="e">
        <f>IF(OR(VLOOKUP(4,Reagents!$B$1:$M$41,4,FALSE)="solvent_2",VLOOKUP(4,Reagents!$B$1:$M$41,4,FALSE)="solvent_3"),VLOOKUP(4,Reagents!$B$1:$M$41,12,FALSE),IF(OR(Reagents!$Q$5="Stock slurry",Reagents!$Q$5="Stock solution"),BD25*BC25, BD25/VLOOKUP(4,Reagents!$B$1:$R$41,6,FALSE)*1000))</f>
        <v>#VALUE!</v>
      </c>
      <c r="BG25" s="214">
        <f>VLOOKUP(5,Reagents!$B$1:$M$41,2,FALSE)</f>
        <v>0</v>
      </c>
      <c r="BH25" s="214">
        <f>VLOOKUP(5,Reagents!$B$1:$M$41,3,FALSE)</f>
        <v>0</v>
      </c>
      <c r="BI25" s="214" t="str">
        <f>IF(VLOOKUP(5,Reagents!$B$1:$M$41,5,FALSE)=0, "NULL", VLOOKUP(5,Reagents!$B$1:$M$41,5,FALSE))</f>
        <v>NULL</v>
      </c>
      <c r="BJ25" s="214" t="str">
        <f>IF(OR(Reagents!$Q$6="Stock slurry",Reagents!$Q$6="Stock solution"),VLOOKUP(5,Reagents!$B$1:$R$41,13,FALSE), "NULL")</f>
        <v/>
      </c>
      <c r="BK25" s="362" t="str">
        <f>IF(OR(Reagents!$Q$6="Stock slurry",Reagents!$Q$6="Stock solution"),VLOOKUP(5,Reagents!$B$1:$R$41,14,FALSE), VLOOKUP(5,Reagents!$B$1:$R$41,11,FALSE))</f>
        <v/>
      </c>
      <c r="BL25" s="214">
        <f>VLOOKUP(5,Reagents!$B$1:$R$41,17,FALSE)</f>
        <v>0</v>
      </c>
      <c r="BM25" s="284" t="e">
        <f>IF(OR(VLOOKUP(5,Reagents!$B$1:$M$41,4,FALSE)="solvent_2",VLOOKUP(5,Reagents!$B$1:$M$41,4,FALSE)="solvent_3"),VLOOKUP(5,Reagents!$B$1:$M$41,12,FALSE),IF(OR(Reagents!$Q$6="Stock slurry",Reagents!$Q$6="Stock solution"),BK25*BJ25, BK25/VLOOKUP(5,Reagents!$B$1:$R$41,6,FALSE)*1000))</f>
        <v>#VALUE!</v>
      </c>
      <c r="BN25" s="214">
        <f>VLOOKUP(6,Reagents!$B$1:$M$41,2,FALSE)</f>
        <v>0</v>
      </c>
      <c r="BO25" s="214">
        <f>VLOOKUP(6,Reagents!$B$1:$M$41,3,FALSE)</f>
        <v>0</v>
      </c>
      <c r="BP25" s="214" t="str">
        <f>IF(VLOOKUP(6,Reagents!$B$1:$M$41,5,FALSE)=0, "NULL", VLOOKUP(6,Reagents!$B$1:$M$41,5,FALSE))</f>
        <v>NULL</v>
      </c>
      <c r="BQ25" s="214" t="str">
        <f>IF(OR(Reagents!$Q$7="Stock slurry",Reagents!$Q$7="Stock solution"),VLOOKUP(6,Reagents!$B$1:$R$41,13,FALSE), "NULL")</f>
        <v/>
      </c>
      <c r="BR25" s="362" t="str">
        <f>IF(OR(Reagents!$Q$7="Stock slurry",Reagents!$Q$7="Stock solution"),VLOOKUP(6,Reagents!$B$1:$R$41,14,FALSE), VLOOKUP(6,Reagents!$B$1:$R$41,11,FALSE))</f>
        <v/>
      </c>
      <c r="BS25" s="214">
        <f>VLOOKUP(6,Reagents!$B$1:$R$41,17,FALSE)</f>
        <v>0</v>
      </c>
      <c r="BT25" s="284" t="e">
        <f>IF(OR(VLOOKUP(6,Reagents!$B$1:$M$41,4,FALSE)="solvent_2",VLOOKUP(6,Reagents!$B$1:$M$41,4,FALSE)="solvent_3"),VLOOKUP(6,Reagents!$B$1:$M$41,12,FALSE),IF(OR(Reagents!$Q$7="Stock slurry",Reagents!$Q$7="Stock solution"),BR25*BQ25, BR25/VLOOKUP(6,Reagents!$B$1:$R$41,6,FALSE)*1000))</f>
        <v>#VALUE!</v>
      </c>
      <c r="BU25" s="214">
        <f>VLOOKUP(7,Reagents!$B$1:$M$41,2,FALSE)</f>
        <v>0</v>
      </c>
      <c r="BV25" s="214">
        <f>VLOOKUP(7,Reagents!$B$1:$M$41,3,FALSE)</f>
        <v>0</v>
      </c>
      <c r="BW25" s="214" t="str">
        <f>IF(VLOOKUP(7,Reagents!$B$1:$M$41,5,FALSE)=0, "NULL", VLOOKUP(7,Reagents!$B$1:$M$41,5,FALSE))</f>
        <v>NULL</v>
      </c>
      <c r="BX25" s="214" t="str">
        <f>IF(OR(Reagents!$Q$8="Stock slurry",Reagents!$Q$8="Stock solution"),VLOOKUP(7,Reagents!$B$1:$R$41,13,FALSE), "NULL")</f>
        <v/>
      </c>
      <c r="BY25" s="362" t="str">
        <f>IF(OR(Reagents!$Q$8="Stock slurry",Reagents!$Q$8="Stock solution"),VLOOKUP(7,Reagents!$B$1:$R$41,14,FALSE), VLOOKUP(7,Reagents!$B$1:$R$41,11,FALSE))</f>
        <v/>
      </c>
      <c r="BZ25" s="214">
        <f>VLOOKUP(7,Reagents!$B$1:$R$41,17,FALSE)</f>
        <v>0</v>
      </c>
      <c r="CA25" s="284" t="e">
        <f>IF(OR(VLOOKUP(7,Reagents!$B$1:$M$41,4,FALSE)="solvent_2",VLOOKUP(7,Reagents!$B$1:$M$41,4,FALSE)="solvent_3"),VLOOKUP(7,Reagents!$B$1:$M$41,12,FALSE),IF(OR(Reagents!$Q$8="Stock slurry",Reagents!$Q$8="Stock solution"),BY25*BX25, BY25/VLOOKUP(7,Reagents!$B$1:$R$41,6,FALSE)*1000))</f>
        <v>#VALUE!</v>
      </c>
      <c r="CB25" s="214">
        <f>VLOOKUP(8,Reagents!$B$1:$M$41,2,FALSE)</f>
        <v>0</v>
      </c>
      <c r="CC25" s="214">
        <f>VLOOKUP(8,Reagents!$B$1:$M$41,3,FALSE)</f>
        <v>0</v>
      </c>
      <c r="CD25" s="214" t="str">
        <f>IF(VLOOKUP(8,Reagents!$B$1:$M$41,5,FALSE)=0, "NULL", VLOOKUP(8,Reagents!$B$1:$M$41,5,FALSE))</f>
        <v>NULL</v>
      </c>
      <c r="CE25" s="214" t="str">
        <f>IF(OR(Reagents!$Q$9="Stock slurry",Reagents!$Q$9="Stock solution"),VLOOKUP(8,Reagents!$B$1:$R$41,13,FALSE), "NULL")</f>
        <v/>
      </c>
      <c r="CF25" s="362" t="str">
        <f>IF(OR(Reagents!$Q$9="Stock slurry",Reagents!$Q$9="Stock solution"),VLOOKUP(8,Reagents!$B$1:$R$41,14,FALSE), VLOOKUP(8,Reagents!$B$1:$R$41,11,FALSE))</f>
        <v/>
      </c>
      <c r="CG25" s="214">
        <f>VLOOKUP(8,Reagents!$B$1:$R$41,17,FALSE)</f>
        <v>0</v>
      </c>
      <c r="CH25" s="284" t="e">
        <f>IF(OR(VLOOKUP(8,Reagents!$B$1:$M$41,4,FALSE)="solvent_2",VLOOKUP(8,Reagents!$B$1:$M$41,4,FALSE)="solvent_3"),VLOOKUP(8,Reagents!$B$1:$M$41,12,FALSE),IF(OR(Reagents!$Q$9="Stock slurry",Reagents!$Q$9="Stock solution"),CF25*CE25, CF25/VLOOKUP(8,Reagents!$B$1:$R$41,6,FALSE)*1000))</f>
        <v>#VALUE!</v>
      </c>
      <c r="CI25" s="214">
        <f>VLOOKUP(9,Reagents!$B$1:$M$41,2,FALSE)</f>
        <v>0</v>
      </c>
      <c r="CJ25" s="214">
        <f>VLOOKUP(9,Reagents!$B$1:$M$41,3,FALSE)</f>
        <v>0</v>
      </c>
      <c r="CK25" s="214" t="str">
        <f>IF(VLOOKUP(9,Reagents!$B$1:$M$41,5,FALSE)=0, "NULL", VLOOKUP(9,Reagents!$B$1:$M$41,5,FALSE))</f>
        <v>NULL</v>
      </c>
      <c r="CL25" s="214" t="str">
        <f>IF(OR(Reagents!$Q$10="Stock slurry",Reagents!$Q$10="Stock solution"),VLOOKUP(9,Reagents!$B$1:$R$41,13,FALSE), "NULL")</f>
        <v/>
      </c>
      <c r="CM25" s="362" t="str">
        <f>IF(OR(Reagents!$Q$10="Stock slurry",Reagents!$Q$10="Stock solution"),VLOOKUP(9,Reagents!$B$1:$R$41,14,FALSE), VLOOKUP(9,Reagents!$B$1:$R$41,11,FALSE))</f>
        <v/>
      </c>
      <c r="CN25" s="214">
        <f>VLOOKUP(9,Reagents!$B$1:$R$41,17,FALSE)</f>
        <v>0</v>
      </c>
      <c r="CO25" s="284" t="e">
        <f>IF(OR(VLOOKUP(9,Reagents!$B$1:$M$41,4,FALSE)="solvent_2",VLOOKUP(9,Reagents!$B$1:$M$41,4,FALSE)="solvent_3"),VLOOKUP(9,Reagents!$B$1:$M$41,12,FALSE),IF(OR(Reagents!$Q$10="Stock slurry",Reagents!$Q$10="Stock solution"),CM25*CL25, CM25/VLOOKUP(9,Reagents!$B$1:$R$41,6,FALSE)*1000))</f>
        <v>#VALUE!</v>
      </c>
      <c r="CP25" s="214">
        <f>VLOOKUP(10,Reagents!$B$1:$M$41,2,FALSE)</f>
        <v>0</v>
      </c>
      <c r="CQ25" s="214">
        <f>VLOOKUP(10,Reagents!$B$1:$M$41,3,FALSE)</f>
        <v>0</v>
      </c>
      <c r="CR25" s="214" t="str">
        <f>IF(VLOOKUP(10,Reagents!$B$1:$M$41,5,FALSE)=0, "NULL", VLOOKUP(10,Reagents!$B$1:$M$41,5,FALSE))</f>
        <v>NULL</v>
      </c>
      <c r="CS25" s="214" t="str">
        <f>IF(OR(Reagents!$Q$11="Stock slurry",Reagents!$Q$11="Stock solution"),VLOOKUP(10,Reagents!$B$1:$R$41,13,FALSE), "NULL")</f>
        <v/>
      </c>
      <c r="CT25" s="362" t="str">
        <f>IF(OR(Reagents!$Q$11="Stock slurry",Reagents!$Q$11="Stock solution"),VLOOKUP(10,Reagents!$B$1:$R$41,14,FALSE), VLOOKUP(10,Reagents!$B$1:$R$41,11,FALSE))</f>
        <v/>
      </c>
      <c r="CU25" s="214">
        <f>VLOOKUP(10,Reagents!$B$1:$R$41,17,FALSE)</f>
        <v>0</v>
      </c>
      <c r="CV25" s="284" t="e">
        <f>IF(OR(VLOOKUP(10,Reagents!$B$1:$M$41,4,FALSE)="solvent_2",VLOOKUP(10,Reagents!$B$1:$M$41,4,FALSE)="solvent_3"),VLOOKUP(10,Reagents!$B$1:$M$41,12,FALSE),IF(OR(Reagents!$Q$11="Stock slurry",Reagents!$Q$11="Stock solution"),CT25*CS25, CT25/VLOOKUP(10,Reagents!$B$1:$R$41,6,FALSE)*1000))</f>
        <v>#VALUE!</v>
      </c>
      <c r="CW25" s="214" t="str">
        <f>VLOOKUP(B25+10,Reagents!$B$1:$R$41,2,FALSE)</f>
        <v/>
      </c>
      <c r="CX25" s="214">
        <f>VLOOKUP(B25+10,Reagents!$B$1:$R$41,3,FALSE)</f>
        <v>0</v>
      </c>
      <c r="CY25" s="214" t="str">
        <f>IF(VLOOKUP(B25+10,Reagents!$B$1:$M$41,5,FALSE)=0, "NULL", VLOOKUP(B25+10,Reagents!$B$1:$M$41,5,FALSE))</f>
        <v>NULL</v>
      </c>
      <c r="CZ25" s="214" t="str">
        <f>IF(OR(Reagents!$Q$12="Stock slurry",Reagents!$Q$12="Stock solution"),VLOOKUP(B25+10,Reagents!$B$1:$R$41,13,FALSE), "NULL")</f>
        <v/>
      </c>
      <c r="DA25" s="362" t="str">
        <f>IF(OR(Reagents!$Q$12="Stock slurry",Reagents!$Q$12="Stock solution"),VLOOKUP(B25+10,Reagents!$B$1:$R$41,14,FALSE), VLOOKUP(B25+10,Reagents!$B$1:$R$41,11,FALSE))</f>
        <v/>
      </c>
      <c r="DB25" s="214">
        <f>VLOOKUP(B25+10,Reagents!$B$1:$R$41,17,FALSE)</f>
        <v>0</v>
      </c>
      <c r="DC25" s="284" t="e">
        <f>IF(OR(v1_col="solvent_2",v1_col="solvent_3"),VLOOKUP(B25+10,Reagents!$B$1:$M$41,12,FALSE),IF(OR(Reagents!$Q$12="Stock slurry",Reagents!$Q$12="Stock solution"),DA25*CZ25, DA25/VLOOKUP(B25+10,Reagents!$B$1:$R$41,6,FALSE)*1000))</f>
        <v>#VALUE!</v>
      </c>
      <c r="DD25" s="214" t="str">
        <f>VLOOKUP(B25+22,Reagents!$B$1:$M$41,2,FALSE)</f>
        <v/>
      </c>
      <c r="DE25" s="214">
        <f>VLOOKUP(B25+22,Reagents!$B$1:$R$41,3,FALSE)</f>
        <v>0</v>
      </c>
      <c r="DF25" s="214" t="str">
        <f>IF(VLOOKUP(B25+22,Reagents!$B$1:$M$41,5,FALSE)=0, "NULL", VLOOKUP(B25+22,Reagents!$B$1:$M$41,5,FALSE))</f>
        <v>NULL</v>
      </c>
      <c r="DG25" s="214" t="str">
        <f>IF(OR(Reagents!$Q$18="Stock slurry",Reagents!$Q$12="Stock solution"),VLOOKUP(B25+22,Reagents!$B$1:$R$41,13,FALSE), "NULL")</f>
        <v/>
      </c>
      <c r="DH25" s="362" t="str">
        <f>IF(OR(Reagents!$Q$18="Stock slurry",Reagents!$Q$18="Stock solution"),VLOOKUP(B25+22,Reagents!$B$1:$R$41,14,FALSE), VLOOKUP(B25+22,Reagents!$B$1:$R$41,11,FALSE))</f>
        <v/>
      </c>
      <c r="DI25" s="214">
        <f>VLOOKUP(B25+22,Reagents!$B$1:$R$41,17,FALSE)</f>
        <v>0</v>
      </c>
      <c r="DJ25" s="284" t="e">
        <f>IF(OR(v2_col="solvent_2",v2_col="solvent_3"),VLOOKUP(B25+22,Reagents!$B$1:$M$41,12,FALSE),IF(OR(Reagents!$Q$18="Stock slurry",Reagents!$Q$18="Stock solution"),DH25*DG25, DH25/VLOOKUP(B25+22,Reagents!$B$1:$R$41,6,FALSE)*1000))</f>
        <v>#VALUE!</v>
      </c>
      <c r="DK25" s="214" t="str">
        <f>VLOOKUP(B25+34,Reagents!$B$1:$M$41,2,FALSE)</f>
        <v/>
      </c>
      <c r="DL25" s="214">
        <f>VLOOKUP(B25+34,Reagents!$B$1:$R$41,3,FALSE)</f>
        <v>0</v>
      </c>
      <c r="DM25" s="214" t="str">
        <f>IF(VLOOKUP(B25+34,Reagents!$B$1:$M$41,5,FALSE)=0, "NULL", VLOOKUP(B25+34,Reagents!$B$1:$M$41,5,FALSE))</f>
        <v>NULL</v>
      </c>
      <c r="DN25" s="214" t="str">
        <f>IF(OR(Reagents!$Q$24="Stock slurry",Reagents!$Q$12="Stock solution"),VLOOKUP(B25+34,Reagents!$B$1:$R$41,13,FALSE), "NULL")</f>
        <v/>
      </c>
      <c r="DO25" s="362" t="str">
        <f>IF(OR(Reagents!$Q$24="Stock slurry",Reagents!$Q$24="Stock solution"),VLOOKUP(B25+34,Reagents!$B$1:$R$41,14,FALSE), VLOOKUP(B25+34,Reagents!$B$1:$R$41,11,FALSE))</f>
        <v/>
      </c>
      <c r="DP25" s="214">
        <f>VLOOKUP(B25+34,Reagents!$B$1:$R$41,17,FALSE)</f>
        <v>0</v>
      </c>
      <c r="DQ25" s="284" t="e">
        <f>IF(OR(v3_col="solvent_2",v3_col="solvent_3"),VLOOKUP(B25+34,Reagents!$B$1:$M$41,12,FALSE),IF(OR(Reagents!$Q$24="Stock slurry",Reagents!$Q$24="Stock solution"),DO25*DN25, DO25/VLOOKUP(B25+34,Reagents!$B$1:$R$41,6,FALSE)*1000))</f>
        <v>#VALUE!</v>
      </c>
      <c r="DR25" s="214" t="str">
        <f>VLOOKUP(C25+46,Reagents!$B$1:$M$41,2,FALSE)</f>
        <v/>
      </c>
      <c r="DS25" s="214">
        <f>VLOOKUP(C25+46,Reagents!$B$1:$M$41,3,FALSE)</f>
        <v>0</v>
      </c>
      <c r="DT25" s="214" t="str">
        <f>IF(VLOOKUP(C25+46,Reagents!$B$1:$M$41,5,FALSE)=0, "NULL", VLOOKUP(C25+46,Reagents!$B$1:$M$41,5,FALSE))</f>
        <v>NULL</v>
      </c>
      <c r="DU25" s="214" t="str">
        <f>IF(OR(Reagents!$Q$30="Stock slurry",Reagents!$Q$30="Stock solution"),VLOOKUP(C25+46,Reagents!$B$1:$R$41,13,FALSE), "NULL")</f>
        <v/>
      </c>
      <c r="DV25" s="362" t="str">
        <f>IF(OR(Reagents!$Q$30="Stock slurry",Reagents!$Q$30="Stock solution"),VLOOKUP(C25+46,Reagents!$B$1:$R$41,14,FALSE), VLOOKUP(C25+46,Reagents!$B$1:$R$41,11,FALSE))</f>
        <v/>
      </c>
      <c r="DW25" s="214">
        <f>VLOOKUP(C25+46,Reagents!$B$1:$R$41,17,FALSE)</f>
        <v>0</v>
      </c>
      <c r="DX25" s="284" t="e">
        <f>IF(OR(v4_row="solvent_2",v4_row="solvent_3"),VLOOKUP(C25+46,Reagents!$B$1:$M$41,12,FALSE),IF(OR(Reagents!$Q$30="Stock slurry",Reagents!$Q$30="Stock solution"),DV25*DU25, DV25/VLOOKUP(C25+46,Reagents!$B$1:$R$41,6,FALSE)*1000))</f>
        <v>#VALUE!</v>
      </c>
      <c r="DY25" s="214" t="str">
        <f>VLOOKUP(C25+54,Reagents!$B$1:$M$41,2,FALSE)</f>
        <v/>
      </c>
      <c r="DZ25" s="214">
        <f>VLOOKUP(C25+54,Reagents!$B$1:$M$41,3,FALSE)</f>
        <v>0</v>
      </c>
      <c r="EA25" s="214" t="str">
        <f>IF(VLOOKUP(C25+54,Reagents!$B$1:$M$41,5,FALSE)=0, "NULL", VLOOKUP(C25+54,Reagents!$B$1:$M$41,5,FALSE))</f>
        <v>NULL</v>
      </c>
      <c r="EB25" s="214" t="str">
        <f>IF(OR(Reagents!$Q$34="Stock slurry",Reagents!$Q$34="Stock solution"),VLOOKUP(C25+54,Reagents!$B$1:$R$41,13,FALSE), "NULL")</f>
        <v/>
      </c>
      <c r="EC25" s="362" t="str">
        <f>IF(OR(Reagents!$Q$34="Stock slurry",Reagents!$Q$34="Stock solution"),VLOOKUP(C25+54,Reagents!$B$1:$R$41,14,FALSE), VLOOKUP(C25+54,Reagents!$B$1:$R$41,11,FALSE))</f>
        <v/>
      </c>
      <c r="ED25" s="214">
        <f>VLOOKUP(C25+54,Reagents!$B$1:$R$41,17,FALSE)</f>
        <v>0</v>
      </c>
      <c r="EE25" s="284" t="e">
        <f>IF(OR(v5_row="solvent_2",v5_row="solvent_3"),VLOOKUP(C25+54,Reagents!$B$1:$M$41,12,FALSE),IF(OR(Reagents!$Q$34="Stock slurry",Reagents!$Q$34="Stock solution"),EC25*EB25, EC25/VLOOKUP(C25+54,Reagents!$B$1:$R$41,6,FALSE)*1000))</f>
        <v>#VALUE!</v>
      </c>
      <c r="EF25" s="214" t="str">
        <f>VLOOKUP(C25+62,Reagents!$B$1:$M$41,2,FALSE)</f>
        <v/>
      </c>
      <c r="EG25" s="214">
        <f>VLOOKUP(C25+62,Reagents!$B$1:$M$41,3,FALSE)</f>
        <v>0</v>
      </c>
      <c r="EH25" s="214" t="str">
        <f>IF(VLOOKUP(C25+62,Reagents!$B$1:$M$41,5,FALSE)=0, "NULL", VLOOKUP(C25+62,Reagents!$B$1:$M$41,5,FALSE))</f>
        <v>NULL</v>
      </c>
      <c r="EI25" s="214" t="str">
        <f>IF(OR(Reagents!$Q$38="Stock slurry",Reagents!$Q$38="Stock solution"),VLOOKUP(C25+62,Reagents!$B$1:$R$41,13,FALSE), "NULL")</f>
        <v/>
      </c>
      <c r="EJ25" s="362" t="str">
        <f>IF(OR(Reagents!$Q$38="Stock slurry",Reagents!$Q$38="Stock solution"),VLOOKUP(C25+62,Reagents!$B$1:$R$41,14,FALSE), VLOOKUP(C25+62,Reagents!$B$1:$R$41,11,FALSE))</f>
        <v/>
      </c>
      <c r="EK25" s="214">
        <f>VLOOKUP(C25+62,Reagents!$B$1:$R$41,17,FALSE)</f>
        <v>0</v>
      </c>
      <c r="EL25" s="284" t="e">
        <f>IF(OR(v6_row="solvent_2",v6_row="solvent_3"),VLOOKUP(C25+62,Reagents!$B$1:$M$41,12,FALSE),IF(OR(Reagents!$Q$38="Stock slurry",Reagents!$Q$38="Stock solution"),EJ25*EI25, EJ25/VLOOKUP(C25+62,Reagents!$B$1:$R$41,6,FALSE)*1000))</f>
        <v>#VALUE!</v>
      </c>
      <c r="EM25" s="214">
        <f>VLOOKUP(19,'Plate Planning'!$A$1:$T$35,13,FALSE)</f>
        <v>0</v>
      </c>
      <c r="EN25" s="214">
        <f>VLOOKUP(19,'Plate Planning'!$A$1:$T$35,14,FALSE)</f>
        <v>0</v>
      </c>
      <c r="EO25" s="214">
        <f>VLOOKUP(19,'Plate Planning'!$A$1:$T$35,15,FALSE)</f>
        <v>0</v>
      </c>
      <c r="EP25" s="214">
        <f>VLOOKUP(A25,'Uncorrected Area Counts'!$A$1:$AS$27,3,FALSE)</f>
        <v>0</v>
      </c>
      <c r="EQ25" s="214" t="str">
        <f>VLOOKUP(A25,'Uncorrected Area Counts'!$A$1:$AS$27,4,FALSE)</f>
        <v/>
      </c>
      <c r="ER25" s="214" t="str">
        <f>VLOOKUP(A25,'Uncorrected Area Counts'!$A$1:$AS$27,5,FALSE)</f>
        <v/>
      </c>
      <c r="ES25" s="214">
        <f>VLOOKUP(20,'Plate Planning'!$A$1:$T$35,15,FALSE)</f>
        <v>0</v>
      </c>
      <c r="ET25" s="214">
        <f>VLOOKUP(A25,'Uncorrected Area Counts'!$A$1:$AS$27,7,FALSE)</f>
        <v>0</v>
      </c>
      <c r="EU25" s="214" t="e">
        <f>VLOOKUP(A25,'Uncorrected Area Counts'!$A$1:$AS$27,7,FALSE)/VLOOKUP(A25,'Uncorrected Area Counts'!$A$1:$AS$27,3,FALSE)</f>
        <v>#DIV/0!</v>
      </c>
      <c r="EV25" s="214" t="str">
        <f>IFERROR(VLOOKUP(A25,'Yields &amp; LCAPs'!$A$1:$V$27,3,FALSE), "NULL")</f>
        <v>NULL</v>
      </c>
      <c r="EW25" s="284" t="str">
        <f>IFERROR(VLOOKUP(A25,'Yields &amp; LCAPs'!$A$1:$V$27,4,FALSE), "NULL")</f>
        <v>NULL</v>
      </c>
      <c r="EX25" s="214" t="str">
        <f>VLOOKUP(A25,'Uncorrected Area Counts'!$A$1:$AS$27,8,FALSE)</f>
        <v/>
      </c>
      <c r="EY25" s="214" t="str">
        <f>VLOOKUP(A25,'Uncorrected Area Counts'!$A$1:$AS$27,9,FALSE)</f>
        <v/>
      </c>
      <c r="EZ25" s="214">
        <f>VLOOKUP(22,'Plate Planning'!$A$1:$T$35,15,FALSE)</f>
        <v>0</v>
      </c>
      <c r="FA25" s="214">
        <f>VLOOKUP(A25,'Uncorrected Area Counts'!$A$1:$AS$27,11,FALSE)</f>
        <v>0</v>
      </c>
      <c r="FB25" s="214" t="e">
        <f>VLOOKUP(A25,'Uncorrected Area Counts'!$A$1:$AS$27,11,FALSE)/VLOOKUP(A25,'Uncorrected Area Counts'!$A$1:$AS$27,3,FALSE)</f>
        <v>#DIV/0!</v>
      </c>
      <c r="FC25" s="214" t="str">
        <f>IFERROR(VLOOKUP(A25,'Yields &amp; LCAPs'!$A$1:$V$27,5,FALSE), "NULL")</f>
        <v>NULL</v>
      </c>
      <c r="FD25" s="284" t="str">
        <f>IFERROR(VLOOKUP(A25,'Yields &amp; LCAPs'!$A$1:$V$27,6,FALSE), "NULL")</f>
        <v>NULL</v>
      </c>
      <c r="FE25" s="214" t="str">
        <f>VLOOKUP(A25,'Uncorrected Area Counts'!$A$1:$AS$27,12,FALSE)</f>
        <v/>
      </c>
      <c r="FF25" s="214" t="str">
        <f>VLOOKUP(A25,'Uncorrected Area Counts'!$A$1:$AS$27,13,FALSE)</f>
        <v/>
      </c>
      <c r="FG25" s="214">
        <f>VLOOKUP(24,'Plate Planning'!$A$1:$T$35,15,FALSE)</f>
        <v>0</v>
      </c>
      <c r="FH25" s="214">
        <f>VLOOKUP(A25,'Uncorrected Area Counts'!$A$1:$AS$27,15,FALSE)</f>
        <v>0</v>
      </c>
      <c r="FI25" s="214" t="e">
        <f>VLOOKUP(A25,'Uncorrected Area Counts'!$A$1:$AS$27,15,FALSE)/VLOOKUP(A25,'Uncorrected Area Counts'!$A$1:$AS$27,3,FALSE)</f>
        <v>#DIV/0!</v>
      </c>
      <c r="FJ25" s="214" t="str">
        <f>IFERROR(VLOOKUP(A25,'Yields &amp; LCAPs'!$A$1:$V$27,7,FALSE), "NULL")</f>
        <v>NULL</v>
      </c>
      <c r="FK25" s="284" t="str">
        <f>IFERROR(VLOOKUP(A25,'Yields &amp; LCAPs'!$A$1:$V$27,8,FALSE), "NULL")</f>
        <v>NULL</v>
      </c>
      <c r="FL25" s="214" t="str">
        <f>VLOOKUP(A25,'Uncorrected Area Counts'!$A$1:$AS$27,16,FALSE)</f>
        <v/>
      </c>
      <c r="FM25" s="214" t="str">
        <f>VLOOKUP(A25,'Uncorrected Area Counts'!$A$1:$AS$27,17,FALSE)</f>
        <v/>
      </c>
      <c r="FN25" s="214">
        <f>VLOOKUP(26,'Plate Planning'!$A$1:$T$35,15,FALSE)</f>
        <v>0</v>
      </c>
      <c r="FO25" s="214">
        <f>VLOOKUP(A25,'Uncorrected Area Counts'!$A$1:$AS$27,19,FALSE)</f>
        <v>0</v>
      </c>
      <c r="FP25" s="214" t="e">
        <f>VLOOKUP(A25,'Uncorrected Area Counts'!$A$1:$AS$27,19,FALSE)/VLOOKUP(A25,'Uncorrected Area Counts'!$A$1:$AS$27,3,FALSE)</f>
        <v>#DIV/0!</v>
      </c>
      <c r="FQ25" s="214" t="str">
        <f>IFERROR(VLOOKUP(A25,'Yields &amp; LCAPs'!$A$1:$V$27,9,FALSE), "NULL")</f>
        <v>NULL</v>
      </c>
      <c r="FR25" s="284" t="str">
        <f>IFERROR(VLOOKUP(A25,'Yields &amp; LCAPs'!$A$1:$V$27,10,FALSE), "NULL")</f>
        <v>NULL</v>
      </c>
      <c r="FS25" s="214" t="str">
        <f>VLOOKUP(A25,'Uncorrected Area Counts'!$A$1:$AS$27,20,FALSE)</f>
        <v/>
      </c>
      <c r="FT25" s="214" t="str">
        <f>VLOOKUP(A25,'Uncorrected Area Counts'!$A$1:$AS$27,21,FALSE)</f>
        <v/>
      </c>
      <c r="FU25" s="214">
        <f>VLOOKUP(27,'Plate Planning'!$A$1:$T$35,15,FALSE)</f>
        <v>0</v>
      </c>
      <c r="FV25" s="214">
        <f>VLOOKUP(A25,'Uncorrected Area Counts'!$A$1:$AS$27,23,FALSE)</f>
        <v>0</v>
      </c>
      <c r="FW25" s="214" t="e">
        <f>VLOOKUP(A25,'Uncorrected Area Counts'!$A$1:$AS$27,23,FALSE)/VLOOKUP(A25,'Uncorrected Area Counts'!$A$1:$AS$27,3,FALSE)</f>
        <v>#DIV/0!</v>
      </c>
      <c r="FX25" s="214" t="str">
        <f>IFERROR(VLOOKUP(A25,'Yields &amp; LCAPs'!$A$1:$V$27,11,FALSE), "NULL")</f>
        <v>NULL</v>
      </c>
      <c r="FY25" s="284" t="str">
        <f>IFERROR(VLOOKUP(A25,'Yields &amp; LCAPs'!$A$1:$V$27,12,FALSE), "NULL")</f>
        <v>NULL</v>
      </c>
      <c r="FZ25" s="411" t="str">
        <f>VLOOKUP(A25,'Uncorrected Area Counts'!$A$1:$AS$27,24,FALSE)</f>
        <v/>
      </c>
      <c r="GA25" s="214" t="str">
        <f>VLOOKUP(A25,'Uncorrected Area Counts'!$A$1:$AS$27,25,FALSE)</f>
        <v/>
      </c>
      <c r="GB25" s="214">
        <f>VLOOKUP(28,'Plate Planning'!$A$1:$T$35,15,FALSE)</f>
        <v>0</v>
      </c>
      <c r="GC25" s="214">
        <f>VLOOKUP(A25,'Uncorrected Area Counts'!$A$1:$AS$27,27,FALSE)</f>
        <v>0</v>
      </c>
      <c r="GD25" s="214" t="e">
        <f>VLOOKUP(A25,'Uncorrected Area Counts'!$A$1:$AS$27,27,FALSE)/VLOOKUP(A25,'Uncorrected Area Counts'!$A$1:$AS$27,3,FALSE)</f>
        <v>#DIV/0!</v>
      </c>
      <c r="GE25" s="214" t="str">
        <f>IFERROR(VLOOKUP(A25,'Yields &amp; LCAPs'!$A$1:$V$27,13,FALSE), "NULL")</f>
        <v>NULL</v>
      </c>
      <c r="GF25" s="284" t="str">
        <f>IFERROR(VLOOKUP(A25,'Yields &amp; LCAPs'!$A$1:$V$27,14,FALSE), "NULL")</f>
        <v>NULL</v>
      </c>
      <c r="GG25" s="214" t="str">
        <f>VLOOKUP(A25,'Uncorrected Area Counts'!$A$1:$AS$27,28,FALSE)</f>
        <v/>
      </c>
      <c r="GH25" s="214" t="str">
        <f>VLOOKUP(A25,'Uncorrected Area Counts'!$A$1:$AS$27,29,FALSE)</f>
        <v/>
      </c>
      <c r="GI25" s="214">
        <f>VLOOKUP(29,'Plate Planning'!$A$1:$T$35,15,FALSE)</f>
        <v>0</v>
      </c>
      <c r="GJ25" s="214">
        <f>VLOOKUP(A25,'Uncorrected Area Counts'!$A$1:$AS$27,31,FALSE)</f>
        <v>0</v>
      </c>
      <c r="GK25" s="214" t="e">
        <f>VLOOKUP(A25,'Uncorrected Area Counts'!$A$1:$AS$27,31,FALSE)/VLOOKUP(A25,'Uncorrected Area Counts'!$A$1:$AS$27,3,FALSE)</f>
        <v>#DIV/0!</v>
      </c>
      <c r="GL25" s="214" t="str">
        <f>IFERROR(VLOOKUP(A25,'Yields &amp; LCAPs'!$A$1:$V$27,15,FALSE), "NULL")</f>
        <v>NULL</v>
      </c>
      <c r="GM25" s="284" t="str">
        <f>IFERROR(VLOOKUP(A25,'Yields &amp; LCAPs'!$A$1:$V$27,16,FALSE), "NULL")</f>
        <v>NULL</v>
      </c>
      <c r="GN25" s="214" t="str">
        <f>VLOOKUP(A25,'Uncorrected Area Counts'!$A$1:$AS$27,32,FALSE)</f>
        <v/>
      </c>
      <c r="GO25" s="214" t="str">
        <f>VLOOKUP(A25,'Uncorrected Area Counts'!$A$1:$AS$27,33,FALSE)</f>
        <v/>
      </c>
      <c r="GP25" s="214">
        <f>VLOOKUP(30,'Plate Planning'!$A$1:$T$35,15,FALSE)</f>
        <v>0</v>
      </c>
      <c r="GQ25" s="214">
        <f>VLOOKUP(A25,'Uncorrected Area Counts'!$A$1:$AS$27,35,FALSE)</f>
        <v>0</v>
      </c>
      <c r="GR25" s="214" t="e">
        <f>VLOOKUP(A25,'Uncorrected Area Counts'!$A$1:$AS$27,35,FALSE)/VLOOKUP(A25,'Uncorrected Area Counts'!$A$1:$AS$27,3,FALSE)</f>
        <v>#DIV/0!</v>
      </c>
      <c r="GS25" s="214" t="str">
        <f>IFERROR(VLOOKUP(A25,'Yields &amp; LCAPs'!$A$1:$V$27,17,FALSE), "NULL")</f>
        <v>NULL</v>
      </c>
      <c r="GT25" s="284" t="str">
        <f>IFERROR(VLOOKUP(A25,'Yields &amp; LCAPs'!$A$1:$V$27,18,FALSE), "NULL")</f>
        <v>NULL</v>
      </c>
      <c r="GU25" s="214" t="str">
        <f>VLOOKUP(A25,'Uncorrected Area Counts'!$A$1:$AS$27,36,FALSE)</f>
        <v/>
      </c>
      <c r="GV25" s="214" t="str">
        <f>VLOOKUP(A25,'Uncorrected Area Counts'!$A$1:$AS$27,37,FALSE)</f>
        <v/>
      </c>
      <c r="GW25" s="214">
        <f>VLOOKUP(31,'Plate Planning'!$A$1:$T$35,15,FALSE)</f>
        <v>0</v>
      </c>
      <c r="GX25" s="214">
        <f>VLOOKUP(A25,'Uncorrected Area Counts'!$A$1:$AS$27,39,FALSE)</f>
        <v>0</v>
      </c>
      <c r="GY25" s="214" t="e">
        <f>VLOOKUP(A25,'Uncorrected Area Counts'!$A$1:$AS$27,39,FALSE)/VLOOKUP(A25,'Uncorrected Area Counts'!$A$1:$AS$27,3,FALSE)</f>
        <v>#DIV/0!</v>
      </c>
      <c r="GZ25" s="214" t="str">
        <f>IFERROR(VLOOKUP(A25,'Yields &amp; LCAPs'!$A$1:$V$27,19,FALSE), "NULL")</f>
        <v>NULL</v>
      </c>
      <c r="HA25" s="284" t="str">
        <f>IFERROR(VLOOKUP(A25,'Yields &amp; LCAPs'!$A$1:$V$27,20,FALSE), "NULL")</f>
        <v>NULL</v>
      </c>
      <c r="HB25" s="214" t="str">
        <f>VLOOKUP(A25,'Uncorrected Area Counts'!$A$1:$AS$27,40,FALSE)</f>
        <v/>
      </c>
      <c r="HC25" s="214" t="str">
        <f>VLOOKUP(A25,'Uncorrected Area Counts'!$A$1:$AS$27,41,FALSE)</f>
        <v/>
      </c>
      <c r="HD25" s="214">
        <f>VLOOKUP(32,'Plate Planning'!$A$1:$T$35,15,FALSE)</f>
        <v>0</v>
      </c>
      <c r="HE25" s="214">
        <f>VLOOKUP(A25,'Uncorrected Area Counts'!$A$1:$AS$27,43,FALSE)</f>
        <v>0</v>
      </c>
      <c r="HF25" s="214" t="e">
        <f>VLOOKUP(A25,'Uncorrected Area Counts'!$A$1:$AS$27,43,FALSE)/VLOOKUP(A25,'Uncorrected Area Counts'!$A$1:$AS$27,3,FALSE)</f>
        <v>#DIV/0!</v>
      </c>
      <c r="HG25" s="214" t="str">
        <f>IFERROR(VLOOKUP(A25,'Yields &amp; LCAPs'!$A$1:$V$27,21,FALSE), "NULL")</f>
        <v>NULL</v>
      </c>
      <c r="HH25" s="284" t="str">
        <f>IFERROR(VLOOKUP(A25,'Yields &amp; LCAPs'!$A$1:$V$27,22,FALSE), "NULL")</f>
        <v>NULL</v>
      </c>
      <c r="HI25" s="362"/>
      <c r="HJ25" s="362"/>
      <c r="HK25" s="362"/>
      <c r="HL25" s="362"/>
      <c r="HM25" s="363"/>
      <c r="HN25" s="362"/>
      <c r="HO25" s="362"/>
      <c r="HP25" s="362"/>
      <c r="HQ25" s="362"/>
      <c r="HR25" s="363"/>
    </row>
    <row r="26" spans="1:226" s="297" customFormat="1">
      <c r="A26" s="275"/>
      <c r="B26" s="21"/>
      <c r="C26" s="21"/>
      <c r="D26" s="21"/>
      <c r="E26" s="21"/>
      <c r="F26" s="275"/>
      <c r="G26" s="275"/>
      <c r="H26" s="275"/>
      <c r="I26" s="21"/>
      <c r="J26" s="21"/>
      <c r="K26" s="21"/>
      <c r="L26" s="21"/>
      <c r="M26" s="21"/>
      <c r="N26" s="21"/>
      <c r="O26" s="21"/>
      <c r="P26" s="21"/>
      <c r="Q26" s="21"/>
      <c r="R26" s="21"/>
      <c r="S26" s="21"/>
      <c r="T26" s="21"/>
      <c r="U26" s="21"/>
      <c r="V26" s="21"/>
      <c r="W26" s="275"/>
      <c r="X26" s="275"/>
      <c r="Y26" s="275"/>
      <c r="Z26" s="275"/>
      <c r="AA26" s="275"/>
      <c r="AB26" s="275"/>
      <c r="AC26" s="275"/>
      <c r="AD26" s="275"/>
      <c r="AE26" s="275"/>
      <c r="AF26" s="275"/>
      <c r="AG26" s="275"/>
      <c r="AH26" s="275"/>
      <c r="AJ26" s="275"/>
      <c r="AK26" s="275"/>
      <c r="AL26" s="275"/>
      <c r="AM26" s="275"/>
      <c r="AN26" s="275"/>
      <c r="AO26" s="275"/>
      <c r="AQ26" s="275"/>
      <c r="AR26" s="275"/>
      <c r="AS26" s="275"/>
      <c r="AT26" s="275"/>
      <c r="AU26" s="275"/>
      <c r="AV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D26" s="275"/>
      <c r="EE26" s="275"/>
      <c r="EF26" s="275"/>
      <c r="EG26" s="275"/>
      <c r="EH26" s="275"/>
      <c r="EI26" s="275"/>
      <c r="EJ26" s="275"/>
      <c r="EK26" s="275"/>
      <c r="EL26" s="275"/>
      <c r="EM26" s="275"/>
      <c r="EN26" s="275"/>
      <c r="EO26" s="275"/>
      <c r="EP26" s="275"/>
      <c r="EQ26" s="275"/>
      <c r="ER26" s="275"/>
      <c r="ES26" s="275"/>
      <c r="ET26" s="275"/>
      <c r="EU26"/>
      <c r="EV26"/>
      <c r="EW26" s="275"/>
      <c r="EX26" s="275"/>
      <c r="EY26" s="275"/>
      <c r="EZ26" s="275"/>
      <c r="FA26" s="275"/>
      <c r="FB26" s="275"/>
      <c r="FC26" s="275"/>
      <c r="FD26" s="275"/>
      <c r="FE26" s="275"/>
      <c r="FF26" s="275"/>
      <c r="FG26" s="275"/>
      <c r="FH26" s="275"/>
      <c r="FI26" s="275"/>
      <c r="FJ26" s="275"/>
      <c r="FK26" s="275"/>
      <c r="FL26" s="275"/>
      <c r="FM26" s="275"/>
      <c r="FN26" s="275"/>
      <c r="FO26" s="275"/>
      <c r="FP26" s="275"/>
      <c r="FQ26" s="275"/>
      <c r="FR26" s="275"/>
      <c r="FS26" s="275"/>
      <c r="FT26" s="275"/>
      <c r="FU26" s="275"/>
      <c r="FV26" s="275"/>
      <c r="FW26" s="275"/>
      <c r="FX26" s="275"/>
      <c r="FY26" s="275"/>
      <c r="FZ26" s="275"/>
      <c r="GA26" s="275"/>
      <c r="GB26" s="275"/>
      <c r="GC26" s="275"/>
      <c r="GD26" s="275"/>
      <c r="GE26" s="275"/>
      <c r="GF26" s="275"/>
      <c r="GG26" s="275"/>
      <c r="GH26" s="275"/>
      <c r="GI26" s="275"/>
      <c r="GJ26" s="275"/>
      <c r="GK26" s="275"/>
      <c r="GL26" s="275"/>
      <c r="GM26" s="275"/>
      <c r="GN26" s="275"/>
      <c r="GO26" s="275"/>
      <c r="GP26" s="275"/>
      <c r="GQ26" s="275"/>
      <c r="GR26" s="275"/>
      <c r="GS26" s="275"/>
      <c r="GT26" s="275"/>
      <c r="GU26" s="275"/>
      <c r="GV26" s="275"/>
      <c r="GW26" s="275"/>
      <c r="GX26" s="275"/>
      <c r="GY26" s="275"/>
      <c r="GZ26" s="275"/>
      <c r="HA26" s="275"/>
      <c r="HB26" s="275"/>
      <c r="HC26" s="275"/>
      <c r="HD26" s="275"/>
      <c r="HE26" s="275"/>
      <c r="HF26" s="275"/>
      <c r="HG26" s="275"/>
      <c r="HH26" s="275"/>
      <c r="HI26" s="275"/>
      <c r="HJ26" s="275"/>
      <c r="HK26" s="275"/>
      <c r="HL26" s="275"/>
      <c r="HM26" s="275"/>
      <c r="HN26" s="275"/>
      <c r="HO26" s="275"/>
      <c r="HP26" s="275"/>
      <c r="HQ26" s="275"/>
      <c r="HR26" s="275"/>
    </row>
    <row r="27" spans="1:226" s="297" customFormat="1">
      <c r="A27" s="275"/>
      <c r="B27" s="21"/>
      <c r="C27" s="21"/>
      <c r="D27" s="21"/>
      <c r="E27" s="21"/>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J27" s="275"/>
      <c r="AK27" s="275"/>
      <c r="AL27" s="275"/>
      <c r="AM27" s="275"/>
      <c r="AN27" s="275"/>
      <c r="AO27" s="275"/>
      <c r="AQ27" s="275"/>
      <c r="AR27" s="275"/>
      <c r="AS27" s="275"/>
      <c r="AT27" s="275"/>
      <c r="AU27" s="275"/>
      <c r="AV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D27" s="275"/>
      <c r="EE27" s="275"/>
      <c r="EF27" s="275"/>
      <c r="EG27" s="275"/>
      <c r="EH27" s="275"/>
      <c r="EI27" s="275"/>
      <c r="EJ27" s="275"/>
      <c r="EK27" s="275"/>
      <c r="EL27" s="275"/>
      <c r="EM27" s="275"/>
      <c r="EN27" s="275"/>
      <c r="EO27" s="275"/>
      <c r="EP27" s="275"/>
      <c r="EQ27" s="275"/>
      <c r="ER27" s="275"/>
      <c r="ES27" s="275"/>
      <c r="ET27" s="275"/>
      <c r="EU27"/>
      <c r="EV27"/>
      <c r="EW27" s="275"/>
      <c r="EX27" s="275"/>
      <c r="EY27" s="275"/>
      <c r="EZ27" s="275"/>
      <c r="FA27" s="275"/>
      <c r="FB27" s="275"/>
      <c r="FC27" s="275"/>
      <c r="FD27" s="275"/>
      <c r="FE27" s="275"/>
      <c r="FF27" s="275"/>
      <c r="FG27" s="275"/>
      <c r="FH27" s="275"/>
      <c r="FI27" s="275"/>
      <c r="FJ27" s="275"/>
      <c r="FK27" s="275"/>
      <c r="FL27" s="275"/>
      <c r="FM27" s="275"/>
      <c r="FN27" s="275"/>
      <c r="FO27" s="275"/>
      <c r="FP27" s="275"/>
      <c r="FQ27" s="275"/>
      <c r="FR27" s="275"/>
      <c r="FS27" s="275"/>
      <c r="FT27" s="275"/>
      <c r="FU27" s="275"/>
      <c r="FV27" s="275"/>
      <c r="FW27" s="275"/>
      <c r="FX27" s="275"/>
      <c r="FY27" s="275"/>
      <c r="FZ27" s="275"/>
      <c r="GA27" s="275"/>
      <c r="GB27" s="275"/>
      <c r="GC27" s="275"/>
      <c r="GD27" s="275"/>
      <c r="GE27" s="275"/>
      <c r="GF27" s="275"/>
      <c r="GG27" s="275"/>
      <c r="GH27" s="275"/>
      <c r="GI27" s="275"/>
      <c r="GJ27" s="275"/>
      <c r="GK27" s="275"/>
      <c r="GL27" s="275"/>
      <c r="GM27" s="275"/>
      <c r="GN27" s="275"/>
      <c r="GO27" s="275"/>
      <c r="GP27" s="275"/>
      <c r="GQ27" s="275"/>
      <c r="GR27" s="275"/>
      <c r="GS27" s="275"/>
      <c r="GT27" s="275"/>
      <c r="GU27" s="275"/>
      <c r="GV27" s="275"/>
      <c r="GW27" s="275"/>
      <c r="GX27" s="275"/>
      <c r="GY27" s="275"/>
      <c r="GZ27" s="275"/>
      <c r="HA27" s="275"/>
      <c r="HB27" s="275"/>
      <c r="HC27" s="275"/>
      <c r="HD27" s="275"/>
      <c r="HE27" s="275"/>
      <c r="HF27" s="275"/>
      <c r="HG27" s="275"/>
      <c r="HH27" s="275"/>
      <c r="HI27" s="275"/>
      <c r="HJ27" s="275"/>
      <c r="HK27" s="275"/>
      <c r="HL27" s="275"/>
      <c r="HM27" s="275"/>
      <c r="HN27" s="275"/>
      <c r="HO27" s="275"/>
      <c r="HP27" s="275"/>
      <c r="HQ27" s="275"/>
      <c r="HR27" s="275"/>
    </row>
    <row r="28" spans="1:226" s="297" customFormat="1">
      <c r="A28" s="275"/>
      <c r="B28" s="21"/>
      <c r="C28" s="21"/>
      <c r="D28" s="21"/>
      <c r="E28" s="21"/>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J28" s="275"/>
      <c r="AK28" s="275"/>
      <c r="AL28" s="275"/>
      <c r="AM28" s="275"/>
      <c r="AN28" s="275"/>
      <c r="AO28" s="275"/>
      <c r="AQ28" s="275"/>
      <c r="AR28" s="275"/>
      <c r="AS28" s="275"/>
      <c r="AT28" s="275"/>
      <c r="AU28" s="275"/>
      <c r="AV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D28" s="275"/>
      <c r="EE28" s="275"/>
      <c r="EF28" s="275"/>
      <c r="EG28" s="275"/>
      <c r="EH28" s="275"/>
      <c r="EI28" s="275"/>
      <c r="EJ28" s="275"/>
      <c r="EK28" s="275"/>
      <c r="EL28" s="275"/>
      <c r="EM28" s="275"/>
      <c r="EN28" s="275"/>
      <c r="EO28" s="275"/>
      <c r="EP28" s="275"/>
      <c r="EQ28" s="275"/>
      <c r="ER28" s="275"/>
      <c r="ES28" s="275"/>
      <c r="ET28" s="275"/>
      <c r="EU28"/>
      <c r="EV28"/>
      <c r="EW28" s="275"/>
      <c r="EX28" s="275"/>
      <c r="EY28" s="275"/>
      <c r="EZ28" s="275"/>
      <c r="FA28" s="275"/>
      <c r="FB28" s="275"/>
      <c r="FC28" s="275"/>
      <c r="FD28" s="275"/>
      <c r="FE28" s="275"/>
      <c r="FF28" s="275"/>
      <c r="FG28" s="275"/>
      <c r="FH28" s="275"/>
      <c r="FI28" s="275"/>
      <c r="FJ28" s="275"/>
      <c r="FK28" s="275"/>
      <c r="FL28" s="275"/>
      <c r="FM28" s="275"/>
      <c r="FN28" s="275"/>
      <c r="FO28" s="275"/>
      <c r="FP28" s="275"/>
      <c r="FQ28" s="275"/>
      <c r="FR28" s="275"/>
      <c r="FS28" s="275"/>
      <c r="FT28" s="275"/>
      <c r="FU28" s="275"/>
      <c r="FV28" s="275"/>
      <c r="FW28" s="275"/>
      <c r="FX28" s="275"/>
      <c r="FY28" s="275"/>
      <c r="FZ28" s="275"/>
      <c r="GA28" s="275"/>
      <c r="GB28" s="275"/>
      <c r="GC28" s="275"/>
      <c r="GD28" s="275"/>
      <c r="GE28" s="275"/>
      <c r="GF28" s="275"/>
      <c r="GG28" s="275"/>
      <c r="GH28" s="275"/>
      <c r="GI28" s="275"/>
      <c r="GJ28" s="275"/>
      <c r="GK28" s="275"/>
      <c r="GL28" s="275"/>
      <c r="GM28" s="275"/>
      <c r="GN28" s="275"/>
      <c r="GO28" s="275"/>
      <c r="GP28" s="275"/>
      <c r="GQ28" s="275"/>
      <c r="GR28" s="275"/>
      <c r="GS28" s="275"/>
      <c r="GT28" s="275"/>
      <c r="GU28" s="275"/>
      <c r="GV28" s="275"/>
      <c r="GW28" s="275"/>
      <c r="GX28" s="275"/>
      <c r="GY28" s="275"/>
      <c r="GZ28" s="275"/>
      <c r="HA28" s="275"/>
      <c r="HB28" s="275"/>
      <c r="HC28" s="275"/>
      <c r="HD28" s="275"/>
      <c r="HE28" s="275"/>
      <c r="HF28" s="275"/>
      <c r="HG28" s="275"/>
      <c r="HH28" s="275"/>
      <c r="HI28" s="275"/>
      <c r="HJ28" s="275"/>
      <c r="HK28" s="275"/>
      <c r="HL28" s="275"/>
      <c r="HM28" s="275"/>
      <c r="HN28" s="275"/>
      <c r="HO28" s="275"/>
      <c r="HP28" s="275"/>
      <c r="HQ28" s="275"/>
      <c r="HR28" s="275"/>
    </row>
    <row r="29" spans="1:226" s="297" customFormat="1">
      <c r="A29" s="275"/>
      <c r="B29" s="21"/>
      <c r="C29" s="21"/>
      <c r="D29" s="21"/>
      <c r="E29" s="21"/>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J29" s="275"/>
      <c r="AK29" s="275"/>
      <c r="AL29" s="275"/>
      <c r="AM29" s="275"/>
      <c r="AN29" s="275"/>
      <c r="AO29" s="275"/>
      <c r="AQ29" s="275"/>
      <c r="AR29" s="275"/>
      <c r="AS29" s="275"/>
      <c r="AT29" s="275"/>
      <c r="AU29" s="275"/>
      <c r="AV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D29" s="275"/>
      <c r="EE29" s="275"/>
      <c r="EF29" s="275"/>
      <c r="EG29" s="275"/>
      <c r="EH29" s="275"/>
      <c r="EI29" s="275"/>
      <c r="EJ29" s="275"/>
      <c r="EK29" s="275"/>
      <c r="EL29" s="275"/>
      <c r="EM29" s="275"/>
      <c r="EN29" s="275"/>
      <c r="EO29" s="275"/>
      <c r="EP29" s="275"/>
      <c r="EQ29" s="275"/>
      <c r="ER29" s="275"/>
      <c r="ES29" s="275"/>
      <c r="ET29" s="275"/>
      <c r="EU29"/>
      <c r="EV29"/>
      <c r="EW29" s="275"/>
      <c r="EX29" s="275"/>
      <c r="EY29" s="275"/>
      <c r="EZ29" s="275"/>
      <c r="FA29" s="275"/>
      <c r="FB29" s="275"/>
      <c r="FC29" s="275"/>
      <c r="FD29" s="275"/>
      <c r="FE29" s="275"/>
      <c r="FF29" s="275"/>
      <c r="FG29" s="275"/>
      <c r="FH29" s="275"/>
      <c r="FI29" s="275"/>
      <c r="FJ29" s="275"/>
      <c r="FK29" s="275"/>
      <c r="FL29" s="275"/>
      <c r="FM29" s="275"/>
      <c r="FN29" s="275"/>
      <c r="FO29" s="275"/>
      <c r="FP29" s="275"/>
      <c r="FQ29" s="275"/>
      <c r="FR29" s="275"/>
      <c r="FS29" s="275"/>
      <c r="FT29" s="275"/>
      <c r="FU29" s="275"/>
      <c r="FV29" s="275"/>
      <c r="FW29" s="275"/>
      <c r="FX29" s="275"/>
      <c r="FY29" s="275"/>
      <c r="FZ29" s="275"/>
      <c r="GA29" s="275"/>
      <c r="GB29" s="275"/>
      <c r="GC29" s="275"/>
      <c r="GD29" s="275"/>
      <c r="GE29" s="275"/>
      <c r="GF29" s="275"/>
      <c r="GG29" s="275"/>
      <c r="GH29" s="275"/>
      <c r="GI29" s="275"/>
      <c r="GJ29" s="275"/>
      <c r="GK29" s="275"/>
      <c r="GL29" s="275"/>
      <c r="GM29" s="275"/>
      <c r="GN29" s="275"/>
      <c r="GO29" s="275"/>
      <c r="GP29" s="275"/>
      <c r="GQ29" s="275"/>
      <c r="GR29" s="275"/>
      <c r="GS29" s="275"/>
      <c r="GT29" s="275"/>
      <c r="GU29" s="275"/>
      <c r="GV29" s="275"/>
      <c r="GW29" s="275"/>
      <c r="GX29" s="275"/>
      <c r="GY29" s="275"/>
      <c r="GZ29" s="275"/>
      <c r="HA29" s="275"/>
      <c r="HB29" s="275"/>
      <c r="HC29" s="275"/>
      <c r="HD29" s="275"/>
      <c r="HE29" s="275"/>
      <c r="HF29" s="275"/>
      <c r="HG29" s="275"/>
      <c r="HH29" s="275"/>
      <c r="HI29" s="275"/>
      <c r="HJ29" s="275"/>
      <c r="HK29" s="275"/>
      <c r="HL29" s="275"/>
      <c r="HM29" s="275"/>
      <c r="HN29" s="275"/>
      <c r="HO29" s="275"/>
      <c r="HP29" s="275"/>
      <c r="HQ29" s="275"/>
      <c r="HR29" s="275"/>
    </row>
    <row r="30" spans="1:226" s="297" customFormat="1">
      <c r="A30" s="275"/>
      <c r="B30" s="21"/>
      <c r="C30" s="21"/>
      <c r="D30" s="21"/>
      <c r="E30" s="21"/>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J30" s="275"/>
      <c r="AK30" s="275"/>
      <c r="AL30" s="275"/>
      <c r="AM30" s="275"/>
      <c r="AN30" s="275"/>
      <c r="AO30" s="275"/>
      <c r="AQ30" s="275"/>
      <c r="AR30" s="275"/>
      <c r="AS30" s="275"/>
      <c r="AT30" s="275"/>
      <c r="AU30" s="275"/>
      <c r="AV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D30" s="275"/>
      <c r="EE30" s="275"/>
      <c r="EF30" s="275"/>
      <c r="EG30" s="275"/>
      <c r="EH30" s="275"/>
      <c r="EI30" s="275"/>
      <c r="EJ30" s="275"/>
      <c r="EK30" s="275"/>
      <c r="EL30" s="275"/>
      <c r="EM30" s="275"/>
      <c r="EN30" s="275"/>
      <c r="EO30" s="275"/>
      <c r="EP30" s="275"/>
      <c r="EQ30" s="275"/>
      <c r="ER30" s="275"/>
      <c r="ES30" s="275"/>
      <c r="ET30" s="275"/>
      <c r="EU30"/>
      <c r="EV30"/>
      <c r="EW30" s="275"/>
      <c r="EX30" s="275"/>
      <c r="EY30" s="275"/>
      <c r="EZ30" s="275"/>
      <c r="FA30" s="275"/>
      <c r="FB30" s="275"/>
      <c r="FC30" s="275"/>
      <c r="FD30" s="275"/>
      <c r="FE30" s="275"/>
      <c r="FF30" s="275"/>
      <c r="FG30" s="275"/>
      <c r="FH30" s="275"/>
      <c r="FI30" s="275"/>
      <c r="FJ30" s="275"/>
      <c r="FK30" s="275"/>
      <c r="FL30" s="275"/>
      <c r="FM30" s="275"/>
      <c r="FN30" s="275"/>
      <c r="FO30" s="275"/>
      <c r="FP30" s="275"/>
      <c r="FQ30" s="275"/>
      <c r="FR30" s="275"/>
      <c r="FS30" s="275"/>
      <c r="FT30" s="275"/>
      <c r="FU30" s="275"/>
      <c r="FV30" s="275"/>
      <c r="FW30" s="275"/>
      <c r="FX30" s="275"/>
      <c r="FY30" s="275"/>
      <c r="FZ30" s="275"/>
      <c r="GA30" s="275"/>
      <c r="GB30" s="275"/>
      <c r="GC30" s="275"/>
      <c r="GD30" s="275"/>
      <c r="GE30" s="275"/>
      <c r="GF30" s="275"/>
      <c r="GG30" s="275"/>
      <c r="GH30" s="275"/>
      <c r="GI30" s="275"/>
      <c r="GJ30" s="275"/>
      <c r="GK30" s="275"/>
      <c r="GL30" s="275"/>
      <c r="GM30" s="275"/>
      <c r="GN30" s="275"/>
      <c r="GO30" s="275"/>
      <c r="GP30" s="275"/>
      <c r="GQ30" s="275"/>
      <c r="GR30" s="275"/>
      <c r="GS30" s="275"/>
      <c r="GT30" s="275"/>
      <c r="GU30" s="275"/>
      <c r="GV30" s="275"/>
      <c r="GW30" s="275"/>
      <c r="GX30" s="275"/>
      <c r="GY30" s="275"/>
      <c r="GZ30" s="275"/>
      <c r="HA30" s="275"/>
      <c r="HB30" s="275"/>
      <c r="HC30" s="275"/>
      <c r="HD30" s="275"/>
      <c r="HE30" s="275"/>
      <c r="HF30" s="275"/>
      <c r="HG30" s="275"/>
      <c r="HH30" s="275"/>
      <c r="HI30" s="275"/>
      <c r="HJ30" s="275"/>
      <c r="HK30" s="275"/>
      <c r="HL30" s="275"/>
      <c r="HM30" s="275"/>
      <c r="HN30" s="275"/>
      <c r="HO30" s="275"/>
      <c r="HP30" s="275"/>
      <c r="HQ30" s="275"/>
      <c r="HR30" s="275"/>
    </row>
    <row r="31" spans="1:226" s="297" customFormat="1">
      <c r="A31" s="275"/>
      <c r="B31" s="21"/>
      <c r="C31" s="21"/>
      <c r="D31" s="21"/>
      <c r="E31" s="21"/>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J31" s="275"/>
      <c r="AK31" s="275"/>
      <c r="AL31" s="275"/>
      <c r="AM31" s="275"/>
      <c r="AN31" s="275"/>
      <c r="AO31" s="275"/>
      <c r="AQ31" s="275"/>
      <c r="AR31" s="275"/>
      <c r="AS31" s="275"/>
      <c r="AT31" s="275"/>
      <c r="AU31" s="275"/>
      <c r="AV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D31" s="275"/>
      <c r="EE31" s="275"/>
      <c r="EF31" s="275"/>
      <c r="EG31" s="275"/>
      <c r="EH31" s="275"/>
      <c r="EI31" s="275"/>
      <c r="EJ31" s="275"/>
      <c r="EK31" s="275"/>
      <c r="EL31" s="275"/>
      <c r="EM31" s="275"/>
      <c r="EN31" s="275"/>
      <c r="EO31" s="275"/>
      <c r="EP31" s="275"/>
      <c r="EQ31" s="275"/>
      <c r="ER31" s="275"/>
      <c r="ES31" s="275"/>
      <c r="ET31" s="275"/>
      <c r="EU31"/>
      <c r="EV31"/>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275"/>
      <c r="HK31" s="275"/>
      <c r="HL31" s="275"/>
      <c r="HM31" s="275"/>
      <c r="HN31" s="275"/>
      <c r="HO31" s="275"/>
      <c r="HP31" s="275"/>
      <c r="HQ31" s="275"/>
      <c r="HR31" s="275"/>
    </row>
    <row r="32" spans="1:226" s="297" customFormat="1">
      <c r="A32" s="275"/>
      <c r="B32" s="21"/>
      <c r="C32" s="21"/>
      <c r="D32" s="21"/>
      <c r="E32" s="21"/>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J32" s="275"/>
      <c r="AK32" s="275"/>
      <c r="AL32" s="275"/>
      <c r="AM32" s="275"/>
      <c r="AN32" s="275"/>
      <c r="AO32" s="275"/>
      <c r="AQ32" s="275"/>
      <c r="AR32" s="275"/>
      <c r="AS32" s="275"/>
      <c r="AT32" s="275"/>
      <c r="AU32" s="275"/>
      <c r="AV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D32" s="275"/>
      <c r="EE32" s="275"/>
      <c r="EF32" s="275"/>
      <c r="EG32" s="275"/>
      <c r="EH32" s="275"/>
      <c r="EI32" s="275"/>
      <c r="EJ32" s="275"/>
      <c r="EK32" s="275"/>
      <c r="EL32" s="275"/>
      <c r="EM32" s="275"/>
      <c r="EN32" s="275"/>
      <c r="EO32" s="275"/>
      <c r="EP32" s="275"/>
      <c r="EQ32" s="275"/>
      <c r="ER32" s="275"/>
      <c r="ES32" s="275"/>
      <c r="ET32" s="275"/>
      <c r="EU32"/>
      <c r="EV32"/>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275"/>
      <c r="HK32" s="275"/>
      <c r="HL32" s="275"/>
      <c r="HM32" s="275"/>
      <c r="HN32" s="275"/>
      <c r="HO32" s="275"/>
      <c r="HP32" s="275"/>
      <c r="HQ32" s="275"/>
      <c r="HR32" s="275"/>
    </row>
    <row r="33" spans="1:226" s="297" customFormat="1">
      <c r="A33" s="275"/>
      <c r="B33" s="21"/>
      <c r="C33" s="21"/>
      <c r="D33" s="21"/>
      <c r="E33" s="21"/>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J33" s="275"/>
      <c r="AK33" s="275"/>
      <c r="AL33" s="275"/>
      <c r="AM33" s="275"/>
      <c r="AN33" s="275"/>
      <c r="AO33" s="275"/>
      <c r="AQ33" s="275"/>
      <c r="AR33" s="275"/>
      <c r="AS33" s="275"/>
      <c r="AT33" s="275"/>
      <c r="AU33" s="275"/>
      <c r="AV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D33" s="275"/>
      <c r="EE33" s="275"/>
      <c r="EF33" s="275"/>
      <c r="EG33" s="275"/>
      <c r="EH33" s="275"/>
      <c r="EI33" s="275"/>
      <c r="EJ33" s="275"/>
      <c r="EK33" s="275"/>
      <c r="EL33" s="275"/>
      <c r="EM33" s="275"/>
      <c r="EN33" s="275"/>
      <c r="EO33" s="275"/>
      <c r="EP33" s="275"/>
      <c r="EQ33" s="275"/>
      <c r="ER33" s="275"/>
      <c r="ES33" s="275"/>
      <c r="ET33" s="275"/>
      <c r="EU33"/>
      <c r="EV33"/>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275"/>
      <c r="HK33" s="275"/>
      <c r="HL33" s="275"/>
      <c r="HM33" s="275"/>
      <c r="HN33" s="275"/>
      <c r="HO33" s="275"/>
      <c r="HP33" s="275"/>
      <c r="HQ33" s="275"/>
      <c r="HR33" s="275"/>
    </row>
    <row r="34" spans="1:226" s="297" customFormat="1">
      <c r="A34" s="275"/>
      <c r="B34" s="21"/>
      <c r="C34" s="21"/>
      <c r="D34" s="21"/>
      <c r="E34" s="21"/>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J34" s="275"/>
      <c r="AK34" s="275"/>
      <c r="AL34" s="275"/>
      <c r="AM34" s="275"/>
      <c r="AN34" s="275"/>
      <c r="AO34" s="275"/>
      <c r="AQ34" s="275"/>
      <c r="AR34" s="275"/>
      <c r="AS34" s="275"/>
      <c r="AT34" s="275"/>
      <c r="AU34" s="275"/>
      <c r="AV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c r="EV34"/>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275"/>
      <c r="HK34" s="275"/>
      <c r="HL34" s="275"/>
      <c r="HM34" s="275"/>
      <c r="HN34" s="275"/>
      <c r="HO34" s="275"/>
      <c r="HP34" s="275"/>
      <c r="HQ34" s="275"/>
      <c r="HR34" s="275"/>
    </row>
    <row r="35" spans="1:226" s="297" customFormat="1">
      <c r="A35" s="275"/>
      <c r="B35" s="21"/>
      <c r="C35" s="21"/>
      <c r="D35" s="21"/>
      <c r="E35" s="21"/>
      <c r="F35" s="275"/>
      <c r="G35" s="275"/>
      <c r="H35" s="275"/>
      <c r="I35" s="275"/>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J35" s="275"/>
      <c r="AK35" s="275"/>
      <c r="AL35" s="275"/>
      <c r="AM35" s="275"/>
      <c r="AN35" s="275"/>
      <c r="AO35" s="275"/>
      <c r="AQ35" s="275"/>
      <c r="AR35" s="275"/>
      <c r="AS35" s="275"/>
      <c r="AT35" s="275"/>
      <c r="AU35" s="275"/>
      <c r="AV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D35" s="275"/>
      <c r="EE35" s="275"/>
      <c r="EF35" s="275"/>
      <c r="EG35" s="275"/>
      <c r="EH35" s="275"/>
      <c r="EI35" s="275"/>
      <c r="EJ35" s="275"/>
      <c r="EK35" s="275"/>
      <c r="EL35" s="275"/>
      <c r="EM35" s="275"/>
      <c r="EN35" s="275"/>
      <c r="EO35" s="275"/>
      <c r="EP35" s="275"/>
      <c r="EQ35" s="275"/>
      <c r="ER35" s="275"/>
      <c r="ES35" s="275"/>
      <c r="ET35" s="275"/>
      <c r="EU35"/>
      <c r="EV3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275"/>
      <c r="HK35" s="275"/>
      <c r="HL35" s="275"/>
      <c r="HM35" s="275"/>
      <c r="HN35" s="275"/>
      <c r="HO35" s="275"/>
      <c r="HP35" s="275"/>
      <c r="HQ35" s="275"/>
      <c r="HR35" s="275"/>
    </row>
    <row r="36" spans="1:226" s="297" customFormat="1">
      <c r="A36" s="275"/>
      <c r="B36" s="21"/>
      <c r="C36" s="21"/>
      <c r="D36" s="21"/>
      <c r="E36" s="21"/>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J36" s="275"/>
      <c r="AK36" s="275"/>
      <c r="AL36" s="275"/>
      <c r="AM36" s="275"/>
      <c r="AN36" s="275"/>
      <c r="AO36" s="275"/>
      <c r="AQ36" s="275"/>
      <c r="AR36" s="275"/>
      <c r="AS36" s="275"/>
      <c r="AT36" s="275"/>
      <c r="AU36" s="275"/>
      <c r="AV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D36" s="275"/>
      <c r="EE36" s="275"/>
      <c r="EF36" s="275"/>
      <c r="EG36" s="275"/>
      <c r="EH36" s="275"/>
      <c r="EI36" s="275"/>
      <c r="EJ36" s="275"/>
      <c r="EK36" s="275"/>
      <c r="EL36" s="275"/>
      <c r="EM36" s="275"/>
      <c r="EN36" s="275"/>
      <c r="EO36" s="275"/>
      <c r="EP36" s="275"/>
      <c r="EQ36" s="275"/>
      <c r="ER36" s="275"/>
      <c r="ES36" s="275"/>
      <c r="ET36" s="275"/>
      <c r="EU36"/>
      <c r="EV36"/>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275"/>
      <c r="HK36" s="275"/>
      <c r="HL36" s="275"/>
      <c r="HM36" s="275"/>
      <c r="HN36" s="275"/>
      <c r="HO36" s="275"/>
      <c r="HP36" s="275"/>
      <c r="HQ36" s="275"/>
      <c r="HR36" s="275"/>
    </row>
    <row r="37" spans="1:226" s="297" customFormat="1">
      <c r="A37" s="275"/>
      <c r="B37" s="21"/>
      <c r="C37" s="21"/>
      <c r="D37" s="21"/>
      <c r="E37" s="21"/>
      <c r="F37" s="275"/>
      <c r="G37" s="275"/>
      <c r="H37" s="275"/>
      <c r="I37" s="275"/>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J37" s="275"/>
      <c r="AK37" s="275"/>
      <c r="AL37" s="275"/>
      <c r="AM37" s="275"/>
      <c r="AN37" s="275"/>
      <c r="AO37" s="275"/>
      <c r="AQ37" s="275"/>
      <c r="AR37" s="275"/>
      <c r="AS37" s="275"/>
      <c r="AT37" s="275"/>
      <c r="AU37" s="275"/>
      <c r="AV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D37" s="275"/>
      <c r="EE37" s="275"/>
      <c r="EF37" s="275"/>
      <c r="EG37" s="275"/>
      <c r="EH37" s="275"/>
      <c r="EI37" s="275"/>
      <c r="EJ37" s="275"/>
      <c r="EK37" s="275"/>
      <c r="EL37" s="275"/>
      <c r="EM37" s="275"/>
      <c r="EN37" s="275"/>
      <c r="EO37" s="275"/>
      <c r="EP37" s="275"/>
      <c r="EQ37" s="275"/>
      <c r="ER37" s="275"/>
      <c r="ES37" s="275"/>
      <c r="ET37" s="275"/>
      <c r="EU37"/>
      <c r="EV37"/>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275"/>
      <c r="HK37" s="275"/>
      <c r="HL37" s="275"/>
      <c r="HM37" s="275"/>
      <c r="HN37" s="275"/>
      <c r="HO37" s="275"/>
      <c r="HP37" s="275"/>
      <c r="HQ37" s="275"/>
      <c r="HR37" s="275"/>
    </row>
    <row r="38" spans="1:226" s="297" customFormat="1">
      <c r="A38" s="275"/>
      <c r="B38" s="21"/>
      <c r="C38" s="21"/>
      <c r="D38" s="21"/>
      <c r="E38" s="21"/>
      <c r="F38" s="275"/>
      <c r="G38" s="275"/>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J38" s="275"/>
      <c r="AK38" s="275"/>
      <c r="AL38" s="275"/>
      <c r="AM38" s="275"/>
      <c r="AN38" s="275"/>
      <c r="AO38" s="275"/>
      <c r="AQ38" s="275"/>
      <c r="AR38" s="275"/>
      <c r="AS38" s="275"/>
      <c r="AT38" s="275"/>
      <c r="AU38" s="275"/>
      <c r="AV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D38" s="275"/>
      <c r="EE38" s="275"/>
      <c r="EF38" s="275"/>
      <c r="EG38" s="275"/>
      <c r="EH38" s="275"/>
      <c r="EI38" s="275"/>
      <c r="EJ38" s="275"/>
      <c r="EK38" s="275"/>
      <c r="EL38" s="275"/>
      <c r="EM38" s="275"/>
      <c r="EN38" s="275"/>
      <c r="EO38" s="275"/>
      <c r="EP38" s="275"/>
      <c r="EQ38" s="275"/>
      <c r="ER38" s="275"/>
      <c r="ES38" s="275"/>
      <c r="ET38" s="275"/>
      <c r="EU38"/>
      <c r="EV38"/>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275"/>
      <c r="HK38" s="275"/>
      <c r="HL38" s="275"/>
      <c r="HM38" s="275"/>
      <c r="HN38" s="275"/>
      <c r="HO38" s="275"/>
      <c r="HP38" s="275"/>
      <c r="HQ38" s="275"/>
      <c r="HR38" s="275"/>
    </row>
    <row r="39" spans="1:226" s="297" customFormat="1">
      <c r="A39" s="275"/>
      <c r="B39" s="21"/>
      <c r="C39" s="21"/>
      <c r="D39" s="21"/>
      <c r="E39" s="21"/>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J39" s="275"/>
      <c r="AK39" s="275"/>
      <c r="AL39" s="275"/>
      <c r="AM39" s="275"/>
      <c r="AN39" s="275"/>
      <c r="AO39" s="275"/>
      <c r="AQ39" s="275"/>
      <c r="AR39" s="275"/>
      <c r="AS39" s="275"/>
      <c r="AT39" s="275"/>
      <c r="AU39" s="275"/>
      <c r="AV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D39" s="275"/>
      <c r="EE39" s="275"/>
      <c r="EF39" s="275"/>
      <c r="EG39" s="275"/>
      <c r="EH39" s="275"/>
      <c r="EI39" s="275"/>
      <c r="EJ39" s="275"/>
      <c r="EK39" s="275"/>
      <c r="EL39" s="275"/>
      <c r="EM39" s="275"/>
      <c r="EN39" s="275"/>
      <c r="EO39" s="275"/>
      <c r="EP39" s="275"/>
      <c r="EQ39" s="275"/>
      <c r="ER39" s="275"/>
      <c r="ES39" s="275"/>
      <c r="ET39" s="275"/>
      <c r="EU39"/>
      <c r="EV39"/>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275"/>
      <c r="HK39" s="275"/>
      <c r="HL39" s="275"/>
      <c r="HM39" s="275"/>
      <c r="HN39" s="275"/>
      <c r="HO39" s="275"/>
      <c r="HP39" s="275"/>
      <c r="HQ39" s="275"/>
      <c r="HR39" s="275"/>
    </row>
    <row r="40" spans="1:226" s="297" customFormat="1">
      <c r="A40" s="275"/>
      <c r="B40" s="21"/>
      <c r="C40" s="21"/>
      <c r="D40" s="21"/>
      <c r="E40" s="21"/>
      <c r="F40" s="275"/>
      <c r="G40" s="275"/>
      <c r="H40" s="275"/>
      <c r="I40" s="275"/>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J40" s="275"/>
      <c r="AK40" s="275"/>
      <c r="AL40" s="275"/>
      <c r="AM40" s="275"/>
      <c r="AN40" s="275"/>
      <c r="AO40" s="275"/>
      <c r="AQ40" s="275"/>
      <c r="AR40" s="275"/>
      <c r="AS40" s="275"/>
      <c r="AT40" s="275"/>
      <c r="AU40" s="275"/>
      <c r="AV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c r="EV40"/>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275"/>
      <c r="HK40" s="275"/>
      <c r="HL40" s="275"/>
      <c r="HM40" s="275"/>
      <c r="HN40" s="275"/>
      <c r="HO40" s="275"/>
      <c r="HP40" s="275"/>
      <c r="HQ40" s="275"/>
      <c r="HR40" s="275"/>
    </row>
    <row r="41" spans="1:226" s="297" customFormat="1">
      <c r="A41" s="275"/>
      <c r="B41" s="21"/>
      <c r="C41" s="21"/>
      <c r="D41" s="21"/>
      <c r="E41" s="21"/>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J41" s="275"/>
      <c r="AK41" s="275"/>
      <c r="AL41" s="275"/>
      <c r="AM41" s="275"/>
      <c r="AN41" s="275"/>
      <c r="AO41" s="275"/>
      <c r="AQ41" s="275"/>
      <c r="AR41" s="275"/>
      <c r="AS41" s="275"/>
      <c r="AT41" s="275"/>
      <c r="AU41" s="275"/>
      <c r="AV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c r="EV41"/>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275"/>
      <c r="HK41" s="275"/>
      <c r="HL41" s="275"/>
      <c r="HM41" s="275"/>
      <c r="HN41" s="275"/>
      <c r="HO41" s="275"/>
      <c r="HP41" s="275"/>
      <c r="HQ41" s="275"/>
      <c r="HR41" s="275"/>
    </row>
    <row r="42" spans="1:226" s="297" customFormat="1">
      <c r="A42" s="275"/>
      <c r="B42" s="21"/>
      <c r="C42" s="21"/>
      <c r="D42" s="21"/>
      <c r="E42" s="21"/>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J42" s="275"/>
      <c r="AK42" s="275"/>
      <c r="AL42" s="275"/>
      <c r="AM42" s="275"/>
      <c r="AN42" s="275"/>
      <c r="AO42" s="275"/>
      <c r="AQ42" s="275"/>
      <c r="AR42" s="275"/>
      <c r="AS42" s="275"/>
      <c r="AT42" s="275"/>
      <c r="AU42" s="275"/>
      <c r="AV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c r="EV42"/>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275"/>
      <c r="HK42" s="275"/>
      <c r="HL42" s="275"/>
      <c r="HM42" s="275"/>
      <c r="HN42" s="275"/>
      <c r="HO42" s="275"/>
      <c r="HP42" s="275"/>
      <c r="HQ42" s="275"/>
      <c r="HR42" s="275"/>
    </row>
    <row r="43" spans="1:226" s="297" customFormat="1">
      <c r="A43" s="275"/>
      <c r="B43" s="21"/>
      <c r="C43" s="21"/>
      <c r="D43" s="21"/>
      <c r="E43" s="21"/>
      <c r="F43" s="275"/>
      <c r="G43" s="275"/>
      <c r="H43" s="275"/>
      <c r="I43" s="275"/>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J43" s="275"/>
      <c r="AK43" s="275"/>
      <c r="AL43" s="275"/>
      <c r="AM43" s="275"/>
      <c r="AN43" s="275"/>
      <c r="AO43" s="275"/>
      <c r="AQ43" s="275"/>
      <c r="AR43" s="275"/>
      <c r="AS43" s="275"/>
      <c r="AT43" s="275"/>
      <c r="AU43" s="275"/>
      <c r="AV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c r="EV43"/>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275"/>
      <c r="HK43" s="275"/>
      <c r="HL43" s="275"/>
      <c r="HM43" s="275"/>
      <c r="HN43" s="275"/>
      <c r="HO43" s="275"/>
      <c r="HP43" s="275"/>
      <c r="HQ43" s="275"/>
      <c r="HR43" s="275"/>
    </row>
    <row r="44" spans="1:226" s="297" customFormat="1">
      <c r="A44" s="275"/>
      <c r="B44" s="21"/>
      <c r="C44" s="21"/>
      <c r="D44" s="21"/>
      <c r="E44" s="21"/>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J44" s="275"/>
      <c r="AK44" s="275"/>
      <c r="AL44" s="275"/>
      <c r="AM44" s="275"/>
      <c r="AN44" s="275"/>
      <c r="AO44" s="275"/>
      <c r="AQ44" s="275"/>
      <c r="AR44" s="275"/>
      <c r="AS44" s="275"/>
      <c r="AT44" s="275"/>
      <c r="AU44" s="275"/>
      <c r="AV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c r="EV44"/>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275"/>
      <c r="HK44" s="275"/>
      <c r="HL44" s="275"/>
      <c r="HM44" s="275"/>
      <c r="HN44" s="275"/>
      <c r="HO44" s="275"/>
      <c r="HP44" s="275"/>
      <c r="HQ44" s="275"/>
      <c r="HR44" s="275"/>
    </row>
    <row r="45" spans="1:226" s="297" customFormat="1">
      <c r="A45" s="275"/>
      <c r="B45" s="21"/>
      <c r="C45" s="21"/>
      <c r="D45" s="21"/>
      <c r="E45" s="21"/>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J45" s="275"/>
      <c r="AK45" s="275"/>
      <c r="AL45" s="275"/>
      <c r="AM45" s="275"/>
      <c r="AN45" s="275"/>
      <c r="AO45" s="275"/>
      <c r="AQ45" s="275"/>
      <c r="AR45" s="275"/>
      <c r="AS45" s="275"/>
      <c r="AT45" s="275"/>
      <c r="AU45" s="275"/>
      <c r="AV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c r="EV4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275"/>
      <c r="HK45" s="275"/>
      <c r="HL45" s="275"/>
      <c r="HM45" s="275"/>
      <c r="HN45" s="275"/>
      <c r="HO45" s="275"/>
      <c r="HP45" s="275"/>
      <c r="HQ45" s="275"/>
      <c r="HR45" s="275"/>
    </row>
    <row r="46" spans="1:226" s="297" customFormat="1">
      <c r="A46" s="275"/>
      <c r="B46" s="21"/>
      <c r="C46" s="21"/>
      <c r="D46" s="21"/>
      <c r="E46" s="21"/>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J46" s="275"/>
      <c r="AK46" s="275"/>
      <c r="AL46" s="275"/>
      <c r="AM46" s="275"/>
      <c r="AN46" s="275"/>
      <c r="AO46" s="275"/>
      <c r="AQ46" s="275"/>
      <c r="AR46" s="275"/>
      <c r="AS46" s="275"/>
      <c r="AT46" s="275"/>
      <c r="AU46" s="275"/>
      <c r="AV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c r="EV46"/>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275"/>
      <c r="HK46" s="275"/>
      <c r="HL46" s="275"/>
      <c r="HM46" s="275"/>
      <c r="HN46" s="275"/>
      <c r="HO46" s="275"/>
      <c r="HP46" s="275"/>
      <c r="HQ46" s="275"/>
      <c r="HR46" s="275"/>
    </row>
    <row r="47" spans="1:226" s="297" customFormat="1">
      <c r="A47" s="275"/>
      <c r="B47" s="21"/>
      <c r="C47" s="21"/>
      <c r="D47" s="21"/>
      <c r="E47" s="21"/>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J47" s="275"/>
      <c r="AK47" s="275"/>
      <c r="AL47" s="275"/>
      <c r="AM47" s="275"/>
      <c r="AN47" s="275"/>
      <c r="AO47" s="275"/>
      <c r="AQ47" s="275"/>
      <c r="AR47" s="275"/>
      <c r="AS47" s="275"/>
      <c r="AT47" s="275"/>
      <c r="AU47" s="275"/>
      <c r="AV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c r="EV47"/>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275"/>
      <c r="HK47" s="275"/>
      <c r="HL47" s="275"/>
      <c r="HM47" s="275"/>
      <c r="HN47" s="275"/>
      <c r="HO47" s="275"/>
      <c r="HP47" s="275"/>
      <c r="HQ47" s="275"/>
      <c r="HR47" s="275"/>
    </row>
    <row r="48" spans="1:226" s="297" customFormat="1">
      <c r="A48" s="275"/>
      <c r="B48" s="21"/>
      <c r="C48" s="21"/>
      <c r="D48" s="21"/>
      <c r="E48" s="21"/>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J48" s="275"/>
      <c r="AK48" s="275"/>
      <c r="AL48" s="275"/>
      <c r="AM48" s="275"/>
      <c r="AN48" s="275"/>
      <c r="AO48" s="275"/>
      <c r="AQ48" s="275"/>
      <c r="AR48" s="275"/>
      <c r="AS48" s="275"/>
      <c r="AT48" s="275"/>
      <c r="AU48" s="275"/>
      <c r="AV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c r="EV48"/>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275"/>
      <c r="HK48" s="275"/>
      <c r="HL48" s="275"/>
      <c r="HM48" s="275"/>
      <c r="HN48" s="275"/>
      <c r="HO48" s="275"/>
      <c r="HP48" s="275"/>
      <c r="HQ48" s="275"/>
      <c r="HR48" s="275"/>
    </row>
    <row r="49" spans="1:226" s="297" customFormat="1">
      <c r="A49" s="275"/>
      <c r="B49" s="21"/>
      <c r="C49" s="21"/>
      <c r="D49" s="21"/>
      <c r="E49" s="21"/>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5"/>
      <c r="AJ49" s="275"/>
      <c r="AK49" s="275"/>
      <c r="AL49" s="275"/>
      <c r="AM49" s="275"/>
      <c r="AN49" s="275"/>
      <c r="AO49" s="275"/>
      <c r="AQ49" s="275"/>
      <c r="AR49" s="275"/>
      <c r="AS49" s="275"/>
      <c r="AT49" s="275"/>
      <c r="AU49" s="275"/>
      <c r="AV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c r="EV49"/>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275"/>
      <c r="HK49" s="275"/>
      <c r="HL49" s="275"/>
      <c r="HM49" s="275"/>
      <c r="HN49" s="275"/>
      <c r="HO49" s="275"/>
      <c r="HP49" s="275"/>
      <c r="HQ49" s="275"/>
      <c r="HR49" s="275"/>
    </row>
    <row r="50" spans="1:226" s="297" customFormat="1">
      <c r="A50" s="275"/>
      <c r="B50" s="21"/>
      <c r="C50" s="21"/>
      <c r="D50" s="21"/>
      <c r="E50" s="21"/>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J50" s="275"/>
      <c r="AK50" s="275"/>
      <c r="AL50" s="275"/>
      <c r="AM50" s="275"/>
      <c r="AN50" s="275"/>
      <c r="AO50" s="275"/>
      <c r="AQ50" s="275"/>
      <c r="AR50" s="275"/>
      <c r="AS50" s="275"/>
      <c r="AT50" s="275"/>
      <c r="AU50" s="275"/>
      <c r="AV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c r="EV50"/>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275"/>
      <c r="HK50" s="275"/>
      <c r="HL50" s="275"/>
      <c r="HM50" s="275"/>
      <c r="HN50" s="275"/>
      <c r="HO50" s="275"/>
      <c r="HP50" s="275"/>
      <c r="HQ50" s="275"/>
      <c r="HR50" s="275"/>
    </row>
    <row r="51" spans="1:226" s="297" customFormat="1">
      <c r="A51" s="275"/>
      <c r="B51" s="21"/>
      <c r="C51" s="21"/>
      <c r="D51" s="21"/>
      <c r="E51" s="21"/>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5"/>
      <c r="AH51" s="275"/>
      <c r="AJ51" s="275"/>
      <c r="AK51" s="275"/>
      <c r="AL51" s="275"/>
      <c r="AM51" s="275"/>
      <c r="AN51" s="275"/>
      <c r="AO51" s="275"/>
      <c r="AQ51" s="275"/>
      <c r="AR51" s="275"/>
      <c r="AS51" s="275"/>
      <c r="AT51" s="275"/>
      <c r="AU51" s="275"/>
      <c r="AV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c r="EV51"/>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275"/>
      <c r="HK51" s="275"/>
      <c r="HL51" s="275"/>
      <c r="HM51" s="275"/>
      <c r="HN51" s="275"/>
      <c r="HO51" s="275"/>
      <c r="HP51" s="275"/>
      <c r="HQ51" s="275"/>
      <c r="HR51" s="275"/>
    </row>
    <row r="52" spans="1:226" s="297" customFormat="1">
      <c r="A52" s="275"/>
      <c r="B52" s="21"/>
      <c r="C52" s="21"/>
      <c r="D52" s="21"/>
      <c r="E52" s="21"/>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J52" s="275"/>
      <c r="AK52" s="275"/>
      <c r="AL52" s="275"/>
      <c r="AM52" s="275"/>
      <c r="AN52" s="275"/>
      <c r="AO52" s="275"/>
      <c r="AQ52" s="275"/>
      <c r="AR52" s="275"/>
      <c r="AS52" s="275"/>
      <c r="AT52" s="275"/>
      <c r="AU52" s="275"/>
      <c r="AV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c r="EV52"/>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275"/>
      <c r="HK52" s="275"/>
      <c r="HL52" s="275"/>
      <c r="HM52" s="275"/>
      <c r="HN52" s="275"/>
      <c r="HO52" s="275"/>
      <c r="HP52" s="275"/>
      <c r="HQ52" s="275"/>
      <c r="HR52" s="275"/>
    </row>
    <row r="53" spans="1:226" s="297" customFormat="1">
      <c r="A53" s="275"/>
      <c r="B53" s="21"/>
      <c r="C53" s="21"/>
      <c r="D53" s="21"/>
      <c r="E53" s="21"/>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J53" s="275"/>
      <c r="AK53" s="275"/>
      <c r="AL53" s="275"/>
      <c r="AM53" s="275"/>
      <c r="AN53" s="275"/>
      <c r="AO53" s="275"/>
      <c r="AQ53" s="275"/>
      <c r="AR53" s="275"/>
      <c r="AS53" s="275"/>
      <c r="AT53" s="275"/>
      <c r="AU53" s="275"/>
      <c r="AV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c r="EV53"/>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275"/>
      <c r="HK53" s="275"/>
      <c r="HL53" s="275"/>
      <c r="HM53" s="275"/>
      <c r="HN53" s="275"/>
      <c r="HO53" s="275"/>
      <c r="HP53" s="275"/>
      <c r="HQ53" s="275"/>
      <c r="HR53" s="275"/>
    </row>
    <row r="54" spans="1:226" s="297" customFormat="1">
      <c r="A54" s="275"/>
      <c r="B54" s="21"/>
      <c r="C54" s="21"/>
      <c r="D54" s="21"/>
      <c r="E54" s="21"/>
      <c r="F54" s="275"/>
      <c r="G54" s="275"/>
      <c r="H54" s="275"/>
      <c r="I54" s="275"/>
      <c r="J54" s="275"/>
      <c r="K54" s="275"/>
      <c r="L54" s="275"/>
      <c r="M54" s="275"/>
      <c r="N54" s="275"/>
      <c r="O54" s="275"/>
      <c r="P54" s="275"/>
      <c r="Q54" s="275"/>
      <c r="R54" s="275"/>
      <c r="S54" s="275"/>
      <c r="T54" s="275"/>
      <c r="U54" s="275"/>
      <c r="V54" s="275"/>
      <c r="W54" s="275"/>
      <c r="X54" s="275"/>
      <c r="Y54" s="275"/>
      <c r="Z54" s="275"/>
      <c r="AA54" s="275"/>
      <c r="AB54" s="275"/>
      <c r="AC54" s="275"/>
      <c r="AD54" s="275"/>
      <c r="AE54" s="275"/>
      <c r="AF54" s="275"/>
      <c r="AG54" s="275"/>
      <c r="AH54" s="275"/>
      <c r="AJ54" s="275"/>
      <c r="AK54" s="275"/>
      <c r="AL54" s="275"/>
      <c r="AM54" s="275"/>
      <c r="AN54" s="275"/>
      <c r="AO54" s="275"/>
      <c r="AQ54" s="275"/>
      <c r="AR54" s="275"/>
      <c r="AS54" s="275"/>
      <c r="AT54" s="275"/>
      <c r="AU54" s="275"/>
      <c r="AV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c r="EV54"/>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275"/>
      <c r="HK54" s="275"/>
      <c r="HL54" s="275"/>
      <c r="HM54" s="275"/>
      <c r="HN54" s="275"/>
      <c r="HO54" s="275"/>
      <c r="HP54" s="275"/>
      <c r="HQ54" s="275"/>
      <c r="HR54" s="275"/>
    </row>
    <row r="55" spans="1:226" s="297" customFormat="1">
      <c r="A55" s="275"/>
      <c r="B55" s="21"/>
      <c r="C55" s="21"/>
      <c r="D55" s="21"/>
      <c r="E55" s="21"/>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J55" s="275"/>
      <c r="AK55" s="275"/>
      <c r="AL55" s="275"/>
      <c r="AM55" s="275"/>
      <c r="AN55" s="275"/>
      <c r="AO55" s="275"/>
      <c r="AQ55" s="275"/>
      <c r="AR55" s="275"/>
      <c r="AS55" s="275"/>
      <c r="AT55" s="275"/>
      <c r="AU55" s="275"/>
      <c r="AV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c r="EV5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275"/>
      <c r="HK55" s="275"/>
      <c r="HL55" s="275"/>
      <c r="HM55" s="275"/>
      <c r="HN55" s="275"/>
      <c r="HO55" s="275"/>
      <c r="HP55" s="275"/>
      <c r="HQ55" s="275"/>
      <c r="HR55" s="275"/>
    </row>
    <row r="56" spans="1:226" s="297" customFormat="1">
      <c r="A56" s="275"/>
      <c r="B56" s="21"/>
      <c r="C56" s="21"/>
      <c r="D56" s="21"/>
      <c r="E56" s="21"/>
      <c r="F56" s="275"/>
      <c r="G56" s="275"/>
      <c r="H56" s="275"/>
      <c r="I56" s="275"/>
      <c r="J56" s="275"/>
      <c r="K56" s="275"/>
      <c r="L56" s="275"/>
      <c r="M56" s="275"/>
      <c r="N56" s="275"/>
      <c r="O56" s="275"/>
      <c r="P56" s="275"/>
      <c r="Q56" s="275"/>
      <c r="R56" s="275"/>
      <c r="S56" s="275"/>
      <c r="T56" s="275"/>
      <c r="U56" s="275"/>
      <c r="V56" s="275"/>
      <c r="W56" s="275"/>
      <c r="X56" s="275"/>
      <c r="Y56" s="275"/>
      <c r="Z56" s="275"/>
      <c r="AA56" s="275"/>
      <c r="AB56" s="275"/>
      <c r="AC56" s="275"/>
      <c r="AD56" s="275"/>
      <c r="AE56" s="275"/>
      <c r="AF56" s="275"/>
      <c r="AG56" s="275"/>
      <c r="AH56" s="275"/>
      <c r="AJ56" s="275"/>
      <c r="AK56" s="275"/>
      <c r="AL56" s="275"/>
      <c r="AM56" s="275"/>
      <c r="AN56" s="275"/>
      <c r="AO56" s="275"/>
      <c r="AQ56" s="275"/>
      <c r="AR56" s="275"/>
      <c r="AS56" s="275"/>
      <c r="AT56" s="275"/>
      <c r="AU56" s="275"/>
      <c r="AV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c r="EV56"/>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275"/>
      <c r="HK56" s="275"/>
      <c r="HL56" s="275"/>
      <c r="HM56" s="275"/>
      <c r="HN56" s="275"/>
      <c r="HO56" s="275"/>
      <c r="HP56" s="275"/>
      <c r="HQ56" s="275"/>
      <c r="HR56" s="275"/>
    </row>
    <row r="57" spans="1:226" s="297" customFormat="1">
      <c r="A57" s="275"/>
      <c r="B57" s="21"/>
      <c r="C57" s="21"/>
      <c r="D57" s="21"/>
      <c r="E57" s="21"/>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J57" s="275"/>
      <c r="AK57" s="275"/>
      <c r="AL57" s="275"/>
      <c r="AM57" s="275"/>
      <c r="AN57" s="275"/>
      <c r="AO57" s="275"/>
      <c r="AQ57" s="275"/>
      <c r="AR57" s="275"/>
      <c r="AS57" s="275"/>
      <c r="AT57" s="275"/>
      <c r="AU57" s="275"/>
      <c r="AV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c r="EV57"/>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275"/>
      <c r="HK57" s="275"/>
      <c r="HL57" s="275"/>
      <c r="HM57" s="275"/>
      <c r="HN57" s="275"/>
      <c r="HO57" s="275"/>
      <c r="HP57" s="275"/>
      <c r="HQ57" s="275"/>
      <c r="HR57" s="275"/>
    </row>
    <row r="58" spans="1:226" s="297" customFormat="1">
      <c r="A58" s="275"/>
      <c r="B58" s="21"/>
      <c r="C58" s="21"/>
      <c r="D58" s="21"/>
      <c r="E58" s="21"/>
      <c r="F58" s="275"/>
      <c r="G58" s="275"/>
      <c r="H58" s="275"/>
      <c r="I58" s="275"/>
      <c r="J58" s="275"/>
      <c r="K58" s="275"/>
      <c r="L58" s="275"/>
      <c r="M58" s="275"/>
      <c r="N58" s="275"/>
      <c r="O58" s="275"/>
      <c r="P58" s="275"/>
      <c r="Q58" s="275"/>
      <c r="R58" s="275"/>
      <c r="S58" s="275"/>
      <c r="T58" s="275"/>
      <c r="U58" s="275"/>
      <c r="V58" s="275"/>
      <c r="W58" s="275"/>
      <c r="X58" s="275"/>
      <c r="Y58" s="275"/>
      <c r="Z58" s="275"/>
      <c r="AA58" s="275"/>
      <c r="AB58" s="275"/>
      <c r="AC58" s="275"/>
      <c r="AD58" s="275"/>
      <c r="AE58" s="275"/>
      <c r="AF58" s="275"/>
      <c r="AG58" s="275"/>
      <c r="AH58" s="275"/>
      <c r="AJ58" s="275"/>
      <c r="AK58" s="275"/>
      <c r="AL58" s="275"/>
      <c r="AM58" s="275"/>
      <c r="AN58" s="275"/>
      <c r="AO58" s="275"/>
      <c r="AQ58" s="275"/>
      <c r="AR58" s="275"/>
      <c r="AS58" s="275"/>
      <c r="AT58" s="275"/>
      <c r="AU58" s="275"/>
      <c r="AV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c r="EV58"/>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275"/>
      <c r="HK58" s="275"/>
      <c r="HL58" s="275"/>
      <c r="HM58" s="275"/>
      <c r="HN58" s="275"/>
      <c r="HO58" s="275"/>
      <c r="HP58" s="275"/>
      <c r="HQ58" s="275"/>
      <c r="HR58" s="275"/>
    </row>
    <row r="59" spans="1:226" s="297" customFormat="1">
      <c r="A59" s="275"/>
      <c r="B59" s="21"/>
      <c r="C59" s="21"/>
      <c r="D59" s="21"/>
      <c r="E59" s="21"/>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J59" s="275"/>
      <c r="AK59" s="275"/>
      <c r="AL59" s="275"/>
      <c r="AM59" s="275"/>
      <c r="AN59" s="275"/>
      <c r="AO59" s="275"/>
      <c r="AQ59" s="275"/>
      <c r="AR59" s="275"/>
      <c r="AS59" s="275"/>
      <c r="AT59" s="275"/>
      <c r="AU59" s="275"/>
      <c r="AV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c r="EV59"/>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275"/>
      <c r="HK59" s="275"/>
      <c r="HL59" s="275"/>
      <c r="HM59" s="275"/>
      <c r="HN59" s="275"/>
      <c r="HO59" s="275"/>
      <c r="HP59" s="275"/>
      <c r="HQ59" s="275"/>
      <c r="HR59" s="275"/>
    </row>
    <row r="60" spans="1:226" s="297" customFormat="1">
      <c r="A60" s="275"/>
      <c r="B60" s="21"/>
      <c r="C60" s="21"/>
      <c r="D60" s="21"/>
      <c r="E60" s="21"/>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J60" s="275"/>
      <c r="AK60" s="275"/>
      <c r="AL60" s="275"/>
      <c r="AM60" s="275"/>
      <c r="AN60" s="275"/>
      <c r="AO60" s="275"/>
      <c r="AQ60" s="275"/>
      <c r="AR60" s="275"/>
      <c r="AS60" s="275"/>
      <c r="AT60" s="275"/>
      <c r="AU60" s="275"/>
      <c r="AV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c r="EV60"/>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275"/>
      <c r="HK60" s="275"/>
      <c r="HL60" s="275"/>
      <c r="HM60" s="275"/>
      <c r="HN60" s="275"/>
      <c r="HO60" s="275"/>
      <c r="HP60" s="275"/>
      <c r="HQ60" s="275"/>
      <c r="HR60" s="275"/>
    </row>
    <row r="61" spans="1:226" s="297" customFormat="1">
      <c r="A61" s="275"/>
      <c r="B61" s="21"/>
      <c r="C61" s="21"/>
      <c r="D61" s="21"/>
      <c r="E61" s="21"/>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J61" s="275"/>
      <c r="AK61" s="275"/>
      <c r="AL61" s="275"/>
      <c r="AM61" s="275"/>
      <c r="AN61" s="275"/>
      <c r="AO61" s="275"/>
      <c r="AQ61" s="275"/>
      <c r="AR61" s="275"/>
      <c r="AS61" s="275"/>
      <c r="AT61" s="275"/>
      <c r="AU61" s="275"/>
      <c r="AV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c r="EV61"/>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275"/>
      <c r="HK61" s="275"/>
      <c r="HL61" s="275"/>
      <c r="HM61" s="275"/>
      <c r="HN61" s="275"/>
      <c r="HO61" s="275"/>
      <c r="HP61" s="275"/>
      <c r="HQ61" s="275"/>
      <c r="HR61" s="275"/>
    </row>
    <row r="62" spans="1:226" s="297" customFormat="1">
      <c r="A62" s="275"/>
      <c r="B62" s="21"/>
      <c r="C62" s="21"/>
      <c r="D62" s="21"/>
      <c r="E62" s="21"/>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J62" s="275"/>
      <c r="AK62" s="275"/>
      <c r="AL62" s="275"/>
      <c r="AM62" s="275"/>
      <c r="AN62" s="275"/>
      <c r="AO62" s="275"/>
      <c r="AQ62" s="275"/>
      <c r="AR62" s="275"/>
      <c r="AS62" s="275"/>
      <c r="AT62" s="275"/>
      <c r="AU62" s="275"/>
      <c r="AV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D62" s="275"/>
      <c r="EE62" s="275"/>
      <c r="EF62" s="275"/>
      <c r="EG62" s="275"/>
      <c r="EH62" s="275"/>
      <c r="EI62" s="275"/>
      <c r="EJ62" s="275"/>
      <c r="EK62" s="275"/>
      <c r="EL62" s="275"/>
      <c r="EM62" s="275"/>
      <c r="EN62" s="275"/>
      <c r="EO62" s="275"/>
      <c r="EP62" s="275"/>
      <c r="EQ62" s="275"/>
      <c r="ER62" s="275"/>
      <c r="ES62" s="275"/>
      <c r="ET62" s="275"/>
      <c r="EU62"/>
      <c r="EV62"/>
      <c r="EW62" s="275"/>
      <c r="EX62" s="275"/>
      <c r="EY62" s="275"/>
      <c r="EZ62" s="275"/>
      <c r="FA62" s="275"/>
      <c r="FB62" s="275"/>
      <c r="FC62" s="275"/>
      <c r="FD62" s="275"/>
      <c r="FE62" s="275"/>
      <c r="FF62" s="275"/>
      <c r="FG62" s="275"/>
      <c r="FH62" s="275"/>
      <c r="FI62" s="275"/>
      <c r="FJ62" s="275"/>
      <c r="FK62" s="275"/>
      <c r="FL62" s="275"/>
      <c r="FM62" s="275"/>
      <c r="FN62" s="275"/>
      <c r="FO62" s="275"/>
      <c r="FP62" s="275"/>
      <c r="FQ62" s="275"/>
      <c r="FR62" s="275"/>
      <c r="FS62" s="275"/>
      <c r="FT62" s="275"/>
      <c r="FU62" s="275"/>
      <c r="FV62" s="275"/>
      <c r="FW62" s="275"/>
      <c r="FX62" s="275"/>
      <c r="FY62" s="275"/>
      <c r="FZ62" s="275"/>
      <c r="GA62" s="275"/>
      <c r="GB62" s="275"/>
      <c r="GC62" s="275"/>
      <c r="GD62" s="275"/>
      <c r="GE62" s="275"/>
      <c r="GF62" s="275"/>
      <c r="GG62" s="275"/>
      <c r="GH62" s="275"/>
      <c r="GI62" s="275"/>
      <c r="GJ62" s="275"/>
      <c r="GK62" s="275"/>
      <c r="GL62" s="275"/>
      <c r="GM62" s="275"/>
      <c r="GN62" s="275"/>
      <c r="GO62" s="275"/>
      <c r="GP62" s="275"/>
      <c r="GQ62" s="275"/>
      <c r="GR62" s="275"/>
      <c r="GS62" s="275"/>
      <c r="GT62" s="275"/>
      <c r="GU62" s="275"/>
      <c r="GV62" s="275"/>
      <c r="GW62" s="275"/>
      <c r="GX62" s="275"/>
      <c r="GY62" s="275"/>
      <c r="GZ62" s="275"/>
      <c r="HA62" s="275"/>
      <c r="HB62" s="275"/>
      <c r="HC62" s="275"/>
      <c r="HD62" s="275"/>
      <c r="HE62" s="275"/>
      <c r="HF62" s="275"/>
      <c r="HG62" s="275"/>
      <c r="HH62" s="275"/>
      <c r="HI62" s="275"/>
      <c r="HJ62" s="275"/>
      <c r="HK62" s="275"/>
      <c r="HL62" s="275"/>
      <c r="HM62" s="275"/>
      <c r="HN62" s="275"/>
      <c r="HO62" s="275"/>
      <c r="HP62" s="275"/>
      <c r="HQ62" s="275"/>
      <c r="HR62" s="275"/>
    </row>
    <row r="63" spans="1:226" s="297" customFormat="1">
      <c r="A63" s="275"/>
      <c r="B63" s="21"/>
      <c r="C63" s="21"/>
      <c r="D63" s="21"/>
      <c r="E63" s="21"/>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J63" s="275"/>
      <c r="AK63" s="275"/>
      <c r="AL63" s="275"/>
      <c r="AM63" s="275"/>
      <c r="AN63" s="275"/>
      <c r="AO63" s="275"/>
      <c r="AQ63" s="275"/>
      <c r="AR63" s="275"/>
      <c r="AS63" s="275"/>
      <c r="AT63" s="275"/>
      <c r="AU63" s="275"/>
      <c r="AV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D63" s="275"/>
      <c r="EE63" s="275"/>
      <c r="EF63" s="275"/>
      <c r="EG63" s="275"/>
      <c r="EH63" s="275"/>
      <c r="EI63" s="275"/>
      <c r="EJ63" s="275"/>
      <c r="EK63" s="275"/>
      <c r="EL63" s="275"/>
      <c r="EM63" s="275"/>
      <c r="EN63" s="275"/>
      <c r="EO63" s="275"/>
      <c r="EP63" s="275"/>
      <c r="EQ63" s="275"/>
      <c r="ER63" s="275"/>
      <c r="ES63" s="275"/>
      <c r="ET63" s="275"/>
      <c r="EU63"/>
      <c r="EV63"/>
      <c r="EW63" s="275"/>
      <c r="EX63" s="275"/>
      <c r="EY63" s="275"/>
      <c r="EZ63" s="275"/>
      <c r="FA63" s="275"/>
      <c r="FB63" s="275"/>
      <c r="FC63" s="275"/>
      <c r="FD63" s="275"/>
      <c r="FE63" s="275"/>
      <c r="FF63" s="275"/>
      <c r="FG63" s="275"/>
      <c r="FH63" s="275"/>
      <c r="FI63" s="275"/>
      <c r="FJ63" s="275"/>
      <c r="FK63" s="275"/>
      <c r="FL63" s="275"/>
      <c r="FM63" s="275"/>
      <c r="FN63" s="275"/>
      <c r="FO63" s="275"/>
      <c r="FP63" s="275"/>
      <c r="FQ63" s="275"/>
      <c r="FR63" s="275"/>
      <c r="FS63" s="275"/>
      <c r="FT63" s="275"/>
      <c r="FU63" s="275"/>
      <c r="FV63" s="275"/>
      <c r="FW63" s="275"/>
      <c r="FX63" s="275"/>
      <c r="FY63" s="275"/>
      <c r="FZ63" s="275"/>
      <c r="GA63" s="275"/>
      <c r="GB63" s="275"/>
      <c r="GC63" s="275"/>
      <c r="GD63" s="275"/>
      <c r="GE63" s="275"/>
      <c r="GF63" s="275"/>
      <c r="GG63" s="275"/>
      <c r="GH63" s="275"/>
      <c r="GI63" s="275"/>
      <c r="GJ63" s="275"/>
      <c r="GK63" s="275"/>
      <c r="GL63" s="275"/>
      <c r="GM63" s="275"/>
      <c r="GN63" s="275"/>
      <c r="GO63" s="275"/>
      <c r="GP63" s="275"/>
      <c r="GQ63" s="275"/>
      <c r="GR63" s="275"/>
      <c r="GS63" s="275"/>
      <c r="GT63" s="275"/>
      <c r="GU63" s="275"/>
      <c r="GV63" s="275"/>
      <c r="GW63" s="275"/>
      <c r="GX63" s="275"/>
      <c r="GY63" s="275"/>
      <c r="GZ63" s="275"/>
      <c r="HA63" s="275"/>
      <c r="HB63" s="275"/>
      <c r="HC63" s="275"/>
      <c r="HD63" s="275"/>
      <c r="HE63" s="275"/>
      <c r="HF63" s="275"/>
      <c r="HG63" s="275"/>
      <c r="HH63" s="275"/>
      <c r="HI63" s="275"/>
      <c r="HJ63" s="275"/>
      <c r="HK63" s="275"/>
      <c r="HL63" s="275"/>
      <c r="HM63" s="275"/>
      <c r="HN63" s="275"/>
      <c r="HO63" s="275"/>
      <c r="HP63" s="275"/>
      <c r="HQ63" s="275"/>
      <c r="HR63" s="275"/>
    </row>
    <row r="64" spans="1:226" s="297" customFormat="1">
      <c r="A64" s="275"/>
      <c r="B64" s="21"/>
      <c r="C64" s="21"/>
      <c r="D64" s="21"/>
      <c r="E64" s="21"/>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J64" s="275"/>
      <c r="AK64" s="275"/>
      <c r="AL64" s="275"/>
      <c r="AM64" s="275"/>
      <c r="AN64" s="275"/>
      <c r="AO64" s="275"/>
      <c r="AQ64" s="275"/>
      <c r="AR64" s="275"/>
      <c r="AS64" s="275"/>
      <c r="AT64" s="275"/>
      <c r="AU64" s="275"/>
      <c r="AV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c r="EV64"/>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275"/>
      <c r="HK64" s="275"/>
      <c r="HL64" s="275"/>
      <c r="HM64" s="275"/>
      <c r="HN64" s="275"/>
      <c r="HO64" s="275"/>
      <c r="HP64" s="275"/>
      <c r="HQ64" s="275"/>
      <c r="HR64" s="275"/>
    </row>
    <row r="65" spans="1:226" s="297" customFormat="1">
      <c r="A65" s="275"/>
      <c r="B65" s="21"/>
      <c r="C65" s="21"/>
      <c r="D65" s="21"/>
      <c r="E65" s="21"/>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J65" s="275"/>
      <c r="AK65" s="275"/>
      <c r="AL65" s="275"/>
      <c r="AM65" s="275"/>
      <c r="AN65" s="275"/>
      <c r="AO65" s="275"/>
      <c r="AQ65" s="275"/>
      <c r="AR65" s="275"/>
      <c r="AS65" s="275"/>
      <c r="AT65" s="275"/>
      <c r="AU65" s="275"/>
      <c r="AV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c r="EV6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275"/>
      <c r="HK65" s="275"/>
      <c r="HL65" s="275"/>
      <c r="HM65" s="275"/>
      <c r="HN65" s="275"/>
      <c r="HO65" s="275"/>
      <c r="HP65" s="275"/>
      <c r="HQ65" s="275"/>
      <c r="HR65" s="275"/>
    </row>
    <row r="66" spans="1:226" s="297" customFormat="1">
      <c r="A66" s="275"/>
      <c r="B66" s="21"/>
      <c r="C66" s="21"/>
      <c r="D66" s="21"/>
      <c r="E66" s="21"/>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J66" s="275"/>
      <c r="AK66" s="275"/>
      <c r="AL66" s="275"/>
      <c r="AM66" s="275"/>
      <c r="AN66" s="275"/>
      <c r="AO66" s="275"/>
      <c r="AQ66" s="275"/>
      <c r="AR66" s="275"/>
      <c r="AS66" s="275"/>
      <c r="AT66" s="275"/>
      <c r="AU66" s="275"/>
      <c r="AV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c r="EV66"/>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275"/>
      <c r="HK66" s="275"/>
      <c r="HL66" s="275"/>
      <c r="HM66" s="275"/>
      <c r="HN66" s="275"/>
      <c r="HO66" s="275"/>
      <c r="HP66" s="275"/>
      <c r="HQ66" s="275"/>
      <c r="HR66" s="275"/>
    </row>
    <row r="67" spans="1:226" s="297" customFormat="1">
      <c r="A67" s="275"/>
      <c r="B67" s="21"/>
      <c r="C67" s="21"/>
      <c r="D67" s="21"/>
      <c r="E67" s="21"/>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J67" s="275"/>
      <c r="AK67" s="275"/>
      <c r="AL67" s="275"/>
      <c r="AM67" s="275"/>
      <c r="AN67" s="275"/>
      <c r="AO67" s="275"/>
      <c r="AQ67" s="275"/>
      <c r="AR67" s="275"/>
      <c r="AS67" s="275"/>
      <c r="AT67" s="275"/>
      <c r="AU67" s="275"/>
      <c r="AV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c r="EV67"/>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275"/>
      <c r="HK67" s="275"/>
      <c r="HL67" s="275"/>
      <c r="HM67" s="275"/>
      <c r="HN67" s="275"/>
      <c r="HO67" s="275"/>
      <c r="HP67" s="275"/>
      <c r="HQ67" s="275"/>
      <c r="HR67" s="275"/>
    </row>
    <row r="68" spans="1:226" s="297" customFormat="1">
      <c r="A68" s="275"/>
      <c r="B68" s="21"/>
      <c r="C68" s="21"/>
      <c r="D68" s="21"/>
      <c r="E68" s="21"/>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J68" s="275"/>
      <c r="AK68" s="275"/>
      <c r="AL68" s="275"/>
      <c r="AM68" s="275"/>
      <c r="AN68" s="275"/>
      <c r="AO68" s="275"/>
      <c r="AQ68" s="275"/>
      <c r="AR68" s="275"/>
      <c r="AS68" s="275"/>
      <c r="AT68" s="275"/>
      <c r="AU68" s="275"/>
      <c r="AV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c r="EV68"/>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275"/>
      <c r="HK68" s="275"/>
      <c r="HL68" s="275"/>
      <c r="HM68" s="275"/>
      <c r="HN68" s="275"/>
      <c r="HO68" s="275"/>
      <c r="HP68" s="275"/>
      <c r="HQ68" s="275"/>
      <c r="HR68" s="275"/>
    </row>
    <row r="69" spans="1:226" s="297" customFormat="1">
      <c r="A69" s="275"/>
      <c r="B69" s="21"/>
      <c r="C69" s="21"/>
      <c r="D69" s="21"/>
      <c r="E69" s="21"/>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J69" s="275"/>
      <c r="AK69" s="275"/>
      <c r="AL69" s="275"/>
      <c r="AM69" s="275"/>
      <c r="AN69" s="275"/>
      <c r="AO69" s="275"/>
      <c r="AQ69" s="275"/>
      <c r="AR69" s="275"/>
      <c r="AS69" s="275"/>
      <c r="AT69" s="275"/>
      <c r="AU69" s="275"/>
      <c r="AV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c r="EV69"/>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275"/>
      <c r="HK69" s="275"/>
      <c r="HL69" s="275"/>
      <c r="HM69" s="275"/>
      <c r="HN69" s="275"/>
      <c r="HO69" s="275"/>
      <c r="HP69" s="275"/>
      <c r="HQ69" s="275"/>
      <c r="HR69" s="275"/>
    </row>
    <row r="70" spans="1:226" s="297" customFormat="1">
      <c r="A70" s="275"/>
      <c r="B70" s="21"/>
      <c r="C70" s="21"/>
      <c r="D70" s="21"/>
      <c r="E70" s="21"/>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J70" s="275"/>
      <c r="AK70" s="275"/>
      <c r="AL70" s="275"/>
      <c r="AM70" s="275"/>
      <c r="AN70" s="275"/>
      <c r="AO70" s="275"/>
      <c r="AQ70" s="275"/>
      <c r="AR70" s="275"/>
      <c r="AS70" s="275"/>
      <c r="AT70" s="275"/>
      <c r="AU70" s="275"/>
      <c r="AV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c r="EV70"/>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275"/>
      <c r="HK70" s="275"/>
      <c r="HL70" s="275"/>
      <c r="HM70" s="275"/>
      <c r="HN70" s="275"/>
      <c r="HO70" s="275"/>
      <c r="HP70" s="275"/>
      <c r="HQ70" s="275"/>
      <c r="HR70" s="275"/>
    </row>
    <row r="71" spans="1:226" s="297" customFormat="1">
      <c r="A71" s="275"/>
      <c r="B71" s="21"/>
      <c r="C71" s="21"/>
      <c r="D71" s="21"/>
      <c r="E71" s="21"/>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5"/>
      <c r="AJ71" s="275"/>
      <c r="AK71" s="275"/>
      <c r="AL71" s="275"/>
      <c r="AM71" s="275"/>
      <c r="AN71" s="275"/>
      <c r="AO71" s="275"/>
      <c r="AQ71" s="275"/>
      <c r="AR71" s="275"/>
      <c r="AS71" s="275"/>
      <c r="AT71" s="275"/>
      <c r="AU71" s="275"/>
      <c r="AV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c r="EV71"/>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275"/>
      <c r="HK71" s="275"/>
      <c r="HL71" s="275"/>
      <c r="HM71" s="275"/>
      <c r="HN71" s="275"/>
      <c r="HO71" s="275"/>
      <c r="HP71" s="275"/>
      <c r="HQ71" s="275"/>
      <c r="HR71" s="275"/>
    </row>
    <row r="72" spans="1:226" s="297" customFormat="1">
      <c r="A72" s="275"/>
      <c r="B72" s="21"/>
      <c r="C72" s="21"/>
      <c r="D72" s="21"/>
      <c r="E72" s="21"/>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J72" s="275"/>
      <c r="AK72" s="275"/>
      <c r="AL72" s="275"/>
      <c r="AM72" s="275"/>
      <c r="AN72" s="275"/>
      <c r="AO72" s="275"/>
      <c r="AQ72" s="275"/>
      <c r="AR72" s="275"/>
      <c r="AS72" s="275"/>
      <c r="AT72" s="275"/>
      <c r="AU72" s="275"/>
      <c r="AV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c r="EV72"/>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275"/>
      <c r="HK72" s="275"/>
      <c r="HL72" s="275"/>
      <c r="HM72" s="275"/>
      <c r="HN72" s="275"/>
      <c r="HO72" s="275"/>
      <c r="HP72" s="275"/>
      <c r="HQ72" s="275"/>
      <c r="HR72" s="275"/>
    </row>
    <row r="73" spans="1:226" s="297" customFormat="1">
      <c r="A73" s="275"/>
      <c r="B73" s="21"/>
      <c r="C73" s="21"/>
      <c r="D73" s="21"/>
      <c r="E73" s="21"/>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5"/>
      <c r="AJ73" s="275"/>
      <c r="AK73" s="275"/>
      <c r="AL73" s="275"/>
      <c r="AM73" s="275"/>
      <c r="AN73" s="275"/>
      <c r="AO73" s="275"/>
      <c r="AQ73" s="275"/>
      <c r="AR73" s="275"/>
      <c r="AS73" s="275"/>
      <c r="AT73" s="275"/>
      <c r="AU73" s="275"/>
      <c r="AV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c r="EV73"/>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275"/>
      <c r="HK73" s="275"/>
      <c r="HL73" s="275"/>
      <c r="HM73" s="275"/>
      <c r="HN73" s="275"/>
      <c r="HO73" s="275"/>
      <c r="HP73" s="275"/>
      <c r="HQ73" s="275"/>
      <c r="HR73" s="275"/>
    </row>
    <row r="74" spans="1:226" s="297" customFormat="1">
      <c r="A74" s="275"/>
      <c r="B74" s="21"/>
      <c r="C74" s="21"/>
      <c r="D74" s="21"/>
      <c r="E74" s="21"/>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5"/>
      <c r="AJ74" s="275"/>
      <c r="AK74" s="275"/>
      <c r="AL74" s="275"/>
      <c r="AM74" s="275"/>
      <c r="AN74" s="275"/>
      <c r="AO74" s="275"/>
      <c r="AQ74" s="275"/>
      <c r="AR74" s="275"/>
      <c r="AS74" s="275"/>
      <c r="AT74" s="275"/>
      <c r="AU74" s="275"/>
      <c r="AV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c r="EV74"/>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275"/>
      <c r="HK74" s="275"/>
      <c r="HL74" s="275"/>
      <c r="HM74" s="275"/>
      <c r="HN74" s="275"/>
      <c r="HO74" s="275"/>
      <c r="HP74" s="275"/>
      <c r="HQ74" s="275"/>
      <c r="HR74" s="275"/>
    </row>
    <row r="75" spans="1:226" s="297" customFormat="1">
      <c r="A75" s="275"/>
      <c r="B75" s="21"/>
      <c r="C75" s="21"/>
      <c r="D75" s="21"/>
      <c r="E75" s="21"/>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5"/>
      <c r="AJ75" s="275"/>
      <c r="AK75" s="275"/>
      <c r="AL75" s="275"/>
      <c r="AM75" s="275"/>
      <c r="AN75" s="275"/>
      <c r="AO75" s="275"/>
      <c r="AQ75" s="275"/>
      <c r="AR75" s="275"/>
      <c r="AS75" s="275"/>
      <c r="AT75" s="275"/>
      <c r="AU75" s="275"/>
      <c r="AV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c r="EV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275"/>
      <c r="HK75" s="275"/>
      <c r="HL75" s="275"/>
      <c r="HM75" s="275"/>
      <c r="HN75" s="275"/>
      <c r="HO75" s="275"/>
      <c r="HP75" s="275"/>
      <c r="HQ75" s="275"/>
      <c r="HR75" s="275"/>
    </row>
    <row r="76" spans="1:226" s="297" customFormat="1">
      <c r="A76" s="275"/>
      <c r="B76" s="21"/>
      <c r="C76" s="21"/>
      <c r="D76" s="21"/>
      <c r="E76" s="21"/>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J76" s="275"/>
      <c r="AK76" s="275"/>
      <c r="AL76" s="275"/>
      <c r="AM76" s="275"/>
      <c r="AN76" s="275"/>
      <c r="AO76" s="275"/>
      <c r="AQ76" s="275"/>
      <c r="AR76" s="275"/>
      <c r="AS76" s="275"/>
      <c r="AT76" s="275"/>
      <c r="AU76" s="275"/>
      <c r="AV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c r="EV76"/>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275"/>
      <c r="HK76" s="275"/>
      <c r="HL76" s="275"/>
      <c r="HM76" s="275"/>
      <c r="HN76" s="275"/>
      <c r="HO76" s="275"/>
      <c r="HP76" s="275"/>
      <c r="HQ76" s="275"/>
      <c r="HR76" s="275"/>
    </row>
    <row r="77" spans="1:226" s="297" customFormat="1">
      <c r="A77" s="275"/>
      <c r="B77" s="21"/>
      <c r="C77" s="21"/>
      <c r="D77" s="21"/>
      <c r="E77" s="21"/>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5"/>
      <c r="AJ77" s="275"/>
      <c r="AK77" s="275"/>
      <c r="AL77" s="275"/>
      <c r="AM77" s="275"/>
      <c r="AN77" s="275"/>
      <c r="AO77" s="275"/>
      <c r="AQ77" s="275"/>
      <c r="AR77" s="275"/>
      <c r="AS77" s="275"/>
      <c r="AT77" s="275"/>
      <c r="AU77" s="275"/>
      <c r="AV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c r="EV77"/>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275"/>
      <c r="HK77" s="275"/>
      <c r="HL77" s="275"/>
      <c r="HM77" s="275"/>
      <c r="HN77" s="275"/>
      <c r="HO77" s="275"/>
      <c r="HP77" s="275"/>
      <c r="HQ77" s="275"/>
      <c r="HR77" s="275"/>
    </row>
    <row r="78" spans="1:226" s="297" customFormat="1">
      <c r="A78" s="275"/>
      <c r="B78" s="21"/>
      <c r="C78" s="21"/>
      <c r="D78" s="21"/>
      <c r="E78" s="21"/>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5"/>
      <c r="AJ78" s="275"/>
      <c r="AK78" s="275"/>
      <c r="AL78" s="275"/>
      <c r="AM78" s="275"/>
      <c r="AN78" s="275"/>
      <c r="AO78" s="275"/>
      <c r="AQ78" s="275"/>
      <c r="AR78" s="275"/>
      <c r="AS78" s="275"/>
      <c r="AT78" s="275"/>
      <c r="AU78" s="275"/>
      <c r="AV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c r="EV78"/>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275"/>
      <c r="HK78" s="275"/>
      <c r="HL78" s="275"/>
      <c r="HM78" s="275"/>
      <c r="HN78" s="275"/>
      <c r="HO78" s="275"/>
      <c r="HP78" s="275"/>
      <c r="HQ78" s="275"/>
      <c r="HR78" s="275"/>
    </row>
    <row r="79" spans="1:226" s="297" customFormat="1">
      <c r="A79" s="275"/>
      <c r="B79" s="21"/>
      <c r="C79" s="21"/>
      <c r="D79" s="21"/>
      <c r="E79" s="21"/>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5"/>
      <c r="AJ79" s="275"/>
      <c r="AK79" s="275"/>
      <c r="AL79" s="275"/>
      <c r="AM79" s="275"/>
      <c r="AN79" s="275"/>
      <c r="AO79" s="275"/>
      <c r="AQ79" s="275"/>
      <c r="AR79" s="275"/>
      <c r="AS79" s="275"/>
      <c r="AT79" s="275"/>
      <c r="AU79" s="275"/>
      <c r="AV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c r="EV79"/>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275"/>
      <c r="HK79" s="275"/>
      <c r="HL79" s="275"/>
      <c r="HM79" s="275"/>
      <c r="HN79" s="275"/>
      <c r="HO79" s="275"/>
      <c r="HP79" s="275"/>
      <c r="HQ79" s="275"/>
      <c r="HR79" s="275"/>
    </row>
    <row r="80" spans="1:226" s="297" customFormat="1">
      <c r="A80" s="275"/>
      <c r="B80" s="21"/>
      <c r="C80" s="21"/>
      <c r="D80" s="21"/>
      <c r="E80" s="21"/>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5"/>
      <c r="AJ80" s="275"/>
      <c r="AK80" s="275"/>
      <c r="AL80" s="275"/>
      <c r="AM80" s="275"/>
      <c r="AN80" s="275"/>
      <c r="AO80" s="275"/>
      <c r="AQ80" s="275"/>
      <c r="AR80" s="275"/>
      <c r="AS80" s="275"/>
      <c r="AT80" s="275"/>
      <c r="AU80" s="275"/>
      <c r="AV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c r="EV80"/>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275"/>
      <c r="HK80" s="275"/>
      <c r="HL80" s="275"/>
      <c r="HM80" s="275"/>
      <c r="HN80" s="275"/>
      <c r="HO80" s="275"/>
      <c r="HP80" s="275"/>
      <c r="HQ80" s="275"/>
      <c r="HR80" s="275"/>
    </row>
    <row r="81" spans="1:226" s="297" customFormat="1">
      <c r="A81" s="275"/>
      <c r="B81" s="21"/>
      <c r="C81" s="21"/>
      <c r="D81" s="21"/>
      <c r="E81" s="21"/>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J81" s="275"/>
      <c r="AK81" s="275"/>
      <c r="AL81" s="275"/>
      <c r="AM81" s="275"/>
      <c r="AN81" s="275"/>
      <c r="AO81" s="275"/>
      <c r="AQ81" s="275"/>
      <c r="AR81" s="275"/>
      <c r="AS81" s="275"/>
      <c r="AT81" s="275"/>
      <c r="AU81" s="275"/>
      <c r="AV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c r="EV81"/>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275"/>
      <c r="HK81" s="275"/>
      <c r="HL81" s="275"/>
      <c r="HM81" s="275"/>
      <c r="HN81" s="275"/>
      <c r="HO81" s="275"/>
      <c r="HP81" s="275"/>
      <c r="HQ81" s="275"/>
      <c r="HR81" s="275"/>
    </row>
    <row r="82" spans="1:226" s="297" customFormat="1">
      <c r="A82" s="275"/>
      <c r="B82" s="21"/>
      <c r="C82" s="21"/>
      <c r="D82" s="21"/>
      <c r="E82" s="21"/>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c r="AH82" s="275"/>
      <c r="AJ82" s="275"/>
      <c r="AK82" s="275"/>
      <c r="AL82" s="275"/>
      <c r="AM82" s="275"/>
      <c r="AN82" s="275"/>
      <c r="AO82" s="275"/>
      <c r="AQ82" s="275"/>
      <c r="AR82" s="275"/>
      <c r="AS82" s="275"/>
      <c r="AT82" s="275"/>
      <c r="AU82" s="275"/>
      <c r="AV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c r="EV82"/>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275"/>
      <c r="HK82" s="275"/>
      <c r="HL82" s="275"/>
      <c r="HM82" s="275"/>
      <c r="HN82" s="275"/>
      <c r="HO82" s="275"/>
      <c r="HP82" s="275"/>
      <c r="HQ82" s="275"/>
      <c r="HR82" s="275"/>
    </row>
    <row r="83" spans="1:226" s="297" customFormat="1">
      <c r="A83" s="275"/>
      <c r="B83" s="21"/>
      <c r="C83" s="21"/>
      <c r="D83" s="21"/>
      <c r="E83" s="21"/>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c r="AH83" s="275"/>
      <c r="AJ83" s="275"/>
      <c r="AK83" s="275"/>
      <c r="AL83" s="275"/>
      <c r="AM83" s="275"/>
      <c r="AN83" s="275"/>
      <c r="AO83" s="275"/>
      <c r="AQ83" s="275"/>
      <c r="AR83" s="275"/>
      <c r="AS83" s="275"/>
      <c r="AT83" s="275"/>
      <c r="AU83" s="275"/>
      <c r="AV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c r="EV83"/>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275"/>
      <c r="HK83" s="275"/>
      <c r="HL83" s="275"/>
      <c r="HM83" s="275"/>
      <c r="HN83" s="275"/>
      <c r="HO83" s="275"/>
      <c r="HP83" s="275"/>
      <c r="HQ83" s="275"/>
      <c r="HR83" s="275"/>
    </row>
    <row r="84" spans="1:226" s="297" customFormat="1">
      <c r="A84" s="275"/>
      <c r="B84" s="21"/>
      <c r="C84" s="21"/>
      <c r="D84" s="21"/>
      <c r="E84" s="21"/>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J84" s="275"/>
      <c r="AK84" s="275"/>
      <c r="AL84" s="275"/>
      <c r="AM84" s="275"/>
      <c r="AN84" s="275"/>
      <c r="AO84" s="275"/>
      <c r="AQ84" s="275"/>
      <c r="AR84" s="275"/>
      <c r="AS84" s="275"/>
      <c r="AT84" s="275"/>
      <c r="AU84" s="275"/>
      <c r="AV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c r="EV84"/>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275"/>
      <c r="HK84" s="275"/>
      <c r="HL84" s="275"/>
      <c r="HM84" s="275"/>
      <c r="HN84" s="275"/>
      <c r="HO84" s="275"/>
      <c r="HP84" s="275"/>
      <c r="HQ84" s="275"/>
      <c r="HR84" s="275"/>
    </row>
    <row r="85" spans="1:226" s="297" customFormat="1">
      <c r="A85" s="275"/>
      <c r="B85" s="21"/>
      <c r="C85" s="21"/>
      <c r="D85" s="21"/>
      <c r="E85" s="21"/>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c r="AH85" s="275"/>
      <c r="AJ85" s="275"/>
      <c r="AK85" s="275"/>
      <c r="AL85" s="275"/>
      <c r="AM85" s="275"/>
      <c r="AN85" s="275"/>
      <c r="AO85" s="275"/>
      <c r="AQ85" s="275"/>
      <c r="AR85" s="275"/>
      <c r="AS85" s="275"/>
      <c r="AT85" s="275"/>
      <c r="AU85" s="275"/>
      <c r="AV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c r="EV8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275"/>
      <c r="HK85" s="275"/>
      <c r="HL85" s="275"/>
      <c r="HM85" s="275"/>
      <c r="HN85" s="275"/>
      <c r="HO85" s="275"/>
      <c r="HP85" s="275"/>
      <c r="HQ85" s="275"/>
      <c r="HR85" s="275"/>
    </row>
    <row r="86" spans="1:226" s="297" customFormat="1">
      <c r="A86" s="275"/>
      <c r="B86" s="21"/>
      <c r="C86" s="21"/>
      <c r="D86" s="21"/>
      <c r="E86" s="21"/>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c r="AH86" s="275"/>
      <c r="AJ86" s="275"/>
      <c r="AK86" s="275"/>
      <c r="AL86" s="275"/>
      <c r="AM86" s="275"/>
      <c r="AN86" s="275"/>
      <c r="AO86" s="275"/>
      <c r="AQ86" s="275"/>
      <c r="AR86" s="275"/>
      <c r="AS86" s="275"/>
      <c r="AT86" s="275"/>
      <c r="AU86" s="275"/>
      <c r="AV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c r="EV86"/>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275"/>
      <c r="HK86" s="275"/>
      <c r="HL86" s="275"/>
      <c r="HM86" s="275"/>
      <c r="HN86" s="275"/>
      <c r="HO86" s="275"/>
      <c r="HP86" s="275"/>
      <c r="HQ86" s="275"/>
      <c r="HR86" s="275"/>
    </row>
    <row r="87" spans="1:226" s="297" customFormat="1">
      <c r="A87" s="275"/>
      <c r="B87" s="21"/>
      <c r="C87" s="21"/>
      <c r="D87" s="21"/>
      <c r="E87" s="21"/>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c r="AH87" s="275"/>
      <c r="AJ87" s="275"/>
      <c r="AK87" s="275"/>
      <c r="AL87" s="275"/>
      <c r="AM87" s="275"/>
      <c r="AN87" s="275"/>
      <c r="AO87" s="275"/>
      <c r="AQ87" s="275"/>
      <c r="AR87" s="275"/>
      <c r="AS87" s="275"/>
      <c r="AT87" s="275"/>
      <c r="AU87" s="275"/>
      <c r="AV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c r="EV87"/>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275"/>
      <c r="HK87" s="275"/>
      <c r="HL87" s="275"/>
      <c r="HM87" s="275"/>
      <c r="HN87" s="275"/>
      <c r="HO87" s="275"/>
      <c r="HP87" s="275"/>
      <c r="HQ87" s="275"/>
      <c r="HR87" s="275"/>
    </row>
    <row r="88" spans="1:226" s="297" customFormat="1">
      <c r="A88" s="275"/>
      <c r="B88" s="21"/>
      <c r="C88" s="21"/>
      <c r="D88" s="21"/>
      <c r="E88" s="21"/>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c r="AH88" s="275"/>
      <c r="AJ88" s="275"/>
      <c r="AK88" s="275"/>
      <c r="AL88" s="275"/>
      <c r="AM88" s="275"/>
      <c r="AN88" s="275"/>
      <c r="AO88" s="275"/>
      <c r="AQ88" s="275"/>
      <c r="AR88" s="275"/>
      <c r="AS88" s="275"/>
      <c r="AT88" s="275"/>
      <c r="AU88" s="275"/>
      <c r="AV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c r="EV88"/>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275"/>
      <c r="HK88" s="275"/>
      <c r="HL88" s="275"/>
      <c r="HM88" s="275"/>
      <c r="HN88" s="275"/>
      <c r="HO88" s="275"/>
      <c r="HP88" s="275"/>
      <c r="HQ88" s="275"/>
      <c r="HR88" s="275"/>
    </row>
    <row r="89" spans="1:226" s="297" customFormat="1">
      <c r="A89" s="275"/>
      <c r="B89" s="21"/>
      <c r="C89" s="21"/>
      <c r="D89" s="21"/>
      <c r="E89" s="21"/>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c r="AH89" s="275"/>
      <c r="AJ89" s="275"/>
      <c r="AK89" s="275"/>
      <c r="AL89" s="275"/>
      <c r="AM89" s="275"/>
      <c r="AN89" s="275"/>
      <c r="AO89" s="275"/>
      <c r="AQ89" s="275"/>
      <c r="AR89" s="275"/>
      <c r="AS89" s="275"/>
      <c r="AT89" s="275"/>
      <c r="AU89" s="275"/>
      <c r="AV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c r="EV89"/>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275"/>
      <c r="HK89" s="275"/>
      <c r="HL89" s="275"/>
      <c r="HM89" s="275"/>
      <c r="HN89" s="275"/>
      <c r="HO89" s="275"/>
      <c r="HP89" s="275"/>
      <c r="HQ89" s="275"/>
      <c r="HR89" s="275"/>
    </row>
    <row r="90" spans="1:226" s="297" customFormat="1">
      <c r="A90" s="275"/>
      <c r="B90" s="21"/>
      <c r="C90" s="21"/>
      <c r="D90" s="21"/>
      <c r="E90" s="21"/>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c r="AH90" s="275"/>
      <c r="AJ90" s="275"/>
      <c r="AK90" s="275"/>
      <c r="AL90" s="275"/>
      <c r="AM90" s="275"/>
      <c r="AN90" s="275"/>
      <c r="AO90" s="275"/>
      <c r="AQ90" s="275"/>
      <c r="AR90" s="275"/>
      <c r="AS90" s="275"/>
      <c r="AT90" s="275"/>
      <c r="AU90" s="275"/>
      <c r="AV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c r="EV90"/>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275"/>
      <c r="HK90" s="275"/>
      <c r="HL90" s="275"/>
      <c r="HM90" s="275"/>
      <c r="HN90" s="275"/>
      <c r="HO90" s="275"/>
      <c r="HP90" s="275"/>
      <c r="HQ90" s="275"/>
      <c r="HR90" s="275"/>
    </row>
    <row r="91" spans="1:226" s="297" customFormat="1">
      <c r="A91" s="275"/>
      <c r="B91" s="21"/>
      <c r="C91" s="21"/>
      <c r="D91" s="21"/>
      <c r="E91" s="21"/>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J91" s="275"/>
      <c r="AK91" s="275"/>
      <c r="AL91" s="275"/>
      <c r="AM91" s="275"/>
      <c r="AN91" s="275"/>
      <c r="AO91" s="275"/>
      <c r="AQ91" s="275"/>
      <c r="AR91" s="275"/>
      <c r="AS91" s="275"/>
      <c r="AT91" s="275"/>
      <c r="AU91" s="275"/>
      <c r="AV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c r="EV91"/>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275"/>
      <c r="HK91" s="275"/>
      <c r="HL91" s="275"/>
      <c r="HM91" s="275"/>
      <c r="HN91" s="275"/>
      <c r="HO91" s="275"/>
      <c r="HP91" s="275"/>
      <c r="HQ91" s="275"/>
      <c r="HR91" s="275"/>
    </row>
    <row r="92" spans="1:226" s="297" customFormat="1">
      <c r="A92" s="275"/>
      <c r="B92" s="21"/>
      <c r="C92" s="21"/>
      <c r="D92" s="21"/>
      <c r="E92" s="21"/>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c r="AH92" s="275"/>
      <c r="AJ92" s="275"/>
      <c r="AK92" s="275"/>
      <c r="AL92" s="275"/>
      <c r="AM92" s="275"/>
      <c r="AN92" s="275"/>
      <c r="AO92" s="275"/>
      <c r="AQ92" s="275"/>
      <c r="AR92" s="275"/>
      <c r="AS92" s="275"/>
      <c r="AT92" s="275"/>
      <c r="AU92" s="275"/>
      <c r="AV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c r="EV92"/>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275"/>
      <c r="HK92" s="275"/>
      <c r="HL92" s="275"/>
      <c r="HM92" s="275"/>
      <c r="HN92" s="275"/>
      <c r="HO92" s="275"/>
      <c r="HP92" s="275"/>
      <c r="HQ92" s="275"/>
      <c r="HR92" s="275"/>
    </row>
    <row r="93" spans="1:226" s="297" customFormat="1">
      <c r="A93" s="275"/>
      <c r="B93" s="21"/>
      <c r="C93" s="21"/>
      <c r="D93" s="21"/>
      <c r="E93" s="21"/>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c r="AH93" s="275"/>
      <c r="AJ93" s="275"/>
      <c r="AK93" s="275"/>
      <c r="AL93" s="275"/>
      <c r="AM93" s="275"/>
      <c r="AN93" s="275"/>
      <c r="AO93" s="275"/>
      <c r="AQ93" s="275"/>
      <c r="AR93" s="275"/>
      <c r="AS93" s="275"/>
      <c r="AT93" s="275"/>
      <c r="AU93" s="275"/>
      <c r="AV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c r="EV93"/>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275"/>
      <c r="HK93" s="275"/>
      <c r="HL93" s="275"/>
      <c r="HM93" s="275"/>
      <c r="HN93" s="275"/>
      <c r="HO93" s="275"/>
      <c r="HP93" s="275"/>
      <c r="HQ93" s="275"/>
      <c r="HR93" s="275"/>
    </row>
    <row r="94" spans="1:226" s="297" customFormat="1">
      <c r="A94" s="275"/>
      <c r="B94" s="21"/>
      <c r="C94" s="21"/>
      <c r="D94" s="21"/>
      <c r="E94" s="21"/>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J94" s="275"/>
      <c r="AK94" s="275"/>
      <c r="AL94" s="275"/>
      <c r="AM94" s="275"/>
      <c r="AN94" s="275"/>
      <c r="AO94" s="275"/>
      <c r="AQ94" s="275"/>
      <c r="AR94" s="275"/>
      <c r="AS94" s="275"/>
      <c r="AT94" s="275"/>
      <c r="AU94" s="275"/>
      <c r="AV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c r="EV94"/>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275"/>
      <c r="HK94" s="275"/>
      <c r="HL94" s="275"/>
      <c r="HM94" s="275"/>
      <c r="HN94" s="275"/>
      <c r="HO94" s="275"/>
      <c r="HP94" s="275"/>
      <c r="HQ94" s="275"/>
      <c r="HR94" s="275"/>
    </row>
    <row r="95" spans="1:226" s="297" customFormat="1">
      <c r="A95" s="275"/>
      <c r="B95" s="21"/>
      <c r="C95" s="21"/>
      <c r="D95" s="21"/>
      <c r="E95" s="21"/>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J95" s="275"/>
      <c r="AK95" s="275"/>
      <c r="AL95" s="275"/>
      <c r="AM95" s="275"/>
      <c r="AN95" s="275"/>
      <c r="AO95" s="275"/>
      <c r="AQ95" s="275"/>
      <c r="AR95" s="275"/>
      <c r="AS95" s="275"/>
      <c r="AT95" s="275"/>
      <c r="AU95" s="275"/>
      <c r="AV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c r="EV9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275"/>
      <c r="HK95" s="275"/>
      <c r="HL95" s="275"/>
      <c r="HM95" s="275"/>
      <c r="HN95" s="275"/>
      <c r="HO95" s="275"/>
      <c r="HP95" s="275"/>
      <c r="HQ95" s="275"/>
      <c r="HR95" s="275"/>
    </row>
    <row r="96" spans="1:226" s="297" customFormat="1">
      <c r="A96" s="275"/>
      <c r="B96" s="21"/>
      <c r="C96" s="21"/>
      <c r="D96" s="21"/>
      <c r="E96" s="21"/>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J96" s="275"/>
      <c r="AK96" s="275"/>
      <c r="AL96" s="275"/>
      <c r="AM96" s="275"/>
      <c r="AN96" s="275"/>
      <c r="AO96" s="275"/>
      <c r="AQ96" s="275"/>
      <c r="AR96" s="275"/>
      <c r="AS96" s="275"/>
      <c r="AT96" s="275"/>
      <c r="AU96" s="275"/>
      <c r="AV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c r="EV96"/>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275"/>
      <c r="HK96" s="275"/>
      <c r="HL96" s="275"/>
      <c r="HM96" s="275"/>
      <c r="HN96" s="275"/>
      <c r="HO96" s="275"/>
      <c r="HP96" s="275"/>
      <c r="HQ96" s="275"/>
      <c r="HR96" s="275"/>
    </row>
    <row r="97" spans="1:226" s="297" customFormat="1">
      <c r="A97" s="275"/>
      <c r="B97" s="21"/>
      <c r="C97" s="21"/>
      <c r="D97" s="21"/>
      <c r="E97" s="21"/>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J97" s="275"/>
      <c r="AK97" s="275"/>
      <c r="AL97" s="275"/>
      <c r="AM97" s="275"/>
      <c r="AN97" s="275"/>
      <c r="AO97" s="275"/>
      <c r="AQ97" s="275"/>
      <c r="AR97" s="275"/>
      <c r="AS97" s="275"/>
      <c r="AT97" s="275"/>
      <c r="AU97" s="275"/>
      <c r="AV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c r="EV97"/>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275"/>
      <c r="HK97" s="275"/>
      <c r="HL97" s="275"/>
      <c r="HM97" s="275"/>
      <c r="HN97" s="275"/>
      <c r="HO97" s="275"/>
      <c r="HP97" s="275"/>
      <c r="HQ97" s="275"/>
      <c r="HR97" s="275"/>
    </row>
    <row r="98" spans="1:226" s="297" customFormat="1">
      <c r="A98" s="275"/>
      <c r="B98" s="21"/>
      <c r="C98" s="21"/>
      <c r="D98" s="21"/>
      <c r="E98" s="21"/>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J98" s="275"/>
      <c r="AK98" s="275"/>
      <c r="AL98" s="275"/>
      <c r="AM98" s="275"/>
      <c r="AN98" s="275"/>
      <c r="AO98" s="275"/>
      <c r="AQ98" s="275"/>
      <c r="AR98" s="275"/>
      <c r="AS98" s="275"/>
      <c r="AT98" s="275"/>
      <c r="AU98" s="275"/>
      <c r="AV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c r="EV98"/>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275"/>
      <c r="HK98" s="275"/>
      <c r="HL98" s="275"/>
      <c r="HM98" s="275"/>
      <c r="HN98" s="275"/>
      <c r="HO98" s="275"/>
      <c r="HP98" s="275"/>
      <c r="HQ98" s="275"/>
      <c r="HR98" s="275"/>
    </row>
    <row r="99" spans="1:226" s="297" customFormat="1">
      <c r="A99" s="275"/>
      <c r="B99" s="21"/>
      <c r="C99" s="21"/>
      <c r="D99" s="21"/>
      <c r="E99" s="21"/>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J99" s="275"/>
      <c r="AK99" s="275"/>
      <c r="AL99" s="275"/>
      <c r="AM99" s="275"/>
      <c r="AN99" s="275"/>
      <c r="AO99" s="275"/>
      <c r="AQ99" s="275"/>
      <c r="AR99" s="275"/>
      <c r="AS99" s="275"/>
      <c r="AT99" s="275"/>
      <c r="AU99" s="275"/>
      <c r="AV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c r="EV99"/>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275"/>
      <c r="HK99" s="275"/>
      <c r="HL99" s="275"/>
      <c r="HM99" s="275"/>
      <c r="HN99" s="275"/>
      <c r="HO99" s="275"/>
      <c r="HP99" s="275"/>
      <c r="HQ99" s="275"/>
      <c r="HR99" s="275"/>
    </row>
    <row r="100" spans="1:226" s="297" customFormat="1">
      <c r="A100" s="275"/>
      <c r="B100" s="21"/>
      <c r="C100" s="21"/>
      <c r="D100" s="21"/>
      <c r="E100" s="21"/>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J100" s="275"/>
      <c r="AK100" s="275"/>
      <c r="AL100" s="275"/>
      <c r="AM100" s="275"/>
      <c r="AN100" s="275"/>
      <c r="AO100" s="275"/>
      <c r="AQ100" s="275"/>
      <c r="AR100" s="275"/>
      <c r="AS100" s="275"/>
      <c r="AT100" s="275"/>
      <c r="AU100" s="275"/>
      <c r="AV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c r="EV100"/>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275"/>
      <c r="HK100" s="275"/>
      <c r="HL100" s="275"/>
      <c r="HM100" s="275"/>
      <c r="HN100" s="275"/>
      <c r="HO100" s="275"/>
      <c r="HP100" s="275"/>
      <c r="HQ100" s="275"/>
      <c r="HR100" s="275"/>
    </row>
    <row r="101" spans="1:226" s="297" customFormat="1">
      <c r="A101" s="275"/>
      <c r="B101" s="21"/>
      <c r="C101" s="21"/>
      <c r="D101" s="21"/>
      <c r="E101" s="21"/>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J101" s="275"/>
      <c r="AK101" s="275"/>
      <c r="AL101" s="275"/>
      <c r="AM101" s="275"/>
      <c r="AN101" s="275"/>
      <c r="AO101" s="275"/>
      <c r="AQ101" s="275"/>
      <c r="AR101" s="275"/>
      <c r="AS101" s="275"/>
      <c r="AT101" s="275"/>
      <c r="AU101" s="275"/>
      <c r="AV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c r="EV101"/>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275"/>
      <c r="HK101" s="275"/>
      <c r="HL101" s="275"/>
      <c r="HM101" s="275"/>
      <c r="HN101" s="275"/>
      <c r="HO101" s="275"/>
      <c r="HP101" s="275"/>
      <c r="HQ101" s="275"/>
      <c r="HR101" s="275"/>
    </row>
    <row r="102" spans="1:226" s="297" customFormat="1">
      <c r="A102" s="275"/>
      <c r="B102" s="21"/>
      <c r="C102" s="21"/>
      <c r="D102" s="21"/>
      <c r="E102" s="21"/>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J102" s="275"/>
      <c r="AK102" s="275"/>
      <c r="AL102" s="275"/>
      <c r="AM102" s="275"/>
      <c r="AN102" s="275"/>
      <c r="AO102" s="275"/>
      <c r="AQ102" s="275"/>
      <c r="AR102" s="275"/>
      <c r="AS102" s="275"/>
      <c r="AT102" s="275"/>
      <c r="AU102" s="275"/>
      <c r="AV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c r="EV102"/>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275"/>
      <c r="HK102" s="275"/>
      <c r="HL102" s="275"/>
      <c r="HM102" s="275"/>
      <c r="HN102" s="275"/>
      <c r="HO102" s="275"/>
      <c r="HP102" s="275"/>
      <c r="HQ102" s="275"/>
      <c r="HR102" s="275"/>
    </row>
    <row r="103" spans="1:226" s="297" customFormat="1">
      <c r="A103" s="275"/>
      <c r="B103" s="21"/>
      <c r="C103" s="21"/>
      <c r="D103" s="21"/>
      <c r="E103" s="21"/>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J103" s="275"/>
      <c r="AK103" s="275"/>
      <c r="AL103" s="275"/>
      <c r="AM103" s="275"/>
      <c r="AN103" s="275"/>
      <c r="AO103" s="275"/>
      <c r="AQ103" s="275"/>
      <c r="AR103" s="275"/>
      <c r="AS103" s="275"/>
      <c r="AT103" s="275"/>
      <c r="AU103" s="275"/>
      <c r="AV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c r="EV103"/>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275"/>
      <c r="HK103" s="275"/>
      <c r="HL103" s="275"/>
      <c r="HM103" s="275"/>
      <c r="HN103" s="275"/>
      <c r="HO103" s="275"/>
      <c r="HP103" s="275"/>
      <c r="HQ103" s="275"/>
      <c r="HR103" s="275"/>
    </row>
    <row r="104" spans="1:226" s="297" customFormat="1">
      <c r="A104" s="275"/>
      <c r="B104" s="21"/>
      <c r="C104" s="21"/>
      <c r="D104" s="21"/>
      <c r="E104" s="21"/>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J104" s="275"/>
      <c r="AK104" s="275"/>
      <c r="AL104" s="275"/>
      <c r="AM104" s="275"/>
      <c r="AN104" s="275"/>
      <c r="AO104" s="275"/>
      <c r="AQ104" s="275"/>
      <c r="AR104" s="275"/>
      <c r="AS104" s="275"/>
      <c r="AT104" s="275"/>
      <c r="AU104" s="275"/>
      <c r="AV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c r="EV104"/>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275"/>
      <c r="HK104" s="275"/>
      <c r="HL104" s="275"/>
      <c r="HM104" s="275"/>
      <c r="HN104" s="275"/>
      <c r="HO104" s="275"/>
      <c r="HP104" s="275"/>
      <c r="HQ104" s="275"/>
      <c r="HR104" s="275"/>
    </row>
    <row r="105" spans="1:226" s="297" customFormat="1">
      <c r="A105" s="275"/>
      <c r="B105" s="21"/>
      <c r="C105" s="21"/>
      <c r="D105" s="21"/>
      <c r="E105" s="21"/>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J105" s="275"/>
      <c r="AK105" s="275"/>
      <c r="AL105" s="275"/>
      <c r="AM105" s="275"/>
      <c r="AN105" s="275"/>
      <c r="AO105" s="275"/>
      <c r="AQ105" s="275"/>
      <c r="AR105" s="275"/>
      <c r="AS105" s="275"/>
      <c r="AT105" s="275"/>
      <c r="AU105" s="275"/>
      <c r="AV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c r="EV10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275"/>
      <c r="HK105" s="275"/>
      <c r="HL105" s="275"/>
      <c r="HM105" s="275"/>
      <c r="HN105" s="275"/>
      <c r="HO105" s="275"/>
      <c r="HP105" s="275"/>
      <c r="HQ105" s="275"/>
      <c r="HR105" s="275"/>
    </row>
    <row r="106" spans="1:226" s="297" customFormat="1">
      <c r="A106" s="275"/>
      <c r="B106" s="21"/>
      <c r="C106" s="21"/>
      <c r="D106" s="21"/>
      <c r="E106" s="21"/>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J106" s="275"/>
      <c r="AK106" s="275"/>
      <c r="AL106" s="275"/>
      <c r="AM106" s="275"/>
      <c r="AN106" s="275"/>
      <c r="AO106" s="275"/>
      <c r="AQ106" s="275"/>
      <c r="AR106" s="275"/>
      <c r="AS106" s="275"/>
      <c r="AT106" s="275"/>
      <c r="AU106" s="275"/>
      <c r="AV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c r="EV106"/>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275"/>
      <c r="HK106" s="275"/>
      <c r="HL106" s="275"/>
      <c r="HM106" s="275"/>
      <c r="HN106" s="275"/>
      <c r="HO106" s="275"/>
      <c r="HP106" s="275"/>
      <c r="HQ106" s="275"/>
      <c r="HR106" s="275"/>
    </row>
    <row r="107" spans="1:226" s="297" customFormat="1">
      <c r="A107" s="275"/>
      <c r="B107" s="21"/>
      <c r="C107" s="21"/>
      <c r="D107" s="21"/>
      <c r="E107" s="21"/>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J107" s="275"/>
      <c r="AK107" s="275"/>
      <c r="AL107" s="275"/>
      <c r="AM107" s="275"/>
      <c r="AN107" s="275"/>
      <c r="AO107" s="275"/>
      <c r="AQ107" s="275"/>
      <c r="AR107" s="275"/>
      <c r="AS107" s="275"/>
      <c r="AT107" s="275"/>
      <c r="AU107" s="275"/>
      <c r="AV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c r="EV107"/>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275"/>
      <c r="HK107" s="275"/>
      <c r="HL107" s="275"/>
      <c r="HM107" s="275"/>
      <c r="HN107" s="275"/>
      <c r="HO107" s="275"/>
      <c r="HP107" s="275"/>
      <c r="HQ107" s="275"/>
      <c r="HR107" s="275"/>
    </row>
    <row r="108" spans="1:226" s="297" customFormat="1">
      <c r="A108" s="275"/>
      <c r="B108" s="21"/>
      <c r="C108" s="21"/>
      <c r="D108" s="21"/>
      <c r="E108" s="21"/>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J108" s="275"/>
      <c r="AK108" s="275"/>
      <c r="AL108" s="275"/>
      <c r="AM108" s="275"/>
      <c r="AN108" s="275"/>
      <c r="AO108" s="275"/>
      <c r="AQ108" s="275"/>
      <c r="AR108" s="275"/>
      <c r="AS108" s="275"/>
      <c r="AT108" s="275"/>
      <c r="AU108" s="275"/>
      <c r="AV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D108" s="275"/>
      <c r="EE108" s="275"/>
      <c r="EF108" s="275"/>
      <c r="EG108" s="275"/>
      <c r="EH108" s="275"/>
      <c r="EI108" s="275"/>
      <c r="EJ108" s="275"/>
      <c r="EK108" s="275"/>
      <c r="EL108" s="275"/>
      <c r="EM108" s="275"/>
      <c r="EN108" s="275"/>
      <c r="EO108" s="275"/>
      <c r="EP108" s="275"/>
      <c r="EQ108" s="275"/>
      <c r="ER108" s="275"/>
      <c r="ES108" s="275"/>
      <c r="ET108" s="275"/>
      <c r="EU108"/>
      <c r="EV108"/>
      <c r="EW108" s="275"/>
      <c r="EX108" s="275"/>
      <c r="EY108" s="275"/>
      <c r="EZ108" s="275"/>
      <c r="FA108" s="275"/>
      <c r="FB108" s="275"/>
      <c r="FC108" s="275"/>
      <c r="FD108" s="275"/>
      <c r="FE108" s="275"/>
      <c r="FF108" s="275"/>
      <c r="FG108" s="275"/>
      <c r="FH108" s="275"/>
      <c r="FI108" s="275"/>
      <c r="FJ108" s="275"/>
      <c r="FK108" s="275"/>
      <c r="FL108" s="275"/>
      <c r="FM108" s="275"/>
      <c r="FN108" s="275"/>
      <c r="FO108" s="275"/>
      <c r="FP108" s="275"/>
      <c r="FQ108" s="275"/>
      <c r="FR108" s="275"/>
      <c r="FS108" s="275"/>
      <c r="FT108" s="275"/>
      <c r="FU108" s="275"/>
      <c r="FV108" s="275"/>
      <c r="FW108" s="275"/>
      <c r="FX108" s="275"/>
      <c r="FY108" s="275"/>
      <c r="FZ108" s="275"/>
      <c r="GA108" s="275"/>
      <c r="GB108" s="275"/>
      <c r="GC108" s="275"/>
      <c r="GD108" s="275"/>
      <c r="GE108" s="275"/>
      <c r="GF108" s="275"/>
      <c r="GG108" s="275"/>
      <c r="GH108" s="275"/>
      <c r="GI108" s="275"/>
      <c r="GJ108" s="275"/>
      <c r="GK108" s="275"/>
      <c r="GL108" s="275"/>
      <c r="GM108" s="275"/>
      <c r="GN108" s="275"/>
      <c r="GO108" s="275"/>
      <c r="GP108" s="275"/>
      <c r="GQ108" s="275"/>
      <c r="GR108" s="275"/>
      <c r="GS108" s="275"/>
      <c r="GT108" s="275"/>
      <c r="GU108" s="275"/>
      <c r="GV108" s="275"/>
      <c r="GW108" s="275"/>
      <c r="GX108" s="275"/>
      <c r="GY108" s="275"/>
      <c r="GZ108" s="275"/>
      <c r="HA108" s="275"/>
      <c r="HB108" s="275"/>
      <c r="HC108" s="275"/>
      <c r="HD108" s="275"/>
      <c r="HE108" s="275"/>
      <c r="HF108" s="275"/>
      <c r="HG108" s="275"/>
      <c r="HH108" s="275"/>
      <c r="HI108" s="275"/>
      <c r="HJ108" s="275"/>
      <c r="HK108" s="275"/>
      <c r="HL108" s="275"/>
      <c r="HM108" s="275"/>
      <c r="HN108" s="275"/>
      <c r="HO108" s="275"/>
      <c r="HP108" s="275"/>
      <c r="HQ108" s="275"/>
      <c r="HR108" s="275"/>
    </row>
    <row r="109" spans="1:226" s="297" customFormat="1">
      <c r="A109" s="275"/>
      <c r="B109" s="21"/>
      <c r="C109" s="21"/>
      <c r="D109" s="21"/>
      <c r="E109" s="21"/>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J109" s="275"/>
      <c r="AK109" s="275"/>
      <c r="AL109" s="275"/>
      <c r="AM109" s="275"/>
      <c r="AN109" s="275"/>
      <c r="AO109" s="275"/>
      <c r="AQ109" s="275"/>
      <c r="AR109" s="275"/>
      <c r="AS109" s="275"/>
      <c r="AT109" s="275"/>
      <c r="AU109" s="275"/>
      <c r="AV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c r="EV109"/>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275"/>
      <c r="HK109" s="275"/>
      <c r="HL109" s="275"/>
      <c r="HM109" s="275"/>
      <c r="HN109" s="275"/>
      <c r="HO109" s="275"/>
      <c r="HP109" s="275"/>
      <c r="HQ109" s="275"/>
      <c r="HR109" s="275"/>
    </row>
    <row r="110" spans="1:226" s="297" customFormat="1">
      <c r="A110" s="275"/>
      <c r="B110" s="21"/>
      <c r="C110" s="21"/>
      <c r="D110" s="21"/>
      <c r="E110" s="21"/>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J110" s="275"/>
      <c r="AK110" s="275"/>
      <c r="AL110" s="275"/>
      <c r="AM110" s="275"/>
      <c r="AN110" s="275"/>
      <c r="AO110" s="275"/>
      <c r="AQ110" s="275"/>
      <c r="AR110" s="275"/>
      <c r="AS110" s="275"/>
      <c r="AT110" s="275"/>
      <c r="AU110" s="275"/>
      <c r="AV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c r="EV110"/>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275"/>
      <c r="HK110" s="275"/>
      <c r="HL110" s="275"/>
      <c r="HM110" s="275"/>
      <c r="HN110" s="275"/>
      <c r="HO110" s="275"/>
      <c r="HP110" s="275"/>
      <c r="HQ110" s="275"/>
      <c r="HR110" s="275"/>
    </row>
    <row r="111" spans="1:226" s="297" customFormat="1">
      <c r="A111" s="275"/>
      <c r="B111" s="21"/>
      <c r="C111" s="21"/>
      <c r="D111" s="21"/>
      <c r="E111" s="21"/>
      <c r="F111" s="275"/>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J111" s="275"/>
      <c r="AK111" s="275"/>
      <c r="AL111" s="275"/>
      <c r="AM111" s="275"/>
      <c r="AN111" s="275"/>
      <c r="AO111" s="275"/>
      <c r="AQ111" s="275"/>
      <c r="AR111" s="275"/>
      <c r="AS111" s="275"/>
      <c r="AT111" s="275"/>
      <c r="AU111" s="275"/>
      <c r="AV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c r="EV111"/>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275"/>
      <c r="HK111" s="275"/>
      <c r="HL111" s="275"/>
      <c r="HM111" s="275"/>
      <c r="HN111" s="275"/>
      <c r="HO111" s="275"/>
      <c r="HP111" s="275"/>
      <c r="HQ111" s="275"/>
      <c r="HR111" s="275"/>
    </row>
    <row r="112" spans="1:226" s="297" customFormat="1">
      <c r="A112" s="275"/>
      <c r="B112" s="21"/>
      <c r="C112" s="21"/>
      <c r="D112" s="21"/>
      <c r="E112" s="21"/>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J112" s="275"/>
      <c r="AK112" s="275"/>
      <c r="AL112" s="275"/>
      <c r="AM112" s="275"/>
      <c r="AN112" s="275"/>
      <c r="AO112" s="275"/>
      <c r="AQ112" s="275"/>
      <c r="AR112" s="275"/>
      <c r="AS112" s="275"/>
      <c r="AT112" s="275"/>
      <c r="AU112" s="275"/>
      <c r="AV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c r="EV112"/>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275"/>
      <c r="HK112" s="275"/>
      <c r="HL112" s="275"/>
      <c r="HM112" s="275"/>
      <c r="HN112" s="275"/>
      <c r="HO112" s="275"/>
      <c r="HP112" s="275"/>
      <c r="HQ112" s="275"/>
      <c r="HR112" s="275"/>
    </row>
    <row r="113" spans="1:226" s="297" customFormat="1">
      <c r="A113" s="275"/>
      <c r="B113" s="21"/>
      <c r="C113" s="21"/>
      <c r="D113" s="21"/>
      <c r="E113" s="21"/>
      <c r="F113" s="275"/>
      <c r="G113" s="275"/>
      <c r="H113" s="275"/>
      <c r="I113" s="275"/>
      <c r="J113" s="275"/>
      <c r="K113" s="275"/>
      <c r="L113" s="275"/>
      <c r="M113" s="275"/>
      <c r="N113" s="275"/>
      <c r="O113" s="275"/>
      <c r="P113" s="275"/>
      <c r="Q113" s="275"/>
      <c r="R113" s="275"/>
      <c r="S113" s="275"/>
      <c r="T113" s="275"/>
      <c r="U113" s="275"/>
      <c r="V113" s="275"/>
      <c r="W113" s="275"/>
      <c r="X113" s="275"/>
      <c r="Y113" s="275"/>
      <c r="Z113" s="275"/>
      <c r="AA113" s="275"/>
      <c r="AB113" s="275"/>
      <c r="AC113" s="275"/>
      <c r="AD113" s="275"/>
      <c r="AE113" s="275"/>
      <c r="AF113" s="275"/>
      <c r="AG113" s="275"/>
      <c r="AH113" s="275"/>
      <c r="AJ113" s="275"/>
      <c r="AK113" s="275"/>
      <c r="AL113" s="275"/>
      <c r="AM113" s="275"/>
      <c r="AN113" s="275"/>
      <c r="AO113" s="275"/>
      <c r="AQ113" s="275"/>
      <c r="AR113" s="275"/>
      <c r="AS113" s="275"/>
      <c r="AT113" s="275"/>
      <c r="AU113" s="275"/>
      <c r="AV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c r="EV113"/>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275"/>
      <c r="HK113" s="275"/>
      <c r="HL113" s="275"/>
      <c r="HM113" s="275"/>
      <c r="HN113" s="275"/>
      <c r="HO113" s="275"/>
      <c r="HP113" s="275"/>
      <c r="HQ113" s="275"/>
      <c r="HR113" s="275"/>
    </row>
    <row r="114" spans="1:226" s="297" customFormat="1">
      <c r="A114" s="275"/>
      <c r="B114" s="21"/>
      <c r="C114" s="21"/>
      <c r="D114" s="21"/>
      <c r="E114" s="21"/>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J114" s="275"/>
      <c r="AK114" s="275"/>
      <c r="AL114" s="275"/>
      <c r="AM114" s="275"/>
      <c r="AN114" s="275"/>
      <c r="AO114" s="275"/>
      <c r="AQ114" s="275"/>
      <c r="AR114" s="275"/>
      <c r="AS114" s="275"/>
      <c r="AT114" s="275"/>
      <c r="AU114" s="275"/>
      <c r="AV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c r="EV114"/>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275"/>
      <c r="HK114" s="275"/>
      <c r="HL114" s="275"/>
      <c r="HM114" s="275"/>
      <c r="HN114" s="275"/>
      <c r="HO114" s="275"/>
      <c r="HP114" s="275"/>
      <c r="HQ114" s="275"/>
      <c r="HR114" s="275"/>
    </row>
    <row r="115" spans="1:226" s="297" customFormat="1">
      <c r="A115" s="275"/>
      <c r="B115" s="21"/>
      <c r="C115" s="21"/>
      <c r="D115" s="21"/>
      <c r="E115" s="21"/>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275"/>
      <c r="AB115" s="275"/>
      <c r="AC115" s="275"/>
      <c r="AD115" s="275"/>
      <c r="AE115" s="275"/>
      <c r="AF115" s="275"/>
      <c r="AG115" s="275"/>
      <c r="AH115" s="275"/>
      <c r="AJ115" s="275"/>
      <c r="AK115" s="275"/>
      <c r="AL115" s="275"/>
      <c r="AM115" s="275"/>
      <c r="AN115" s="275"/>
      <c r="AO115" s="275"/>
      <c r="AQ115" s="275"/>
      <c r="AR115" s="275"/>
      <c r="AS115" s="275"/>
      <c r="AT115" s="275"/>
      <c r="AU115" s="275"/>
      <c r="AV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D115" s="275"/>
      <c r="EE115" s="275"/>
      <c r="EF115" s="275"/>
      <c r="EG115" s="275"/>
      <c r="EH115" s="275"/>
      <c r="EI115" s="275"/>
      <c r="EJ115" s="275"/>
      <c r="EK115" s="275"/>
      <c r="EL115" s="275"/>
      <c r="EM115" s="275"/>
      <c r="EN115" s="275"/>
      <c r="EO115" s="275"/>
      <c r="EP115" s="275"/>
      <c r="EQ115" s="275"/>
      <c r="ER115" s="275"/>
      <c r="ES115" s="275"/>
      <c r="ET115" s="275"/>
      <c r="EU115"/>
      <c r="EV115"/>
      <c r="EW115" s="275"/>
      <c r="EX115" s="275"/>
      <c r="EY115" s="275"/>
      <c r="EZ115" s="275"/>
      <c r="FA115" s="275"/>
      <c r="FB115" s="275"/>
      <c r="FC115" s="275"/>
      <c r="FD115" s="275"/>
      <c r="FE115" s="275"/>
      <c r="FF115" s="275"/>
      <c r="FG115" s="275"/>
      <c r="FH115" s="275"/>
      <c r="FI115" s="275"/>
      <c r="FJ115" s="275"/>
      <c r="FK115" s="275"/>
      <c r="FL115" s="275"/>
      <c r="FM115" s="275"/>
      <c r="FN115" s="275"/>
      <c r="FO115" s="275"/>
      <c r="FP115" s="275"/>
      <c r="FQ115" s="275"/>
      <c r="FR115" s="275"/>
      <c r="FS115" s="275"/>
      <c r="FT115" s="275"/>
      <c r="FU115" s="275"/>
      <c r="FV115" s="275"/>
      <c r="FW115" s="275"/>
      <c r="FX115" s="275"/>
      <c r="FY115" s="275"/>
      <c r="FZ115" s="275"/>
      <c r="GA115" s="275"/>
      <c r="GB115" s="275"/>
      <c r="GC115" s="275"/>
      <c r="GD115" s="275"/>
      <c r="GE115" s="275"/>
      <c r="GF115" s="275"/>
      <c r="GG115" s="275"/>
      <c r="GH115" s="275"/>
      <c r="GI115" s="275"/>
      <c r="GJ115" s="275"/>
      <c r="GK115" s="275"/>
      <c r="GL115" s="275"/>
      <c r="GM115" s="275"/>
      <c r="GN115" s="275"/>
      <c r="GO115" s="275"/>
      <c r="GP115" s="275"/>
      <c r="GQ115" s="275"/>
      <c r="GR115" s="275"/>
      <c r="GS115" s="275"/>
      <c r="GT115" s="275"/>
      <c r="GU115" s="275"/>
      <c r="GV115" s="275"/>
      <c r="GW115" s="275"/>
      <c r="GX115" s="275"/>
      <c r="GY115" s="275"/>
      <c r="GZ115" s="275"/>
      <c r="HA115" s="275"/>
      <c r="HB115" s="275"/>
      <c r="HC115" s="275"/>
      <c r="HD115" s="275"/>
      <c r="HE115" s="275"/>
      <c r="HF115" s="275"/>
      <c r="HG115" s="275"/>
      <c r="HH115" s="275"/>
      <c r="HI115" s="275"/>
      <c r="HJ115" s="275"/>
      <c r="HK115" s="275"/>
      <c r="HL115" s="275"/>
      <c r="HM115" s="275"/>
      <c r="HN115" s="275"/>
      <c r="HO115" s="275"/>
      <c r="HP115" s="275"/>
      <c r="HQ115" s="275"/>
      <c r="HR115" s="275"/>
    </row>
    <row r="116" spans="1:226" s="297" customFormat="1">
      <c r="A116" s="275"/>
      <c r="B116" s="21"/>
      <c r="C116" s="21"/>
      <c r="D116" s="21"/>
      <c r="E116" s="21"/>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J116" s="275"/>
      <c r="AK116" s="275"/>
      <c r="AL116" s="275"/>
      <c r="AM116" s="275"/>
      <c r="AN116" s="275"/>
      <c r="AO116" s="275"/>
      <c r="AQ116" s="275"/>
      <c r="AR116" s="275"/>
      <c r="AS116" s="275"/>
      <c r="AT116" s="275"/>
      <c r="AU116" s="275"/>
      <c r="AV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D116" s="275"/>
      <c r="EE116" s="275"/>
      <c r="EF116" s="275"/>
      <c r="EG116" s="275"/>
      <c r="EH116" s="275"/>
      <c r="EI116" s="275"/>
      <c r="EJ116" s="275"/>
      <c r="EK116" s="275"/>
      <c r="EL116" s="275"/>
      <c r="EM116" s="275"/>
      <c r="EN116" s="275"/>
      <c r="EO116" s="275"/>
      <c r="EP116" s="275"/>
      <c r="EQ116" s="275"/>
      <c r="ER116" s="275"/>
      <c r="ES116" s="275"/>
      <c r="ET116" s="275"/>
      <c r="EU116"/>
      <c r="EV116"/>
      <c r="EW116" s="275"/>
      <c r="EX116" s="275"/>
      <c r="EY116" s="275"/>
      <c r="EZ116" s="275"/>
      <c r="FA116" s="275"/>
      <c r="FB116" s="275"/>
      <c r="FC116" s="275"/>
      <c r="FD116" s="275"/>
      <c r="FE116" s="275"/>
      <c r="FF116" s="275"/>
      <c r="FG116" s="275"/>
      <c r="FH116" s="275"/>
      <c r="FI116" s="275"/>
      <c r="FJ116" s="275"/>
      <c r="FK116" s="275"/>
      <c r="FL116" s="275"/>
      <c r="FM116" s="275"/>
      <c r="FN116" s="275"/>
      <c r="FO116" s="275"/>
      <c r="FP116" s="275"/>
      <c r="FQ116" s="275"/>
      <c r="FR116" s="275"/>
      <c r="FS116" s="275"/>
      <c r="FT116" s="275"/>
      <c r="FU116" s="275"/>
      <c r="FV116" s="275"/>
      <c r="FW116" s="275"/>
      <c r="FX116" s="275"/>
      <c r="FY116" s="275"/>
      <c r="FZ116" s="275"/>
      <c r="GA116" s="275"/>
      <c r="GB116" s="275"/>
      <c r="GC116" s="275"/>
      <c r="GD116" s="275"/>
      <c r="GE116" s="275"/>
      <c r="GF116" s="275"/>
      <c r="GG116" s="275"/>
      <c r="GH116" s="275"/>
      <c r="GI116" s="275"/>
      <c r="GJ116" s="275"/>
      <c r="GK116" s="275"/>
      <c r="GL116" s="275"/>
      <c r="GM116" s="275"/>
      <c r="GN116" s="275"/>
      <c r="GO116" s="275"/>
      <c r="GP116" s="275"/>
      <c r="GQ116" s="275"/>
      <c r="GR116" s="275"/>
      <c r="GS116" s="275"/>
      <c r="GT116" s="275"/>
      <c r="GU116" s="275"/>
      <c r="GV116" s="275"/>
      <c r="GW116" s="275"/>
      <c r="GX116" s="275"/>
      <c r="GY116" s="275"/>
      <c r="GZ116" s="275"/>
      <c r="HA116" s="275"/>
      <c r="HB116" s="275"/>
      <c r="HC116" s="275"/>
      <c r="HD116" s="275"/>
      <c r="HE116" s="275"/>
      <c r="HF116" s="275"/>
      <c r="HG116" s="275"/>
      <c r="HH116" s="275"/>
      <c r="HI116" s="275"/>
      <c r="HJ116" s="275"/>
      <c r="HK116" s="275"/>
      <c r="HL116" s="275"/>
      <c r="HM116" s="275"/>
      <c r="HN116" s="275"/>
      <c r="HO116" s="275"/>
      <c r="HP116" s="275"/>
      <c r="HQ116" s="275"/>
      <c r="HR116" s="275"/>
    </row>
    <row r="117" spans="1:226" s="297" customFormat="1">
      <c r="A117" s="275"/>
      <c r="B117" s="21"/>
      <c r="C117" s="21"/>
      <c r="D117" s="21"/>
      <c r="E117" s="21"/>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275"/>
      <c r="AJ117" s="275"/>
      <c r="AK117" s="275"/>
      <c r="AL117" s="275"/>
      <c r="AM117" s="275"/>
      <c r="AN117" s="275"/>
      <c r="AO117" s="275"/>
      <c r="AQ117" s="275"/>
      <c r="AR117" s="275"/>
      <c r="AS117" s="275"/>
      <c r="AT117" s="275"/>
      <c r="AU117" s="275"/>
      <c r="AV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c r="EV117"/>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275"/>
      <c r="HK117" s="275"/>
      <c r="HL117" s="275"/>
      <c r="HM117" s="275"/>
      <c r="HN117" s="275"/>
      <c r="HO117" s="275"/>
      <c r="HP117" s="275"/>
      <c r="HQ117" s="275"/>
      <c r="HR117" s="275"/>
    </row>
    <row r="118" spans="1:226" s="297" customFormat="1">
      <c r="A118" s="275"/>
      <c r="B118" s="21"/>
      <c r="C118" s="21"/>
      <c r="D118" s="21"/>
      <c r="E118" s="21"/>
      <c r="F118" s="275"/>
      <c r="G118" s="275"/>
      <c r="H118" s="275"/>
      <c r="I118" s="275"/>
      <c r="J118" s="275"/>
      <c r="K118" s="275"/>
      <c r="L118" s="275"/>
      <c r="M118" s="275"/>
      <c r="N118" s="275"/>
      <c r="O118" s="275"/>
      <c r="P118" s="275"/>
      <c r="Q118" s="275"/>
      <c r="R118" s="275"/>
      <c r="S118" s="275"/>
      <c r="T118" s="275"/>
      <c r="U118" s="275"/>
      <c r="V118" s="275"/>
      <c r="W118" s="275"/>
      <c r="X118" s="275"/>
      <c r="Y118" s="275"/>
      <c r="Z118" s="275"/>
      <c r="AA118" s="275"/>
      <c r="AB118" s="275"/>
      <c r="AC118" s="275"/>
      <c r="AD118" s="275"/>
      <c r="AE118" s="275"/>
      <c r="AF118" s="275"/>
      <c r="AG118" s="275"/>
      <c r="AH118" s="275"/>
      <c r="AJ118" s="275"/>
      <c r="AK118" s="275"/>
      <c r="AL118" s="275"/>
      <c r="AM118" s="275"/>
      <c r="AN118" s="275"/>
      <c r="AO118" s="275"/>
      <c r="AQ118" s="275"/>
      <c r="AR118" s="275"/>
      <c r="AS118" s="275"/>
      <c r="AT118" s="275"/>
      <c r="AU118" s="275"/>
      <c r="AV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D118" s="275"/>
      <c r="EE118" s="275"/>
      <c r="EF118" s="275"/>
      <c r="EG118" s="275"/>
      <c r="EH118" s="275"/>
      <c r="EI118" s="275"/>
      <c r="EJ118" s="275"/>
      <c r="EK118" s="275"/>
      <c r="EL118" s="275"/>
      <c r="EM118" s="275"/>
      <c r="EN118" s="275"/>
      <c r="EO118" s="275"/>
      <c r="EP118" s="275"/>
      <c r="EQ118" s="275"/>
      <c r="ER118" s="275"/>
      <c r="ES118" s="275"/>
      <c r="ET118" s="275"/>
      <c r="EU118"/>
      <c r="EV118"/>
      <c r="EW118" s="275"/>
      <c r="EX118" s="275"/>
      <c r="EY118" s="275"/>
      <c r="EZ118" s="275"/>
      <c r="FA118" s="275"/>
      <c r="FB118" s="275"/>
      <c r="FC118" s="275"/>
      <c r="FD118" s="275"/>
      <c r="FE118" s="275"/>
      <c r="FF118" s="275"/>
      <c r="FG118" s="275"/>
      <c r="FH118" s="275"/>
      <c r="FI118" s="275"/>
      <c r="FJ118" s="275"/>
      <c r="FK118" s="275"/>
      <c r="FL118" s="275"/>
      <c r="FM118" s="275"/>
      <c r="FN118" s="275"/>
      <c r="FO118" s="275"/>
      <c r="FP118" s="275"/>
      <c r="FQ118" s="275"/>
      <c r="FR118" s="275"/>
      <c r="FS118" s="275"/>
      <c r="FT118" s="275"/>
      <c r="FU118" s="275"/>
      <c r="FV118" s="275"/>
      <c r="FW118" s="275"/>
      <c r="FX118" s="275"/>
      <c r="FY118" s="275"/>
      <c r="FZ118" s="275"/>
      <c r="GA118" s="275"/>
      <c r="GB118" s="275"/>
      <c r="GC118" s="275"/>
      <c r="GD118" s="275"/>
      <c r="GE118" s="275"/>
      <c r="GF118" s="275"/>
      <c r="GG118" s="275"/>
      <c r="GH118" s="275"/>
      <c r="GI118" s="275"/>
      <c r="GJ118" s="275"/>
      <c r="GK118" s="275"/>
      <c r="GL118" s="275"/>
      <c r="GM118" s="275"/>
      <c r="GN118" s="275"/>
      <c r="GO118" s="275"/>
      <c r="GP118" s="275"/>
      <c r="GQ118" s="275"/>
      <c r="GR118" s="275"/>
      <c r="GS118" s="275"/>
      <c r="GT118" s="275"/>
      <c r="GU118" s="275"/>
      <c r="GV118" s="275"/>
      <c r="GW118" s="275"/>
      <c r="GX118" s="275"/>
      <c r="GY118" s="275"/>
      <c r="GZ118" s="275"/>
      <c r="HA118" s="275"/>
      <c r="HB118" s="275"/>
      <c r="HC118" s="275"/>
      <c r="HD118" s="275"/>
      <c r="HE118" s="275"/>
      <c r="HF118" s="275"/>
      <c r="HG118" s="275"/>
      <c r="HH118" s="275"/>
      <c r="HI118" s="275"/>
      <c r="HJ118" s="275"/>
      <c r="HK118" s="275"/>
      <c r="HL118" s="275"/>
      <c r="HM118" s="275"/>
      <c r="HN118" s="275"/>
      <c r="HO118" s="275"/>
      <c r="HP118" s="275"/>
      <c r="HQ118" s="275"/>
      <c r="HR118" s="275"/>
    </row>
    <row r="119" spans="1:226" s="297" customFormat="1">
      <c r="A119" s="275"/>
      <c r="B119" s="21"/>
      <c r="C119" s="21"/>
      <c r="D119" s="21"/>
      <c r="E119" s="21"/>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J119" s="275"/>
      <c r="AK119" s="275"/>
      <c r="AL119" s="275"/>
      <c r="AM119" s="275"/>
      <c r="AN119" s="275"/>
      <c r="AO119" s="275"/>
      <c r="AQ119" s="275"/>
      <c r="AR119" s="275"/>
      <c r="AS119" s="275"/>
      <c r="AT119" s="275"/>
      <c r="AU119" s="275"/>
      <c r="AV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c r="EV119"/>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275"/>
      <c r="HK119" s="275"/>
      <c r="HL119" s="275"/>
      <c r="HM119" s="275"/>
      <c r="HN119" s="275"/>
      <c r="HO119" s="275"/>
      <c r="HP119" s="275"/>
      <c r="HQ119" s="275"/>
      <c r="HR119" s="275"/>
    </row>
    <row r="120" spans="1:226" s="297" customFormat="1">
      <c r="A120" s="275"/>
      <c r="B120" s="21"/>
      <c r="C120" s="21"/>
      <c r="D120" s="21"/>
      <c r="E120" s="21"/>
      <c r="F120" s="275"/>
      <c r="G120" s="275"/>
      <c r="H120" s="275"/>
      <c r="I120" s="275"/>
      <c r="J120" s="275"/>
      <c r="K120" s="275"/>
      <c r="L120" s="275"/>
      <c r="M120" s="275"/>
      <c r="N120" s="275"/>
      <c r="O120" s="275"/>
      <c r="P120" s="275"/>
      <c r="Q120" s="275"/>
      <c r="R120" s="275"/>
      <c r="S120" s="275"/>
      <c r="T120" s="275"/>
      <c r="U120" s="275"/>
      <c r="V120" s="275"/>
      <c r="W120" s="275"/>
      <c r="X120" s="275"/>
      <c r="Y120" s="275"/>
      <c r="Z120" s="275"/>
      <c r="AA120" s="275"/>
      <c r="AB120" s="275"/>
      <c r="AC120" s="275"/>
      <c r="AD120" s="275"/>
      <c r="AE120" s="275"/>
      <c r="AF120" s="275"/>
      <c r="AG120" s="275"/>
      <c r="AH120" s="275"/>
      <c r="AJ120" s="275"/>
      <c r="AK120" s="275"/>
      <c r="AL120" s="275"/>
      <c r="AM120" s="275"/>
      <c r="AN120" s="275"/>
      <c r="AO120" s="275"/>
      <c r="AQ120" s="275"/>
      <c r="AR120" s="275"/>
      <c r="AS120" s="275"/>
      <c r="AT120" s="275"/>
      <c r="AU120" s="275"/>
      <c r="AV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D120" s="275"/>
      <c r="EE120" s="275"/>
      <c r="EF120" s="275"/>
      <c r="EG120" s="275"/>
      <c r="EH120" s="275"/>
      <c r="EI120" s="275"/>
      <c r="EJ120" s="275"/>
      <c r="EK120" s="275"/>
      <c r="EL120" s="275"/>
      <c r="EM120" s="275"/>
      <c r="EN120" s="275"/>
      <c r="EO120" s="275"/>
      <c r="EP120" s="275"/>
      <c r="EQ120" s="275"/>
      <c r="ER120" s="275"/>
      <c r="ES120" s="275"/>
      <c r="ET120" s="275"/>
      <c r="EU120"/>
      <c r="EV120"/>
      <c r="EW120" s="275"/>
      <c r="EX120" s="275"/>
      <c r="EY120" s="275"/>
      <c r="EZ120" s="275"/>
      <c r="FA120" s="275"/>
      <c r="FB120" s="275"/>
      <c r="FC120" s="275"/>
      <c r="FD120" s="275"/>
      <c r="FE120" s="275"/>
      <c r="FF120" s="275"/>
      <c r="FG120" s="275"/>
      <c r="FH120" s="275"/>
      <c r="FI120" s="275"/>
      <c r="FJ120" s="275"/>
      <c r="FK120" s="275"/>
      <c r="FL120" s="275"/>
      <c r="FM120" s="275"/>
      <c r="FN120" s="275"/>
      <c r="FO120" s="275"/>
      <c r="FP120" s="275"/>
      <c r="FQ120" s="275"/>
      <c r="FR120" s="275"/>
      <c r="FS120" s="275"/>
      <c r="FT120" s="275"/>
      <c r="FU120" s="275"/>
      <c r="FV120" s="275"/>
      <c r="FW120" s="275"/>
      <c r="FX120" s="275"/>
      <c r="FY120" s="275"/>
      <c r="FZ120" s="275"/>
      <c r="GA120" s="275"/>
      <c r="GB120" s="275"/>
      <c r="GC120" s="275"/>
      <c r="GD120" s="275"/>
      <c r="GE120" s="275"/>
      <c r="GF120" s="275"/>
      <c r="GG120" s="275"/>
      <c r="GH120" s="275"/>
      <c r="GI120" s="275"/>
      <c r="GJ120" s="275"/>
      <c r="GK120" s="275"/>
      <c r="GL120" s="275"/>
      <c r="GM120" s="275"/>
      <c r="GN120" s="275"/>
      <c r="GO120" s="275"/>
      <c r="GP120" s="275"/>
      <c r="GQ120" s="275"/>
      <c r="GR120" s="275"/>
      <c r="GS120" s="275"/>
      <c r="GT120" s="275"/>
      <c r="GU120" s="275"/>
      <c r="GV120" s="275"/>
      <c r="GW120" s="275"/>
      <c r="GX120" s="275"/>
      <c r="GY120" s="275"/>
      <c r="GZ120" s="275"/>
      <c r="HA120" s="275"/>
      <c r="HB120" s="275"/>
      <c r="HC120" s="275"/>
      <c r="HD120" s="275"/>
      <c r="HE120" s="275"/>
      <c r="HF120" s="275"/>
      <c r="HG120" s="275"/>
      <c r="HH120" s="275"/>
      <c r="HI120" s="275"/>
      <c r="HJ120" s="275"/>
      <c r="HK120" s="275"/>
      <c r="HL120" s="275"/>
      <c r="HM120" s="275"/>
      <c r="HN120" s="275"/>
      <c r="HO120" s="275"/>
      <c r="HP120" s="275"/>
      <c r="HQ120" s="275"/>
      <c r="HR120" s="275"/>
    </row>
    <row r="121" spans="1:226" s="297" customFormat="1">
      <c r="A121" s="275"/>
      <c r="B121" s="21"/>
      <c r="C121" s="21"/>
      <c r="D121" s="21"/>
      <c r="E121" s="21"/>
      <c r="F121" s="275"/>
      <c r="G121" s="275"/>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5"/>
      <c r="AJ121" s="275"/>
      <c r="AK121" s="275"/>
      <c r="AL121" s="275"/>
      <c r="AM121" s="275"/>
      <c r="AN121" s="275"/>
      <c r="AO121" s="275"/>
      <c r="AQ121" s="275"/>
      <c r="AR121" s="275"/>
      <c r="AS121" s="275"/>
      <c r="AT121" s="275"/>
      <c r="AU121" s="275"/>
      <c r="AV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c r="EV121"/>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275"/>
      <c r="HK121" s="275"/>
      <c r="HL121" s="275"/>
      <c r="HM121" s="275"/>
      <c r="HN121" s="275"/>
      <c r="HO121" s="275"/>
      <c r="HP121" s="275"/>
      <c r="HQ121" s="275"/>
      <c r="HR121" s="275"/>
    </row>
    <row r="122" spans="1:226" s="297" customFormat="1">
      <c r="A122" s="275"/>
      <c r="B122" s="21"/>
      <c r="C122" s="21"/>
      <c r="D122" s="21"/>
      <c r="E122" s="21"/>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J122" s="275"/>
      <c r="AK122" s="275"/>
      <c r="AL122" s="275"/>
      <c r="AM122" s="275"/>
      <c r="AN122" s="275"/>
      <c r="AO122" s="275"/>
      <c r="AQ122" s="275"/>
      <c r="AR122" s="275"/>
      <c r="AS122" s="275"/>
      <c r="AT122" s="275"/>
      <c r="AU122" s="275"/>
      <c r="AV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c r="EV122"/>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275"/>
      <c r="HK122" s="275"/>
      <c r="HL122" s="275"/>
      <c r="HM122" s="275"/>
      <c r="HN122" s="275"/>
      <c r="HO122" s="275"/>
      <c r="HP122" s="275"/>
      <c r="HQ122" s="275"/>
      <c r="HR122" s="275"/>
    </row>
    <row r="123" spans="1:226" s="297" customFormat="1">
      <c r="A123" s="275"/>
      <c r="B123" s="21"/>
      <c r="C123" s="21"/>
      <c r="D123" s="21"/>
      <c r="E123" s="21"/>
      <c r="F123" s="275"/>
      <c r="G123" s="275"/>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J123" s="275"/>
      <c r="AK123" s="275"/>
      <c r="AL123" s="275"/>
      <c r="AM123" s="275"/>
      <c r="AN123" s="275"/>
      <c r="AO123" s="275"/>
      <c r="AQ123" s="275"/>
      <c r="AR123" s="275"/>
      <c r="AS123" s="275"/>
      <c r="AT123" s="275"/>
      <c r="AU123" s="275"/>
      <c r="AV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c r="EV123"/>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275"/>
      <c r="HK123" s="275"/>
      <c r="HL123" s="275"/>
      <c r="HM123" s="275"/>
      <c r="HN123" s="275"/>
      <c r="HO123" s="275"/>
      <c r="HP123" s="275"/>
      <c r="HQ123" s="275"/>
      <c r="HR123" s="275"/>
    </row>
    <row r="124" spans="1:226" s="297" customFormat="1">
      <c r="A124" s="275"/>
      <c r="B124" s="21"/>
      <c r="C124" s="21"/>
      <c r="D124" s="21"/>
      <c r="E124" s="21"/>
      <c r="F124" s="275"/>
      <c r="G124" s="275"/>
      <c r="H124" s="275"/>
      <c r="I124" s="275"/>
      <c r="J124" s="275"/>
      <c r="K124" s="275"/>
      <c r="L124" s="275"/>
      <c r="M124" s="275"/>
      <c r="N124" s="275"/>
      <c r="O124" s="275"/>
      <c r="P124" s="275"/>
      <c r="Q124" s="275"/>
      <c r="R124" s="275"/>
      <c r="S124" s="275"/>
      <c r="T124" s="275"/>
      <c r="U124" s="275"/>
      <c r="V124" s="275"/>
      <c r="W124" s="275"/>
      <c r="X124" s="275"/>
      <c r="Y124" s="275"/>
      <c r="Z124" s="275"/>
      <c r="AA124" s="275"/>
      <c r="AB124" s="275"/>
      <c r="AC124" s="275"/>
      <c r="AD124" s="275"/>
      <c r="AE124" s="275"/>
      <c r="AF124" s="275"/>
      <c r="AG124" s="275"/>
      <c r="AH124" s="275"/>
      <c r="AJ124" s="275"/>
      <c r="AK124" s="275"/>
      <c r="AL124" s="275"/>
      <c r="AM124" s="275"/>
      <c r="AN124" s="275"/>
      <c r="AO124" s="275"/>
      <c r="AQ124" s="275"/>
      <c r="AR124" s="275"/>
      <c r="AS124" s="275"/>
      <c r="AT124" s="275"/>
      <c r="AU124" s="275"/>
      <c r="AV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c r="EV124"/>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275"/>
      <c r="HK124" s="275"/>
      <c r="HL124" s="275"/>
      <c r="HM124" s="275"/>
      <c r="HN124" s="275"/>
      <c r="HO124" s="275"/>
      <c r="HP124" s="275"/>
      <c r="HQ124" s="275"/>
      <c r="HR124" s="275"/>
    </row>
    <row r="125" spans="1:226" s="297" customFormat="1">
      <c r="A125" s="275"/>
      <c r="B125" s="21"/>
      <c r="C125" s="21"/>
      <c r="D125" s="21"/>
      <c r="E125" s="21"/>
      <c r="F125" s="275"/>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J125" s="275"/>
      <c r="AK125" s="275"/>
      <c r="AL125" s="275"/>
      <c r="AM125" s="275"/>
      <c r="AN125" s="275"/>
      <c r="AO125" s="275"/>
      <c r="AQ125" s="275"/>
      <c r="AR125" s="275"/>
      <c r="AS125" s="275"/>
      <c r="AT125" s="275"/>
      <c r="AU125" s="275"/>
      <c r="AV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c r="EV12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275"/>
      <c r="HK125" s="275"/>
      <c r="HL125" s="275"/>
      <c r="HM125" s="275"/>
      <c r="HN125" s="275"/>
      <c r="HO125" s="275"/>
      <c r="HP125" s="275"/>
      <c r="HQ125" s="275"/>
      <c r="HR125" s="275"/>
    </row>
    <row r="126" spans="1:226" s="297" customFormat="1">
      <c r="A126" s="275"/>
      <c r="B126" s="21"/>
      <c r="C126" s="21"/>
      <c r="D126" s="21"/>
      <c r="E126" s="21"/>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J126" s="275"/>
      <c r="AK126" s="275"/>
      <c r="AL126" s="275"/>
      <c r="AM126" s="275"/>
      <c r="AN126" s="275"/>
      <c r="AO126" s="275"/>
      <c r="AQ126" s="275"/>
      <c r="AR126" s="275"/>
      <c r="AS126" s="275"/>
      <c r="AT126" s="275"/>
      <c r="AU126" s="275"/>
      <c r="AV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c r="EV126"/>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275"/>
      <c r="HK126" s="275"/>
      <c r="HL126" s="275"/>
      <c r="HM126" s="275"/>
      <c r="HN126" s="275"/>
      <c r="HO126" s="275"/>
      <c r="HP126" s="275"/>
      <c r="HQ126" s="275"/>
      <c r="HR126" s="275"/>
    </row>
    <row r="127" spans="1:226" s="297" customFormat="1">
      <c r="A127" s="275"/>
      <c r="B127" s="21"/>
      <c r="C127" s="21"/>
      <c r="D127" s="21"/>
      <c r="E127" s="21"/>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J127" s="275"/>
      <c r="AK127" s="275"/>
      <c r="AL127" s="275"/>
      <c r="AM127" s="275"/>
      <c r="AN127" s="275"/>
      <c r="AO127" s="275"/>
      <c r="AQ127" s="275"/>
      <c r="AR127" s="275"/>
      <c r="AS127" s="275"/>
      <c r="AT127" s="275"/>
      <c r="AU127" s="275"/>
      <c r="AV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c r="EV127"/>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275"/>
      <c r="HK127" s="275"/>
      <c r="HL127" s="275"/>
      <c r="HM127" s="275"/>
      <c r="HN127" s="275"/>
      <c r="HO127" s="275"/>
      <c r="HP127" s="275"/>
      <c r="HQ127" s="275"/>
      <c r="HR127" s="275"/>
    </row>
    <row r="128" spans="1:226" s="297" customFormat="1">
      <c r="A128" s="275"/>
      <c r="B128" s="21"/>
      <c r="C128" s="21"/>
      <c r="D128" s="21"/>
      <c r="E128" s="21"/>
      <c r="F128" s="275"/>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J128" s="275"/>
      <c r="AK128" s="275"/>
      <c r="AL128" s="275"/>
      <c r="AM128" s="275"/>
      <c r="AN128" s="275"/>
      <c r="AO128" s="275"/>
      <c r="AQ128" s="275"/>
      <c r="AR128" s="275"/>
      <c r="AS128" s="275"/>
      <c r="AT128" s="275"/>
      <c r="AU128" s="275"/>
      <c r="AV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c r="EV128"/>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275"/>
      <c r="HK128" s="275"/>
      <c r="HL128" s="275"/>
      <c r="HM128" s="275"/>
      <c r="HN128" s="275"/>
      <c r="HO128" s="275"/>
      <c r="HP128" s="275"/>
      <c r="HQ128" s="275"/>
      <c r="HR128" s="275"/>
    </row>
    <row r="129" spans="1:226" s="297" customFormat="1">
      <c r="A129" s="275"/>
      <c r="B129" s="21"/>
      <c r="C129" s="21"/>
      <c r="D129" s="21"/>
      <c r="E129" s="21"/>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J129" s="275"/>
      <c r="AK129" s="275"/>
      <c r="AL129" s="275"/>
      <c r="AM129" s="275"/>
      <c r="AN129" s="275"/>
      <c r="AO129" s="275"/>
      <c r="AQ129" s="275"/>
      <c r="AR129" s="275"/>
      <c r="AS129" s="275"/>
      <c r="AT129" s="275"/>
      <c r="AU129" s="275"/>
      <c r="AV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c r="EV129"/>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275"/>
      <c r="HK129" s="275"/>
      <c r="HL129" s="275"/>
      <c r="HM129" s="275"/>
      <c r="HN129" s="275"/>
      <c r="HO129" s="275"/>
      <c r="HP129" s="275"/>
      <c r="HQ129" s="275"/>
      <c r="HR129" s="275"/>
    </row>
    <row r="130" spans="1:226" s="297" customFormat="1">
      <c r="A130" s="275"/>
      <c r="B130" s="21"/>
      <c r="C130" s="21"/>
      <c r="D130" s="21"/>
      <c r="E130" s="21"/>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J130" s="275"/>
      <c r="AK130" s="275"/>
      <c r="AL130" s="275"/>
      <c r="AM130" s="275"/>
      <c r="AN130" s="275"/>
      <c r="AO130" s="275"/>
      <c r="AQ130" s="275"/>
      <c r="AR130" s="275"/>
      <c r="AS130" s="275"/>
      <c r="AT130" s="275"/>
      <c r="AU130" s="275"/>
      <c r="AV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D130" s="275"/>
      <c r="EE130" s="275"/>
      <c r="EF130" s="275"/>
      <c r="EG130" s="275"/>
      <c r="EH130" s="275"/>
      <c r="EI130" s="275"/>
      <c r="EJ130" s="275"/>
      <c r="EK130" s="275"/>
      <c r="EL130" s="275"/>
      <c r="EM130" s="275"/>
      <c r="EN130" s="275"/>
      <c r="EO130" s="275"/>
      <c r="EP130" s="275"/>
      <c r="EQ130" s="275"/>
      <c r="ER130" s="275"/>
      <c r="ES130" s="275"/>
      <c r="ET130" s="275"/>
      <c r="EU130"/>
      <c r="EV130"/>
      <c r="EW130" s="275"/>
      <c r="EX130" s="275"/>
      <c r="EY130" s="275"/>
      <c r="EZ130" s="275"/>
      <c r="FA130" s="275"/>
      <c r="FB130" s="275"/>
      <c r="FC130" s="275"/>
      <c r="FD130" s="275"/>
      <c r="FE130" s="275"/>
      <c r="FF130" s="275"/>
      <c r="FG130" s="275"/>
      <c r="FH130" s="275"/>
      <c r="FI130" s="275"/>
      <c r="FJ130" s="275"/>
      <c r="FK130" s="275"/>
      <c r="FL130" s="275"/>
      <c r="FM130" s="275"/>
      <c r="FN130" s="275"/>
      <c r="FO130" s="275"/>
      <c r="FP130" s="275"/>
      <c r="FQ130" s="275"/>
      <c r="FR130" s="275"/>
      <c r="FS130" s="275"/>
      <c r="FT130" s="275"/>
      <c r="FU130" s="275"/>
      <c r="FV130" s="275"/>
      <c r="FW130" s="275"/>
      <c r="FX130" s="275"/>
      <c r="FY130" s="275"/>
      <c r="FZ130" s="275"/>
      <c r="GA130" s="275"/>
      <c r="GB130" s="275"/>
      <c r="GC130" s="275"/>
      <c r="GD130" s="275"/>
      <c r="GE130" s="275"/>
      <c r="GF130" s="275"/>
      <c r="GG130" s="275"/>
      <c r="GH130" s="275"/>
      <c r="GI130" s="275"/>
      <c r="GJ130" s="275"/>
      <c r="GK130" s="275"/>
      <c r="GL130" s="275"/>
      <c r="GM130" s="275"/>
      <c r="GN130" s="275"/>
      <c r="GO130" s="275"/>
      <c r="GP130" s="275"/>
      <c r="GQ130" s="275"/>
      <c r="GR130" s="275"/>
      <c r="GS130" s="275"/>
      <c r="GT130" s="275"/>
      <c r="GU130" s="275"/>
      <c r="GV130" s="275"/>
      <c r="GW130" s="275"/>
      <c r="GX130" s="275"/>
      <c r="GY130" s="275"/>
      <c r="GZ130" s="275"/>
      <c r="HA130" s="275"/>
      <c r="HB130" s="275"/>
      <c r="HC130" s="275"/>
      <c r="HD130" s="275"/>
      <c r="HE130" s="275"/>
      <c r="HF130" s="275"/>
      <c r="HG130" s="275"/>
      <c r="HH130" s="275"/>
      <c r="HI130" s="275"/>
      <c r="HJ130" s="275"/>
      <c r="HK130" s="275"/>
      <c r="HL130" s="275"/>
      <c r="HM130" s="275"/>
      <c r="HN130" s="275"/>
      <c r="HO130" s="275"/>
      <c r="HP130" s="275"/>
      <c r="HQ130" s="275"/>
      <c r="HR130" s="275"/>
    </row>
    <row r="131" spans="1:226" s="297" customFormat="1">
      <c r="A131" s="275"/>
      <c r="B131" s="21"/>
      <c r="C131" s="21"/>
      <c r="D131" s="21"/>
      <c r="E131" s="21"/>
      <c r="F131" s="275"/>
      <c r="G131" s="275"/>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J131" s="275"/>
      <c r="AK131" s="275"/>
      <c r="AL131" s="275"/>
      <c r="AM131" s="275"/>
      <c r="AN131" s="275"/>
      <c r="AO131" s="275"/>
      <c r="AQ131" s="275"/>
      <c r="AR131" s="275"/>
      <c r="AS131" s="275"/>
      <c r="AT131" s="275"/>
      <c r="AU131" s="275"/>
      <c r="AV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D131" s="275"/>
      <c r="EE131" s="275"/>
      <c r="EF131" s="275"/>
      <c r="EG131" s="275"/>
      <c r="EH131" s="275"/>
      <c r="EI131" s="275"/>
      <c r="EJ131" s="275"/>
      <c r="EK131" s="275"/>
      <c r="EL131" s="275"/>
      <c r="EM131" s="275"/>
      <c r="EN131" s="275"/>
      <c r="EO131" s="275"/>
      <c r="EP131" s="275"/>
      <c r="EQ131" s="275"/>
      <c r="ER131" s="275"/>
      <c r="ES131" s="275"/>
      <c r="ET131" s="275"/>
      <c r="EU131"/>
      <c r="EV131"/>
      <c r="EW131" s="275"/>
      <c r="EX131" s="275"/>
      <c r="EY131" s="275"/>
      <c r="EZ131" s="275"/>
      <c r="FA131" s="275"/>
      <c r="FB131" s="275"/>
      <c r="FC131" s="275"/>
      <c r="FD131" s="275"/>
      <c r="FE131" s="275"/>
      <c r="FF131" s="275"/>
      <c r="FG131" s="275"/>
      <c r="FH131" s="275"/>
      <c r="FI131" s="275"/>
      <c r="FJ131" s="275"/>
      <c r="FK131" s="275"/>
      <c r="FL131" s="275"/>
      <c r="FM131" s="275"/>
      <c r="FN131" s="275"/>
      <c r="FO131" s="275"/>
      <c r="FP131" s="275"/>
      <c r="FQ131" s="275"/>
      <c r="FR131" s="275"/>
      <c r="FS131" s="275"/>
      <c r="FT131" s="275"/>
      <c r="FU131" s="275"/>
      <c r="FV131" s="275"/>
      <c r="FW131" s="275"/>
      <c r="FX131" s="275"/>
      <c r="FY131" s="275"/>
      <c r="FZ131" s="275"/>
      <c r="GA131" s="275"/>
      <c r="GB131" s="275"/>
      <c r="GC131" s="275"/>
      <c r="GD131" s="275"/>
      <c r="GE131" s="275"/>
      <c r="GF131" s="275"/>
      <c r="GG131" s="275"/>
      <c r="GH131" s="275"/>
      <c r="GI131" s="275"/>
      <c r="GJ131" s="275"/>
      <c r="GK131" s="275"/>
      <c r="GL131" s="275"/>
      <c r="GM131" s="275"/>
      <c r="GN131" s="275"/>
      <c r="GO131" s="275"/>
      <c r="GP131" s="275"/>
      <c r="GQ131" s="275"/>
      <c r="GR131" s="275"/>
      <c r="GS131" s="275"/>
      <c r="GT131" s="275"/>
      <c r="GU131" s="275"/>
      <c r="GV131" s="275"/>
      <c r="GW131" s="275"/>
      <c r="GX131" s="275"/>
      <c r="GY131" s="275"/>
      <c r="GZ131" s="275"/>
      <c r="HA131" s="275"/>
      <c r="HB131" s="275"/>
      <c r="HC131" s="275"/>
      <c r="HD131" s="275"/>
      <c r="HE131" s="275"/>
      <c r="HF131" s="275"/>
      <c r="HG131" s="275"/>
      <c r="HH131" s="275"/>
      <c r="HI131" s="275"/>
      <c r="HJ131" s="275"/>
      <c r="HK131" s="275"/>
      <c r="HL131" s="275"/>
      <c r="HM131" s="275"/>
      <c r="HN131" s="275"/>
      <c r="HO131" s="275"/>
      <c r="HP131" s="275"/>
      <c r="HQ131" s="275"/>
      <c r="HR131" s="275"/>
    </row>
    <row r="132" spans="1:226" s="297" customFormat="1">
      <c r="A132" s="275"/>
      <c r="B132" s="21"/>
      <c r="C132" s="21"/>
      <c r="D132" s="21"/>
      <c r="E132" s="21"/>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J132" s="275"/>
      <c r="AK132" s="275"/>
      <c r="AL132" s="275"/>
      <c r="AM132" s="275"/>
      <c r="AN132" s="275"/>
      <c r="AO132" s="275"/>
      <c r="AQ132" s="275"/>
      <c r="AR132" s="275"/>
      <c r="AS132" s="275"/>
      <c r="AT132" s="275"/>
      <c r="AU132" s="275"/>
      <c r="AV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D132" s="275"/>
      <c r="EE132" s="275"/>
      <c r="EF132" s="275"/>
      <c r="EG132" s="275"/>
      <c r="EH132" s="275"/>
      <c r="EI132" s="275"/>
      <c r="EJ132" s="275"/>
      <c r="EK132" s="275"/>
      <c r="EL132" s="275"/>
      <c r="EM132" s="275"/>
      <c r="EN132" s="275"/>
      <c r="EO132" s="275"/>
      <c r="EP132" s="275"/>
      <c r="EQ132" s="275"/>
      <c r="ER132" s="275"/>
      <c r="ES132" s="275"/>
      <c r="ET132" s="275"/>
      <c r="EU132"/>
      <c r="EV132"/>
      <c r="EW132" s="275"/>
      <c r="EX132" s="275"/>
      <c r="EY132" s="275"/>
      <c r="EZ132" s="275"/>
      <c r="FA132" s="275"/>
      <c r="FB132" s="275"/>
      <c r="FC132" s="275"/>
      <c r="FD132" s="275"/>
      <c r="FE132" s="275"/>
      <c r="FF132" s="275"/>
      <c r="FG132" s="275"/>
      <c r="FH132" s="275"/>
      <c r="FI132" s="275"/>
      <c r="FJ132" s="275"/>
      <c r="FK132" s="275"/>
      <c r="FL132" s="275"/>
      <c r="FM132" s="275"/>
      <c r="FN132" s="275"/>
      <c r="FO132" s="275"/>
      <c r="FP132" s="275"/>
      <c r="FQ132" s="275"/>
      <c r="FR132" s="275"/>
      <c r="FS132" s="275"/>
      <c r="FT132" s="275"/>
      <c r="FU132" s="275"/>
      <c r="FV132" s="275"/>
      <c r="FW132" s="275"/>
      <c r="FX132" s="275"/>
      <c r="FY132" s="275"/>
      <c r="FZ132" s="275"/>
      <c r="GA132" s="275"/>
      <c r="GB132" s="275"/>
      <c r="GC132" s="275"/>
      <c r="GD132" s="275"/>
      <c r="GE132" s="275"/>
      <c r="GF132" s="275"/>
      <c r="GG132" s="275"/>
      <c r="GH132" s="275"/>
      <c r="GI132" s="275"/>
      <c r="GJ132" s="275"/>
      <c r="GK132" s="275"/>
      <c r="GL132" s="275"/>
      <c r="GM132" s="275"/>
      <c r="GN132" s="275"/>
      <c r="GO132" s="275"/>
      <c r="GP132" s="275"/>
      <c r="GQ132" s="275"/>
      <c r="GR132" s="275"/>
      <c r="GS132" s="275"/>
      <c r="GT132" s="275"/>
      <c r="GU132" s="275"/>
      <c r="GV132" s="275"/>
      <c r="GW132" s="275"/>
      <c r="GX132" s="275"/>
      <c r="GY132" s="275"/>
      <c r="GZ132" s="275"/>
      <c r="HA132" s="275"/>
      <c r="HB132" s="275"/>
      <c r="HC132" s="275"/>
      <c r="HD132" s="275"/>
      <c r="HE132" s="275"/>
      <c r="HF132" s="275"/>
      <c r="HG132" s="275"/>
      <c r="HH132" s="275"/>
      <c r="HI132" s="275"/>
      <c r="HJ132" s="275"/>
      <c r="HK132" s="275"/>
      <c r="HL132" s="275"/>
      <c r="HM132" s="275"/>
      <c r="HN132" s="275"/>
      <c r="HO132" s="275"/>
      <c r="HP132" s="275"/>
      <c r="HQ132" s="275"/>
      <c r="HR132" s="275"/>
    </row>
    <row r="133" spans="1:226" s="297" customFormat="1">
      <c r="A133" s="275"/>
      <c r="B133" s="21"/>
      <c r="C133" s="21"/>
      <c r="D133" s="21"/>
      <c r="E133" s="21"/>
      <c r="F133" s="275"/>
      <c r="G133" s="275"/>
      <c r="H133" s="275"/>
      <c r="I133" s="275"/>
      <c r="J133" s="275"/>
      <c r="K133" s="275"/>
      <c r="L133" s="275"/>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J133" s="275"/>
      <c r="AK133" s="275"/>
      <c r="AL133" s="275"/>
      <c r="AM133" s="275"/>
      <c r="AN133" s="275"/>
      <c r="AO133" s="275"/>
      <c r="AQ133" s="275"/>
      <c r="AR133" s="275"/>
      <c r="AS133" s="275"/>
      <c r="AT133" s="275"/>
      <c r="AU133" s="275"/>
      <c r="AV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D133" s="275"/>
      <c r="EE133" s="275"/>
      <c r="EF133" s="275"/>
      <c r="EG133" s="275"/>
      <c r="EH133" s="275"/>
      <c r="EI133" s="275"/>
      <c r="EJ133" s="275"/>
      <c r="EK133" s="275"/>
      <c r="EL133" s="275"/>
      <c r="EM133" s="275"/>
      <c r="EN133" s="275"/>
      <c r="EO133" s="275"/>
      <c r="EP133" s="275"/>
      <c r="EQ133" s="275"/>
      <c r="ER133" s="275"/>
      <c r="ES133" s="275"/>
      <c r="ET133" s="275"/>
      <c r="EU133"/>
      <c r="EV133"/>
      <c r="EW133" s="275"/>
      <c r="EX133" s="275"/>
      <c r="EY133" s="275"/>
      <c r="EZ133" s="275"/>
      <c r="FA133" s="275"/>
      <c r="FB133" s="275"/>
      <c r="FC133" s="275"/>
      <c r="FD133" s="275"/>
      <c r="FE133" s="275"/>
      <c r="FF133" s="275"/>
      <c r="FG133" s="275"/>
      <c r="FH133" s="275"/>
      <c r="FI133" s="275"/>
      <c r="FJ133" s="275"/>
      <c r="FK133" s="275"/>
      <c r="FL133" s="275"/>
      <c r="FM133" s="275"/>
      <c r="FN133" s="275"/>
      <c r="FO133" s="275"/>
      <c r="FP133" s="275"/>
      <c r="FQ133" s="275"/>
      <c r="FR133" s="275"/>
      <c r="FS133" s="275"/>
      <c r="FT133" s="275"/>
      <c r="FU133" s="275"/>
      <c r="FV133" s="275"/>
      <c r="FW133" s="275"/>
      <c r="FX133" s="275"/>
      <c r="FY133" s="275"/>
      <c r="FZ133" s="275"/>
      <c r="GA133" s="275"/>
      <c r="GB133" s="275"/>
      <c r="GC133" s="275"/>
      <c r="GD133" s="275"/>
      <c r="GE133" s="275"/>
      <c r="GF133" s="275"/>
      <c r="GG133" s="275"/>
      <c r="GH133" s="275"/>
      <c r="GI133" s="275"/>
      <c r="GJ133" s="275"/>
      <c r="GK133" s="275"/>
      <c r="GL133" s="275"/>
      <c r="GM133" s="275"/>
      <c r="GN133" s="275"/>
      <c r="GO133" s="275"/>
      <c r="GP133" s="275"/>
      <c r="GQ133" s="275"/>
      <c r="GR133" s="275"/>
      <c r="GS133" s="275"/>
      <c r="GT133" s="275"/>
      <c r="GU133" s="275"/>
      <c r="GV133" s="275"/>
      <c r="GW133" s="275"/>
      <c r="GX133" s="275"/>
      <c r="GY133" s="275"/>
      <c r="GZ133" s="275"/>
      <c r="HA133" s="275"/>
      <c r="HB133" s="275"/>
      <c r="HC133" s="275"/>
      <c r="HD133" s="275"/>
      <c r="HE133" s="275"/>
      <c r="HF133" s="275"/>
      <c r="HG133" s="275"/>
      <c r="HH133" s="275"/>
      <c r="HI133" s="275"/>
      <c r="HJ133" s="275"/>
      <c r="HK133" s="275"/>
      <c r="HL133" s="275"/>
      <c r="HM133" s="275"/>
      <c r="HN133" s="275"/>
      <c r="HO133" s="275"/>
      <c r="HP133" s="275"/>
      <c r="HQ133" s="275"/>
      <c r="HR133" s="275"/>
    </row>
    <row r="134" spans="1:226" s="297" customFormat="1">
      <c r="A134" s="275"/>
      <c r="B134" s="21"/>
      <c r="C134" s="21"/>
      <c r="D134" s="21"/>
      <c r="E134" s="21"/>
      <c r="F134" s="275"/>
      <c r="G134" s="275"/>
      <c r="H134" s="275"/>
      <c r="I134" s="275"/>
      <c r="J134" s="275"/>
      <c r="K134" s="275"/>
      <c r="L134" s="275"/>
      <c r="M134" s="275"/>
      <c r="N134" s="275"/>
      <c r="O134" s="275"/>
      <c r="P134" s="275"/>
      <c r="Q134" s="275"/>
      <c r="R134" s="275"/>
      <c r="S134" s="275"/>
      <c r="T134" s="275"/>
      <c r="U134" s="275"/>
      <c r="V134" s="275"/>
      <c r="W134" s="275"/>
      <c r="X134" s="275"/>
      <c r="Y134" s="275"/>
      <c r="Z134" s="275"/>
      <c r="AA134" s="275"/>
      <c r="AB134" s="275"/>
      <c r="AC134" s="275"/>
      <c r="AD134" s="275"/>
      <c r="AE134" s="275"/>
      <c r="AF134" s="275"/>
      <c r="AG134" s="275"/>
      <c r="AH134" s="275"/>
      <c r="AJ134" s="275"/>
      <c r="AK134" s="275"/>
      <c r="AL134" s="275"/>
      <c r="AM134" s="275"/>
      <c r="AN134" s="275"/>
      <c r="AO134" s="275"/>
      <c r="AQ134" s="275"/>
      <c r="AR134" s="275"/>
      <c r="AS134" s="275"/>
      <c r="AT134" s="275"/>
      <c r="AU134" s="275"/>
      <c r="AV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D134" s="275"/>
      <c r="EE134" s="275"/>
      <c r="EF134" s="275"/>
      <c r="EG134" s="275"/>
      <c r="EH134" s="275"/>
      <c r="EI134" s="275"/>
      <c r="EJ134" s="275"/>
      <c r="EK134" s="275"/>
      <c r="EL134" s="275"/>
      <c r="EM134" s="275"/>
      <c r="EN134" s="275"/>
      <c r="EO134" s="275"/>
      <c r="EP134" s="275"/>
      <c r="EQ134" s="275"/>
      <c r="ER134" s="275"/>
      <c r="ES134" s="275"/>
      <c r="ET134" s="275"/>
      <c r="EU134"/>
      <c r="EV134"/>
      <c r="EW134" s="275"/>
      <c r="EX134" s="275"/>
      <c r="EY134" s="275"/>
      <c r="EZ134" s="275"/>
      <c r="FA134" s="275"/>
      <c r="FB134" s="275"/>
      <c r="FC134" s="275"/>
      <c r="FD134" s="275"/>
      <c r="FE134" s="275"/>
      <c r="FF134" s="275"/>
      <c r="FG134" s="275"/>
      <c r="FH134" s="275"/>
      <c r="FI134" s="275"/>
      <c r="FJ134" s="275"/>
      <c r="FK134" s="275"/>
      <c r="FL134" s="275"/>
      <c r="FM134" s="275"/>
      <c r="FN134" s="275"/>
      <c r="FO134" s="275"/>
      <c r="FP134" s="275"/>
      <c r="FQ134" s="275"/>
      <c r="FR134" s="275"/>
      <c r="FS134" s="275"/>
      <c r="FT134" s="275"/>
      <c r="FU134" s="275"/>
      <c r="FV134" s="275"/>
      <c r="FW134" s="275"/>
      <c r="FX134" s="275"/>
      <c r="FY134" s="275"/>
      <c r="FZ134" s="275"/>
      <c r="GA134" s="275"/>
      <c r="GB134" s="275"/>
      <c r="GC134" s="275"/>
      <c r="GD134" s="275"/>
      <c r="GE134" s="275"/>
      <c r="GF134" s="275"/>
      <c r="GG134" s="275"/>
      <c r="GH134" s="275"/>
      <c r="GI134" s="275"/>
      <c r="GJ134" s="275"/>
      <c r="GK134" s="275"/>
      <c r="GL134" s="275"/>
      <c r="GM134" s="275"/>
      <c r="GN134" s="275"/>
      <c r="GO134" s="275"/>
      <c r="GP134" s="275"/>
      <c r="GQ134" s="275"/>
      <c r="GR134" s="275"/>
      <c r="GS134" s="275"/>
      <c r="GT134" s="275"/>
      <c r="GU134" s="275"/>
      <c r="GV134" s="275"/>
      <c r="GW134" s="275"/>
      <c r="GX134" s="275"/>
      <c r="GY134" s="275"/>
      <c r="GZ134" s="275"/>
      <c r="HA134" s="275"/>
      <c r="HB134" s="275"/>
      <c r="HC134" s="275"/>
      <c r="HD134" s="275"/>
      <c r="HE134" s="275"/>
      <c r="HF134" s="275"/>
      <c r="HG134" s="275"/>
      <c r="HH134" s="275"/>
      <c r="HI134" s="275"/>
      <c r="HJ134" s="275"/>
      <c r="HK134" s="275"/>
      <c r="HL134" s="275"/>
      <c r="HM134" s="275"/>
      <c r="HN134" s="275"/>
      <c r="HO134" s="275"/>
      <c r="HP134" s="275"/>
      <c r="HQ134" s="275"/>
      <c r="HR134" s="275"/>
    </row>
    <row r="135" spans="1:226" s="297" customFormat="1">
      <c r="A135" s="275"/>
      <c r="B135" s="21"/>
      <c r="C135" s="21"/>
      <c r="D135" s="21"/>
      <c r="E135" s="21"/>
      <c r="F135" s="275"/>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J135" s="275"/>
      <c r="AK135" s="275"/>
      <c r="AL135" s="275"/>
      <c r="AM135" s="275"/>
      <c r="AN135" s="275"/>
      <c r="AO135" s="275"/>
      <c r="AQ135" s="275"/>
      <c r="AR135" s="275"/>
      <c r="AS135" s="275"/>
      <c r="AT135" s="275"/>
      <c r="AU135" s="275"/>
      <c r="AV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D135" s="275"/>
      <c r="EE135" s="275"/>
      <c r="EF135" s="275"/>
      <c r="EG135" s="275"/>
      <c r="EH135" s="275"/>
      <c r="EI135" s="275"/>
      <c r="EJ135" s="275"/>
      <c r="EK135" s="275"/>
      <c r="EL135" s="275"/>
      <c r="EM135" s="275"/>
      <c r="EN135" s="275"/>
      <c r="EO135" s="275"/>
      <c r="EP135" s="275"/>
      <c r="EQ135" s="275"/>
      <c r="ER135" s="275"/>
      <c r="ES135" s="275"/>
      <c r="ET135" s="275"/>
      <c r="EU135"/>
      <c r="EV135"/>
      <c r="EW135" s="275"/>
      <c r="EX135" s="275"/>
      <c r="EY135" s="275"/>
      <c r="EZ135" s="275"/>
      <c r="FA135" s="275"/>
      <c r="FB135" s="275"/>
      <c r="FC135" s="275"/>
      <c r="FD135" s="275"/>
      <c r="FE135" s="275"/>
      <c r="FF135" s="275"/>
      <c r="FG135" s="275"/>
      <c r="FH135" s="275"/>
      <c r="FI135" s="275"/>
      <c r="FJ135" s="275"/>
      <c r="FK135" s="275"/>
      <c r="FL135" s="275"/>
      <c r="FM135" s="275"/>
      <c r="FN135" s="275"/>
      <c r="FO135" s="275"/>
      <c r="FP135" s="275"/>
      <c r="FQ135" s="275"/>
      <c r="FR135" s="275"/>
      <c r="FS135" s="275"/>
      <c r="FT135" s="275"/>
      <c r="FU135" s="275"/>
      <c r="FV135" s="275"/>
      <c r="FW135" s="275"/>
      <c r="FX135" s="275"/>
      <c r="FY135" s="275"/>
      <c r="FZ135" s="275"/>
      <c r="GA135" s="275"/>
      <c r="GB135" s="275"/>
      <c r="GC135" s="275"/>
      <c r="GD135" s="275"/>
      <c r="GE135" s="275"/>
      <c r="GF135" s="275"/>
      <c r="GG135" s="275"/>
      <c r="GH135" s="275"/>
      <c r="GI135" s="275"/>
      <c r="GJ135" s="275"/>
      <c r="GK135" s="275"/>
      <c r="GL135" s="275"/>
      <c r="GM135" s="275"/>
      <c r="GN135" s="275"/>
      <c r="GO135" s="275"/>
      <c r="GP135" s="275"/>
      <c r="GQ135" s="275"/>
      <c r="GR135" s="275"/>
      <c r="GS135" s="275"/>
      <c r="GT135" s="275"/>
      <c r="GU135" s="275"/>
      <c r="GV135" s="275"/>
      <c r="GW135" s="275"/>
      <c r="GX135" s="275"/>
      <c r="GY135" s="275"/>
      <c r="GZ135" s="275"/>
      <c r="HA135" s="275"/>
      <c r="HB135" s="275"/>
      <c r="HC135" s="275"/>
      <c r="HD135" s="275"/>
      <c r="HE135" s="275"/>
      <c r="HF135" s="275"/>
      <c r="HG135" s="275"/>
      <c r="HH135" s="275"/>
      <c r="HI135" s="275"/>
      <c r="HJ135" s="275"/>
      <c r="HK135" s="275"/>
      <c r="HL135" s="275"/>
      <c r="HM135" s="275"/>
      <c r="HN135" s="275"/>
      <c r="HO135" s="275"/>
      <c r="HP135" s="275"/>
      <c r="HQ135" s="275"/>
      <c r="HR135" s="275"/>
    </row>
    <row r="136" spans="1:226" s="297" customFormat="1">
      <c r="A136" s="275"/>
      <c r="B136" s="21"/>
      <c r="C136" s="21"/>
      <c r="D136" s="21"/>
      <c r="E136" s="21"/>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J136" s="275"/>
      <c r="AK136" s="275"/>
      <c r="AL136" s="275"/>
      <c r="AM136" s="275"/>
      <c r="AN136" s="275"/>
      <c r="AO136" s="275"/>
      <c r="AQ136" s="275"/>
      <c r="AR136" s="275"/>
      <c r="AS136" s="275"/>
      <c r="AT136" s="275"/>
      <c r="AU136" s="275"/>
      <c r="AV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D136" s="275"/>
      <c r="EE136" s="275"/>
      <c r="EF136" s="275"/>
      <c r="EG136" s="275"/>
      <c r="EH136" s="275"/>
      <c r="EI136" s="275"/>
      <c r="EJ136" s="275"/>
      <c r="EK136" s="275"/>
      <c r="EL136" s="275"/>
      <c r="EM136" s="275"/>
      <c r="EN136" s="275"/>
      <c r="EO136" s="275"/>
      <c r="EP136" s="275"/>
      <c r="EQ136" s="275"/>
      <c r="ER136" s="275"/>
      <c r="ES136" s="275"/>
      <c r="ET136" s="275"/>
      <c r="EU136"/>
      <c r="EV136"/>
      <c r="EW136" s="275"/>
      <c r="EX136" s="275"/>
      <c r="EY136" s="275"/>
      <c r="EZ136" s="275"/>
      <c r="FA136" s="275"/>
      <c r="FB136" s="275"/>
      <c r="FC136" s="275"/>
      <c r="FD136" s="275"/>
      <c r="FE136" s="275"/>
      <c r="FF136" s="275"/>
      <c r="FG136" s="275"/>
      <c r="FH136" s="275"/>
      <c r="FI136" s="275"/>
      <c r="FJ136" s="275"/>
      <c r="FK136" s="275"/>
      <c r="FL136" s="275"/>
      <c r="FM136" s="275"/>
      <c r="FN136" s="275"/>
      <c r="FO136" s="275"/>
      <c r="FP136" s="275"/>
      <c r="FQ136" s="275"/>
      <c r="FR136" s="275"/>
      <c r="FS136" s="275"/>
      <c r="FT136" s="275"/>
      <c r="FU136" s="275"/>
      <c r="FV136" s="275"/>
      <c r="FW136" s="275"/>
      <c r="FX136" s="275"/>
      <c r="FY136" s="275"/>
      <c r="FZ136" s="275"/>
      <c r="GA136" s="275"/>
      <c r="GB136" s="275"/>
      <c r="GC136" s="275"/>
      <c r="GD136" s="275"/>
      <c r="GE136" s="275"/>
      <c r="GF136" s="275"/>
      <c r="GG136" s="275"/>
      <c r="GH136" s="275"/>
      <c r="GI136" s="275"/>
      <c r="GJ136" s="275"/>
      <c r="GK136" s="275"/>
      <c r="GL136" s="275"/>
      <c r="GM136" s="275"/>
      <c r="GN136" s="275"/>
      <c r="GO136" s="275"/>
      <c r="GP136" s="275"/>
      <c r="GQ136" s="275"/>
      <c r="GR136" s="275"/>
      <c r="GS136" s="275"/>
      <c r="GT136" s="275"/>
      <c r="GU136" s="275"/>
      <c r="GV136" s="275"/>
      <c r="GW136" s="275"/>
      <c r="GX136" s="275"/>
      <c r="GY136" s="275"/>
      <c r="GZ136" s="275"/>
      <c r="HA136" s="275"/>
      <c r="HB136" s="275"/>
      <c r="HC136" s="275"/>
      <c r="HD136" s="275"/>
      <c r="HE136" s="275"/>
      <c r="HF136" s="275"/>
      <c r="HG136" s="275"/>
      <c r="HH136" s="275"/>
      <c r="HI136" s="275"/>
      <c r="HJ136" s="275"/>
      <c r="HK136" s="275"/>
      <c r="HL136" s="275"/>
      <c r="HM136" s="275"/>
      <c r="HN136" s="275"/>
      <c r="HO136" s="275"/>
      <c r="HP136" s="275"/>
      <c r="HQ136" s="275"/>
      <c r="HR136" s="275"/>
    </row>
    <row r="137" spans="1:226" s="297" customFormat="1">
      <c r="A137" s="275"/>
      <c r="B137" s="21"/>
      <c r="C137" s="21"/>
      <c r="D137" s="21"/>
      <c r="E137" s="21"/>
      <c r="F137" s="275"/>
      <c r="G137" s="275"/>
      <c r="H137" s="275"/>
      <c r="I137" s="275"/>
      <c r="J137" s="275"/>
      <c r="K137" s="275"/>
      <c r="L137" s="275"/>
      <c r="M137" s="275"/>
      <c r="N137" s="275"/>
      <c r="O137" s="275"/>
      <c r="P137" s="275"/>
      <c r="Q137" s="275"/>
      <c r="R137" s="275"/>
      <c r="S137" s="275"/>
      <c r="T137" s="275"/>
      <c r="U137" s="275"/>
      <c r="V137" s="275"/>
      <c r="W137" s="275"/>
      <c r="X137" s="275"/>
      <c r="Y137" s="275"/>
      <c r="Z137" s="275"/>
      <c r="AA137" s="275"/>
      <c r="AB137" s="275"/>
      <c r="AC137" s="275"/>
      <c r="AD137" s="275"/>
      <c r="AE137" s="275"/>
      <c r="AF137" s="275"/>
      <c r="AG137" s="275"/>
      <c r="AH137" s="275"/>
      <c r="AJ137" s="275"/>
      <c r="AK137" s="275"/>
      <c r="AL137" s="275"/>
      <c r="AM137" s="275"/>
      <c r="AN137" s="275"/>
      <c r="AO137" s="275"/>
      <c r="AQ137" s="275"/>
      <c r="AR137" s="275"/>
      <c r="AS137" s="275"/>
      <c r="AT137" s="275"/>
      <c r="AU137" s="275"/>
      <c r="AV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D137" s="275"/>
      <c r="EE137" s="275"/>
      <c r="EF137" s="275"/>
      <c r="EG137" s="275"/>
      <c r="EH137" s="275"/>
      <c r="EI137" s="275"/>
      <c r="EJ137" s="275"/>
      <c r="EK137" s="275"/>
      <c r="EL137" s="275"/>
      <c r="EM137" s="275"/>
      <c r="EN137" s="275"/>
      <c r="EO137" s="275"/>
      <c r="EP137" s="275"/>
      <c r="EQ137" s="275"/>
      <c r="ER137" s="275"/>
      <c r="ES137" s="275"/>
      <c r="ET137" s="275"/>
      <c r="EU137"/>
      <c r="EV137"/>
      <c r="EW137" s="275"/>
      <c r="EX137" s="275"/>
      <c r="EY137" s="275"/>
      <c r="EZ137" s="275"/>
      <c r="FA137" s="275"/>
      <c r="FB137" s="275"/>
      <c r="FC137" s="275"/>
      <c r="FD137" s="275"/>
      <c r="FE137" s="275"/>
      <c r="FF137" s="275"/>
      <c r="FG137" s="275"/>
      <c r="FH137" s="275"/>
      <c r="FI137" s="275"/>
      <c r="FJ137" s="275"/>
      <c r="FK137" s="275"/>
      <c r="FL137" s="275"/>
      <c r="FM137" s="275"/>
      <c r="FN137" s="275"/>
      <c r="FO137" s="275"/>
      <c r="FP137" s="275"/>
      <c r="FQ137" s="275"/>
      <c r="FR137" s="275"/>
      <c r="FS137" s="275"/>
      <c r="FT137" s="275"/>
      <c r="FU137" s="275"/>
      <c r="FV137" s="275"/>
      <c r="FW137" s="275"/>
      <c r="FX137" s="275"/>
      <c r="FY137" s="275"/>
      <c r="FZ137" s="275"/>
      <c r="GA137" s="275"/>
      <c r="GB137" s="275"/>
      <c r="GC137" s="275"/>
      <c r="GD137" s="275"/>
      <c r="GE137" s="275"/>
      <c r="GF137" s="275"/>
      <c r="GG137" s="275"/>
      <c r="GH137" s="275"/>
      <c r="GI137" s="275"/>
      <c r="GJ137" s="275"/>
      <c r="GK137" s="275"/>
      <c r="GL137" s="275"/>
      <c r="GM137" s="275"/>
      <c r="GN137" s="275"/>
      <c r="GO137" s="275"/>
      <c r="GP137" s="275"/>
      <c r="GQ137" s="275"/>
      <c r="GR137" s="275"/>
      <c r="GS137" s="275"/>
      <c r="GT137" s="275"/>
      <c r="GU137" s="275"/>
      <c r="GV137" s="275"/>
      <c r="GW137" s="275"/>
      <c r="GX137" s="275"/>
      <c r="GY137" s="275"/>
      <c r="GZ137" s="275"/>
      <c r="HA137" s="275"/>
      <c r="HB137" s="275"/>
      <c r="HC137" s="275"/>
      <c r="HD137" s="275"/>
      <c r="HE137" s="275"/>
      <c r="HF137" s="275"/>
      <c r="HG137" s="275"/>
      <c r="HH137" s="275"/>
      <c r="HI137" s="275"/>
      <c r="HJ137" s="275"/>
      <c r="HK137" s="275"/>
      <c r="HL137" s="275"/>
      <c r="HM137" s="275"/>
      <c r="HN137" s="275"/>
      <c r="HO137" s="275"/>
      <c r="HP137" s="275"/>
      <c r="HQ137" s="275"/>
      <c r="HR137" s="275"/>
    </row>
    <row r="138" spans="1:226" s="297" customFormat="1">
      <c r="A138" s="275"/>
      <c r="B138" s="21"/>
      <c r="C138" s="21"/>
      <c r="D138" s="21"/>
      <c r="E138" s="21"/>
      <c r="F138" s="275"/>
      <c r="G138" s="275"/>
      <c r="H138" s="275"/>
      <c r="I138" s="275"/>
      <c r="J138" s="275"/>
      <c r="K138" s="275"/>
      <c r="L138" s="275"/>
      <c r="M138" s="275"/>
      <c r="N138" s="275"/>
      <c r="O138" s="275"/>
      <c r="P138" s="275"/>
      <c r="Q138" s="275"/>
      <c r="R138" s="275"/>
      <c r="S138" s="275"/>
      <c r="T138" s="275"/>
      <c r="U138" s="275"/>
      <c r="V138" s="275"/>
      <c r="W138" s="275"/>
      <c r="X138" s="275"/>
      <c r="Y138" s="275"/>
      <c r="Z138" s="275"/>
      <c r="AA138" s="275"/>
      <c r="AB138" s="275"/>
      <c r="AC138" s="275"/>
      <c r="AD138" s="275"/>
      <c r="AE138" s="275"/>
      <c r="AF138" s="275"/>
      <c r="AG138" s="275"/>
      <c r="AH138" s="275"/>
      <c r="AJ138" s="275"/>
      <c r="AK138" s="275"/>
      <c r="AL138" s="275"/>
      <c r="AM138" s="275"/>
      <c r="AN138" s="275"/>
      <c r="AO138" s="275"/>
      <c r="AQ138" s="275"/>
      <c r="AR138" s="275"/>
      <c r="AS138" s="275"/>
      <c r="AT138" s="275"/>
      <c r="AU138" s="275"/>
      <c r="AV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D138" s="275"/>
      <c r="EE138" s="275"/>
      <c r="EF138" s="275"/>
      <c r="EG138" s="275"/>
      <c r="EH138" s="275"/>
      <c r="EI138" s="275"/>
      <c r="EJ138" s="275"/>
      <c r="EK138" s="275"/>
      <c r="EL138" s="275"/>
      <c r="EM138" s="275"/>
      <c r="EN138" s="275"/>
      <c r="EO138" s="275"/>
      <c r="EP138" s="275"/>
      <c r="EQ138" s="275"/>
      <c r="ER138" s="275"/>
      <c r="ES138" s="275"/>
      <c r="ET138" s="275"/>
      <c r="EU138"/>
      <c r="EV138"/>
      <c r="EW138" s="275"/>
      <c r="EX138" s="275"/>
      <c r="EY138" s="275"/>
      <c r="EZ138" s="275"/>
      <c r="FA138" s="275"/>
      <c r="FB138" s="275"/>
      <c r="FC138" s="275"/>
      <c r="FD138" s="275"/>
      <c r="FE138" s="275"/>
      <c r="FF138" s="275"/>
      <c r="FG138" s="275"/>
      <c r="FH138" s="275"/>
      <c r="FI138" s="275"/>
      <c r="FJ138" s="275"/>
      <c r="FK138" s="275"/>
      <c r="FL138" s="275"/>
      <c r="FM138" s="275"/>
      <c r="FN138" s="275"/>
      <c r="FO138" s="275"/>
      <c r="FP138" s="275"/>
      <c r="FQ138" s="275"/>
      <c r="FR138" s="275"/>
      <c r="FS138" s="275"/>
      <c r="FT138" s="275"/>
      <c r="FU138" s="275"/>
      <c r="FV138" s="275"/>
      <c r="FW138" s="275"/>
      <c r="FX138" s="275"/>
      <c r="FY138" s="275"/>
      <c r="FZ138" s="275"/>
      <c r="GA138" s="275"/>
      <c r="GB138" s="275"/>
      <c r="GC138" s="275"/>
      <c r="GD138" s="275"/>
      <c r="GE138" s="275"/>
      <c r="GF138" s="275"/>
      <c r="GG138" s="275"/>
      <c r="GH138" s="275"/>
      <c r="GI138" s="275"/>
      <c r="GJ138" s="275"/>
      <c r="GK138" s="275"/>
      <c r="GL138" s="275"/>
      <c r="GM138" s="275"/>
      <c r="GN138" s="275"/>
      <c r="GO138" s="275"/>
      <c r="GP138" s="275"/>
      <c r="GQ138" s="275"/>
      <c r="GR138" s="275"/>
      <c r="GS138" s="275"/>
      <c r="GT138" s="275"/>
      <c r="GU138" s="275"/>
      <c r="GV138" s="275"/>
      <c r="GW138" s="275"/>
      <c r="GX138" s="275"/>
      <c r="GY138" s="275"/>
      <c r="GZ138" s="275"/>
      <c r="HA138" s="275"/>
      <c r="HB138" s="275"/>
      <c r="HC138" s="275"/>
      <c r="HD138" s="275"/>
      <c r="HE138" s="275"/>
      <c r="HF138" s="275"/>
      <c r="HG138" s="275"/>
      <c r="HH138" s="275"/>
      <c r="HI138" s="275"/>
      <c r="HJ138" s="275"/>
      <c r="HK138" s="275"/>
      <c r="HL138" s="275"/>
      <c r="HM138" s="275"/>
      <c r="HN138" s="275"/>
      <c r="HO138" s="275"/>
      <c r="HP138" s="275"/>
      <c r="HQ138" s="275"/>
      <c r="HR138" s="275"/>
    </row>
    <row r="139" spans="1:226" s="297" customFormat="1">
      <c r="A139" s="275"/>
      <c r="B139" s="21"/>
      <c r="C139" s="21"/>
      <c r="D139" s="21"/>
      <c r="E139" s="21"/>
      <c r="F139" s="275"/>
      <c r="G139" s="275"/>
      <c r="H139" s="275"/>
      <c r="I139" s="275"/>
      <c r="J139" s="275"/>
      <c r="K139" s="275"/>
      <c r="L139" s="275"/>
      <c r="M139" s="275"/>
      <c r="N139" s="275"/>
      <c r="O139" s="275"/>
      <c r="P139" s="275"/>
      <c r="Q139" s="275"/>
      <c r="R139" s="275"/>
      <c r="S139" s="275"/>
      <c r="T139" s="275"/>
      <c r="U139" s="275"/>
      <c r="V139" s="275"/>
      <c r="W139" s="275"/>
      <c r="X139" s="275"/>
      <c r="Y139" s="275"/>
      <c r="Z139" s="275"/>
      <c r="AA139" s="275"/>
      <c r="AB139" s="275"/>
      <c r="AC139" s="275"/>
      <c r="AD139" s="275"/>
      <c r="AE139" s="275"/>
      <c r="AF139" s="275"/>
      <c r="AG139" s="275"/>
      <c r="AH139" s="275"/>
      <c r="AJ139" s="275"/>
      <c r="AK139" s="275"/>
      <c r="AL139" s="275"/>
      <c r="AM139" s="275"/>
      <c r="AN139" s="275"/>
      <c r="AO139" s="275"/>
      <c r="AQ139" s="275"/>
      <c r="AR139" s="275"/>
      <c r="AS139" s="275"/>
      <c r="AT139" s="275"/>
      <c r="AU139" s="275"/>
      <c r="AV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D139" s="275"/>
      <c r="EE139" s="275"/>
      <c r="EF139" s="275"/>
      <c r="EG139" s="275"/>
      <c r="EH139" s="275"/>
      <c r="EI139" s="275"/>
      <c r="EJ139" s="275"/>
      <c r="EK139" s="275"/>
      <c r="EL139" s="275"/>
      <c r="EM139" s="275"/>
      <c r="EN139" s="275"/>
      <c r="EO139" s="275"/>
      <c r="EP139" s="275"/>
      <c r="EQ139" s="275"/>
      <c r="ER139" s="275"/>
      <c r="ES139" s="275"/>
      <c r="ET139" s="275"/>
      <c r="EU139"/>
      <c r="EV139"/>
      <c r="EW139" s="275"/>
      <c r="EX139" s="275"/>
      <c r="EY139" s="275"/>
      <c r="EZ139" s="275"/>
      <c r="FA139" s="275"/>
      <c r="FB139" s="275"/>
      <c r="FC139" s="275"/>
      <c r="FD139" s="275"/>
      <c r="FE139" s="275"/>
      <c r="FF139" s="275"/>
      <c r="FG139" s="275"/>
      <c r="FH139" s="275"/>
      <c r="FI139" s="275"/>
      <c r="FJ139" s="275"/>
      <c r="FK139" s="275"/>
      <c r="FL139" s="275"/>
      <c r="FM139" s="275"/>
      <c r="FN139" s="275"/>
      <c r="FO139" s="275"/>
      <c r="FP139" s="275"/>
      <c r="FQ139" s="275"/>
      <c r="FR139" s="275"/>
      <c r="FS139" s="275"/>
      <c r="FT139" s="275"/>
      <c r="FU139" s="275"/>
      <c r="FV139" s="275"/>
      <c r="FW139" s="275"/>
      <c r="FX139" s="275"/>
      <c r="FY139" s="275"/>
      <c r="FZ139" s="275"/>
      <c r="GA139" s="275"/>
      <c r="GB139" s="275"/>
      <c r="GC139" s="275"/>
      <c r="GD139" s="275"/>
      <c r="GE139" s="275"/>
      <c r="GF139" s="275"/>
      <c r="GG139" s="275"/>
      <c r="GH139" s="275"/>
      <c r="GI139" s="275"/>
      <c r="GJ139" s="275"/>
      <c r="GK139" s="275"/>
      <c r="GL139" s="275"/>
      <c r="GM139" s="275"/>
      <c r="GN139" s="275"/>
      <c r="GO139" s="275"/>
      <c r="GP139" s="275"/>
      <c r="GQ139" s="275"/>
      <c r="GR139" s="275"/>
      <c r="GS139" s="275"/>
      <c r="GT139" s="275"/>
      <c r="GU139" s="275"/>
      <c r="GV139" s="275"/>
      <c r="GW139" s="275"/>
      <c r="GX139" s="275"/>
      <c r="GY139" s="275"/>
      <c r="GZ139" s="275"/>
      <c r="HA139" s="275"/>
      <c r="HB139" s="275"/>
      <c r="HC139" s="275"/>
      <c r="HD139" s="275"/>
      <c r="HE139" s="275"/>
      <c r="HF139" s="275"/>
      <c r="HG139" s="275"/>
      <c r="HH139" s="275"/>
      <c r="HI139" s="275"/>
      <c r="HJ139" s="275"/>
      <c r="HK139" s="275"/>
      <c r="HL139" s="275"/>
      <c r="HM139" s="275"/>
      <c r="HN139" s="275"/>
      <c r="HO139" s="275"/>
      <c r="HP139" s="275"/>
      <c r="HQ139" s="275"/>
      <c r="HR139" s="275"/>
    </row>
    <row r="140" spans="1:226" s="297" customFormat="1">
      <c r="A140" s="275"/>
      <c r="B140" s="21"/>
      <c r="C140" s="21"/>
      <c r="D140" s="21"/>
      <c r="E140" s="21"/>
      <c r="F140" s="275"/>
      <c r="G140" s="275"/>
      <c r="H140" s="275"/>
      <c r="I140" s="275"/>
      <c r="J140" s="275"/>
      <c r="K140" s="275"/>
      <c r="L140" s="275"/>
      <c r="M140" s="275"/>
      <c r="N140" s="275"/>
      <c r="O140" s="275"/>
      <c r="P140" s="275"/>
      <c r="Q140" s="275"/>
      <c r="R140" s="275"/>
      <c r="S140" s="275"/>
      <c r="T140" s="275"/>
      <c r="U140" s="275"/>
      <c r="V140" s="275"/>
      <c r="W140" s="275"/>
      <c r="X140" s="275"/>
      <c r="Y140" s="275"/>
      <c r="Z140" s="275"/>
      <c r="AA140" s="275"/>
      <c r="AB140" s="275"/>
      <c r="AC140" s="275"/>
      <c r="AD140" s="275"/>
      <c r="AE140" s="275"/>
      <c r="AF140" s="275"/>
      <c r="AG140" s="275"/>
      <c r="AH140" s="275"/>
      <c r="AJ140" s="275"/>
      <c r="AK140" s="275"/>
      <c r="AL140" s="275"/>
      <c r="AM140" s="275"/>
      <c r="AN140" s="275"/>
      <c r="AO140" s="275"/>
      <c r="AQ140" s="275"/>
      <c r="AR140" s="275"/>
      <c r="AS140" s="275"/>
      <c r="AT140" s="275"/>
      <c r="AU140" s="275"/>
      <c r="AV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D140" s="275"/>
      <c r="EE140" s="275"/>
      <c r="EF140" s="275"/>
      <c r="EG140" s="275"/>
      <c r="EH140" s="275"/>
      <c r="EI140" s="275"/>
      <c r="EJ140" s="275"/>
      <c r="EK140" s="275"/>
      <c r="EL140" s="275"/>
      <c r="EM140" s="275"/>
      <c r="EN140" s="275"/>
      <c r="EO140" s="275"/>
      <c r="EP140" s="275"/>
      <c r="EQ140" s="275"/>
      <c r="ER140" s="275"/>
      <c r="ES140" s="275"/>
      <c r="ET140" s="275"/>
      <c r="EU140"/>
      <c r="EV140"/>
      <c r="EW140" s="275"/>
      <c r="EX140" s="275"/>
      <c r="EY140" s="275"/>
      <c r="EZ140" s="275"/>
      <c r="FA140" s="275"/>
      <c r="FB140" s="275"/>
      <c r="FC140" s="275"/>
      <c r="FD140" s="275"/>
      <c r="FE140" s="275"/>
      <c r="FF140" s="275"/>
      <c r="FG140" s="275"/>
      <c r="FH140" s="275"/>
      <c r="FI140" s="275"/>
      <c r="FJ140" s="275"/>
      <c r="FK140" s="275"/>
      <c r="FL140" s="275"/>
      <c r="FM140" s="275"/>
      <c r="FN140" s="275"/>
      <c r="FO140" s="275"/>
      <c r="FP140" s="275"/>
      <c r="FQ140" s="275"/>
      <c r="FR140" s="275"/>
      <c r="FS140" s="275"/>
      <c r="FT140" s="275"/>
      <c r="FU140" s="275"/>
      <c r="FV140" s="275"/>
      <c r="FW140" s="275"/>
      <c r="FX140" s="275"/>
      <c r="FY140" s="275"/>
      <c r="FZ140" s="275"/>
      <c r="GA140" s="275"/>
      <c r="GB140" s="275"/>
      <c r="GC140" s="275"/>
      <c r="GD140" s="275"/>
      <c r="GE140" s="275"/>
      <c r="GF140" s="275"/>
      <c r="GG140" s="275"/>
      <c r="GH140" s="275"/>
      <c r="GI140" s="275"/>
      <c r="GJ140" s="275"/>
      <c r="GK140" s="275"/>
      <c r="GL140" s="275"/>
      <c r="GM140" s="275"/>
      <c r="GN140" s="275"/>
      <c r="GO140" s="275"/>
      <c r="GP140" s="275"/>
      <c r="GQ140" s="275"/>
      <c r="GR140" s="275"/>
      <c r="GS140" s="275"/>
      <c r="GT140" s="275"/>
      <c r="GU140" s="275"/>
      <c r="GV140" s="275"/>
      <c r="GW140" s="275"/>
      <c r="GX140" s="275"/>
      <c r="GY140" s="275"/>
      <c r="GZ140" s="275"/>
      <c r="HA140" s="275"/>
      <c r="HB140" s="275"/>
      <c r="HC140" s="275"/>
      <c r="HD140" s="275"/>
      <c r="HE140" s="275"/>
      <c r="HF140" s="275"/>
      <c r="HG140" s="275"/>
      <c r="HH140" s="275"/>
      <c r="HI140" s="275"/>
      <c r="HJ140" s="275"/>
      <c r="HK140" s="275"/>
      <c r="HL140" s="275"/>
      <c r="HM140" s="275"/>
      <c r="HN140" s="275"/>
      <c r="HO140" s="275"/>
      <c r="HP140" s="275"/>
      <c r="HQ140" s="275"/>
      <c r="HR140" s="275"/>
    </row>
    <row r="141" spans="1:226" s="297" customFormat="1">
      <c r="A141" s="275"/>
      <c r="B141" s="21"/>
      <c r="C141" s="21"/>
      <c r="D141" s="21"/>
      <c r="E141" s="21"/>
      <c r="F141" s="275"/>
      <c r="G141" s="275"/>
      <c r="H141" s="275"/>
      <c r="I141" s="275"/>
      <c r="J141" s="275"/>
      <c r="K141" s="275"/>
      <c r="L141" s="275"/>
      <c r="M141" s="275"/>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5"/>
      <c r="AJ141" s="275"/>
      <c r="AK141" s="275"/>
      <c r="AL141" s="275"/>
      <c r="AM141" s="275"/>
      <c r="AN141" s="275"/>
      <c r="AO141" s="275"/>
      <c r="AQ141" s="275"/>
      <c r="AR141" s="275"/>
      <c r="AS141" s="275"/>
      <c r="AT141" s="275"/>
      <c r="AU141" s="275"/>
      <c r="AV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D141" s="275"/>
      <c r="EE141" s="275"/>
      <c r="EF141" s="275"/>
      <c r="EG141" s="275"/>
      <c r="EH141" s="275"/>
      <c r="EI141" s="275"/>
      <c r="EJ141" s="275"/>
      <c r="EK141" s="275"/>
      <c r="EL141" s="275"/>
      <c r="EM141" s="275"/>
      <c r="EN141" s="275"/>
      <c r="EO141" s="275"/>
      <c r="EP141" s="275"/>
      <c r="EQ141" s="275"/>
      <c r="ER141" s="275"/>
      <c r="ES141" s="275"/>
      <c r="ET141" s="275"/>
      <c r="EU141"/>
      <c r="EV141"/>
      <c r="EW141" s="275"/>
      <c r="EX141" s="275"/>
      <c r="EY141" s="275"/>
      <c r="EZ141" s="275"/>
      <c r="FA141" s="275"/>
      <c r="FB141" s="275"/>
      <c r="FC141" s="275"/>
      <c r="FD141" s="275"/>
      <c r="FE141" s="275"/>
      <c r="FF141" s="275"/>
      <c r="FG141" s="275"/>
      <c r="FH141" s="275"/>
      <c r="FI141" s="275"/>
      <c r="FJ141" s="275"/>
      <c r="FK141" s="275"/>
      <c r="FL141" s="275"/>
      <c r="FM141" s="275"/>
      <c r="FN141" s="275"/>
      <c r="FO141" s="275"/>
      <c r="FP141" s="275"/>
      <c r="FQ141" s="275"/>
      <c r="FR141" s="275"/>
      <c r="FS141" s="275"/>
      <c r="FT141" s="275"/>
      <c r="FU141" s="275"/>
      <c r="FV141" s="275"/>
      <c r="FW141" s="275"/>
      <c r="FX141" s="275"/>
      <c r="FY141" s="275"/>
      <c r="FZ141" s="275"/>
      <c r="GA141" s="275"/>
      <c r="GB141" s="275"/>
      <c r="GC141" s="275"/>
      <c r="GD141" s="275"/>
      <c r="GE141" s="275"/>
      <c r="GF141" s="275"/>
      <c r="GG141" s="275"/>
      <c r="GH141" s="275"/>
      <c r="GI141" s="275"/>
      <c r="GJ141" s="275"/>
      <c r="GK141" s="275"/>
      <c r="GL141" s="275"/>
      <c r="GM141" s="275"/>
      <c r="GN141" s="275"/>
      <c r="GO141" s="275"/>
      <c r="GP141" s="275"/>
      <c r="GQ141" s="275"/>
      <c r="GR141" s="275"/>
      <c r="GS141" s="275"/>
      <c r="GT141" s="275"/>
      <c r="GU141" s="275"/>
      <c r="GV141" s="275"/>
      <c r="GW141" s="275"/>
      <c r="GX141" s="275"/>
      <c r="GY141" s="275"/>
      <c r="GZ141" s="275"/>
      <c r="HA141" s="275"/>
      <c r="HB141" s="275"/>
      <c r="HC141" s="275"/>
      <c r="HD141" s="275"/>
      <c r="HE141" s="275"/>
      <c r="HF141" s="275"/>
      <c r="HG141" s="275"/>
      <c r="HH141" s="275"/>
      <c r="HI141" s="275"/>
      <c r="HJ141" s="275"/>
      <c r="HK141" s="275"/>
      <c r="HL141" s="275"/>
      <c r="HM141" s="275"/>
      <c r="HN141" s="275"/>
      <c r="HO141" s="275"/>
      <c r="HP141" s="275"/>
      <c r="HQ141" s="275"/>
      <c r="HR141" s="275"/>
    </row>
    <row r="142" spans="1:226" s="297" customFormat="1">
      <c r="A142" s="275"/>
      <c r="B142" s="21"/>
      <c r="C142" s="21"/>
      <c r="D142" s="21"/>
      <c r="E142" s="21"/>
      <c r="F142" s="275"/>
      <c r="G142" s="275"/>
      <c r="H142" s="275"/>
      <c r="I142" s="275"/>
      <c r="J142" s="275"/>
      <c r="K142" s="275"/>
      <c r="L142" s="275"/>
      <c r="M142" s="275"/>
      <c r="N142" s="275"/>
      <c r="O142" s="275"/>
      <c r="P142" s="275"/>
      <c r="Q142" s="275"/>
      <c r="R142" s="275"/>
      <c r="S142" s="275"/>
      <c r="T142" s="275"/>
      <c r="U142" s="275"/>
      <c r="V142" s="275"/>
      <c r="W142" s="275"/>
      <c r="X142" s="275"/>
      <c r="Y142" s="275"/>
      <c r="Z142" s="275"/>
      <c r="AA142" s="275"/>
      <c r="AB142" s="275"/>
      <c r="AC142" s="275"/>
      <c r="AD142" s="275"/>
      <c r="AE142" s="275"/>
      <c r="AF142" s="275"/>
      <c r="AG142" s="275"/>
      <c r="AH142" s="275"/>
      <c r="AJ142" s="275"/>
      <c r="AK142" s="275"/>
      <c r="AL142" s="275"/>
      <c r="AM142" s="275"/>
      <c r="AN142" s="275"/>
      <c r="AO142" s="275"/>
      <c r="AQ142" s="275"/>
      <c r="AR142" s="275"/>
      <c r="AS142" s="275"/>
      <c r="AT142" s="275"/>
      <c r="AU142" s="275"/>
      <c r="AV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D142" s="275"/>
      <c r="EE142" s="275"/>
      <c r="EF142" s="275"/>
      <c r="EG142" s="275"/>
      <c r="EH142" s="275"/>
      <c r="EI142" s="275"/>
      <c r="EJ142" s="275"/>
      <c r="EK142" s="275"/>
      <c r="EL142" s="275"/>
      <c r="EM142" s="275"/>
      <c r="EN142" s="275"/>
      <c r="EO142" s="275"/>
      <c r="EP142" s="275"/>
      <c r="EQ142" s="275"/>
      <c r="ER142" s="275"/>
      <c r="ES142" s="275"/>
      <c r="ET142" s="275"/>
      <c r="EU142"/>
      <c r="EV142"/>
      <c r="EW142" s="275"/>
      <c r="EX142" s="275"/>
      <c r="EY142" s="275"/>
      <c r="EZ142" s="275"/>
      <c r="FA142" s="275"/>
      <c r="FB142" s="275"/>
      <c r="FC142" s="275"/>
      <c r="FD142" s="275"/>
      <c r="FE142" s="275"/>
      <c r="FF142" s="275"/>
      <c r="FG142" s="275"/>
      <c r="FH142" s="275"/>
      <c r="FI142" s="275"/>
      <c r="FJ142" s="275"/>
      <c r="FK142" s="275"/>
      <c r="FL142" s="275"/>
      <c r="FM142" s="275"/>
      <c r="FN142" s="275"/>
      <c r="FO142" s="275"/>
      <c r="FP142" s="275"/>
      <c r="FQ142" s="275"/>
      <c r="FR142" s="275"/>
      <c r="FS142" s="275"/>
      <c r="FT142" s="275"/>
      <c r="FU142" s="275"/>
      <c r="FV142" s="275"/>
      <c r="FW142" s="275"/>
      <c r="FX142" s="275"/>
      <c r="FY142" s="275"/>
      <c r="FZ142" s="275"/>
      <c r="GA142" s="275"/>
      <c r="GB142" s="275"/>
      <c r="GC142" s="275"/>
      <c r="GD142" s="275"/>
      <c r="GE142" s="275"/>
      <c r="GF142" s="275"/>
      <c r="GG142" s="275"/>
      <c r="GH142" s="275"/>
      <c r="GI142" s="275"/>
      <c r="GJ142" s="275"/>
      <c r="GK142" s="275"/>
      <c r="GL142" s="275"/>
      <c r="GM142" s="275"/>
      <c r="GN142" s="275"/>
      <c r="GO142" s="275"/>
      <c r="GP142" s="275"/>
      <c r="GQ142" s="275"/>
      <c r="GR142" s="275"/>
      <c r="GS142" s="275"/>
      <c r="GT142" s="275"/>
      <c r="GU142" s="275"/>
      <c r="GV142" s="275"/>
      <c r="GW142" s="275"/>
      <c r="GX142" s="275"/>
      <c r="GY142" s="275"/>
      <c r="GZ142" s="275"/>
      <c r="HA142" s="275"/>
      <c r="HB142" s="275"/>
      <c r="HC142" s="275"/>
      <c r="HD142" s="275"/>
      <c r="HE142" s="275"/>
      <c r="HF142" s="275"/>
      <c r="HG142" s="275"/>
      <c r="HH142" s="275"/>
      <c r="HI142" s="275"/>
      <c r="HJ142" s="275"/>
      <c r="HK142" s="275"/>
      <c r="HL142" s="275"/>
      <c r="HM142" s="275"/>
      <c r="HN142" s="275"/>
      <c r="HO142" s="275"/>
      <c r="HP142" s="275"/>
      <c r="HQ142" s="275"/>
      <c r="HR142" s="275"/>
    </row>
    <row r="143" spans="1:226" s="297" customFormat="1">
      <c r="A143" s="275"/>
      <c r="B143" s="21"/>
      <c r="C143" s="21"/>
      <c r="D143" s="21"/>
      <c r="E143" s="21"/>
      <c r="F143" s="275"/>
      <c r="G143" s="275"/>
      <c r="H143" s="275"/>
      <c r="I143" s="275"/>
      <c r="J143" s="275"/>
      <c r="K143" s="275"/>
      <c r="L143" s="275"/>
      <c r="M143" s="275"/>
      <c r="N143" s="275"/>
      <c r="O143" s="275"/>
      <c r="P143" s="275"/>
      <c r="Q143" s="275"/>
      <c r="R143" s="275"/>
      <c r="S143" s="275"/>
      <c r="T143" s="275"/>
      <c r="U143" s="275"/>
      <c r="V143" s="275"/>
      <c r="W143" s="275"/>
      <c r="X143" s="275"/>
      <c r="Y143" s="275"/>
      <c r="Z143" s="275"/>
      <c r="AA143" s="275"/>
      <c r="AB143" s="275"/>
      <c r="AC143" s="275"/>
      <c r="AD143" s="275"/>
      <c r="AE143" s="275"/>
      <c r="AF143" s="275"/>
      <c r="AG143" s="275"/>
      <c r="AH143" s="275"/>
      <c r="AJ143" s="275"/>
      <c r="AK143" s="275"/>
      <c r="AL143" s="275"/>
      <c r="AM143" s="275"/>
      <c r="AN143" s="275"/>
      <c r="AO143" s="275"/>
      <c r="AQ143" s="275"/>
      <c r="AR143" s="275"/>
      <c r="AS143" s="275"/>
      <c r="AT143" s="275"/>
      <c r="AU143" s="275"/>
      <c r="AV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D143" s="275"/>
      <c r="EE143" s="275"/>
      <c r="EF143" s="275"/>
      <c r="EG143" s="275"/>
      <c r="EH143" s="275"/>
      <c r="EI143" s="275"/>
      <c r="EJ143" s="275"/>
      <c r="EK143" s="275"/>
      <c r="EL143" s="275"/>
      <c r="EM143" s="275"/>
      <c r="EN143" s="275"/>
      <c r="EO143" s="275"/>
      <c r="EP143" s="275"/>
      <c r="EQ143" s="275"/>
      <c r="ER143" s="275"/>
      <c r="ES143" s="275"/>
      <c r="ET143" s="275"/>
      <c r="EU143"/>
      <c r="EV143"/>
      <c r="EW143" s="275"/>
      <c r="EX143" s="275"/>
      <c r="EY143" s="275"/>
      <c r="EZ143" s="275"/>
      <c r="FA143" s="275"/>
      <c r="FB143" s="275"/>
      <c r="FC143" s="275"/>
      <c r="FD143" s="275"/>
      <c r="FE143" s="275"/>
      <c r="FF143" s="275"/>
      <c r="FG143" s="275"/>
      <c r="FH143" s="275"/>
      <c r="FI143" s="275"/>
      <c r="FJ143" s="275"/>
      <c r="FK143" s="275"/>
      <c r="FL143" s="275"/>
      <c r="FM143" s="275"/>
      <c r="FN143" s="275"/>
      <c r="FO143" s="275"/>
      <c r="FP143" s="275"/>
      <c r="FQ143" s="275"/>
      <c r="FR143" s="275"/>
      <c r="FS143" s="275"/>
      <c r="FT143" s="275"/>
      <c r="FU143" s="275"/>
      <c r="FV143" s="275"/>
      <c r="FW143" s="275"/>
      <c r="FX143" s="275"/>
      <c r="FY143" s="275"/>
      <c r="FZ143" s="275"/>
      <c r="GA143" s="275"/>
      <c r="GB143" s="275"/>
      <c r="GC143" s="275"/>
      <c r="GD143" s="275"/>
      <c r="GE143" s="275"/>
      <c r="GF143" s="275"/>
      <c r="GG143" s="275"/>
      <c r="GH143" s="275"/>
      <c r="GI143" s="275"/>
      <c r="GJ143" s="275"/>
      <c r="GK143" s="275"/>
      <c r="GL143" s="275"/>
      <c r="GM143" s="275"/>
      <c r="GN143" s="275"/>
      <c r="GO143" s="275"/>
      <c r="GP143" s="275"/>
      <c r="GQ143" s="275"/>
      <c r="GR143" s="275"/>
      <c r="GS143" s="275"/>
      <c r="GT143" s="275"/>
      <c r="GU143" s="275"/>
      <c r="GV143" s="275"/>
      <c r="GW143" s="275"/>
      <c r="GX143" s="275"/>
      <c r="GY143" s="275"/>
      <c r="GZ143" s="275"/>
      <c r="HA143" s="275"/>
      <c r="HB143" s="275"/>
      <c r="HC143" s="275"/>
      <c r="HD143" s="275"/>
      <c r="HE143" s="275"/>
      <c r="HF143" s="275"/>
      <c r="HG143" s="275"/>
      <c r="HH143" s="275"/>
      <c r="HI143" s="275"/>
      <c r="HJ143" s="275"/>
      <c r="HK143" s="275"/>
      <c r="HL143" s="275"/>
      <c r="HM143" s="275"/>
      <c r="HN143" s="275"/>
      <c r="HO143" s="275"/>
      <c r="HP143" s="275"/>
      <c r="HQ143" s="275"/>
      <c r="HR143" s="275"/>
    </row>
    <row r="144" spans="1:226" s="297" customFormat="1">
      <c r="A144" s="275"/>
      <c r="B144" s="21"/>
      <c r="C144" s="21"/>
      <c r="D144" s="21"/>
      <c r="E144" s="21"/>
      <c r="F144" s="275"/>
      <c r="G144" s="275"/>
      <c r="H144" s="275"/>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c r="AE144" s="275"/>
      <c r="AF144" s="275"/>
      <c r="AG144" s="275"/>
      <c r="AH144" s="275"/>
      <c r="AJ144" s="275"/>
      <c r="AK144" s="275"/>
      <c r="AL144" s="275"/>
      <c r="AM144" s="275"/>
      <c r="AN144" s="275"/>
      <c r="AO144" s="275"/>
      <c r="AQ144" s="275"/>
      <c r="AR144" s="275"/>
      <c r="AS144" s="275"/>
      <c r="AT144" s="275"/>
      <c r="AU144" s="275"/>
      <c r="AV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D144" s="275"/>
      <c r="EE144" s="275"/>
      <c r="EF144" s="275"/>
      <c r="EG144" s="275"/>
      <c r="EH144" s="275"/>
      <c r="EI144" s="275"/>
      <c r="EJ144" s="275"/>
      <c r="EK144" s="275"/>
      <c r="EL144" s="275"/>
      <c r="EM144" s="275"/>
      <c r="EN144" s="275"/>
      <c r="EO144" s="275"/>
      <c r="EP144" s="275"/>
      <c r="EQ144" s="275"/>
      <c r="ER144" s="275"/>
      <c r="ES144" s="275"/>
      <c r="ET144" s="275"/>
      <c r="EU144"/>
      <c r="EV144"/>
      <c r="EW144" s="275"/>
      <c r="EX144" s="275"/>
      <c r="EY144" s="275"/>
      <c r="EZ144" s="275"/>
      <c r="FA144" s="275"/>
      <c r="FB144" s="275"/>
      <c r="FC144" s="275"/>
      <c r="FD144" s="275"/>
      <c r="FE144" s="275"/>
      <c r="FF144" s="275"/>
      <c r="FG144" s="275"/>
      <c r="FH144" s="275"/>
      <c r="FI144" s="275"/>
      <c r="FJ144" s="275"/>
      <c r="FK144" s="275"/>
      <c r="FL144" s="275"/>
      <c r="FM144" s="275"/>
      <c r="FN144" s="275"/>
      <c r="FO144" s="275"/>
      <c r="FP144" s="275"/>
      <c r="FQ144" s="275"/>
      <c r="FR144" s="275"/>
      <c r="FS144" s="275"/>
      <c r="FT144" s="275"/>
      <c r="FU144" s="275"/>
      <c r="FV144" s="275"/>
      <c r="FW144" s="275"/>
      <c r="FX144" s="275"/>
      <c r="FY144" s="275"/>
      <c r="FZ144" s="275"/>
      <c r="GA144" s="275"/>
      <c r="GB144" s="275"/>
      <c r="GC144" s="275"/>
      <c r="GD144" s="275"/>
      <c r="GE144" s="275"/>
      <c r="GF144" s="275"/>
      <c r="GG144" s="275"/>
      <c r="GH144" s="275"/>
      <c r="GI144" s="275"/>
      <c r="GJ144" s="275"/>
      <c r="GK144" s="275"/>
      <c r="GL144" s="275"/>
      <c r="GM144" s="275"/>
      <c r="GN144" s="275"/>
      <c r="GO144" s="275"/>
      <c r="GP144" s="275"/>
      <c r="GQ144" s="275"/>
      <c r="GR144" s="275"/>
      <c r="GS144" s="275"/>
      <c r="GT144" s="275"/>
      <c r="GU144" s="275"/>
      <c r="GV144" s="275"/>
      <c r="GW144" s="275"/>
      <c r="GX144" s="275"/>
      <c r="GY144" s="275"/>
      <c r="GZ144" s="275"/>
      <c r="HA144" s="275"/>
      <c r="HB144" s="275"/>
      <c r="HC144" s="275"/>
      <c r="HD144" s="275"/>
      <c r="HE144" s="275"/>
      <c r="HF144" s="275"/>
      <c r="HG144" s="275"/>
      <c r="HH144" s="275"/>
      <c r="HI144" s="275"/>
      <c r="HJ144" s="275"/>
      <c r="HK144" s="275"/>
      <c r="HL144" s="275"/>
      <c r="HM144" s="275"/>
      <c r="HN144" s="275"/>
      <c r="HO144" s="275"/>
      <c r="HP144" s="275"/>
      <c r="HQ144" s="275"/>
      <c r="HR144" s="275"/>
    </row>
    <row r="145" spans="1:226" s="297" customFormat="1">
      <c r="A145" s="275"/>
      <c r="B145" s="21"/>
      <c r="C145" s="21"/>
      <c r="D145" s="21"/>
      <c r="E145" s="21"/>
      <c r="F145" s="275"/>
      <c r="G145" s="275"/>
      <c r="H145" s="275"/>
      <c r="I145" s="275"/>
      <c r="J145" s="275"/>
      <c r="K145" s="275"/>
      <c r="L145" s="275"/>
      <c r="M145" s="275"/>
      <c r="N145" s="275"/>
      <c r="O145" s="275"/>
      <c r="P145" s="275"/>
      <c r="Q145" s="275"/>
      <c r="R145" s="275"/>
      <c r="S145" s="275"/>
      <c r="T145" s="275"/>
      <c r="U145" s="275"/>
      <c r="V145" s="275"/>
      <c r="W145" s="275"/>
      <c r="X145" s="275"/>
      <c r="Y145" s="275"/>
      <c r="Z145" s="275"/>
      <c r="AA145" s="275"/>
      <c r="AB145" s="275"/>
      <c r="AC145" s="275"/>
      <c r="AD145" s="275"/>
      <c r="AE145" s="275"/>
      <c r="AF145" s="275"/>
      <c r="AG145" s="275"/>
      <c r="AH145" s="275"/>
      <c r="AJ145" s="275"/>
      <c r="AK145" s="275"/>
      <c r="AL145" s="275"/>
      <c r="AM145" s="275"/>
      <c r="AN145" s="275"/>
      <c r="AO145" s="275"/>
      <c r="AQ145" s="275"/>
      <c r="AR145" s="275"/>
      <c r="AS145" s="275"/>
      <c r="AT145" s="275"/>
      <c r="AU145" s="275"/>
      <c r="AV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D145" s="275"/>
      <c r="EE145" s="275"/>
      <c r="EF145" s="275"/>
      <c r="EG145" s="275"/>
      <c r="EH145" s="275"/>
      <c r="EI145" s="275"/>
      <c r="EJ145" s="275"/>
      <c r="EK145" s="275"/>
      <c r="EL145" s="275"/>
      <c r="EM145" s="275"/>
      <c r="EN145" s="275"/>
      <c r="EO145" s="275"/>
      <c r="EP145" s="275"/>
      <c r="EQ145" s="275"/>
      <c r="ER145" s="275"/>
      <c r="ES145" s="275"/>
      <c r="ET145" s="275"/>
      <c r="EU145"/>
      <c r="EV145"/>
      <c r="EW145" s="275"/>
      <c r="EX145" s="275"/>
      <c r="EY145" s="275"/>
      <c r="EZ145" s="275"/>
      <c r="FA145" s="275"/>
      <c r="FB145" s="275"/>
      <c r="FC145" s="275"/>
      <c r="FD145" s="275"/>
      <c r="FE145" s="275"/>
      <c r="FF145" s="275"/>
      <c r="FG145" s="275"/>
      <c r="FH145" s="275"/>
      <c r="FI145" s="275"/>
      <c r="FJ145" s="275"/>
      <c r="FK145" s="275"/>
      <c r="FL145" s="275"/>
      <c r="FM145" s="275"/>
      <c r="FN145" s="275"/>
      <c r="FO145" s="275"/>
      <c r="FP145" s="275"/>
      <c r="FQ145" s="275"/>
      <c r="FR145" s="275"/>
      <c r="FS145" s="275"/>
      <c r="FT145" s="275"/>
      <c r="FU145" s="275"/>
      <c r="FV145" s="275"/>
      <c r="FW145" s="275"/>
      <c r="FX145" s="275"/>
      <c r="FY145" s="275"/>
      <c r="FZ145" s="275"/>
      <c r="GA145" s="275"/>
      <c r="GB145" s="275"/>
      <c r="GC145" s="275"/>
      <c r="GD145" s="275"/>
      <c r="GE145" s="275"/>
      <c r="GF145" s="275"/>
      <c r="GG145" s="275"/>
      <c r="GH145" s="275"/>
      <c r="GI145" s="275"/>
      <c r="GJ145" s="275"/>
      <c r="GK145" s="275"/>
      <c r="GL145" s="275"/>
      <c r="GM145" s="275"/>
      <c r="GN145" s="275"/>
      <c r="GO145" s="275"/>
      <c r="GP145" s="275"/>
      <c r="GQ145" s="275"/>
      <c r="GR145" s="275"/>
      <c r="GS145" s="275"/>
      <c r="GT145" s="275"/>
      <c r="GU145" s="275"/>
      <c r="GV145" s="275"/>
      <c r="GW145" s="275"/>
      <c r="GX145" s="275"/>
      <c r="GY145" s="275"/>
      <c r="GZ145" s="275"/>
      <c r="HA145" s="275"/>
      <c r="HB145" s="275"/>
      <c r="HC145" s="275"/>
      <c r="HD145" s="275"/>
      <c r="HE145" s="275"/>
      <c r="HF145" s="275"/>
      <c r="HG145" s="275"/>
      <c r="HH145" s="275"/>
      <c r="HI145" s="275"/>
      <c r="HJ145" s="275"/>
      <c r="HK145" s="275"/>
      <c r="HL145" s="275"/>
      <c r="HM145" s="275"/>
      <c r="HN145" s="275"/>
      <c r="HO145" s="275"/>
      <c r="HP145" s="275"/>
      <c r="HQ145" s="275"/>
      <c r="HR145" s="275"/>
    </row>
    <row r="146" spans="1:226" s="297" customFormat="1">
      <c r="A146" s="275"/>
      <c r="B146" s="21"/>
      <c r="C146" s="21"/>
      <c r="D146" s="21"/>
      <c r="E146" s="21"/>
      <c r="F146" s="275"/>
      <c r="G146" s="275"/>
      <c r="H146" s="275"/>
      <c r="I146" s="275"/>
      <c r="J146" s="275"/>
      <c r="K146" s="275"/>
      <c r="L146" s="275"/>
      <c r="M146" s="275"/>
      <c r="N146" s="275"/>
      <c r="O146" s="275"/>
      <c r="P146" s="275"/>
      <c r="Q146" s="275"/>
      <c r="R146" s="275"/>
      <c r="S146" s="275"/>
      <c r="T146" s="275"/>
      <c r="U146" s="275"/>
      <c r="V146" s="275"/>
      <c r="W146" s="275"/>
      <c r="X146" s="275"/>
      <c r="Y146" s="275"/>
      <c r="Z146" s="275"/>
      <c r="AA146" s="275"/>
      <c r="AB146" s="275"/>
      <c r="AC146" s="275"/>
      <c r="AD146" s="275"/>
      <c r="AE146" s="275"/>
      <c r="AF146" s="275"/>
      <c r="AG146" s="275"/>
      <c r="AH146" s="275"/>
      <c r="AJ146" s="275"/>
      <c r="AK146" s="275"/>
      <c r="AL146" s="275"/>
      <c r="AM146" s="275"/>
      <c r="AN146" s="275"/>
      <c r="AO146" s="275"/>
      <c r="AQ146" s="275"/>
      <c r="AR146" s="275"/>
      <c r="AS146" s="275"/>
      <c r="AT146" s="275"/>
      <c r="AU146" s="275"/>
      <c r="AV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D146" s="275"/>
      <c r="EE146" s="275"/>
      <c r="EF146" s="275"/>
      <c r="EG146" s="275"/>
      <c r="EH146" s="275"/>
      <c r="EI146" s="275"/>
      <c r="EJ146" s="275"/>
      <c r="EK146" s="275"/>
      <c r="EL146" s="275"/>
      <c r="EM146" s="275"/>
      <c r="EN146" s="275"/>
      <c r="EO146" s="275"/>
      <c r="EP146" s="275"/>
      <c r="EQ146" s="275"/>
      <c r="ER146" s="275"/>
      <c r="ES146" s="275"/>
      <c r="ET146" s="275"/>
      <c r="EU146"/>
      <c r="EV146"/>
      <c r="EW146" s="275"/>
      <c r="EX146" s="275"/>
      <c r="EY146" s="275"/>
      <c r="EZ146" s="275"/>
      <c r="FA146" s="275"/>
      <c r="FB146" s="275"/>
      <c r="FC146" s="275"/>
      <c r="FD146" s="275"/>
      <c r="FE146" s="275"/>
      <c r="FF146" s="275"/>
      <c r="FG146" s="275"/>
      <c r="FH146" s="275"/>
      <c r="FI146" s="275"/>
      <c r="FJ146" s="275"/>
      <c r="FK146" s="275"/>
      <c r="FL146" s="275"/>
      <c r="FM146" s="275"/>
      <c r="FN146" s="275"/>
      <c r="FO146" s="275"/>
      <c r="FP146" s="275"/>
      <c r="FQ146" s="275"/>
      <c r="FR146" s="275"/>
      <c r="FS146" s="275"/>
      <c r="FT146" s="275"/>
      <c r="FU146" s="275"/>
      <c r="FV146" s="275"/>
      <c r="FW146" s="275"/>
      <c r="FX146" s="275"/>
      <c r="FY146" s="275"/>
      <c r="FZ146" s="275"/>
      <c r="GA146" s="275"/>
      <c r="GB146" s="275"/>
      <c r="GC146" s="275"/>
      <c r="GD146" s="275"/>
      <c r="GE146" s="275"/>
      <c r="GF146" s="275"/>
      <c r="GG146" s="275"/>
      <c r="GH146" s="275"/>
      <c r="GI146" s="275"/>
      <c r="GJ146" s="275"/>
      <c r="GK146" s="275"/>
      <c r="GL146" s="275"/>
      <c r="GM146" s="275"/>
      <c r="GN146" s="275"/>
      <c r="GO146" s="275"/>
      <c r="GP146" s="275"/>
      <c r="GQ146" s="275"/>
      <c r="GR146" s="275"/>
      <c r="GS146" s="275"/>
      <c r="GT146" s="275"/>
      <c r="GU146" s="275"/>
      <c r="GV146" s="275"/>
      <c r="GW146" s="275"/>
      <c r="GX146" s="275"/>
      <c r="GY146" s="275"/>
      <c r="GZ146" s="275"/>
      <c r="HA146" s="275"/>
      <c r="HB146" s="275"/>
      <c r="HC146" s="275"/>
      <c r="HD146" s="275"/>
      <c r="HE146" s="275"/>
      <c r="HF146" s="275"/>
      <c r="HG146" s="275"/>
      <c r="HH146" s="275"/>
      <c r="HI146" s="275"/>
      <c r="HJ146" s="275"/>
      <c r="HK146" s="275"/>
      <c r="HL146" s="275"/>
      <c r="HM146" s="275"/>
      <c r="HN146" s="275"/>
      <c r="HO146" s="275"/>
      <c r="HP146" s="275"/>
      <c r="HQ146" s="275"/>
      <c r="HR146" s="275"/>
    </row>
    <row r="147" spans="1:226" s="297" customFormat="1">
      <c r="A147" s="275"/>
      <c r="B147" s="21"/>
      <c r="C147" s="21"/>
      <c r="D147" s="21"/>
      <c r="E147" s="21"/>
      <c r="F147" s="275"/>
      <c r="G147" s="275"/>
      <c r="H147" s="275"/>
      <c r="I147" s="275"/>
      <c r="J147" s="275"/>
      <c r="K147" s="275"/>
      <c r="L147" s="275"/>
      <c r="M147" s="275"/>
      <c r="N147" s="275"/>
      <c r="O147" s="275"/>
      <c r="P147" s="275"/>
      <c r="Q147" s="275"/>
      <c r="R147" s="275"/>
      <c r="S147" s="275"/>
      <c r="T147" s="275"/>
      <c r="U147" s="275"/>
      <c r="V147" s="275"/>
      <c r="W147" s="275"/>
      <c r="X147" s="275"/>
      <c r="Y147" s="275"/>
      <c r="Z147" s="275"/>
      <c r="AA147" s="275"/>
      <c r="AB147" s="275"/>
      <c r="AC147" s="275"/>
      <c r="AD147" s="275"/>
      <c r="AE147" s="275"/>
      <c r="AF147" s="275"/>
      <c r="AG147" s="275"/>
      <c r="AH147" s="275"/>
      <c r="AJ147" s="275"/>
      <c r="AK147" s="275"/>
      <c r="AL147" s="275"/>
      <c r="AM147" s="275"/>
      <c r="AN147" s="275"/>
      <c r="AO147" s="275"/>
      <c r="AQ147" s="275"/>
      <c r="AR147" s="275"/>
      <c r="AS147" s="275"/>
      <c r="AT147" s="275"/>
      <c r="AU147" s="275"/>
      <c r="AV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D147" s="275"/>
      <c r="EE147" s="275"/>
      <c r="EF147" s="275"/>
      <c r="EG147" s="275"/>
      <c r="EH147" s="275"/>
      <c r="EI147" s="275"/>
      <c r="EJ147" s="275"/>
      <c r="EK147" s="275"/>
      <c r="EL147" s="275"/>
      <c r="EM147" s="275"/>
      <c r="EN147" s="275"/>
      <c r="EO147" s="275"/>
      <c r="EP147" s="275"/>
      <c r="EQ147" s="275"/>
      <c r="ER147" s="275"/>
      <c r="ES147" s="275"/>
      <c r="ET147" s="275"/>
      <c r="EU147"/>
      <c r="EV147"/>
      <c r="EW147" s="275"/>
      <c r="EX147" s="275"/>
      <c r="EY147" s="275"/>
      <c r="EZ147" s="275"/>
      <c r="FA147" s="275"/>
      <c r="FB147" s="275"/>
      <c r="FC147" s="275"/>
      <c r="FD147" s="275"/>
      <c r="FE147" s="275"/>
      <c r="FF147" s="275"/>
      <c r="FG147" s="275"/>
      <c r="FH147" s="275"/>
      <c r="FI147" s="275"/>
      <c r="FJ147" s="275"/>
      <c r="FK147" s="275"/>
      <c r="FL147" s="275"/>
      <c r="FM147" s="275"/>
      <c r="FN147" s="275"/>
      <c r="FO147" s="275"/>
      <c r="FP147" s="275"/>
      <c r="FQ147" s="275"/>
      <c r="FR147" s="275"/>
      <c r="FS147" s="275"/>
      <c r="FT147" s="275"/>
      <c r="FU147" s="275"/>
      <c r="FV147" s="275"/>
      <c r="FW147" s="275"/>
      <c r="FX147" s="275"/>
      <c r="FY147" s="275"/>
      <c r="FZ147" s="275"/>
      <c r="GA147" s="275"/>
      <c r="GB147" s="275"/>
      <c r="GC147" s="275"/>
      <c r="GD147" s="275"/>
      <c r="GE147" s="275"/>
      <c r="GF147" s="275"/>
      <c r="GG147" s="275"/>
      <c r="GH147" s="275"/>
      <c r="GI147" s="275"/>
      <c r="GJ147" s="275"/>
      <c r="GK147" s="275"/>
      <c r="GL147" s="275"/>
      <c r="GM147" s="275"/>
      <c r="GN147" s="275"/>
      <c r="GO147" s="275"/>
      <c r="GP147" s="275"/>
      <c r="GQ147" s="275"/>
      <c r="GR147" s="275"/>
      <c r="GS147" s="275"/>
      <c r="GT147" s="275"/>
      <c r="GU147" s="275"/>
      <c r="GV147" s="275"/>
      <c r="GW147" s="275"/>
      <c r="GX147" s="275"/>
      <c r="GY147" s="275"/>
      <c r="GZ147" s="275"/>
      <c r="HA147" s="275"/>
      <c r="HB147" s="275"/>
      <c r="HC147" s="275"/>
      <c r="HD147" s="275"/>
      <c r="HE147" s="275"/>
      <c r="HF147" s="275"/>
      <c r="HG147" s="275"/>
      <c r="HH147" s="275"/>
      <c r="HI147" s="275"/>
      <c r="HJ147" s="275"/>
      <c r="HK147" s="275"/>
      <c r="HL147" s="275"/>
      <c r="HM147" s="275"/>
      <c r="HN147" s="275"/>
      <c r="HO147" s="275"/>
      <c r="HP147" s="275"/>
      <c r="HQ147" s="275"/>
      <c r="HR147" s="275"/>
    </row>
    <row r="148" spans="1:226" s="297" customFormat="1">
      <c r="A148" s="275"/>
      <c r="B148" s="21"/>
      <c r="C148" s="21"/>
      <c r="D148" s="21"/>
      <c r="E148" s="21"/>
      <c r="F148" s="275"/>
      <c r="G148" s="275"/>
      <c r="H148" s="275"/>
      <c r="I148" s="275"/>
      <c r="J148" s="275"/>
      <c r="K148" s="275"/>
      <c r="L148" s="275"/>
      <c r="M148" s="275"/>
      <c r="N148" s="275"/>
      <c r="O148" s="275"/>
      <c r="P148" s="275"/>
      <c r="Q148" s="275"/>
      <c r="R148" s="275"/>
      <c r="S148" s="275"/>
      <c r="T148" s="275"/>
      <c r="U148" s="275"/>
      <c r="V148" s="275"/>
      <c r="W148" s="275"/>
      <c r="X148" s="275"/>
      <c r="Y148" s="275"/>
      <c r="Z148" s="275"/>
      <c r="AA148" s="275"/>
      <c r="AB148" s="275"/>
      <c r="AC148" s="275"/>
      <c r="AD148" s="275"/>
      <c r="AE148" s="275"/>
      <c r="AF148" s="275"/>
      <c r="AG148" s="275"/>
      <c r="AH148" s="275"/>
      <c r="AJ148" s="275"/>
      <c r="AK148" s="275"/>
      <c r="AL148" s="275"/>
      <c r="AM148" s="275"/>
      <c r="AN148" s="275"/>
      <c r="AO148" s="275"/>
      <c r="AQ148" s="275"/>
      <c r="AR148" s="275"/>
      <c r="AS148" s="275"/>
      <c r="AT148" s="275"/>
      <c r="AU148" s="275"/>
      <c r="AV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D148" s="275"/>
      <c r="EE148" s="275"/>
      <c r="EF148" s="275"/>
      <c r="EG148" s="275"/>
      <c r="EH148" s="275"/>
      <c r="EI148" s="275"/>
      <c r="EJ148" s="275"/>
      <c r="EK148" s="275"/>
      <c r="EL148" s="275"/>
      <c r="EM148" s="275"/>
      <c r="EN148" s="275"/>
      <c r="EO148" s="275"/>
      <c r="EP148" s="275"/>
      <c r="EQ148" s="275"/>
      <c r="ER148" s="275"/>
      <c r="ES148" s="275"/>
      <c r="ET148" s="275"/>
      <c r="EU148"/>
      <c r="EV148"/>
      <c r="EW148" s="275"/>
      <c r="EX148" s="275"/>
      <c r="EY148" s="275"/>
      <c r="EZ148" s="275"/>
      <c r="FA148" s="275"/>
      <c r="FB148" s="275"/>
      <c r="FC148" s="275"/>
      <c r="FD148" s="275"/>
      <c r="FE148" s="275"/>
      <c r="FF148" s="275"/>
      <c r="FG148" s="275"/>
      <c r="FH148" s="275"/>
      <c r="FI148" s="275"/>
      <c r="FJ148" s="275"/>
      <c r="FK148" s="275"/>
      <c r="FL148" s="275"/>
      <c r="FM148" s="275"/>
      <c r="FN148" s="275"/>
      <c r="FO148" s="275"/>
      <c r="FP148" s="275"/>
      <c r="FQ148" s="275"/>
      <c r="FR148" s="275"/>
      <c r="FS148" s="275"/>
      <c r="FT148" s="275"/>
      <c r="FU148" s="275"/>
      <c r="FV148" s="275"/>
      <c r="FW148" s="275"/>
      <c r="FX148" s="275"/>
      <c r="FY148" s="275"/>
      <c r="FZ148" s="275"/>
      <c r="GA148" s="275"/>
      <c r="GB148" s="275"/>
      <c r="GC148" s="275"/>
      <c r="GD148" s="275"/>
      <c r="GE148" s="275"/>
      <c r="GF148" s="275"/>
      <c r="GG148" s="275"/>
      <c r="GH148" s="275"/>
      <c r="GI148" s="275"/>
      <c r="GJ148" s="275"/>
      <c r="GK148" s="275"/>
      <c r="GL148" s="275"/>
      <c r="GM148" s="275"/>
      <c r="GN148" s="275"/>
      <c r="GO148" s="275"/>
      <c r="GP148" s="275"/>
      <c r="GQ148" s="275"/>
      <c r="GR148" s="275"/>
      <c r="GS148" s="275"/>
      <c r="GT148" s="275"/>
      <c r="GU148" s="275"/>
      <c r="GV148" s="275"/>
      <c r="GW148" s="275"/>
      <c r="GX148" s="275"/>
      <c r="GY148" s="275"/>
      <c r="GZ148" s="275"/>
      <c r="HA148" s="275"/>
      <c r="HB148" s="275"/>
      <c r="HC148" s="275"/>
      <c r="HD148" s="275"/>
      <c r="HE148" s="275"/>
      <c r="HF148" s="275"/>
      <c r="HG148" s="275"/>
      <c r="HH148" s="275"/>
      <c r="HI148" s="275"/>
      <c r="HJ148" s="275"/>
      <c r="HK148" s="275"/>
      <c r="HL148" s="275"/>
      <c r="HM148" s="275"/>
      <c r="HN148" s="275"/>
      <c r="HO148" s="275"/>
      <c r="HP148" s="275"/>
      <c r="HQ148" s="275"/>
      <c r="HR148" s="275"/>
    </row>
    <row r="149" spans="1:226" s="297" customFormat="1">
      <c r="A149" s="275"/>
      <c r="B149" s="21"/>
      <c r="C149" s="21"/>
      <c r="D149" s="21"/>
      <c r="E149" s="21"/>
      <c r="F149" s="275"/>
      <c r="G149" s="275"/>
      <c r="H149" s="275"/>
      <c r="I149" s="275"/>
      <c r="J149" s="275"/>
      <c r="K149" s="275"/>
      <c r="L149" s="275"/>
      <c r="M149" s="275"/>
      <c r="N149" s="275"/>
      <c r="O149" s="275"/>
      <c r="P149" s="275"/>
      <c r="Q149" s="275"/>
      <c r="R149" s="275"/>
      <c r="S149" s="275"/>
      <c r="T149" s="275"/>
      <c r="U149" s="275"/>
      <c r="V149" s="275"/>
      <c r="W149" s="275"/>
      <c r="X149" s="275"/>
      <c r="Y149" s="275"/>
      <c r="Z149" s="275"/>
      <c r="AA149" s="275"/>
      <c r="AB149" s="275"/>
      <c r="AC149" s="275"/>
      <c r="AD149" s="275"/>
      <c r="AE149" s="275"/>
      <c r="AF149" s="275"/>
      <c r="AG149" s="275"/>
      <c r="AH149" s="275"/>
      <c r="AJ149" s="275"/>
      <c r="AK149" s="275"/>
      <c r="AL149" s="275"/>
      <c r="AM149" s="275"/>
      <c r="AN149" s="275"/>
      <c r="AO149" s="275"/>
      <c r="AQ149" s="275"/>
      <c r="AR149" s="275"/>
      <c r="AS149" s="275"/>
      <c r="AT149" s="275"/>
      <c r="AU149" s="275"/>
      <c r="AV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D149" s="275"/>
      <c r="EE149" s="275"/>
      <c r="EF149" s="275"/>
      <c r="EG149" s="275"/>
      <c r="EH149" s="275"/>
      <c r="EI149" s="275"/>
      <c r="EJ149" s="275"/>
      <c r="EK149" s="275"/>
      <c r="EL149" s="275"/>
      <c r="EM149" s="275"/>
      <c r="EN149" s="275"/>
      <c r="EO149" s="275"/>
      <c r="EP149" s="275"/>
      <c r="EQ149" s="275"/>
      <c r="ER149" s="275"/>
      <c r="ES149" s="275"/>
      <c r="ET149" s="275"/>
      <c r="EU149"/>
      <c r="EV149"/>
      <c r="EW149" s="275"/>
      <c r="EX149" s="275"/>
      <c r="EY149" s="275"/>
      <c r="EZ149" s="275"/>
      <c r="FA149" s="275"/>
      <c r="FB149" s="275"/>
      <c r="FC149" s="275"/>
      <c r="FD149" s="275"/>
      <c r="FE149" s="275"/>
      <c r="FF149" s="275"/>
      <c r="FG149" s="275"/>
      <c r="FH149" s="275"/>
      <c r="FI149" s="275"/>
      <c r="FJ149" s="275"/>
      <c r="FK149" s="275"/>
      <c r="FL149" s="275"/>
      <c r="FM149" s="275"/>
      <c r="FN149" s="275"/>
      <c r="FO149" s="275"/>
      <c r="FP149" s="275"/>
      <c r="FQ149" s="275"/>
      <c r="FR149" s="275"/>
      <c r="FS149" s="275"/>
      <c r="FT149" s="275"/>
      <c r="FU149" s="275"/>
      <c r="FV149" s="275"/>
      <c r="FW149" s="275"/>
      <c r="FX149" s="275"/>
      <c r="FY149" s="275"/>
      <c r="FZ149" s="275"/>
      <c r="GA149" s="275"/>
      <c r="GB149" s="275"/>
      <c r="GC149" s="275"/>
      <c r="GD149" s="275"/>
      <c r="GE149" s="275"/>
      <c r="GF149" s="275"/>
      <c r="GG149" s="275"/>
      <c r="GH149" s="275"/>
      <c r="GI149" s="275"/>
      <c r="GJ149" s="275"/>
      <c r="GK149" s="275"/>
      <c r="GL149" s="275"/>
      <c r="GM149" s="275"/>
      <c r="GN149" s="275"/>
      <c r="GO149" s="275"/>
      <c r="GP149" s="275"/>
      <c r="GQ149" s="275"/>
      <c r="GR149" s="275"/>
      <c r="GS149" s="275"/>
      <c r="GT149" s="275"/>
      <c r="GU149" s="275"/>
      <c r="GV149" s="275"/>
      <c r="GW149" s="275"/>
      <c r="GX149" s="275"/>
      <c r="GY149" s="275"/>
      <c r="GZ149" s="275"/>
      <c r="HA149" s="275"/>
      <c r="HB149" s="275"/>
      <c r="HC149" s="275"/>
      <c r="HD149" s="275"/>
      <c r="HE149" s="275"/>
      <c r="HF149" s="275"/>
      <c r="HG149" s="275"/>
      <c r="HH149" s="275"/>
      <c r="HI149" s="275"/>
      <c r="HJ149" s="275"/>
      <c r="HK149" s="275"/>
      <c r="HL149" s="275"/>
      <c r="HM149" s="275"/>
      <c r="HN149" s="275"/>
      <c r="HO149" s="275"/>
      <c r="HP149" s="275"/>
      <c r="HQ149" s="275"/>
      <c r="HR149" s="275"/>
    </row>
    <row r="150" spans="1:226" s="297" customFormat="1">
      <c r="A150" s="275"/>
      <c r="B150" s="21"/>
      <c r="C150" s="21"/>
      <c r="D150" s="21"/>
      <c r="E150" s="21"/>
      <c r="F150" s="275"/>
      <c r="G150" s="275"/>
      <c r="H150" s="275"/>
      <c r="I150" s="275"/>
      <c r="J150" s="275"/>
      <c r="K150" s="275"/>
      <c r="L150" s="275"/>
      <c r="M150" s="275"/>
      <c r="N150" s="275"/>
      <c r="O150" s="275"/>
      <c r="P150" s="275"/>
      <c r="Q150" s="275"/>
      <c r="R150" s="275"/>
      <c r="S150" s="275"/>
      <c r="T150" s="275"/>
      <c r="U150" s="275"/>
      <c r="V150" s="275"/>
      <c r="W150" s="275"/>
      <c r="X150" s="275"/>
      <c r="Y150" s="275"/>
      <c r="Z150" s="275"/>
      <c r="AA150" s="275"/>
      <c r="AB150" s="275"/>
      <c r="AC150" s="275"/>
      <c r="AD150" s="275"/>
      <c r="AE150" s="275"/>
      <c r="AF150" s="275"/>
      <c r="AG150" s="275"/>
      <c r="AH150" s="275"/>
      <c r="AJ150" s="275"/>
      <c r="AK150" s="275"/>
      <c r="AL150" s="275"/>
      <c r="AM150" s="275"/>
      <c r="AN150" s="275"/>
      <c r="AO150" s="275"/>
      <c r="AQ150" s="275"/>
      <c r="AR150" s="275"/>
      <c r="AS150" s="275"/>
      <c r="AT150" s="275"/>
      <c r="AU150" s="275"/>
      <c r="AV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D150" s="275"/>
      <c r="EE150" s="275"/>
      <c r="EF150" s="275"/>
      <c r="EG150" s="275"/>
      <c r="EH150" s="275"/>
      <c r="EI150" s="275"/>
      <c r="EJ150" s="275"/>
      <c r="EK150" s="275"/>
      <c r="EL150" s="275"/>
      <c r="EM150" s="275"/>
      <c r="EN150" s="275"/>
      <c r="EO150" s="275"/>
      <c r="EP150" s="275"/>
      <c r="EQ150" s="275"/>
      <c r="ER150" s="275"/>
      <c r="ES150" s="275"/>
      <c r="ET150" s="275"/>
      <c r="EU150"/>
      <c r="EV150"/>
      <c r="EW150" s="275"/>
      <c r="EX150" s="275"/>
      <c r="EY150" s="275"/>
      <c r="EZ150" s="275"/>
      <c r="FA150" s="275"/>
      <c r="FB150" s="275"/>
      <c r="FC150" s="275"/>
      <c r="FD150" s="275"/>
      <c r="FE150" s="275"/>
      <c r="FF150" s="275"/>
      <c r="FG150" s="275"/>
      <c r="FH150" s="275"/>
      <c r="FI150" s="275"/>
      <c r="FJ150" s="275"/>
      <c r="FK150" s="275"/>
      <c r="FL150" s="275"/>
      <c r="FM150" s="275"/>
      <c r="FN150" s="275"/>
      <c r="FO150" s="275"/>
      <c r="FP150" s="275"/>
      <c r="FQ150" s="275"/>
      <c r="FR150" s="275"/>
      <c r="FS150" s="275"/>
      <c r="FT150" s="275"/>
      <c r="FU150" s="275"/>
      <c r="FV150" s="275"/>
      <c r="FW150" s="275"/>
      <c r="FX150" s="275"/>
      <c r="FY150" s="275"/>
      <c r="FZ150" s="275"/>
      <c r="GA150" s="275"/>
      <c r="GB150" s="275"/>
      <c r="GC150" s="275"/>
      <c r="GD150" s="275"/>
      <c r="GE150" s="275"/>
      <c r="GF150" s="275"/>
      <c r="GG150" s="275"/>
      <c r="GH150" s="275"/>
      <c r="GI150" s="275"/>
      <c r="GJ150" s="275"/>
      <c r="GK150" s="275"/>
      <c r="GL150" s="275"/>
      <c r="GM150" s="275"/>
      <c r="GN150" s="275"/>
      <c r="GO150" s="275"/>
      <c r="GP150" s="275"/>
      <c r="GQ150" s="275"/>
      <c r="GR150" s="275"/>
      <c r="GS150" s="275"/>
      <c r="GT150" s="275"/>
      <c r="GU150" s="275"/>
      <c r="GV150" s="275"/>
      <c r="GW150" s="275"/>
      <c r="GX150" s="275"/>
      <c r="GY150" s="275"/>
      <c r="GZ150" s="275"/>
      <c r="HA150" s="275"/>
      <c r="HB150" s="275"/>
      <c r="HC150" s="275"/>
      <c r="HD150" s="275"/>
      <c r="HE150" s="275"/>
      <c r="HF150" s="275"/>
      <c r="HG150" s="275"/>
      <c r="HH150" s="275"/>
      <c r="HI150" s="275"/>
      <c r="HJ150" s="275"/>
      <c r="HK150" s="275"/>
      <c r="HL150" s="275"/>
      <c r="HM150" s="275"/>
      <c r="HN150" s="275"/>
      <c r="HO150" s="275"/>
      <c r="HP150" s="275"/>
      <c r="HQ150" s="275"/>
      <c r="HR150" s="275"/>
    </row>
    <row r="151" spans="1:226" s="297" customFormat="1">
      <c r="A151" s="275"/>
      <c r="B151" s="21"/>
      <c r="C151" s="21"/>
      <c r="D151" s="21"/>
      <c r="E151" s="21"/>
      <c r="F151" s="275"/>
      <c r="G151" s="275"/>
      <c r="H151" s="275"/>
      <c r="I151" s="275"/>
      <c r="J151" s="275"/>
      <c r="K151" s="275"/>
      <c r="L151" s="275"/>
      <c r="M151" s="275"/>
      <c r="N151" s="275"/>
      <c r="O151" s="275"/>
      <c r="P151" s="275"/>
      <c r="Q151" s="275"/>
      <c r="R151" s="275"/>
      <c r="S151" s="275"/>
      <c r="T151" s="275"/>
      <c r="U151" s="275"/>
      <c r="V151" s="275"/>
      <c r="W151" s="275"/>
      <c r="X151" s="275"/>
      <c r="Y151" s="275"/>
      <c r="Z151" s="275"/>
      <c r="AA151" s="275"/>
      <c r="AB151" s="275"/>
      <c r="AC151" s="275"/>
      <c r="AD151" s="275"/>
      <c r="AE151" s="275"/>
      <c r="AF151" s="275"/>
      <c r="AG151" s="275"/>
      <c r="AH151" s="275"/>
      <c r="AJ151" s="275"/>
      <c r="AK151" s="275"/>
      <c r="AL151" s="275"/>
      <c r="AM151" s="275"/>
      <c r="AN151" s="275"/>
      <c r="AO151" s="275"/>
      <c r="AQ151" s="275"/>
      <c r="AR151" s="275"/>
      <c r="AS151" s="275"/>
      <c r="AT151" s="275"/>
      <c r="AU151" s="275"/>
      <c r="AV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D151" s="275"/>
      <c r="EE151" s="275"/>
      <c r="EF151" s="275"/>
      <c r="EG151" s="275"/>
      <c r="EH151" s="275"/>
      <c r="EI151" s="275"/>
      <c r="EJ151" s="275"/>
      <c r="EK151" s="275"/>
      <c r="EL151" s="275"/>
      <c r="EM151" s="275"/>
      <c r="EN151" s="275"/>
      <c r="EO151" s="275"/>
      <c r="EP151" s="275"/>
      <c r="EQ151" s="275"/>
      <c r="ER151" s="275"/>
      <c r="ES151" s="275"/>
      <c r="ET151" s="275"/>
      <c r="EU151"/>
      <c r="EV151"/>
      <c r="EW151" s="275"/>
      <c r="EX151" s="275"/>
      <c r="EY151" s="275"/>
      <c r="EZ151" s="275"/>
      <c r="FA151" s="275"/>
      <c r="FB151" s="275"/>
      <c r="FC151" s="275"/>
      <c r="FD151" s="275"/>
      <c r="FE151" s="275"/>
      <c r="FF151" s="275"/>
      <c r="FG151" s="275"/>
      <c r="FH151" s="275"/>
      <c r="FI151" s="275"/>
      <c r="FJ151" s="275"/>
      <c r="FK151" s="275"/>
      <c r="FL151" s="275"/>
      <c r="FM151" s="275"/>
      <c r="FN151" s="275"/>
      <c r="FO151" s="275"/>
      <c r="FP151" s="275"/>
      <c r="FQ151" s="275"/>
      <c r="FR151" s="275"/>
      <c r="FS151" s="275"/>
      <c r="FT151" s="275"/>
      <c r="FU151" s="275"/>
      <c r="FV151" s="275"/>
      <c r="FW151" s="275"/>
      <c r="FX151" s="275"/>
      <c r="FY151" s="275"/>
      <c r="FZ151" s="275"/>
      <c r="GA151" s="275"/>
      <c r="GB151" s="275"/>
      <c r="GC151" s="275"/>
      <c r="GD151" s="275"/>
      <c r="GE151" s="275"/>
      <c r="GF151" s="275"/>
      <c r="GG151" s="275"/>
      <c r="GH151" s="275"/>
      <c r="GI151" s="275"/>
      <c r="GJ151" s="275"/>
      <c r="GK151" s="275"/>
      <c r="GL151" s="275"/>
      <c r="GM151" s="275"/>
      <c r="GN151" s="275"/>
      <c r="GO151" s="275"/>
      <c r="GP151" s="275"/>
      <c r="GQ151" s="275"/>
      <c r="GR151" s="275"/>
      <c r="GS151" s="275"/>
      <c r="GT151" s="275"/>
      <c r="GU151" s="275"/>
      <c r="GV151" s="275"/>
      <c r="GW151" s="275"/>
      <c r="GX151" s="275"/>
      <c r="GY151" s="275"/>
      <c r="GZ151" s="275"/>
      <c r="HA151" s="275"/>
      <c r="HB151" s="275"/>
      <c r="HC151" s="275"/>
      <c r="HD151" s="275"/>
      <c r="HE151" s="275"/>
      <c r="HF151" s="275"/>
      <c r="HG151" s="275"/>
      <c r="HH151" s="275"/>
      <c r="HI151" s="275"/>
      <c r="HJ151" s="275"/>
      <c r="HK151" s="275"/>
      <c r="HL151" s="275"/>
      <c r="HM151" s="275"/>
      <c r="HN151" s="275"/>
      <c r="HO151" s="275"/>
      <c r="HP151" s="275"/>
      <c r="HQ151" s="275"/>
      <c r="HR151" s="275"/>
    </row>
    <row r="152" spans="1:226" s="297" customFormat="1">
      <c r="A152" s="275"/>
      <c r="B152" s="21"/>
      <c r="C152" s="21"/>
      <c r="D152" s="21"/>
      <c r="E152" s="21"/>
      <c r="F152" s="275"/>
      <c r="G152" s="275"/>
      <c r="H152" s="275"/>
      <c r="I152" s="275"/>
      <c r="J152" s="275"/>
      <c r="K152" s="275"/>
      <c r="L152" s="275"/>
      <c r="M152" s="275"/>
      <c r="N152" s="275"/>
      <c r="O152" s="275"/>
      <c r="P152" s="275"/>
      <c r="Q152" s="275"/>
      <c r="R152" s="275"/>
      <c r="S152" s="275"/>
      <c r="T152" s="275"/>
      <c r="U152" s="275"/>
      <c r="V152" s="275"/>
      <c r="W152" s="275"/>
      <c r="X152" s="275"/>
      <c r="Y152" s="275"/>
      <c r="Z152" s="275"/>
      <c r="AA152" s="275"/>
      <c r="AB152" s="275"/>
      <c r="AC152" s="275"/>
      <c r="AD152" s="275"/>
      <c r="AE152" s="275"/>
      <c r="AF152" s="275"/>
      <c r="AG152" s="275"/>
      <c r="AH152" s="275"/>
      <c r="AJ152" s="275"/>
      <c r="AK152" s="275"/>
      <c r="AL152" s="275"/>
      <c r="AM152" s="275"/>
      <c r="AN152" s="275"/>
      <c r="AO152" s="275"/>
      <c r="AQ152" s="275"/>
      <c r="AR152" s="275"/>
      <c r="AS152" s="275"/>
      <c r="AT152" s="275"/>
      <c r="AU152" s="275"/>
      <c r="AV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D152" s="275"/>
      <c r="EE152" s="275"/>
      <c r="EF152" s="275"/>
      <c r="EG152" s="275"/>
      <c r="EH152" s="275"/>
      <c r="EI152" s="275"/>
      <c r="EJ152" s="275"/>
      <c r="EK152" s="275"/>
      <c r="EL152" s="275"/>
      <c r="EM152" s="275"/>
      <c r="EN152" s="275"/>
      <c r="EO152" s="275"/>
      <c r="EP152" s="275"/>
      <c r="EQ152" s="275"/>
      <c r="ER152" s="275"/>
      <c r="ES152" s="275"/>
      <c r="ET152" s="275"/>
      <c r="EU152"/>
      <c r="EV152"/>
      <c r="EW152" s="275"/>
      <c r="EX152" s="275"/>
      <c r="EY152" s="275"/>
      <c r="EZ152" s="275"/>
      <c r="FA152" s="275"/>
      <c r="FB152" s="275"/>
      <c r="FC152" s="275"/>
      <c r="FD152" s="275"/>
      <c r="FE152" s="275"/>
      <c r="FF152" s="275"/>
      <c r="FG152" s="275"/>
      <c r="FH152" s="275"/>
      <c r="FI152" s="275"/>
      <c r="FJ152" s="275"/>
      <c r="FK152" s="275"/>
      <c r="FL152" s="275"/>
      <c r="FM152" s="275"/>
      <c r="FN152" s="275"/>
      <c r="FO152" s="275"/>
      <c r="FP152" s="275"/>
      <c r="FQ152" s="275"/>
      <c r="FR152" s="275"/>
      <c r="FS152" s="275"/>
      <c r="FT152" s="275"/>
      <c r="FU152" s="275"/>
      <c r="FV152" s="275"/>
      <c r="FW152" s="275"/>
      <c r="FX152" s="275"/>
      <c r="FY152" s="275"/>
      <c r="FZ152" s="275"/>
      <c r="GA152" s="275"/>
      <c r="GB152" s="275"/>
      <c r="GC152" s="275"/>
      <c r="GD152" s="275"/>
      <c r="GE152" s="275"/>
      <c r="GF152" s="275"/>
      <c r="GG152" s="275"/>
      <c r="GH152" s="275"/>
      <c r="GI152" s="275"/>
      <c r="GJ152" s="275"/>
      <c r="GK152" s="275"/>
      <c r="GL152" s="275"/>
      <c r="GM152" s="275"/>
      <c r="GN152" s="275"/>
      <c r="GO152" s="275"/>
      <c r="GP152" s="275"/>
      <c r="GQ152" s="275"/>
      <c r="GR152" s="275"/>
      <c r="GS152" s="275"/>
      <c r="GT152" s="275"/>
      <c r="GU152" s="275"/>
      <c r="GV152" s="275"/>
      <c r="GW152" s="275"/>
      <c r="GX152" s="275"/>
      <c r="GY152" s="275"/>
      <c r="GZ152" s="275"/>
      <c r="HA152" s="275"/>
      <c r="HB152" s="275"/>
      <c r="HC152" s="275"/>
      <c r="HD152" s="275"/>
      <c r="HE152" s="275"/>
      <c r="HF152" s="275"/>
      <c r="HG152" s="275"/>
      <c r="HH152" s="275"/>
      <c r="HI152" s="275"/>
      <c r="HJ152" s="275"/>
      <c r="HK152" s="275"/>
      <c r="HL152" s="275"/>
      <c r="HM152" s="275"/>
      <c r="HN152" s="275"/>
      <c r="HO152" s="275"/>
      <c r="HP152" s="275"/>
      <c r="HQ152" s="275"/>
      <c r="HR152" s="275"/>
    </row>
    <row r="153" spans="1:226" s="297" customFormat="1">
      <c r="A153" s="275"/>
      <c r="B153" s="21"/>
      <c r="C153" s="21"/>
      <c r="D153" s="21"/>
      <c r="E153" s="21"/>
      <c r="F153" s="275"/>
      <c r="G153" s="275"/>
      <c r="H153" s="275"/>
      <c r="I153" s="275"/>
      <c r="J153" s="275"/>
      <c r="K153" s="275"/>
      <c r="L153" s="275"/>
      <c r="M153" s="275"/>
      <c r="N153" s="275"/>
      <c r="O153" s="275"/>
      <c r="P153" s="275"/>
      <c r="Q153" s="275"/>
      <c r="R153" s="275"/>
      <c r="S153" s="275"/>
      <c r="T153" s="275"/>
      <c r="U153" s="275"/>
      <c r="V153" s="275"/>
      <c r="W153" s="275"/>
      <c r="X153" s="275"/>
      <c r="Y153" s="275"/>
      <c r="Z153" s="275"/>
      <c r="AA153" s="275"/>
      <c r="AB153" s="275"/>
      <c r="AC153" s="275"/>
      <c r="AD153" s="275"/>
      <c r="AE153" s="275"/>
      <c r="AF153" s="275"/>
      <c r="AG153" s="275"/>
      <c r="AH153" s="275"/>
      <c r="AJ153" s="275"/>
      <c r="AK153" s="275"/>
      <c r="AL153" s="275"/>
      <c r="AM153" s="275"/>
      <c r="AN153" s="275"/>
      <c r="AO153" s="275"/>
      <c r="AQ153" s="275"/>
      <c r="AR153" s="275"/>
      <c r="AS153" s="275"/>
      <c r="AT153" s="275"/>
      <c r="AU153" s="275"/>
      <c r="AV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D153" s="275"/>
      <c r="EE153" s="275"/>
      <c r="EF153" s="275"/>
      <c r="EG153" s="275"/>
      <c r="EH153" s="275"/>
      <c r="EI153" s="275"/>
      <c r="EJ153" s="275"/>
      <c r="EK153" s="275"/>
      <c r="EL153" s="275"/>
      <c r="EM153" s="275"/>
      <c r="EN153" s="275"/>
      <c r="EO153" s="275"/>
      <c r="EP153" s="275"/>
      <c r="EQ153" s="275"/>
      <c r="ER153" s="275"/>
      <c r="ES153" s="275"/>
      <c r="ET153" s="275"/>
      <c r="EU153"/>
      <c r="EV153"/>
      <c r="EW153" s="275"/>
      <c r="EX153" s="275"/>
      <c r="EY153" s="275"/>
      <c r="EZ153" s="275"/>
      <c r="FA153" s="275"/>
      <c r="FB153" s="275"/>
      <c r="FC153" s="275"/>
      <c r="FD153" s="275"/>
      <c r="FE153" s="275"/>
      <c r="FF153" s="275"/>
      <c r="FG153" s="275"/>
      <c r="FH153" s="275"/>
      <c r="FI153" s="275"/>
      <c r="FJ153" s="275"/>
      <c r="FK153" s="275"/>
      <c r="FL153" s="275"/>
      <c r="FM153" s="275"/>
      <c r="FN153" s="275"/>
      <c r="FO153" s="275"/>
      <c r="FP153" s="275"/>
      <c r="FQ153" s="275"/>
      <c r="FR153" s="275"/>
      <c r="FS153" s="275"/>
      <c r="FT153" s="275"/>
      <c r="FU153" s="275"/>
      <c r="FV153" s="275"/>
      <c r="FW153" s="275"/>
      <c r="FX153" s="275"/>
      <c r="FY153" s="275"/>
      <c r="FZ153" s="275"/>
      <c r="GA153" s="275"/>
      <c r="GB153" s="275"/>
      <c r="GC153" s="275"/>
      <c r="GD153" s="275"/>
      <c r="GE153" s="275"/>
      <c r="GF153" s="275"/>
      <c r="GG153" s="275"/>
      <c r="GH153" s="275"/>
      <c r="GI153" s="275"/>
      <c r="GJ153" s="275"/>
      <c r="GK153" s="275"/>
      <c r="GL153" s="275"/>
      <c r="GM153" s="275"/>
      <c r="GN153" s="275"/>
      <c r="GO153" s="275"/>
      <c r="GP153" s="275"/>
      <c r="GQ153" s="275"/>
      <c r="GR153" s="275"/>
      <c r="GS153" s="275"/>
      <c r="GT153" s="275"/>
      <c r="GU153" s="275"/>
      <c r="GV153" s="275"/>
      <c r="GW153" s="275"/>
      <c r="GX153" s="275"/>
      <c r="GY153" s="275"/>
      <c r="GZ153" s="275"/>
      <c r="HA153" s="275"/>
      <c r="HB153" s="275"/>
      <c r="HC153" s="275"/>
      <c r="HD153" s="275"/>
      <c r="HE153" s="275"/>
      <c r="HF153" s="275"/>
      <c r="HG153" s="275"/>
      <c r="HH153" s="275"/>
      <c r="HI153" s="275"/>
      <c r="HJ153" s="275"/>
      <c r="HK153" s="275"/>
      <c r="HL153" s="275"/>
      <c r="HM153" s="275"/>
      <c r="HN153" s="275"/>
      <c r="HO153" s="275"/>
      <c r="HP153" s="275"/>
      <c r="HQ153" s="275"/>
      <c r="HR153" s="275"/>
    </row>
    <row r="154" spans="1:226" s="297" customFormat="1">
      <c r="A154" s="275"/>
      <c r="B154" s="21"/>
      <c r="C154" s="21"/>
      <c r="D154" s="21"/>
      <c r="E154" s="21"/>
      <c r="F154" s="275"/>
      <c r="G154" s="275"/>
      <c r="H154" s="275"/>
      <c r="I154" s="275"/>
      <c r="J154" s="275"/>
      <c r="K154" s="275"/>
      <c r="L154" s="275"/>
      <c r="M154" s="275"/>
      <c r="N154" s="275"/>
      <c r="O154" s="275"/>
      <c r="P154" s="275"/>
      <c r="Q154" s="275"/>
      <c r="R154" s="275"/>
      <c r="S154" s="275"/>
      <c r="T154" s="275"/>
      <c r="U154" s="275"/>
      <c r="V154" s="275"/>
      <c r="W154" s="275"/>
      <c r="X154" s="275"/>
      <c r="Y154" s="275"/>
      <c r="Z154" s="275"/>
      <c r="AA154" s="275"/>
      <c r="AB154" s="275"/>
      <c r="AC154" s="275"/>
      <c r="AD154" s="275"/>
      <c r="AE154" s="275"/>
      <c r="AF154" s="275"/>
      <c r="AG154" s="275"/>
      <c r="AH154" s="275"/>
      <c r="AJ154" s="275"/>
      <c r="AK154" s="275"/>
      <c r="AL154" s="275"/>
      <c r="AM154" s="275"/>
      <c r="AN154" s="275"/>
      <c r="AO154" s="275"/>
      <c r="AQ154" s="275"/>
      <c r="AR154" s="275"/>
      <c r="AS154" s="275"/>
      <c r="AT154" s="275"/>
      <c r="AU154" s="275"/>
      <c r="AV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D154" s="275"/>
      <c r="EE154" s="275"/>
      <c r="EF154" s="275"/>
      <c r="EG154" s="275"/>
      <c r="EH154" s="275"/>
      <c r="EI154" s="275"/>
      <c r="EJ154" s="275"/>
      <c r="EK154" s="275"/>
      <c r="EL154" s="275"/>
      <c r="EM154" s="275"/>
      <c r="EN154" s="275"/>
      <c r="EO154" s="275"/>
      <c r="EP154" s="275"/>
      <c r="EQ154" s="275"/>
      <c r="ER154" s="275"/>
      <c r="ES154" s="275"/>
      <c r="ET154" s="275"/>
      <c r="EU154"/>
      <c r="EV154"/>
      <c r="EW154" s="275"/>
      <c r="EX154" s="275"/>
      <c r="EY154" s="275"/>
      <c r="EZ154" s="275"/>
      <c r="FA154" s="275"/>
      <c r="FB154" s="275"/>
      <c r="FC154" s="275"/>
      <c r="FD154" s="275"/>
      <c r="FE154" s="275"/>
      <c r="FF154" s="275"/>
      <c r="FG154" s="275"/>
      <c r="FH154" s="275"/>
      <c r="FI154" s="275"/>
      <c r="FJ154" s="275"/>
      <c r="FK154" s="275"/>
      <c r="FL154" s="275"/>
      <c r="FM154" s="275"/>
      <c r="FN154" s="275"/>
      <c r="FO154" s="275"/>
      <c r="FP154" s="275"/>
      <c r="FQ154" s="275"/>
      <c r="FR154" s="275"/>
      <c r="FS154" s="275"/>
      <c r="FT154" s="275"/>
      <c r="FU154" s="275"/>
      <c r="FV154" s="275"/>
      <c r="FW154" s="275"/>
      <c r="FX154" s="275"/>
      <c r="FY154" s="275"/>
      <c r="FZ154" s="275"/>
      <c r="GA154" s="275"/>
      <c r="GB154" s="275"/>
      <c r="GC154" s="275"/>
      <c r="GD154" s="275"/>
      <c r="GE154" s="275"/>
      <c r="GF154" s="275"/>
      <c r="GG154" s="275"/>
      <c r="GH154" s="275"/>
      <c r="GI154" s="275"/>
      <c r="GJ154" s="275"/>
      <c r="GK154" s="275"/>
      <c r="GL154" s="275"/>
      <c r="GM154" s="275"/>
      <c r="GN154" s="275"/>
      <c r="GO154" s="275"/>
      <c r="GP154" s="275"/>
      <c r="GQ154" s="275"/>
      <c r="GR154" s="275"/>
      <c r="GS154" s="275"/>
      <c r="GT154" s="275"/>
      <c r="GU154" s="275"/>
      <c r="GV154" s="275"/>
      <c r="GW154" s="275"/>
      <c r="GX154" s="275"/>
      <c r="GY154" s="275"/>
      <c r="GZ154" s="275"/>
      <c r="HA154" s="275"/>
      <c r="HB154" s="275"/>
      <c r="HC154" s="275"/>
      <c r="HD154" s="275"/>
      <c r="HE154" s="275"/>
      <c r="HF154" s="275"/>
      <c r="HG154" s="275"/>
      <c r="HH154" s="275"/>
      <c r="HI154" s="275"/>
      <c r="HJ154" s="275"/>
      <c r="HK154" s="275"/>
      <c r="HL154" s="275"/>
      <c r="HM154" s="275"/>
      <c r="HN154" s="275"/>
      <c r="HO154" s="275"/>
      <c r="HP154" s="275"/>
      <c r="HQ154" s="275"/>
      <c r="HR154" s="275"/>
    </row>
    <row r="155" spans="1:226" s="297" customFormat="1">
      <c r="A155" s="275"/>
      <c r="B155" s="21"/>
      <c r="C155" s="21"/>
      <c r="D155" s="21"/>
      <c r="E155" s="21"/>
      <c r="F155" s="275"/>
      <c r="G155" s="275"/>
      <c r="H155" s="275"/>
      <c r="I155" s="275"/>
      <c r="J155" s="275"/>
      <c r="K155" s="275"/>
      <c r="L155" s="275"/>
      <c r="M155" s="275"/>
      <c r="N155" s="275"/>
      <c r="O155" s="275"/>
      <c r="P155" s="275"/>
      <c r="Q155" s="275"/>
      <c r="R155" s="275"/>
      <c r="S155" s="275"/>
      <c r="T155" s="275"/>
      <c r="U155" s="275"/>
      <c r="V155" s="275"/>
      <c r="W155" s="275"/>
      <c r="X155" s="275"/>
      <c r="Y155" s="275"/>
      <c r="Z155" s="275"/>
      <c r="AA155" s="275"/>
      <c r="AB155" s="275"/>
      <c r="AC155" s="275"/>
      <c r="AD155" s="275"/>
      <c r="AE155" s="275"/>
      <c r="AF155" s="275"/>
      <c r="AG155" s="275"/>
      <c r="AH155" s="275"/>
      <c r="AJ155" s="275"/>
      <c r="AK155" s="275"/>
      <c r="AL155" s="275"/>
      <c r="AM155" s="275"/>
      <c r="AN155" s="275"/>
      <c r="AO155" s="275"/>
      <c r="AQ155" s="275"/>
      <c r="AR155" s="275"/>
      <c r="AS155" s="275"/>
      <c r="AT155" s="275"/>
      <c r="AU155" s="275"/>
      <c r="AV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D155" s="275"/>
      <c r="EE155" s="275"/>
      <c r="EF155" s="275"/>
      <c r="EG155" s="275"/>
      <c r="EH155" s="275"/>
      <c r="EI155" s="275"/>
      <c r="EJ155" s="275"/>
      <c r="EK155" s="275"/>
      <c r="EL155" s="275"/>
      <c r="EM155" s="275"/>
      <c r="EN155" s="275"/>
      <c r="EO155" s="275"/>
      <c r="EP155" s="275"/>
      <c r="EQ155" s="275"/>
      <c r="ER155" s="275"/>
      <c r="ES155" s="275"/>
      <c r="ET155" s="275"/>
      <c r="EU155"/>
      <c r="EV155"/>
      <c r="EW155" s="275"/>
      <c r="EX155" s="275"/>
      <c r="EY155" s="275"/>
      <c r="EZ155" s="275"/>
      <c r="FA155" s="275"/>
      <c r="FB155" s="275"/>
      <c r="FC155" s="275"/>
      <c r="FD155" s="275"/>
      <c r="FE155" s="275"/>
      <c r="FF155" s="275"/>
      <c r="FG155" s="275"/>
      <c r="FH155" s="275"/>
      <c r="FI155" s="275"/>
      <c r="FJ155" s="275"/>
      <c r="FK155" s="275"/>
      <c r="FL155" s="275"/>
      <c r="FM155" s="275"/>
      <c r="FN155" s="275"/>
      <c r="FO155" s="275"/>
      <c r="FP155" s="275"/>
      <c r="FQ155" s="275"/>
      <c r="FR155" s="275"/>
      <c r="FS155" s="275"/>
      <c r="FT155" s="275"/>
      <c r="FU155" s="275"/>
      <c r="FV155" s="275"/>
      <c r="FW155" s="275"/>
      <c r="FX155" s="275"/>
      <c r="FY155" s="275"/>
      <c r="FZ155" s="275"/>
      <c r="GA155" s="275"/>
      <c r="GB155" s="275"/>
      <c r="GC155" s="275"/>
      <c r="GD155" s="275"/>
      <c r="GE155" s="275"/>
      <c r="GF155" s="275"/>
      <c r="GG155" s="275"/>
      <c r="GH155" s="275"/>
      <c r="GI155" s="275"/>
      <c r="GJ155" s="275"/>
      <c r="GK155" s="275"/>
      <c r="GL155" s="275"/>
      <c r="GM155" s="275"/>
      <c r="GN155" s="275"/>
      <c r="GO155" s="275"/>
      <c r="GP155" s="275"/>
      <c r="GQ155" s="275"/>
      <c r="GR155" s="275"/>
      <c r="GS155" s="275"/>
      <c r="GT155" s="275"/>
      <c r="GU155" s="275"/>
      <c r="GV155" s="275"/>
      <c r="GW155" s="275"/>
      <c r="GX155" s="275"/>
      <c r="GY155" s="275"/>
      <c r="GZ155" s="275"/>
      <c r="HA155" s="275"/>
      <c r="HB155" s="275"/>
      <c r="HC155" s="275"/>
      <c r="HD155" s="275"/>
      <c r="HE155" s="275"/>
      <c r="HF155" s="275"/>
      <c r="HG155" s="275"/>
      <c r="HH155" s="275"/>
      <c r="HI155" s="275"/>
      <c r="HJ155" s="275"/>
      <c r="HK155" s="275"/>
      <c r="HL155" s="275"/>
      <c r="HM155" s="275"/>
      <c r="HN155" s="275"/>
      <c r="HO155" s="275"/>
      <c r="HP155" s="275"/>
      <c r="HQ155" s="275"/>
      <c r="HR155" s="275"/>
    </row>
    <row r="156" spans="1:226" s="297" customFormat="1">
      <c r="A156" s="275"/>
      <c r="B156" s="21"/>
      <c r="C156" s="21"/>
      <c r="D156" s="21"/>
      <c r="E156" s="21"/>
      <c r="F156" s="275"/>
      <c r="G156" s="275"/>
      <c r="H156" s="275"/>
      <c r="I156" s="275"/>
      <c r="J156" s="275"/>
      <c r="K156" s="275"/>
      <c r="L156" s="275"/>
      <c r="M156" s="275"/>
      <c r="N156" s="275"/>
      <c r="O156" s="275"/>
      <c r="P156" s="275"/>
      <c r="Q156" s="275"/>
      <c r="R156" s="275"/>
      <c r="S156" s="275"/>
      <c r="T156" s="275"/>
      <c r="U156" s="275"/>
      <c r="V156" s="275"/>
      <c r="W156" s="275"/>
      <c r="X156" s="275"/>
      <c r="Y156" s="275"/>
      <c r="Z156" s="275"/>
      <c r="AA156" s="275"/>
      <c r="AB156" s="275"/>
      <c r="AC156" s="275"/>
      <c r="AD156" s="275"/>
      <c r="AE156" s="275"/>
      <c r="AF156" s="275"/>
      <c r="AG156" s="275"/>
      <c r="AH156" s="275"/>
      <c r="AJ156" s="275"/>
      <c r="AK156" s="275"/>
      <c r="AL156" s="275"/>
      <c r="AM156" s="275"/>
      <c r="AN156" s="275"/>
      <c r="AO156" s="275"/>
      <c r="AQ156" s="275"/>
      <c r="AR156" s="275"/>
      <c r="AS156" s="275"/>
      <c r="AT156" s="275"/>
      <c r="AU156" s="275"/>
      <c r="AV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D156" s="275"/>
      <c r="EE156" s="275"/>
      <c r="EF156" s="275"/>
      <c r="EG156" s="275"/>
      <c r="EH156" s="275"/>
      <c r="EI156" s="275"/>
      <c r="EJ156" s="275"/>
      <c r="EK156" s="275"/>
      <c r="EL156" s="275"/>
      <c r="EM156" s="275"/>
      <c r="EN156" s="275"/>
      <c r="EO156" s="275"/>
      <c r="EP156" s="275"/>
      <c r="EQ156" s="275"/>
      <c r="ER156" s="275"/>
      <c r="ES156" s="275"/>
      <c r="ET156" s="275"/>
      <c r="EU156"/>
      <c r="EV156"/>
      <c r="EW156" s="275"/>
      <c r="EX156" s="275"/>
      <c r="EY156" s="275"/>
      <c r="EZ156" s="275"/>
      <c r="FA156" s="275"/>
      <c r="FB156" s="275"/>
      <c r="FC156" s="275"/>
      <c r="FD156" s="275"/>
      <c r="FE156" s="275"/>
      <c r="FF156" s="275"/>
      <c r="FG156" s="275"/>
      <c r="FH156" s="275"/>
      <c r="FI156" s="275"/>
      <c r="FJ156" s="275"/>
      <c r="FK156" s="275"/>
      <c r="FL156" s="275"/>
      <c r="FM156" s="275"/>
      <c r="FN156" s="275"/>
      <c r="FO156" s="275"/>
      <c r="FP156" s="275"/>
      <c r="FQ156" s="275"/>
      <c r="FR156" s="275"/>
      <c r="FS156" s="275"/>
      <c r="FT156" s="275"/>
      <c r="FU156" s="275"/>
      <c r="FV156" s="275"/>
      <c r="FW156" s="275"/>
      <c r="FX156" s="275"/>
      <c r="FY156" s="275"/>
      <c r="FZ156" s="275"/>
      <c r="GA156" s="275"/>
      <c r="GB156" s="275"/>
      <c r="GC156" s="275"/>
      <c r="GD156" s="275"/>
      <c r="GE156" s="275"/>
      <c r="GF156" s="275"/>
      <c r="GG156" s="275"/>
      <c r="GH156" s="275"/>
      <c r="GI156" s="275"/>
      <c r="GJ156" s="275"/>
      <c r="GK156" s="275"/>
      <c r="GL156" s="275"/>
      <c r="GM156" s="275"/>
      <c r="GN156" s="275"/>
      <c r="GO156" s="275"/>
      <c r="GP156" s="275"/>
      <c r="GQ156" s="275"/>
      <c r="GR156" s="275"/>
      <c r="GS156" s="275"/>
      <c r="GT156" s="275"/>
      <c r="GU156" s="275"/>
      <c r="GV156" s="275"/>
      <c r="GW156" s="275"/>
      <c r="GX156" s="275"/>
      <c r="GY156" s="275"/>
      <c r="GZ156" s="275"/>
      <c r="HA156" s="275"/>
      <c r="HB156" s="275"/>
      <c r="HC156" s="275"/>
      <c r="HD156" s="275"/>
      <c r="HE156" s="275"/>
      <c r="HF156" s="275"/>
      <c r="HG156" s="275"/>
      <c r="HH156" s="275"/>
      <c r="HI156" s="275"/>
      <c r="HJ156" s="275"/>
      <c r="HK156" s="275"/>
      <c r="HL156" s="275"/>
      <c r="HM156" s="275"/>
      <c r="HN156" s="275"/>
      <c r="HO156" s="275"/>
      <c r="HP156" s="275"/>
      <c r="HQ156" s="275"/>
      <c r="HR156" s="275"/>
    </row>
    <row r="157" spans="1:226" s="297" customFormat="1">
      <c r="A157" s="275"/>
      <c r="B157" s="21"/>
      <c r="C157" s="21"/>
      <c r="D157" s="21"/>
      <c r="E157" s="21"/>
      <c r="F157" s="275"/>
      <c r="G157" s="275"/>
      <c r="H157" s="275"/>
      <c r="I157" s="275"/>
      <c r="J157" s="275"/>
      <c r="K157" s="275"/>
      <c r="L157" s="275"/>
      <c r="M157" s="275"/>
      <c r="N157" s="275"/>
      <c r="O157" s="275"/>
      <c r="P157" s="275"/>
      <c r="Q157" s="275"/>
      <c r="R157" s="275"/>
      <c r="S157" s="275"/>
      <c r="T157" s="275"/>
      <c r="U157" s="275"/>
      <c r="V157" s="275"/>
      <c r="W157" s="275"/>
      <c r="X157" s="275"/>
      <c r="Y157" s="275"/>
      <c r="Z157" s="275"/>
      <c r="AA157" s="275"/>
      <c r="AB157" s="275"/>
      <c r="AC157" s="275"/>
      <c r="AD157" s="275"/>
      <c r="AE157" s="275"/>
      <c r="AF157" s="275"/>
      <c r="AG157" s="275"/>
      <c r="AH157" s="275"/>
      <c r="AJ157" s="275"/>
      <c r="AK157" s="275"/>
      <c r="AL157" s="275"/>
      <c r="AM157" s="275"/>
      <c r="AN157" s="275"/>
      <c r="AO157" s="275"/>
      <c r="AQ157" s="275"/>
      <c r="AR157" s="275"/>
      <c r="AS157" s="275"/>
      <c r="AT157" s="275"/>
      <c r="AU157" s="275"/>
      <c r="AV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D157" s="275"/>
      <c r="EE157" s="275"/>
      <c r="EF157" s="275"/>
      <c r="EG157" s="275"/>
      <c r="EH157" s="275"/>
      <c r="EI157" s="275"/>
      <c r="EJ157" s="275"/>
      <c r="EK157" s="275"/>
      <c r="EL157" s="275"/>
      <c r="EM157" s="275"/>
      <c r="EN157" s="275"/>
      <c r="EO157" s="275"/>
      <c r="EP157" s="275"/>
      <c r="EQ157" s="275"/>
      <c r="ER157" s="275"/>
      <c r="ES157" s="275"/>
      <c r="ET157" s="275"/>
      <c r="EU157"/>
      <c r="EV157"/>
      <c r="EW157" s="275"/>
      <c r="EX157" s="275"/>
      <c r="EY157" s="275"/>
      <c r="EZ157" s="275"/>
      <c r="FA157" s="275"/>
      <c r="FB157" s="275"/>
      <c r="FC157" s="275"/>
      <c r="FD157" s="275"/>
      <c r="FE157" s="275"/>
      <c r="FF157" s="275"/>
      <c r="FG157" s="275"/>
      <c r="FH157" s="275"/>
      <c r="FI157" s="275"/>
      <c r="FJ157" s="275"/>
      <c r="FK157" s="275"/>
      <c r="FL157" s="275"/>
      <c r="FM157" s="275"/>
      <c r="FN157" s="275"/>
      <c r="FO157" s="275"/>
      <c r="FP157" s="275"/>
      <c r="FQ157" s="275"/>
      <c r="FR157" s="275"/>
      <c r="FS157" s="275"/>
      <c r="FT157" s="275"/>
      <c r="FU157" s="275"/>
      <c r="FV157" s="275"/>
      <c r="FW157" s="275"/>
      <c r="FX157" s="275"/>
      <c r="FY157" s="275"/>
      <c r="FZ157" s="275"/>
      <c r="GA157" s="275"/>
      <c r="GB157" s="275"/>
      <c r="GC157" s="275"/>
      <c r="GD157" s="275"/>
      <c r="GE157" s="275"/>
      <c r="GF157" s="275"/>
      <c r="GG157" s="275"/>
      <c r="GH157" s="275"/>
      <c r="GI157" s="275"/>
      <c r="GJ157" s="275"/>
      <c r="GK157" s="275"/>
      <c r="GL157" s="275"/>
      <c r="GM157" s="275"/>
      <c r="GN157" s="275"/>
      <c r="GO157" s="275"/>
      <c r="GP157" s="275"/>
      <c r="GQ157" s="275"/>
      <c r="GR157" s="275"/>
      <c r="GS157" s="275"/>
      <c r="GT157" s="275"/>
      <c r="GU157" s="275"/>
      <c r="GV157" s="275"/>
      <c r="GW157" s="275"/>
      <c r="GX157" s="275"/>
      <c r="GY157" s="275"/>
      <c r="GZ157" s="275"/>
      <c r="HA157" s="275"/>
      <c r="HB157" s="275"/>
      <c r="HC157" s="275"/>
      <c r="HD157" s="275"/>
      <c r="HE157" s="275"/>
      <c r="HF157" s="275"/>
      <c r="HG157" s="275"/>
      <c r="HH157" s="275"/>
      <c r="HI157" s="275"/>
      <c r="HJ157" s="275"/>
      <c r="HK157" s="275"/>
      <c r="HL157" s="275"/>
      <c r="HM157" s="275"/>
      <c r="HN157" s="275"/>
      <c r="HO157" s="275"/>
      <c r="HP157" s="275"/>
      <c r="HQ157" s="275"/>
      <c r="HR157" s="275"/>
    </row>
    <row r="158" spans="1:226" s="297" customFormat="1">
      <c r="A158" s="275"/>
      <c r="B158" s="21"/>
      <c r="C158" s="21"/>
      <c r="D158" s="21"/>
      <c r="E158" s="21"/>
      <c r="F158" s="275"/>
      <c r="G158" s="275"/>
      <c r="H158" s="275"/>
      <c r="I158" s="275"/>
      <c r="J158" s="275"/>
      <c r="K158" s="275"/>
      <c r="L158" s="275"/>
      <c r="M158" s="275"/>
      <c r="N158" s="275"/>
      <c r="O158" s="275"/>
      <c r="P158" s="275"/>
      <c r="Q158" s="275"/>
      <c r="R158" s="275"/>
      <c r="S158" s="275"/>
      <c r="T158" s="275"/>
      <c r="U158" s="275"/>
      <c r="V158" s="275"/>
      <c r="W158" s="275"/>
      <c r="X158" s="275"/>
      <c r="Y158" s="275"/>
      <c r="Z158" s="275"/>
      <c r="AA158" s="275"/>
      <c r="AB158" s="275"/>
      <c r="AC158" s="275"/>
      <c r="AD158" s="275"/>
      <c r="AE158" s="275"/>
      <c r="AF158" s="275"/>
      <c r="AG158" s="275"/>
      <c r="AH158" s="275"/>
      <c r="AJ158" s="275"/>
      <c r="AK158" s="275"/>
      <c r="AL158" s="275"/>
      <c r="AM158" s="275"/>
      <c r="AN158" s="275"/>
      <c r="AO158" s="275"/>
      <c r="AQ158" s="275"/>
      <c r="AR158" s="275"/>
      <c r="AS158" s="275"/>
      <c r="AT158" s="275"/>
      <c r="AU158" s="275"/>
      <c r="AV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D158" s="275"/>
      <c r="EE158" s="275"/>
      <c r="EF158" s="275"/>
      <c r="EG158" s="275"/>
      <c r="EH158" s="275"/>
      <c r="EI158" s="275"/>
      <c r="EJ158" s="275"/>
      <c r="EK158" s="275"/>
      <c r="EL158" s="275"/>
      <c r="EM158" s="275"/>
      <c r="EN158" s="275"/>
      <c r="EO158" s="275"/>
      <c r="EP158" s="275"/>
      <c r="EQ158" s="275"/>
      <c r="ER158" s="275"/>
      <c r="ES158" s="275"/>
      <c r="ET158" s="275"/>
      <c r="EU158"/>
      <c r="EV158"/>
      <c r="EW158" s="275"/>
      <c r="EX158" s="275"/>
      <c r="EY158" s="275"/>
      <c r="EZ158" s="275"/>
      <c r="FA158" s="275"/>
      <c r="FB158" s="275"/>
      <c r="FC158" s="275"/>
      <c r="FD158" s="275"/>
      <c r="FE158" s="275"/>
      <c r="FF158" s="275"/>
      <c r="FG158" s="275"/>
      <c r="FH158" s="275"/>
      <c r="FI158" s="275"/>
      <c r="FJ158" s="275"/>
      <c r="FK158" s="275"/>
      <c r="FL158" s="275"/>
      <c r="FM158" s="275"/>
      <c r="FN158" s="275"/>
      <c r="FO158" s="275"/>
      <c r="FP158" s="275"/>
      <c r="FQ158" s="275"/>
      <c r="FR158" s="275"/>
      <c r="FS158" s="275"/>
      <c r="FT158" s="275"/>
      <c r="FU158" s="275"/>
      <c r="FV158" s="275"/>
      <c r="FW158" s="275"/>
      <c r="FX158" s="275"/>
      <c r="FY158" s="275"/>
      <c r="FZ158" s="275"/>
      <c r="GA158" s="275"/>
      <c r="GB158" s="275"/>
      <c r="GC158" s="275"/>
      <c r="GD158" s="275"/>
      <c r="GE158" s="275"/>
      <c r="GF158" s="275"/>
      <c r="GG158" s="275"/>
      <c r="GH158" s="275"/>
      <c r="GI158" s="275"/>
      <c r="GJ158" s="275"/>
      <c r="GK158" s="275"/>
      <c r="GL158" s="275"/>
      <c r="GM158" s="275"/>
      <c r="GN158" s="275"/>
      <c r="GO158" s="275"/>
      <c r="GP158" s="275"/>
      <c r="GQ158" s="275"/>
      <c r="GR158" s="275"/>
      <c r="GS158" s="275"/>
      <c r="GT158" s="275"/>
      <c r="GU158" s="275"/>
      <c r="GV158" s="275"/>
      <c r="GW158" s="275"/>
      <c r="GX158" s="275"/>
      <c r="GY158" s="275"/>
      <c r="GZ158" s="275"/>
      <c r="HA158" s="275"/>
      <c r="HB158" s="275"/>
      <c r="HC158" s="275"/>
      <c r="HD158" s="275"/>
      <c r="HE158" s="275"/>
      <c r="HF158" s="275"/>
      <c r="HG158" s="275"/>
      <c r="HH158" s="275"/>
      <c r="HI158" s="275"/>
      <c r="HJ158" s="275"/>
      <c r="HK158" s="275"/>
      <c r="HL158" s="275"/>
      <c r="HM158" s="275"/>
      <c r="HN158" s="275"/>
      <c r="HO158" s="275"/>
      <c r="HP158" s="275"/>
      <c r="HQ158" s="275"/>
      <c r="HR158" s="275"/>
    </row>
    <row r="159" spans="1:226" s="297" customFormat="1">
      <c r="A159" s="275"/>
      <c r="B159" s="21"/>
      <c r="C159" s="21"/>
      <c r="D159" s="21"/>
      <c r="E159" s="21"/>
      <c r="F159" s="275"/>
      <c r="G159" s="275"/>
      <c r="H159" s="275"/>
      <c r="I159" s="275"/>
      <c r="J159" s="275"/>
      <c r="K159" s="275"/>
      <c r="L159" s="275"/>
      <c r="M159" s="275"/>
      <c r="N159" s="275"/>
      <c r="O159" s="275"/>
      <c r="P159" s="275"/>
      <c r="Q159" s="275"/>
      <c r="R159" s="275"/>
      <c r="S159" s="275"/>
      <c r="T159" s="275"/>
      <c r="U159" s="275"/>
      <c r="V159" s="275"/>
      <c r="W159" s="275"/>
      <c r="X159" s="275"/>
      <c r="Y159" s="275"/>
      <c r="Z159" s="275"/>
      <c r="AA159" s="275"/>
      <c r="AB159" s="275"/>
      <c r="AC159" s="275"/>
      <c r="AD159" s="275"/>
      <c r="AE159" s="275"/>
      <c r="AF159" s="275"/>
      <c r="AG159" s="275"/>
      <c r="AH159" s="275"/>
      <c r="AJ159" s="275"/>
      <c r="AK159" s="275"/>
      <c r="AL159" s="275"/>
      <c r="AM159" s="275"/>
      <c r="AN159" s="275"/>
      <c r="AO159" s="275"/>
      <c r="AQ159" s="275"/>
      <c r="AR159" s="275"/>
      <c r="AS159" s="275"/>
      <c r="AT159" s="275"/>
      <c r="AU159" s="275"/>
      <c r="AV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D159" s="275"/>
      <c r="EE159" s="275"/>
      <c r="EF159" s="275"/>
      <c r="EG159" s="275"/>
      <c r="EH159" s="275"/>
      <c r="EI159" s="275"/>
      <c r="EJ159" s="275"/>
      <c r="EK159" s="275"/>
      <c r="EL159" s="275"/>
      <c r="EM159" s="275"/>
      <c r="EN159" s="275"/>
      <c r="EO159" s="275"/>
      <c r="EP159" s="275"/>
      <c r="EQ159" s="275"/>
      <c r="ER159" s="275"/>
      <c r="ES159" s="275"/>
      <c r="ET159" s="275"/>
      <c r="EU159"/>
      <c r="EV159"/>
      <c r="EW159" s="275"/>
      <c r="EX159" s="275"/>
      <c r="EY159" s="275"/>
      <c r="EZ159" s="275"/>
      <c r="FA159" s="275"/>
      <c r="FB159" s="275"/>
      <c r="FC159" s="275"/>
      <c r="FD159" s="275"/>
      <c r="FE159" s="275"/>
      <c r="FF159" s="275"/>
      <c r="FG159" s="275"/>
      <c r="FH159" s="275"/>
      <c r="FI159" s="275"/>
      <c r="FJ159" s="275"/>
      <c r="FK159" s="275"/>
      <c r="FL159" s="275"/>
      <c r="FM159" s="275"/>
      <c r="FN159" s="275"/>
      <c r="FO159" s="275"/>
      <c r="FP159" s="275"/>
      <c r="FQ159" s="275"/>
      <c r="FR159" s="275"/>
      <c r="FS159" s="275"/>
      <c r="FT159" s="275"/>
      <c r="FU159" s="275"/>
      <c r="FV159" s="275"/>
      <c r="FW159" s="275"/>
      <c r="FX159" s="275"/>
      <c r="FY159" s="275"/>
      <c r="FZ159" s="275"/>
      <c r="GA159" s="275"/>
      <c r="GB159" s="275"/>
      <c r="GC159" s="275"/>
      <c r="GD159" s="275"/>
      <c r="GE159" s="275"/>
      <c r="GF159" s="275"/>
      <c r="GG159" s="275"/>
      <c r="GH159" s="275"/>
      <c r="GI159" s="275"/>
      <c r="GJ159" s="275"/>
      <c r="GK159" s="275"/>
      <c r="GL159" s="275"/>
      <c r="GM159" s="275"/>
      <c r="GN159" s="275"/>
      <c r="GO159" s="275"/>
      <c r="GP159" s="275"/>
      <c r="GQ159" s="275"/>
      <c r="GR159" s="275"/>
      <c r="GS159" s="275"/>
      <c r="GT159" s="275"/>
      <c r="GU159" s="275"/>
      <c r="GV159" s="275"/>
      <c r="GW159" s="275"/>
      <c r="GX159" s="275"/>
      <c r="GY159" s="275"/>
      <c r="GZ159" s="275"/>
      <c r="HA159" s="275"/>
      <c r="HB159" s="275"/>
      <c r="HC159" s="275"/>
      <c r="HD159" s="275"/>
      <c r="HE159" s="275"/>
      <c r="HF159" s="275"/>
      <c r="HG159" s="275"/>
      <c r="HH159" s="275"/>
      <c r="HI159" s="275"/>
      <c r="HJ159" s="275"/>
      <c r="HK159" s="275"/>
      <c r="HL159" s="275"/>
      <c r="HM159" s="275"/>
      <c r="HN159" s="275"/>
      <c r="HO159" s="275"/>
      <c r="HP159" s="275"/>
      <c r="HQ159" s="275"/>
      <c r="HR159" s="275"/>
    </row>
    <row r="160" spans="1:226" s="297" customFormat="1">
      <c r="A160" s="275"/>
      <c r="B160" s="21"/>
      <c r="C160" s="21"/>
      <c r="D160" s="21"/>
      <c r="E160" s="21"/>
      <c r="F160" s="275"/>
      <c r="G160" s="275"/>
      <c r="H160" s="275"/>
      <c r="I160" s="275"/>
      <c r="J160" s="275"/>
      <c r="K160" s="275"/>
      <c r="L160" s="275"/>
      <c r="M160" s="275"/>
      <c r="N160" s="275"/>
      <c r="O160" s="275"/>
      <c r="P160" s="275"/>
      <c r="Q160" s="275"/>
      <c r="R160" s="275"/>
      <c r="S160" s="275"/>
      <c r="T160" s="275"/>
      <c r="U160" s="275"/>
      <c r="V160" s="275"/>
      <c r="W160" s="275"/>
      <c r="X160" s="275"/>
      <c r="Y160" s="275"/>
      <c r="Z160" s="275"/>
      <c r="AA160" s="275"/>
      <c r="AB160" s="275"/>
      <c r="AC160" s="275"/>
      <c r="AD160" s="275"/>
      <c r="AE160" s="275"/>
      <c r="AF160" s="275"/>
      <c r="AG160" s="275"/>
      <c r="AH160" s="275"/>
      <c r="AJ160" s="275"/>
      <c r="AK160" s="275"/>
      <c r="AL160" s="275"/>
      <c r="AM160" s="275"/>
      <c r="AN160" s="275"/>
      <c r="AO160" s="275"/>
      <c r="AQ160" s="275"/>
      <c r="AR160" s="275"/>
      <c r="AS160" s="275"/>
      <c r="AT160" s="275"/>
      <c r="AU160" s="275"/>
      <c r="AV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D160" s="275"/>
      <c r="EE160" s="275"/>
      <c r="EF160" s="275"/>
      <c r="EG160" s="275"/>
      <c r="EH160" s="275"/>
      <c r="EI160" s="275"/>
      <c r="EJ160" s="275"/>
      <c r="EK160" s="275"/>
      <c r="EL160" s="275"/>
      <c r="EM160" s="275"/>
      <c r="EN160" s="275"/>
      <c r="EO160" s="275"/>
      <c r="EP160" s="275"/>
      <c r="EQ160" s="275"/>
      <c r="ER160" s="275"/>
      <c r="ES160" s="275"/>
      <c r="ET160" s="275"/>
      <c r="EU160"/>
      <c r="EV160"/>
      <c r="EW160" s="275"/>
      <c r="EX160" s="275"/>
      <c r="EY160" s="275"/>
      <c r="EZ160" s="275"/>
      <c r="FA160" s="275"/>
      <c r="FB160" s="275"/>
      <c r="FC160" s="275"/>
      <c r="FD160" s="275"/>
      <c r="FE160" s="275"/>
      <c r="FF160" s="275"/>
      <c r="FG160" s="275"/>
      <c r="FH160" s="275"/>
      <c r="FI160" s="275"/>
      <c r="FJ160" s="275"/>
      <c r="FK160" s="275"/>
      <c r="FL160" s="275"/>
      <c r="FM160" s="275"/>
      <c r="FN160" s="275"/>
      <c r="FO160" s="275"/>
      <c r="FP160" s="275"/>
      <c r="FQ160" s="275"/>
      <c r="FR160" s="275"/>
      <c r="FS160" s="275"/>
      <c r="FT160" s="275"/>
      <c r="FU160" s="275"/>
      <c r="FV160" s="275"/>
      <c r="FW160" s="275"/>
      <c r="FX160" s="275"/>
      <c r="FY160" s="275"/>
      <c r="FZ160" s="275"/>
      <c r="GA160" s="275"/>
      <c r="GB160" s="275"/>
      <c r="GC160" s="275"/>
      <c r="GD160" s="275"/>
      <c r="GE160" s="275"/>
      <c r="GF160" s="275"/>
      <c r="GG160" s="275"/>
      <c r="GH160" s="275"/>
      <c r="GI160" s="275"/>
      <c r="GJ160" s="275"/>
      <c r="GK160" s="275"/>
      <c r="GL160" s="275"/>
      <c r="GM160" s="275"/>
      <c r="GN160" s="275"/>
      <c r="GO160" s="275"/>
      <c r="GP160" s="275"/>
      <c r="GQ160" s="275"/>
      <c r="GR160" s="275"/>
      <c r="GS160" s="275"/>
      <c r="GT160" s="275"/>
      <c r="GU160" s="275"/>
      <c r="GV160" s="275"/>
      <c r="GW160" s="275"/>
      <c r="GX160" s="275"/>
      <c r="GY160" s="275"/>
      <c r="GZ160" s="275"/>
      <c r="HA160" s="275"/>
      <c r="HB160" s="275"/>
      <c r="HC160" s="275"/>
      <c r="HD160" s="275"/>
      <c r="HE160" s="275"/>
      <c r="HF160" s="275"/>
      <c r="HG160" s="275"/>
      <c r="HH160" s="275"/>
      <c r="HI160" s="275"/>
      <c r="HJ160" s="275"/>
      <c r="HK160" s="275"/>
      <c r="HL160" s="275"/>
      <c r="HM160" s="275"/>
      <c r="HN160" s="275"/>
      <c r="HO160" s="275"/>
      <c r="HP160" s="275"/>
      <c r="HQ160" s="275"/>
      <c r="HR160" s="275"/>
    </row>
    <row r="161" spans="1:226" s="297" customFormat="1">
      <c r="A161" s="275"/>
      <c r="B161" s="21"/>
      <c r="C161" s="21"/>
      <c r="D161" s="21"/>
      <c r="E161" s="21"/>
      <c r="F161" s="275"/>
      <c r="G161" s="275"/>
      <c r="H161" s="275"/>
      <c r="I161" s="275"/>
      <c r="J161" s="275"/>
      <c r="K161" s="275"/>
      <c r="L161" s="275"/>
      <c r="M161" s="275"/>
      <c r="N161" s="275"/>
      <c r="O161" s="275"/>
      <c r="P161" s="275"/>
      <c r="Q161" s="275"/>
      <c r="R161" s="275"/>
      <c r="S161" s="275"/>
      <c r="T161" s="275"/>
      <c r="U161" s="275"/>
      <c r="V161" s="275"/>
      <c r="W161" s="275"/>
      <c r="X161" s="275"/>
      <c r="Y161" s="275"/>
      <c r="Z161" s="275"/>
      <c r="AA161" s="275"/>
      <c r="AB161" s="275"/>
      <c r="AC161" s="275"/>
      <c r="AD161" s="275"/>
      <c r="AE161" s="275"/>
      <c r="AF161" s="275"/>
      <c r="AG161" s="275"/>
      <c r="AH161" s="275"/>
      <c r="AJ161" s="275"/>
      <c r="AK161" s="275"/>
      <c r="AL161" s="275"/>
      <c r="AM161" s="275"/>
      <c r="AN161" s="275"/>
      <c r="AO161" s="275"/>
      <c r="AQ161" s="275"/>
      <c r="AR161" s="275"/>
      <c r="AS161" s="275"/>
      <c r="AT161" s="275"/>
      <c r="AU161" s="275"/>
      <c r="AV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D161" s="275"/>
      <c r="EE161" s="275"/>
      <c r="EF161" s="275"/>
      <c r="EG161" s="275"/>
      <c r="EH161" s="275"/>
      <c r="EI161" s="275"/>
      <c r="EJ161" s="275"/>
      <c r="EK161" s="275"/>
      <c r="EL161" s="275"/>
      <c r="EM161" s="275"/>
      <c r="EN161" s="275"/>
      <c r="EO161" s="275"/>
      <c r="EP161" s="275"/>
      <c r="EQ161" s="275"/>
      <c r="ER161" s="275"/>
      <c r="ES161" s="275"/>
      <c r="ET161" s="275"/>
      <c r="EU161"/>
      <c r="EV161"/>
      <c r="EW161" s="275"/>
      <c r="EX161" s="275"/>
      <c r="EY161" s="275"/>
      <c r="EZ161" s="275"/>
      <c r="FA161" s="275"/>
      <c r="FB161" s="275"/>
      <c r="FC161" s="275"/>
      <c r="FD161" s="275"/>
      <c r="FE161" s="275"/>
      <c r="FF161" s="275"/>
      <c r="FG161" s="275"/>
      <c r="FH161" s="275"/>
      <c r="FI161" s="275"/>
      <c r="FJ161" s="275"/>
      <c r="FK161" s="275"/>
      <c r="FL161" s="275"/>
      <c r="FM161" s="275"/>
      <c r="FN161" s="275"/>
      <c r="FO161" s="275"/>
      <c r="FP161" s="275"/>
      <c r="FQ161" s="275"/>
      <c r="FR161" s="275"/>
      <c r="FS161" s="275"/>
      <c r="FT161" s="275"/>
      <c r="FU161" s="275"/>
      <c r="FV161" s="275"/>
      <c r="FW161" s="275"/>
      <c r="FX161" s="275"/>
      <c r="FY161" s="275"/>
      <c r="FZ161" s="275"/>
      <c r="GA161" s="275"/>
      <c r="GB161" s="275"/>
      <c r="GC161" s="275"/>
      <c r="GD161" s="275"/>
      <c r="GE161" s="275"/>
      <c r="GF161" s="275"/>
      <c r="GG161" s="275"/>
      <c r="GH161" s="275"/>
      <c r="GI161" s="275"/>
      <c r="GJ161" s="275"/>
      <c r="GK161" s="275"/>
      <c r="GL161" s="275"/>
      <c r="GM161" s="275"/>
      <c r="GN161" s="275"/>
      <c r="GO161" s="275"/>
      <c r="GP161" s="275"/>
      <c r="GQ161" s="275"/>
      <c r="GR161" s="275"/>
      <c r="GS161" s="275"/>
      <c r="GT161" s="275"/>
      <c r="GU161" s="275"/>
      <c r="GV161" s="275"/>
      <c r="GW161" s="275"/>
      <c r="GX161" s="275"/>
      <c r="GY161" s="275"/>
      <c r="GZ161" s="275"/>
      <c r="HA161" s="275"/>
      <c r="HB161" s="275"/>
      <c r="HC161" s="275"/>
      <c r="HD161" s="275"/>
      <c r="HE161" s="275"/>
      <c r="HF161" s="275"/>
      <c r="HG161" s="275"/>
      <c r="HH161" s="275"/>
      <c r="HI161" s="275"/>
      <c r="HJ161" s="275"/>
      <c r="HK161" s="275"/>
      <c r="HL161" s="275"/>
      <c r="HM161" s="275"/>
      <c r="HN161" s="275"/>
      <c r="HO161" s="275"/>
      <c r="HP161" s="275"/>
      <c r="HQ161" s="275"/>
      <c r="HR161" s="275"/>
    </row>
    <row r="162" spans="1:226" s="297" customFormat="1">
      <c r="A162" s="275"/>
      <c r="B162" s="21"/>
      <c r="C162" s="21"/>
      <c r="D162" s="21"/>
      <c r="E162" s="21"/>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5"/>
      <c r="AC162" s="275"/>
      <c r="AD162" s="275"/>
      <c r="AE162" s="275"/>
      <c r="AF162" s="275"/>
      <c r="AG162" s="275"/>
      <c r="AH162" s="275"/>
      <c r="AJ162" s="275"/>
      <c r="AK162" s="275"/>
      <c r="AL162" s="275"/>
      <c r="AM162" s="275"/>
      <c r="AN162" s="275"/>
      <c r="AO162" s="275"/>
      <c r="AQ162" s="275"/>
      <c r="AR162" s="275"/>
      <c r="AS162" s="275"/>
      <c r="AT162" s="275"/>
      <c r="AU162" s="275"/>
      <c r="AV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D162" s="275"/>
      <c r="EE162" s="275"/>
      <c r="EF162" s="275"/>
      <c r="EG162" s="275"/>
      <c r="EH162" s="275"/>
      <c r="EI162" s="275"/>
      <c r="EJ162" s="275"/>
      <c r="EK162" s="275"/>
      <c r="EL162" s="275"/>
      <c r="EM162" s="275"/>
      <c r="EN162" s="275"/>
      <c r="EO162" s="275"/>
      <c r="EP162" s="275"/>
      <c r="EQ162" s="275"/>
      <c r="ER162" s="275"/>
      <c r="ES162" s="275"/>
      <c r="ET162" s="275"/>
      <c r="EU162"/>
      <c r="EV162"/>
      <c r="EW162" s="275"/>
      <c r="EX162" s="275"/>
      <c r="EY162" s="275"/>
      <c r="EZ162" s="275"/>
      <c r="FA162" s="275"/>
      <c r="FB162" s="275"/>
      <c r="FC162" s="275"/>
      <c r="FD162" s="275"/>
      <c r="FE162" s="275"/>
      <c r="FF162" s="275"/>
      <c r="FG162" s="275"/>
      <c r="FH162" s="275"/>
      <c r="FI162" s="275"/>
      <c r="FJ162" s="275"/>
      <c r="FK162" s="275"/>
      <c r="FL162" s="275"/>
      <c r="FM162" s="275"/>
      <c r="FN162" s="275"/>
      <c r="FO162" s="275"/>
      <c r="FP162" s="275"/>
      <c r="FQ162" s="275"/>
      <c r="FR162" s="275"/>
      <c r="FS162" s="275"/>
      <c r="FT162" s="275"/>
      <c r="FU162" s="275"/>
      <c r="FV162" s="275"/>
      <c r="FW162" s="275"/>
      <c r="FX162" s="275"/>
      <c r="FY162" s="275"/>
      <c r="FZ162" s="275"/>
      <c r="GA162" s="275"/>
      <c r="GB162" s="275"/>
      <c r="GC162" s="275"/>
      <c r="GD162" s="275"/>
      <c r="GE162" s="275"/>
      <c r="GF162" s="275"/>
      <c r="GG162" s="275"/>
      <c r="GH162" s="275"/>
      <c r="GI162" s="275"/>
      <c r="GJ162" s="275"/>
      <c r="GK162" s="275"/>
      <c r="GL162" s="275"/>
      <c r="GM162" s="275"/>
      <c r="GN162" s="275"/>
      <c r="GO162" s="275"/>
      <c r="GP162" s="275"/>
      <c r="GQ162" s="275"/>
      <c r="GR162" s="275"/>
      <c r="GS162" s="275"/>
      <c r="GT162" s="275"/>
      <c r="GU162" s="275"/>
      <c r="GV162" s="275"/>
      <c r="GW162" s="275"/>
      <c r="GX162" s="275"/>
      <c r="GY162" s="275"/>
      <c r="GZ162" s="275"/>
      <c r="HA162" s="275"/>
      <c r="HB162" s="275"/>
      <c r="HC162" s="275"/>
      <c r="HD162" s="275"/>
      <c r="HE162" s="275"/>
      <c r="HF162" s="275"/>
      <c r="HG162" s="275"/>
      <c r="HH162" s="275"/>
      <c r="HI162" s="275"/>
      <c r="HJ162" s="275"/>
      <c r="HK162" s="275"/>
      <c r="HL162" s="275"/>
      <c r="HM162" s="275"/>
      <c r="HN162" s="275"/>
      <c r="HO162" s="275"/>
      <c r="HP162" s="275"/>
      <c r="HQ162" s="275"/>
      <c r="HR162" s="275"/>
    </row>
    <row r="163" spans="1:226" s="297" customFormat="1">
      <c r="A163" s="275"/>
      <c r="B163" s="21"/>
      <c r="C163" s="21"/>
      <c r="D163" s="21"/>
      <c r="E163" s="21"/>
      <c r="F163" s="275"/>
      <c r="G163" s="275"/>
      <c r="H163" s="275"/>
      <c r="I163" s="275"/>
      <c r="J163" s="275"/>
      <c r="K163" s="275"/>
      <c r="L163" s="275"/>
      <c r="M163" s="275"/>
      <c r="N163" s="275"/>
      <c r="O163" s="275"/>
      <c r="P163" s="275"/>
      <c r="Q163" s="275"/>
      <c r="R163" s="275"/>
      <c r="S163" s="275"/>
      <c r="T163" s="275"/>
      <c r="U163" s="275"/>
      <c r="V163" s="275"/>
      <c r="W163" s="275"/>
      <c r="X163" s="275"/>
      <c r="Y163" s="275"/>
      <c r="Z163" s="275"/>
      <c r="AA163" s="275"/>
      <c r="AB163" s="275"/>
      <c r="AC163" s="275"/>
      <c r="AD163" s="275"/>
      <c r="AE163" s="275"/>
      <c r="AF163" s="275"/>
      <c r="AG163" s="275"/>
      <c r="AH163" s="275"/>
      <c r="AJ163" s="275"/>
      <c r="AK163" s="275"/>
      <c r="AL163" s="275"/>
      <c r="AM163" s="275"/>
      <c r="AN163" s="275"/>
      <c r="AO163" s="275"/>
      <c r="AQ163" s="275"/>
      <c r="AR163" s="275"/>
      <c r="AS163" s="275"/>
      <c r="AT163" s="275"/>
      <c r="AU163" s="275"/>
      <c r="AV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D163" s="275"/>
      <c r="EE163" s="275"/>
      <c r="EF163" s="275"/>
      <c r="EG163" s="275"/>
      <c r="EH163" s="275"/>
      <c r="EI163" s="275"/>
      <c r="EJ163" s="275"/>
      <c r="EK163" s="275"/>
      <c r="EL163" s="275"/>
      <c r="EM163" s="275"/>
      <c r="EN163" s="275"/>
      <c r="EO163" s="275"/>
      <c r="EP163" s="275"/>
      <c r="EQ163" s="275"/>
      <c r="ER163" s="275"/>
      <c r="ES163" s="275"/>
      <c r="ET163" s="275"/>
      <c r="EU163"/>
      <c r="EV163"/>
      <c r="EW163" s="275"/>
      <c r="EX163" s="275"/>
      <c r="EY163" s="275"/>
      <c r="EZ163" s="275"/>
      <c r="FA163" s="275"/>
      <c r="FB163" s="275"/>
      <c r="FC163" s="275"/>
      <c r="FD163" s="275"/>
      <c r="FE163" s="275"/>
      <c r="FF163" s="275"/>
      <c r="FG163" s="275"/>
      <c r="FH163" s="275"/>
      <c r="FI163" s="275"/>
      <c r="FJ163" s="275"/>
      <c r="FK163" s="275"/>
      <c r="FL163" s="275"/>
      <c r="FM163" s="275"/>
      <c r="FN163" s="275"/>
      <c r="FO163" s="275"/>
      <c r="FP163" s="275"/>
      <c r="FQ163" s="275"/>
      <c r="FR163" s="275"/>
      <c r="FS163" s="275"/>
      <c r="FT163" s="275"/>
      <c r="FU163" s="275"/>
      <c r="FV163" s="275"/>
      <c r="FW163" s="275"/>
      <c r="FX163" s="275"/>
      <c r="FY163" s="275"/>
      <c r="FZ163" s="275"/>
      <c r="GA163" s="275"/>
      <c r="GB163" s="275"/>
      <c r="GC163" s="275"/>
      <c r="GD163" s="275"/>
      <c r="GE163" s="275"/>
      <c r="GF163" s="275"/>
      <c r="GG163" s="275"/>
      <c r="GH163" s="275"/>
      <c r="GI163" s="275"/>
      <c r="GJ163" s="275"/>
      <c r="GK163" s="275"/>
      <c r="GL163" s="275"/>
      <c r="GM163" s="275"/>
      <c r="GN163" s="275"/>
      <c r="GO163" s="275"/>
      <c r="GP163" s="275"/>
      <c r="GQ163" s="275"/>
      <c r="GR163" s="275"/>
      <c r="GS163" s="275"/>
      <c r="GT163" s="275"/>
      <c r="GU163" s="275"/>
      <c r="GV163" s="275"/>
      <c r="GW163" s="275"/>
      <c r="GX163" s="275"/>
      <c r="GY163" s="275"/>
      <c r="GZ163" s="275"/>
      <c r="HA163" s="275"/>
      <c r="HB163" s="275"/>
      <c r="HC163" s="275"/>
      <c r="HD163" s="275"/>
      <c r="HE163" s="275"/>
      <c r="HF163" s="275"/>
      <c r="HG163" s="275"/>
      <c r="HH163" s="275"/>
      <c r="HI163" s="275"/>
      <c r="HJ163" s="275"/>
      <c r="HK163" s="275"/>
      <c r="HL163" s="275"/>
      <c r="HM163" s="275"/>
      <c r="HN163" s="275"/>
      <c r="HO163" s="275"/>
      <c r="HP163" s="275"/>
      <c r="HQ163" s="275"/>
      <c r="HR163" s="275"/>
    </row>
    <row r="164" spans="1:226" s="297" customFormat="1">
      <c r="A164" s="275"/>
      <c r="B164" s="21"/>
      <c r="C164" s="21"/>
      <c r="D164" s="21"/>
      <c r="E164" s="21"/>
      <c r="F164" s="275"/>
      <c r="G164" s="275"/>
      <c r="H164" s="275"/>
      <c r="I164" s="275"/>
      <c r="J164" s="275"/>
      <c r="K164" s="275"/>
      <c r="L164" s="275"/>
      <c r="M164" s="275"/>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5"/>
      <c r="AJ164" s="275"/>
      <c r="AK164" s="275"/>
      <c r="AL164" s="275"/>
      <c r="AM164" s="275"/>
      <c r="AN164" s="275"/>
      <c r="AO164" s="275"/>
      <c r="AQ164" s="275"/>
      <c r="AR164" s="275"/>
      <c r="AS164" s="275"/>
      <c r="AT164" s="275"/>
      <c r="AU164" s="275"/>
      <c r="AV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D164" s="275"/>
      <c r="EE164" s="275"/>
      <c r="EF164" s="275"/>
      <c r="EG164" s="275"/>
      <c r="EH164" s="275"/>
      <c r="EI164" s="275"/>
      <c r="EJ164" s="275"/>
      <c r="EK164" s="275"/>
      <c r="EL164" s="275"/>
      <c r="EM164" s="275"/>
      <c r="EN164" s="275"/>
      <c r="EO164" s="275"/>
      <c r="EP164" s="275"/>
      <c r="EQ164" s="275"/>
      <c r="ER164" s="275"/>
      <c r="ES164" s="275"/>
      <c r="ET164" s="275"/>
      <c r="EU164"/>
      <c r="EV164"/>
      <c r="EW164" s="275"/>
      <c r="EX164" s="275"/>
      <c r="EY164" s="275"/>
      <c r="EZ164" s="275"/>
      <c r="FA164" s="275"/>
      <c r="FB164" s="275"/>
      <c r="FC164" s="275"/>
      <c r="FD164" s="275"/>
      <c r="FE164" s="275"/>
      <c r="FF164" s="275"/>
      <c r="FG164" s="275"/>
      <c r="FH164" s="275"/>
      <c r="FI164" s="275"/>
      <c r="FJ164" s="275"/>
      <c r="FK164" s="275"/>
      <c r="FL164" s="275"/>
      <c r="FM164" s="275"/>
      <c r="FN164" s="275"/>
      <c r="FO164" s="275"/>
      <c r="FP164" s="275"/>
      <c r="FQ164" s="275"/>
      <c r="FR164" s="275"/>
      <c r="FS164" s="275"/>
      <c r="FT164" s="275"/>
      <c r="FU164" s="275"/>
      <c r="FV164" s="275"/>
      <c r="FW164" s="275"/>
      <c r="FX164" s="275"/>
      <c r="FY164" s="275"/>
      <c r="FZ164" s="275"/>
      <c r="GA164" s="275"/>
      <c r="GB164" s="275"/>
      <c r="GC164" s="275"/>
      <c r="GD164" s="275"/>
      <c r="GE164" s="275"/>
      <c r="GF164" s="275"/>
      <c r="GG164" s="275"/>
      <c r="GH164" s="275"/>
      <c r="GI164" s="275"/>
      <c r="GJ164" s="275"/>
      <c r="GK164" s="275"/>
      <c r="GL164" s="275"/>
      <c r="GM164" s="275"/>
      <c r="GN164" s="275"/>
      <c r="GO164" s="275"/>
      <c r="GP164" s="275"/>
      <c r="GQ164" s="275"/>
      <c r="GR164" s="275"/>
      <c r="GS164" s="275"/>
      <c r="GT164" s="275"/>
      <c r="GU164" s="275"/>
      <c r="GV164" s="275"/>
      <c r="GW164" s="275"/>
      <c r="GX164" s="275"/>
      <c r="GY164" s="275"/>
      <c r="GZ164" s="275"/>
      <c r="HA164" s="275"/>
      <c r="HB164" s="275"/>
      <c r="HC164" s="275"/>
      <c r="HD164" s="275"/>
      <c r="HE164" s="275"/>
      <c r="HF164" s="275"/>
      <c r="HG164" s="275"/>
      <c r="HH164" s="275"/>
      <c r="HI164" s="275"/>
      <c r="HJ164" s="275"/>
      <c r="HK164" s="275"/>
      <c r="HL164" s="275"/>
      <c r="HM164" s="275"/>
      <c r="HN164" s="275"/>
      <c r="HO164" s="275"/>
      <c r="HP164" s="275"/>
      <c r="HQ164" s="275"/>
      <c r="HR164" s="275"/>
    </row>
    <row r="165" spans="1:226" s="297" customFormat="1">
      <c r="A165" s="275"/>
      <c r="B165" s="21"/>
      <c r="C165" s="21"/>
      <c r="D165" s="21"/>
      <c r="E165" s="21"/>
      <c r="F165" s="275"/>
      <c r="G165" s="275"/>
      <c r="H165" s="275"/>
      <c r="I165" s="275"/>
      <c r="J165" s="275"/>
      <c r="K165" s="275"/>
      <c r="L165" s="275"/>
      <c r="M165" s="275"/>
      <c r="N165" s="275"/>
      <c r="O165" s="275"/>
      <c r="P165" s="275"/>
      <c r="Q165" s="275"/>
      <c r="R165" s="275"/>
      <c r="S165" s="275"/>
      <c r="T165" s="275"/>
      <c r="U165" s="275"/>
      <c r="V165" s="275"/>
      <c r="W165" s="275"/>
      <c r="X165" s="275"/>
      <c r="Y165" s="275"/>
      <c r="Z165" s="275"/>
      <c r="AA165" s="275"/>
      <c r="AB165" s="275"/>
      <c r="AC165" s="275"/>
      <c r="AD165" s="275"/>
      <c r="AE165" s="275"/>
      <c r="AF165" s="275"/>
      <c r="AG165" s="275"/>
      <c r="AH165" s="275"/>
      <c r="AJ165" s="275"/>
      <c r="AK165" s="275"/>
      <c r="AL165" s="275"/>
      <c r="AM165" s="275"/>
      <c r="AN165" s="275"/>
      <c r="AO165" s="275"/>
      <c r="AQ165" s="275"/>
      <c r="AR165" s="275"/>
      <c r="AS165" s="275"/>
      <c r="AT165" s="275"/>
      <c r="AU165" s="275"/>
      <c r="AV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D165" s="275"/>
      <c r="EE165" s="275"/>
      <c r="EF165" s="275"/>
      <c r="EG165" s="275"/>
      <c r="EH165" s="275"/>
      <c r="EI165" s="275"/>
      <c r="EJ165" s="275"/>
      <c r="EK165" s="275"/>
      <c r="EL165" s="275"/>
      <c r="EM165" s="275"/>
      <c r="EN165" s="275"/>
      <c r="EO165" s="275"/>
      <c r="EP165" s="275"/>
      <c r="EQ165" s="275"/>
      <c r="ER165" s="275"/>
      <c r="ES165" s="275"/>
      <c r="ET165" s="275"/>
      <c r="EU165"/>
      <c r="EV165"/>
      <c r="EW165" s="275"/>
      <c r="EX165" s="275"/>
      <c r="EY165" s="275"/>
      <c r="EZ165" s="275"/>
      <c r="FA165" s="275"/>
      <c r="FB165" s="275"/>
      <c r="FC165" s="275"/>
      <c r="FD165" s="275"/>
      <c r="FE165" s="275"/>
      <c r="FF165" s="275"/>
      <c r="FG165" s="275"/>
      <c r="FH165" s="275"/>
      <c r="FI165" s="275"/>
      <c r="FJ165" s="275"/>
      <c r="FK165" s="275"/>
      <c r="FL165" s="275"/>
      <c r="FM165" s="275"/>
      <c r="FN165" s="275"/>
      <c r="FO165" s="275"/>
      <c r="FP165" s="275"/>
      <c r="FQ165" s="275"/>
      <c r="FR165" s="275"/>
      <c r="FS165" s="275"/>
      <c r="FT165" s="275"/>
      <c r="FU165" s="275"/>
      <c r="FV165" s="275"/>
      <c r="FW165" s="275"/>
      <c r="FX165" s="275"/>
      <c r="FY165" s="275"/>
      <c r="FZ165" s="275"/>
      <c r="GA165" s="275"/>
      <c r="GB165" s="275"/>
      <c r="GC165" s="275"/>
      <c r="GD165" s="275"/>
      <c r="GE165" s="275"/>
      <c r="GF165" s="275"/>
      <c r="GG165" s="275"/>
      <c r="GH165" s="275"/>
      <c r="GI165" s="275"/>
      <c r="GJ165" s="275"/>
      <c r="GK165" s="275"/>
      <c r="GL165" s="275"/>
      <c r="GM165" s="275"/>
      <c r="GN165" s="275"/>
      <c r="GO165" s="275"/>
      <c r="GP165" s="275"/>
      <c r="GQ165" s="275"/>
      <c r="GR165" s="275"/>
      <c r="GS165" s="275"/>
      <c r="GT165" s="275"/>
      <c r="GU165" s="275"/>
      <c r="GV165" s="275"/>
      <c r="GW165" s="275"/>
      <c r="GX165" s="275"/>
      <c r="GY165" s="275"/>
      <c r="GZ165" s="275"/>
      <c r="HA165" s="275"/>
      <c r="HB165" s="275"/>
      <c r="HC165" s="275"/>
      <c r="HD165" s="275"/>
      <c r="HE165" s="275"/>
      <c r="HF165" s="275"/>
      <c r="HG165" s="275"/>
      <c r="HH165" s="275"/>
      <c r="HI165" s="275"/>
      <c r="HJ165" s="275"/>
      <c r="HK165" s="275"/>
      <c r="HL165" s="275"/>
      <c r="HM165" s="275"/>
      <c r="HN165" s="275"/>
      <c r="HO165" s="275"/>
      <c r="HP165" s="275"/>
      <c r="HQ165" s="275"/>
      <c r="HR165" s="275"/>
    </row>
    <row r="166" spans="1:226" s="297" customFormat="1">
      <c r="A166" s="275"/>
      <c r="B166" s="21"/>
      <c r="C166" s="21"/>
      <c r="D166" s="21"/>
      <c r="E166" s="21"/>
      <c r="F166" s="275"/>
      <c r="G166" s="275"/>
      <c r="H166" s="275"/>
      <c r="I166" s="275"/>
      <c r="J166" s="275"/>
      <c r="K166" s="275"/>
      <c r="L166" s="275"/>
      <c r="M166" s="275"/>
      <c r="N166" s="275"/>
      <c r="O166" s="275"/>
      <c r="P166" s="275"/>
      <c r="Q166" s="275"/>
      <c r="R166" s="275"/>
      <c r="S166" s="275"/>
      <c r="T166" s="275"/>
      <c r="U166" s="275"/>
      <c r="V166" s="275"/>
      <c r="W166" s="275"/>
      <c r="X166" s="275"/>
      <c r="Y166" s="275"/>
      <c r="Z166" s="275"/>
      <c r="AA166" s="275"/>
      <c r="AB166" s="275"/>
      <c r="AC166" s="275"/>
      <c r="AD166" s="275"/>
      <c r="AE166" s="275"/>
      <c r="AF166" s="275"/>
      <c r="AG166" s="275"/>
      <c r="AH166" s="275"/>
      <c r="AJ166" s="275"/>
      <c r="AK166" s="275"/>
      <c r="AL166" s="275"/>
      <c r="AM166" s="275"/>
      <c r="AN166" s="275"/>
      <c r="AO166" s="275"/>
      <c r="AQ166" s="275"/>
      <c r="AR166" s="275"/>
      <c r="AS166" s="275"/>
      <c r="AT166" s="275"/>
      <c r="AU166" s="275"/>
      <c r="AV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D166" s="275"/>
      <c r="EE166" s="275"/>
      <c r="EF166" s="275"/>
      <c r="EG166" s="275"/>
      <c r="EH166" s="275"/>
      <c r="EI166" s="275"/>
      <c r="EJ166" s="275"/>
      <c r="EK166" s="275"/>
      <c r="EL166" s="275"/>
      <c r="EM166" s="275"/>
      <c r="EN166" s="275"/>
      <c r="EO166" s="275"/>
      <c r="EP166" s="275"/>
      <c r="EQ166" s="275"/>
      <c r="ER166" s="275"/>
      <c r="ES166" s="275"/>
      <c r="ET166" s="275"/>
      <c r="EU166"/>
      <c r="EV166"/>
      <c r="EW166" s="275"/>
      <c r="EX166" s="275"/>
      <c r="EY166" s="275"/>
      <c r="EZ166" s="275"/>
      <c r="FA166" s="275"/>
      <c r="FB166" s="275"/>
      <c r="FC166" s="275"/>
      <c r="FD166" s="275"/>
      <c r="FE166" s="275"/>
      <c r="FF166" s="275"/>
      <c r="FG166" s="275"/>
      <c r="FH166" s="275"/>
      <c r="FI166" s="275"/>
      <c r="FJ166" s="275"/>
      <c r="FK166" s="275"/>
      <c r="FL166" s="275"/>
      <c r="FM166" s="275"/>
      <c r="FN166" s="275"/>
      <c r="FO166" s="275"/>
      <c r="FP166" s="275"/>
      <c r="FQ166" s="275"/>
      <c r="FR166" s="275"/>
      <c r="FS166" s="275"/>
      <c r="FT166" s="275"/>
      <c r="FU166" s="275"/>
      <c r="FV166" s="275"/>
      <c r="FW166" s="275"/>
      <c r="FX166" s="275"/>
      <c r="FY166" s="275"/>
      <c r="FZ166" s="275"/>
      <c r="GA166" s="275"/>
      <c r="GB166" s="275"/>
      <c r="GC166" s="275"/>
      <c r="GD166" s="275"/>
      <c r="GE166" s="275"/>
      <c r="GF166" s="275"/>
      <c r="GG166" s="275"/>
      <c r="GH166" s="275"/>
      <c r="GI166" s="275"/>
      <c r="GJ166" s="275"/>
      <c r="GK166" s="275"/>
      <c r="GL166" s="275"/>
      <c r="GM166" s="275"/>
      <c r="GN166" s="275"/>
      <c r="GO166" s="275"/>
      <c r="GP166" s="275"/>
      <c r="GQ166" s="275"/>
      <c r="GR166" s="275"/>
      <c r="GS166" s="275"/>
      <c r="GT166" s="275"/>
      <c r="GU166" s="275"/>
      <c r="GV166" s="275"/>
      <c r="GW166" s="275"/>
      <c r="GX166" s="275"/>
      <c r="GY166" s="275"/>
      <c r="GZ166" s="275"/>
      <c r="HA166" s="275"/>
      <c r="HB166" s="275"/>
      <c r="HC166" s="275"/>
      <c r="HD166" s="275"/>
      <c r="HE166" s="275"/>
      <c r="HF166" s="275"/>
      <c r="HG166" s="275"/>
      <c r="HH166" s="275"/>
      <c r="HI166" s="275"/>
      <c r="HJ166" s="275"/>
      <c r="HK166" s="275"/>
      <c r="HL166" s="275"/>
      <c r="HM166" s="275"/>
      <c r="HN166" s="275"/>
      <c r="HO166" s="275"/>
      <c r="HP166" s="275"/>
      <c r="HQ166" s="275"/>
      <c r="HR166" s="275"/>
    </row>
    <row r="167" spans="1:226" s="297" customFormat="1">
      <c r="A167" s="275"/>
      <c r="B167" s="21"/>
      <c r="C167" s="21"/>
      <c r="D167" s="21"/>
      <c r="E167" s="21"/>
      <c r="F167" s="275"/>
      <c r="G167" s="275"/>
      <c r="H167" s="275"/>
      <c r="I167" s="275"/>
      <c r="J167" s="275"/>
      <c r="K167" s="275"/>
      <c r="L167" s="275"/>
      <c r="M167" s="275"/>
      <c r="N167" s="275"/>
      <c r="O167" s="275"/>
      <c r="P167" s="275"/>
      <c r="Q167" s="275"/>
      <c r="R167" s="275"/>
      <c r="S167" s="275"/>
      <c r="T167" s="275"/>
      <c r="U167" s="275"/>
      <c r="V167" s="275"/>
      <c r="W167" s="275"/>
      <c r="X167" s="275"/>
      <c r="Y167" s="275"/>
      <c r="Z167" s="275"/>
      <c r="AA167" s="275"/>
      <c r="AB167" s="275"/>
      <c r="AC167" s="275"/>
      <c r="AD167" s="275"/>
      <c r="AE167" s="275"/>
      <c r="AF167" s="275"/>
      <c r="AG167" s="275"/>
      <c r="AH167" s="275"/>
      <c r="AJ167" s="275"/>
      <c r="AK167" s="275"/>
      <c r="AL167" s="275"/>
      <c r="AM167" s="275"/>
      <c r="AN167" s="275"/>
      <c r="AO167" s="275"/>
      <c r="AQ167" s="275"/>
      <c r="AR167" s="275"/>
      <c r="AS167" s="275"/>
      <c r="AT167" s="275"/>
      <c r="AU167" s="275"/>
      <c r="AV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D167" s="275"/>
      <c r="EE167" s="275"/>
      <c r="EF167" s="275"/>
      <c r="EG167" s="275"/>
      <c r="EH167" s="275"/>
      <c r="EI167" s="275"/>
      <c r="EJ167" s="275"/>
      <c r="EK167" s="275"/>
      <c r="EL167" s="275"/>
      <c r="EM167" s="275"/>
      <c r="EN167" s="275"/>
      <c r="EO167" s="275"/>
      <c r="EP167" s="275"/>
      <c r="EQ167" s="275"/>
      <c r="ER167" s="275"/>
      <c r="ES167" s="275"/>
      <c r="ET167" s="275"/>
      <c r="EU167"/>
      <c r="EV167"/>
      <c r="EW167" s="275"/>
      <c r="EX167" s="275"/>
      <c r="EY167" s="275"/>
      <c r="EZ167" s="275"/>
      <c r="FA167" s="275"/>
      <c r="FB167" s="275"/>
      <c r="FC167" s="275"/>
      <c r="FD167" s="275"/>
      <c r="FE167" s="275"/>
      <c r="FF167" s="275"/>
      <c r="FG167" s="275"/>
      <c r="FH167" s="275"/>
      <c r="FI167" s="275"/>
      <c r="FJ167" s="275"/>
      <c r="FK167" s="275"/>
      <c r="FL167" s="275"/>
      <c r="FM167" s="275"/>
      <c r="FN167" s="275"/>
      <c r="FO167" s="275"/>
      <c r="FP167" s="275"/>
      <c r="FQ167" s="275"/>
      <c r="FR167" s="275"/>
      <c r="FS167" s="275"/>
      <c r="FT167" s="275"/>
      <c r="FU167" s="275"/>
      <c r="FV167" s="275"/>
      <c r="FW167" s="275"/>
      <c r="FX167" s="275"/>
      <c r="FY167" s="275"/>
      <c r="FZ167" s="275"/>
      <c r="GA167" s="275"/>
      <c r="GB167" s="275"/>
      <c r="GC167" s="275"/>
      <c r="GD167" s="275"/>
      <c r="GE167" s="275"/>
      <c r="GF167" s="275"/>
      <c r="GG167" s="275"/>
      <c r="GH167" s="275"/>
      <c r="GI167" s="275"/>
      <c r="GJ167" s="275"/>
      <c r="GK167" s="275"/>
      <c r="GL167" s="275"/>
      <c r="GM167" s="275"/>
      <c r="GN167" s="275"/>
      <c r="GO167" s="275"/>
      <c r="GP167" s="275"/>
      <c r="GQ167" s="275"/>
      <c r="GR167" s="275"/>
      <c r="GS167" s="275"/>
      <c r="GT167" s="275"/>
      <c r="GU167" s="275"/>
      <c r="GV167" s="275"/>
      <c r="GW167" s="275"/>
      <c r="GX167" s="275"/>
      <c r="GY167" s="275"/>
      <c r="GZ167" s="275"/>
      <c r="HA167" s="275"/>
      <c r="HB167" s="275"/>
      <c r="HC167" s="275"/>
      <c r="HD167" s="275"/>
      <c r="HE167" s="275"/>
      <c r="HF167" s="275"/>
      <c r="HG167" s="275"/>
      <c r="HH167" s="275"/>
      <c r="HI167" s="275"/>
      <c r="HJ167" s="275"/>
      <c r="HK167" s="275"/>
      <c r="HL167" s="275"/>
      <c r="HM167" s="275"/>
      <c r="HN167" s="275"/>
      <c r="HO167" s="275"/>
      <c r="HP167" s="275"/>
      <c r="HQ167" s="275"/>
      <c r="HR167" s="275"/>
    </row>
    <row r="168" spans="1:226" s="297" customFormat="1">
      <c r="A168" s="275"/>
      <c r="B168" s="21"/>
      <c r="C168" s="21"/>
      <c r="D168" s="21"/>
      <c r="E168" s="21"/>
      <c r="F168" s="275"/>
      <c r="G168" s="275"/>
      <c r="H168" s="275"/>
      <c r="I168" s="275"/>
      <c r="J168" s="275"/>
      <c r="K168" s="275"/>
      <c r="L168" s="275"/>
      <c r="M168" s="275"/>
      <c r="N168" s="275"/>
      <c r="O168" s="275"/>
      <c r="P168" s="275"/>
      <c r="Q168" s="275"/>
      <c r="R168" s="275"/>
      <c r="S168" s="275"/>
      <c r="T168" s="275"/>
      <c r="U168" s="275"/>
      <c r="V168" s="275"/>
      <c r="W168" s="275"/>
      <c r="X168" s="275"/>
      <c r="Y168" s="275"/>
      <c r="Z168" s="275"/>
      <c r="AA168" s="275"/>
      <c r="AB168" s="275"/>
      <c r="AC168" s="275"/>
      <c r="AD168" s="275"/>
      <c r="AE168" s="275"/>
      <c r="AF168" s="275"/>
      <c r="AG168" s="275"/>
      <c r="AH168" s="275"/>
      <c r="AJ168" s="275"/>
      <c r="AK168" s="275"/>
      <c r="AL168" s="275"/>
      <c r="AM168" s="275"/>
      <c r="AN168" s="275"/>
      <c r="AO168" s="275"/>
      <c r="AQ168" s="275"/>
      <c r="AR168" s="275"/>
      <c r="AS168" s="275"/>
      <c r="AT168" s="275"/>
      <c r="AU168" s="275"/>
      <c r="AV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D168" s="275"/>
      <c r="EE168" s="275"/>
      <c r="EF168" s="275"/>
      <c r="EG168" s="275"/>
      <c r="EH168" s="275"/>
      <c r="EI168" s="275"/>
      <c r="EJ168" s="275"/>
      <c r="EK168" s="275"/>
      <c r="EL168" s="275"/>
      <c r="EM168" s="275"/>
      <c r="EN168" s="275"/>
      <c r="EO168" s="275"/>
      <c r="EP168" s="275"/>
      <c r="EQ168" s="275"/>
      <c r="ER168" s="275"/>
      <c r="ES168" s="275"/>
      <c r="ET168" s="275"/>
      <c r="EU168"/>
      <c r="EV168"/>
      <c r="EW168" s="275"/>
      <c r="EX168" s="275"/>
      <c r="EY168" s="275"/>
      <c r="EZ168" s="275"/>
      <c r="FA168" s="275"/>
      <c r="FB168" s="275"/>
      <c r="FC168" s="275"/>
      <c r="FD168" s="275"/>
      <c r="FE168" s="275"/>
      <c r="FF168" s="275"/>
      <c r="FG168" s="275"/>
      <c r="FH168" s="275"/>
      <c r="FI168" s="275"/>
      <c r="FJ168" s="275"/>
      <c r="FK168" s="275"/>
      <c r="FL168" s="275"/>
      <c r="FM168" s="275"/>
      <c r="FN168" s="275"/>
      <c r="FO168" s="275"/>
      <c r="FP168" s="275"/>
      <c r="FQ168" s="275"/>
      <c r="FR168" s="275"/>
      <c r="FS168" s="275"/>
      <c r="FT168" s="275"/>
      <c r="FU168" s="275"/>
      <c r="FV168" s="275"/>
      <c r="FW168" s="275"/>
      <c r="FX168" s="275"/>
      <c r="FY168" s="275"/>
      <c r="FZ168" s="275"/>
      <c r="GA168" s="275"/>
      <c r="GB168" s="275"/>
      <c r="GC168" s="275"/>
      <c r="GD168" s="275"/>
      <c r="GE168" s="275"/>
      <c r="GF168" s="275"/>
      <c r="GG168" s="275"/>
      <c r="GH168" s="275"/>
      <c r="GI168" s="275"/>
      <c r="GJ168" s="275"/>
      <c r="GK168" s="275"/>
      <c r="GL168" s="275"/>
      <c r="GM168" s="275"/>
      <c r="GN168" s="275"/>
      <c r="GO168" s="275"/>
      <c r="GP168" s="275"/>
      <c r="GQ168" s="275"/>
      <c r="GR168" s="275"/>
      <c r="GS168" s="275"/>
      <c r="GT168" s="275"/>
      <c r="GU168" s="275"/>
      <c r="GV168" s="275"/>
      <c r="GW168" s="275"/>
      <c r="GX168" s="275"/>
      <c r="GY168" s="275"/>
      <c r="GZ168" s="275"/>
      <c r="HA168" s="275"/>
      <c r="HB168" s="275"/>
      <c r="HC168" s="275"/>
      <c r="HD168" s="275"/>
      <c r="HE168" s="275"/>
      <c r="HF168" s="275"/>
      <c r="HG168" s="275"/>
      <c r="HH168" s="275"/>
      <c r="HI168" s="275"/>
      <c r="HJ168" s="275"/>
      <c r="HK168" s="275"/>
      <c r="HL168" s="275"/>
      <c r="HM168" s="275"/>
      <c r="HN168" s="275"/>
      <c r="HO168" s="275"/>
      <c r="HP168" s="275"/>
      <c r="HQ168" s="275"/>
      <c r="HR168" s="275"/>
    </row>
    <row r="169" spans="1:226" s="297" customFormat="1">
      <c r="A169" s="275"/>
      <c r="B169" s="21"/>
      <c r="C169" s="21"/>
      <c r="D169" s="21"/>
      <c r="E169" s="21"/>
      <c r="F169" s="275"/>
      <c r="G169" s="275"/>
      <c r="H169" s="275"/>
      <c r="I169" s="275"/>
      <c r="J169" s="275"/>
      <c r="K169" s="275"/>
      <c r="L169" s="275"/>
      <c r="M169" s="275"/>
      <c r="N169" s="275"/>
      <c r="O169" s="275"/>
      <c r="P169" s="275"/>
      <c r="Q169" s="275"/>
      <c r="R169" s="275"/>
      <c r="S169" s="275"/>
      <c r="T169" s="275"/>
      <c r="U169" s="275"/>
      <c r="V169" s="275"/>
      <c r="W169" s="275"/>
      <c r="X169" s="275"/>
      <c r="Y169" s="275"/>
      <c r="Z169" s="275"/>
      <c r="AA169" s="275"/>
      <c r="AB169" s="275"/>
      <c r="AC169" s="275"/>
      <c r="AD169" s="275"/>
      <c r="AE169" s="275"/>
      <c r="AF169" s="275"/>
      <c r="AG169" s="275"/>
      <c r="AH169" s="275"/>
      <c r="AJ169" s="275"/>
      <c r="AK169" s="275"/>
      <c r="AL169" s="275"/>
      <c r="AM169" s="275"/>
      <c r="AN169" s="275"/>
      <c r="AO169" s="275"/>
      <c r="AQ169" s="275"/>
      <c r="AR169" s="275"/>
      <c r="AS169" s="275"/>
      <c r="AT169" s="275"/>
      <c r="AU169" s="275"/>
      <c r="AV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D169" s="275"/>
      <c r="EE169" s="275"/>
      <c r="EF169" s="275"/>
      <c r="EG169" s="275"/>
      <c r="EH169" s="275"/>
      <c r="EI169" s="275"/>
      <c r="EJ169" s="275"/>
      <c r="EK169" s="275"/>
      <c r="EL169" s="275"/>
      <c r="EM169" s="275"/>
      <c r="EN169" s="275"/>
      <c r="EO169" s="275"/>
      <c r="EP169" s="275"/>
      <c r="EQ169" s="275"/>
      <c r="ER169" s="275"/>
      <c r="ES169" s="275"/>
      <c r="ET169" s="275"/>
      <c r="EU169"/>
      <c r="EV169"/>
      <c r="EW169" s="275"/>
      <c r="EX169" s="275"/>
      <c r="EY169" s="275"/>
      <c r="EZ169" s="275"/>
      <c r="FA169" s="275"/>
      <c r="FB169" s="275"/>
      <c r="FC169" s="275"/>
      <c r="FD169" s="275"/>
      <c r="FE169" s="275"/>
      <c r="FF169" s="275"/>
      <c r="FG169" s="275"/>
      <c r="FH169" s="275"/>
      <c r="FI169" s="275"/>
      <c r="FJ169" s="275"/>
      <c r="FK169" s="275"/>
      <c r="FL169" s="275"/>
      <c r="FM169" s="275"/>
      <c r="FN169" s="275"/>
      <c r="FO169" s="275"/>
      <c r="FP169" s="275"/>
      <c r="FQ169" s="275"/>
      <c r="FR169" s="275"/>
      <c r="FS169" s="275"/>
      <c r="FT169" s="275"/>
      <c r="FU169" s="275"/>
      <c r="FV169" s="275"/>
      <c r="FW169" s="275"/>
      <c r="FX169" s="275"/>
      <c r="FY169" s="275"/>
      <c r="FZ169" s="275"/>
      <c r="GA169" s="275"/>
      <c r="GB169" s="275"/>
      <c r="GC169" s="275"/>
      <c r="GD169" s="275"/>
      <c r="GE169" s="275"/>
      <c r="GF169" s="275"/>
      <c r="GG169" s="275"/>
      <c r="GH169" s="275"/>
      <c r="GI169" s="275"/>
      <c r="GJ169" s="275"/>
      <c r="GK169" s="275"/>
      <c r="GL169" s="275"/>
      <c r="GM169" s="275"/>
      <c r="GN169" s="275"/>
      <c r="GO169" s="275"/>
      <c r="GP169" s="275"/>
      <c r="GQ169" s="275"/>
      <c r="GR169" s="275"/>
      <c r="GS169" s="275"/>
      <c r="GT169" s="275"/>
      <c r="GU169" s="275"/>
      <c r="GV169" s="275"/>
      <c r="GW169" s="275"/>
      <c r="GX169" s="275"/>
      <c r="GY169" s="275"/>
      <c r="GZ169" s="275"/>
      <c r="HA169" s="275"/>
      <c r="HB169" s="275"/>
      <c r="HC169" s="275"/>
      <c r="HD169" s="275"/>
      <c r="HE169" s="275"/>
      <c r="HF169" s="275"/>
      <c r="HG169" s="275"/>
      <c r="HH169" s="275"/>
      <c r="HI169" s="275"/>
      <c r="HJ169" s="275"/>
      <c r="HK169" s="275"/>
      <c r="HL169" s="275"/>
      <c r="HM169" s="275"/>
      <c r="HN169" s="275"/>
      <c r="HO169" s="275"/>
      <c r="HP169" s="275"/>
      <c r="HQ169" s="275"/>
      <c r="HR169" s="275"/>
    </row>
    <row r="170" spans="1:226" s="297" customFormat="1">
      <c r="A170" s="275"/>
      <c r="B170" s="21"/>
      <c r="C170" s="21"/>
      <c r="D170" s="21"/>
      <c r="E170" s="21"/>
      <c r="F170" s="275"/>
      <c r="G170" s="275"/>
      <c r="H170" s="275"/>
      <c r="I170" s="275"/>
      <c r="J170" s="275"/>
      <c r="K170" s="275"/>
      <c r="L170" s="275"/>
      <c r="M170" s="275"/>
      <c r="N170" s="275"/>
      <c r="O170" s="275"/>
      <c r="P170" s="275"/>
      <c r="Q170" s="275"/>
      <c r="R170" s="275"/>
      <c r="S170" s="275"/>
      <c r="T170" s="275"/>
      <c r="U170" s="275"/>
      <c r="V170" s="275"/>
      <c r="W170" s="275"/>
      <c r="X170" s="275"/>
      <c r="Y170" s="275"/>
      <c r="Z170" s="275"/>
      <c r="AA170" s="275"/>
      <c r="AB170" s="275"/>
      <c r="AC170" s="275"/>
      <c r="AD170" s="275"/>
      <c r="AE170" s="275"/>
      <c r="AF170" s="275"/>
      <c r="AG170" s="275"/>
      <c r="AH170" s="275"/>
      <c r="AJ170" s="275"/>
      <c r="AK170" s="275"/>
      <c r="AL170" s="275"/>
      <c r="AM170" s="275"/>
      <c r="AN170" s="275"/>
      <c r="AO170" s="275"/>
      <c r="AQ170" s="275"/>
      <c r="AR170" s="275"/>
      <c r="AS170" s="275"/>
      <c r="AT170" s="275"/>
      <c r="AU170" s="275"/>
      <c r="AV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D170" s="275"/>
      <c r="EE170" s="275"/>
      <c r="EF170" s="275"/>
      <c r="EG170" s="275"/>
      <c r="EH170" s="275"/>
      <c r="EI170" s="275"/>
      <c r="EJ170" s="275"/>
      <c r="EK170" s="275"/>
      <c r="EL170" s="275"/>
      <c r="EM170" s="275"/>
      <c r="EN170" s="275"/>
      <c r="EO170" s="275"/>
      <c r="EP170" s="275"/>
      <c r="EQ170" s="275"/>
      <c r="ER170" s="275"/>
      <c r="ES170" s="275"/>
      <c r="ET170" s="275"/>
      <c r="EU170"/>
      <c r="EV170"/>
      <c r="EW170" s="275"/>
      <c r="EX170" s="275"/>
      <c r="EY170" s="275"/>
      <c r="EZ170" s="275"/>
      <c r="FA170" s="275"/>
      <c r="FB170" s="275"/>
      <c r="FC170" s="275"/>
      <c r="FD170" s="275"/>
      <c r="FE170" s="275"/>
      <c r="FF170" s="275"/>
      <c r="FG170" s="275"/>
      <c r="FH170" s="275"/>
      <c r="FI170" s="275"/>
      <c r="FJ170" s="275"/>
      <c r="FK170" s="275"/>
      <c r="FL170" s="275"/>
      <c r="FM170" s="275"/>
      <c r="FN170" s="275"/>
      <c r="FO170" s="275"/>
      <c r="FP170" s="275"/>
      <c r="FQ170" s="275"/>
      <c r="FR170" s="275"/>
      <c r="FS170" s="275"/>
      <c r="FT170" s="275"/>
      <c r="FU170" s="275"/>
      <c r="FV170" s="275"/>
      <c r="FW170" s="275"/>
      <c r="FX170" s="275"/>
      <c r="FY170" s="275"/>
      <c r="FZ170" s="275"/>
      <c r="GA170" s="275"/>
      <c r="GB170" s="275"/>
      <c r="GC170" s="275"/>
      <c r="GD170" s="275"/>
      <c r="GE170" s="275"/>
      <c r="GF170" s="275"/>
      <c r="GG170" s="275"/>
      <c r="GH170" s="275"/>
      <c r="GI170" s="275"/>
      <c r="GJ170" s="275"/>
      <c r="GK170" s="275"/>
      <c r="GL170" s="275"/>
      <c r="GM170" s="275"/>
      <c r="GN170" s="275"/>
      <c r="GO170" s="275"/>
      <c r="GP170" s="275"/>
      <c r="GQ170" s="275"/>
      <c r="GR170" s="275"/>
      <c r="GS170" s="275"/>
      <c r="GT170" s="275"/>
      <c r="GU170" s="275"/>
      <c r="GV170" s="275"/>
      <c r="GW170" s="275"/>
      <c r="GX170" s="275"/>
      <c r="GY170" s="275"/>
      <c r="GZ170" s="275"/>
      <c r="HA170" s="275"/>
      <c r="HB170" s="275"/>
      <c r="HC170" s="275"/>
      <c r="HD170" s="275"/>
      <c r="HE170" s="275"/>
      <c r="HF170" s="275"/>
      <c r="HG170" s="275"/>
      <c r="HH170" s="275"/>
      <c r="HI170" s="275"/>
      <c r="HJ170" s="275"/>
      <c r="HK170" s="275"/>
      <c r="HL170" s="275"/>
      <c r="HM170" s="275"/>
      <c r="HN170" s="275"/>
      <c r="HO170" s="275"/>
      <c r="HP170" s="275"/>
      <c r="HQ170" s="275"/>
      <c r="HR170" s="275"/>
    </row>
    <row r="171" spans="1:226" s="297" customFormat="1">
      <c r="A171" s="275"/>
      <c r="B171" s="21"/>
      <c r="C171" s="21"/>
      <c r="D171" s="21"/>
      <c r="E171" s="21"/>
      <c r="F171" s="275"/>
      <c r="G171" s="275"/>
      <c r="H171" s="275"/>
      <c r="I171" s="275"/>
      <c r="J171" s="275"/>
      <c r="K171" s="275"/>
      <c r="L171" s="275"/>
      <c r="M171" s="275"/>
      <c r="N171" s="275"/>
      <c r="O171" s="275"/>
      <c r="P171" s="275"/>
      <c r="Q171" s="275"/>
      <c r="R171" s="275"/>
      <c r="S171" s="275"/>
      <c r="T171" s="275"/>
      <c r="U171" s="275"/>
      <c r="V171" s="275"/>
      <c r="W171" s="275"/>
      <c r="X171" s="275"/>
      <c r="Y171" s="275"/>
      <c r="Z171" s="275"/>
      <c r="AA171" s="275"/>
      <c r="AB171" s="275"/>
      <c r="AC171" s="275"/>
      <c r="AD171" s="275"/>
      <c r="AE171" s="275"/>
      <c r="AF171" s="275"/>
      <c r="AG171" s="275"/>
      <c r="AH171" s="275"/>
      <c r="AJ171" s="275"/>
      <c r="AK171" s="275"/>
      <c r="AL171" s="275"/>
      <c r="AM171" s="275"/>
      <c r="AN171" s="275"/>
      <c r="AO171" s="275"/>
      <c r="AQ171" s="275"/>
      <c r="AR171" s="275"/>
      <c r="AS171" s="275"/>
      <c r="AT171" s="275"/>
      <c r="AU171" s="275"/>
      <c r="AV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D171" s="275"/>
      <c r="EE171" s="275"/>
      <c r="EF171" s="275"/>
      <c r="EG171" s="275"/>
      <c r="EH171" s="275"/>
      <c r="EI171" s="275"/>
      <c r="EJ171" s="275"/>
      <c r="EK171" s="275"/>
      <c r="EL171" s="275"/>
      <c r="EM171" s="275"/>
      <c r="EN171" s="275"/>
      <c r="EO171" s="275"/>
      <c r="EP171" s="275"/>
      <c r="EQ171" s="275"/>
      <c r="ER171" s="275"/>
      <c r="ES171" s="275"/>
      <c r="ET171" s="275"/>
      <c r="EU171"/>
      <c r="EV171"/>
      <c r="EW171" s="275"/>
      <c r="EX171" s="275"/>
      <c r="EY171" s="275"/>
      <c r="EZ171" s="275"/>
      <c r="FA171" s="275"/>
      <c r="FB171" s="275"/>
      <c r="FC171" s="275"/>
      <c r="FD171" s="275"/>
      <c r="FE171" s="275"/>
      <c r="FF171" s="275"/>
      <c r="FG171" s="275"/>
      <c r="FH171" s="275"/>
      <c r="FI171" s="275"/>
      <c r="FJ171" s="275"/>
      <c r="FK171" s="275"/>
      <c r="FL171" s="275"/>
      <c r="FM171" s="275"/>
      <c r="FN171" s="275"/>
      <c r="FO171" s="275"/>
      <c r="FP171" s="275"/>
      <c r="FQ171" s="275"/>
      <c r="FR171" s="275"/>
      <c r="FS171" s="275"/>
      <c r="FT171" s="275"/>
      <c r="FU171" s="275"/>
      <c r="FV171" s="275"/>
      <c r="FW171" s="275"/>
      <c r="FX171" s="275"/>
      <c r="FY171" s="275"/>
      <c r="FZ171" s="275"/>
      <c r="GA171" s="275"/>
      <c r="GB171" s="275"/>
      <c r="GC171" s="275"/>
      <c r="GD171" s="275"/>
      <c r="GE171" s="275"/>
      <c r="GF171" s="275"/>
      <c r="GG171" s="275"/>
      <c r="GH171" s="275"/>
      <c r="GI171" s="275"/>
      <c r="GJ171" s="275"/>
      <c r="GK171" s="275"/>
      <c r="GL171" s="275"/>
      <c r="GM171" s="275"/>
      <c r="GN171" s="275"/>
      <c r="GO171" s="275"/>
      <c r="GP171" s="275"/>
      <c r="GQ171" s="275"/>
      <c r="GR171" s="275"/>
      <c r="GS171" s="275"/>
      <c r="GT171" s="275"/>
      <c r="GU171" s="275"/>
      <c r="GV171" s="275"/>
      <c r="GW171" s="275"/>
      <c r="GX171" s="275"/>
      <c r="GY171" s="275"/>
      <c r="GZ171" s="275"/>
      <c r="HA171" s="275"/>
      <c r="HB171" s="275"/>
      <c r="HC171" s="275"/>
      <c r="HD171" s="275"/>
      <c r="HE171" s="275"/>
      <c r="HF171" s="275"/>
      <c r="HG171" s="275"/>
      <c r="HH171" s="275"/>
      <c r="HI171" s="275"/>
      <c r="HJ171" s="275"/>
      <c r="HK171" s="275"/>
      <c r="HL171" s="275"/>
      <c r="HM171" s="275"/>
      <c r="HN171" s="275"/>
      <c r="HO171" s="275"/>
      <c r="HP171" s="275"/>
      <c r="HQ171" s="275"/>
      <c r="HR171" s="275"/>
    </row>
    <row r="172" spans="1:226" s="297" customFormat="1">
      <c r="A172" s="275"/>
      <c r="B172" s="21"/>
      <c r="C172" s="21"/>
      <c r="D172" s="21"/>
      <c r="E172" s="21"/>
      <c r="F172" s="275"/>
      <c r="G172" s="275"/>
      <c r="H172" s="275"/>
      <c r="I172" s="275"/>
      <c r="J172" s="275"/>
      <c r="K172" s="275"/>
      <c r="L172" s="275"/>
      <c r="M172" s="275"/>
      <c r="N172" s="275"/>
      <c r="O172" s="275"/>
      <c r="P172" s="275"/>
      <c r="Q172" s="275"/>
      <c r="R172" s="275"/>
      <c r="S172" s="275"/>
      <c r="T172" s="275"/>
      <c r="U172" s="275"/>
      <c r="V172" s="275"/>
      <c r="W172" s="275"/>
      <c r="X172" s="275"/>
      <c r="Y172" s="275"/>
      <c r="Z172" s="275"/>
      <c r="AA172" s="275"/>
      <c r="AB172" s="275"/>
      <c r="AC172" s="275"/>
      <c r="AD172" s="275"/>
      <c r="AE172" s="275"/>
      <c r="AF172" s="275"/>
      <c r="AG172" s="275"/>
      <c r="AH172" s="275"/>
      <c r="AJ172" s="275"/>
      <c r="AK172" s="275"/>
      <c r="AL172" s="275"/>
      <c r="AM172" s="275"/>
      <c r="AN172" s="275"/>
      <c r="AO172" s="275"/>
      <c r="AQ172" s="275"/>
      <c r="AR172" s="275"/>
      <c r="AS172" s="275"/>
      <c r="AT172" s="275"/>
      <c r="AU172" s="275"/>
      <c r="AV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D172" s="275"/>
      <c r="EE172" s="275"/>
      <c r="EF172" s="275"/>
      <c r="EG172" s="275"/>
      <c r="EH172" s="275"/>
      <c r="EI172" s="275"/>
      <c r="EJ172" s="275"/>
      <c r="EK172" s="275"/>
      <c r="EL172" s="275"/>
      <c r="EM172" s="275"/>
      <c r="EN172" s="275"/>
      <c r="EO172" s="275"/>
      <c r="EP172" s="275"/>
      <c r="EQ172" s="275"/>
      <c r="ER172" s="275"/>
      <c r="ES172" s="275"/>
      <c r="ET172" s="275"/>
      <c r="EU172"/>
      <c r="EV172"/>
      <c r="EW172" s="275"/>
      <c r="EX172" s="275"/>
      <c r="EY172" s="275"/>
      <c r="EZ172" s="275"/>
      <c r="FA172" s="275"/>
      <c r="FB172" s="275"/>
      <c r="FC172" s="275"/>
      <c r="FD172" s="275"/>
      <c r="FE172" s="275"/>
      <c r="FF172" s="275"/>
      <c r="FG172" s="275"/>
      <c r="FH172" s="275"/>
      <c r="FI172" s="275"/>
      <c r="FJ172" s="275"/>
      <c r="FK172" s="275"/>
      <c r="FL172" s="275"/>
      <c r="FM172" s="275"/>
      <c r="FN172" s="275"/>
      <c r="FO172" s="275"/>
      <c r="FP172" s="275"/>
      <c r="FQ172" s="275"/>
      <c r="FR172" s="275"/>
      <c r="FS172" s="275"/>
      <c r="FT172" s="275"/>
      <c r="FU172" s="275"/>
      <c r="FV172" s="275"/>
      <c r="FW172" s="275"/>
      <c r="FX172" s="275"/>
      <c r="FY172" s="275"/>
      <c r="FZ172" s="275"/>
      <c r="GA172" s="275"/>
      <c r="GB172" s="275"/>
      <c r="GC172" s="275"/>
      <c r="GD172" s="275"/>
      <c r="GE172" s="275"/>
      <c r="GF172" s="275"/>
      <c r="GG172" s="275"/>
      <c r="GH172" s="275"/>
      <c r="GI172" s="275"/>
      <c r="GJ172" s="275"/>
      <c r="GK172" s="275"/>
      <c r="GL172" s="275"/>
      <c r="GM172" s="275"/>
      <c r="GN172" s="275"/>
      <c r="GO172" s="275"/>
      <c r="GP172" s="275"/>
      <c r="GQ172" s="275"/>
      <c r="GR172" s="275"/>
      <c r="GS172" s="275"/>
      <c r="GT172" s="275"/>
      <c r="GU172" s="275"/>
      <c r="GV172" s="275"/>
      <c r="GW172" s="275"/>
      <c r="GX172" s="275"/>
      <c r="GY172" s="275"/>
      <c r="GZ172" s="275"/>
      <c r="HA172" s="275"/>
      <c r="HB172" s="275"/>
      <c r="HC172" s="275"/>
      <c r="HD172" s="275"/>
      <c r="HE172" s="275"/>
      <c r="HF172" s="275"/>
      <c r="HG172" s="275"/>
      <c r="HH172" s="275"/>
      <c r="HI172" s="275"/>
      <c r="HJ172" s="275"/>
      <c r="HK172" s="275"/>
      <c r="HL172" s="275"/>
      <c r="HM172" s="275"/>
      <c r="HN172" s="275"/>
      <c r="HO172" s="275"/>
      <c r="HP172" s="275"/>
      <c r="HQ172" s="275"/>
      <c r="HR172" s="275"/>
    </row>
    <row r="173" spans="1:226" s="297" customFormat="1">
      <c r="A173" s="275"/>
      <c r="B173" s="21"/>
      <c r="C173" s="21"/>
      <c r="D173" s="21"/>
      <c r="E173" s="21"/>
      <c r="F173" s="275"/>
      <c r="G173" s="275"/>
      <c r="H173" s="275"/>
      <c r="I173" s="275"/>
      <c r="J173" s="275"/>
      <c r="K173" s="275"/>
      <c r="L173" s="275"/>
      <c r="M173" s="275"/>
      <c r="N173" s="275"/>
      <c r="O173" s="275"/>
      <c r="P173" s="275"/>
      <c r="Q173" s="275"/>
      <c r="R173" s="275"/>
      <c r="S173" s="275"/>
      <c r="T173" s="275"/>
      <c r="U173" s="275"/>
      <c r="V173" s="275"/>
      <c r="W173" s="275"/>
      <c r="X173" s="275"/>
      <c r="Y173" s="275"/>
      <c r="Z173" s="275"/>
      <c r="AA173" s="275"/>
      <c r="AB173" s="275"/>
      <c r="AC173" s="275"/>
      <c r="AD173" s="275"/>
      <c r="AE173" s="275"/>
      <c r="AF173" s="275"/>
      <c r="AG173" s="275"/>
      <c r="AH173" s="275"/>
      <c r="AJ173" s="275"/>
      <c r="AK173" s="275"/>
      <c r="AL173" s="275"/>
      <c r="AM173" s="275"/>
      <c r="AN173" s="275"/>
      <c r="AO173" s="275"/>
      <c r="AQ173" s="275"/>
      <c r="AR173" s="275"/>
      <c r="AS173" s="275"/>
      <c r="AT173" s="275"/>
      <c r="AU173" s="275"/>
      <c r="AV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D173" s="275"/>
      <c r="EE173" s="275"/>
      <c r="EF173" s="275"/>
      <c r="EG173" s="275"/>
      <c r="EH173" s="275"/>
      <c r="EI173" s="275"/>
      <c r="EJ173" s="275"/>
      <c r="EK173" s="275"/>
      <c r="EL173" s="275"/>
      <c r="EM173" s="275"/>
      <c r="EN173" s="275"/>
      <c r="EO173" s="275"/>
      <c r="EP173" s="275"/>
      <c r="EQ173" s="275"/>
      <c r="ER173" s="275"/>
      <c r="ES173" s="275"/>
      <c r="ET173" s="275"/>
      <c r="EU173"/>
      <c r="EV173"/>
      <c r="EW173" s="275"/>
      <c r="EX173" s="275"/>
      <c r="EY173" s="275"/>
      <c r="EZ173" s="275"/>
      <c r="FA173" s="275"/>
      <c r="FB173" s="275"/>
      <c r="FC173" s="275"/>
      <c r="FD173" s="275"/>
      <c r="FE173" s="275"/>
      <c r="FF173" s="275"/>
      <c r="FG173" s="275"/>
      <c r="FH173" s="275"/>
      <c r="FI173" s="275"/>
      <c r="FJ173" s="275"/>
      <c r="FK173" s="275"/>
      <c r="FL173" s="275"/>
      <c r="FM173" s="275"/>
      <c r="FN173" s="275"/>
      <c r="FO173" s="275"/>
      <c r="FP173" s="275"/>
      <c r="FQ173" s="275"/>
      <c r="FR173" s="275"/>
      <c r="FS173" s="275"/>
      <c r="FT173" s="275"/>
      <c r="FU173" s="275"/>
      <c r="FV173" s="275"/>
      <c r="FW173" s="275"/>
      <c r="FX173" s="275"/>
      <c r="FY173" s="275"/>
      <c r="FZ173" s="275"/>
      <c r="GA173" s="275"/>
      <c r="GB173" s="275"/>
      <c r="GC173" s="275"/>
      <c r="GD173" s="275"/>
      <c r="GE173" s="275"/>
      <c r="GF173" s="275"/>
      <c r="GG173" s="275"/>
      <c r="GH173" s="275"/>
      <c r="GI173" s="275"/>
      <c r="GJ173" s="275"/>
      <c r="GK173" s="275"/>
      <c r="GL173" s="275"/>
      <c r="GM173" s="275"/>
      <c r="GN173" s="275"/>
      <c r="GO173" s="275"/>
      <c r="GP173" s="275"/>
      <c r="GQ173" s="275"/>
      <c r="GR173" s="275"/>
      <c r="GS173" s="275"/>
      <c r="GT173" s="275"/>
      <c r="GU173" s="275"/>
      <c r="GV173" s="275"/>
      <c r="GW173" s="275"/>
      <c r="GX173" s="275"/>
      <c r="GY173" s="275"/>
      <c r="GZ173" s="275"/>
      <c r="HA173" s="275"/>
      <c r="HB173" s="275"/>
      <c r="HC173" s="275"/>
      <c r="HD173" s="275"/>
      <c r="HE173" s="275"/>
      <c r="HF173" s="275"/>
      <c r="HG173" s="275"/>
      <c r="HH173" s="275"/>
      <c r="HI173" s="275"/>
      <c r="HJ173" s="275"/>
      <c r="HK173" s="275"/>
      <c r="HL173" s="275"/>
      <c r="HM173" s="275"/>
      <c r="HN173" s="275"/>
      <c r="HO173" s="275"/>
      <c r="HP173" s="275"/>
      <c r="HQ173" s="275"/>
      <c r="HR173" s="275"/>
    </row>
    <row r="174" spans="1:226" s="297" customFormat="1">
      <c r="A174" s="275"/>
      <c r="B174" s="21"/>
      <c r="C174" s="21"/>
      <c r="D174" s="21"/>
      <c r="E174" s="21"/>
      <c r="F174" s="275"/>
      <c r="G174" s="275"/>
      <c r="H174" s="275"/>
      <c r="I174" s="275"/>
      <c r="J174" s="275"/>
      <c r="K174" s="275"/>
      <c r="L174" s="275"/>
      <c r="M174" s="275"/>
      <c r="N174" s="275"/>
      <c r="O174" s="275"/>
      <c r="P174" s="275"/>
      <c r="Q174" s="275"/>
      <c r="R174" s="275"/>
      <c r="S174" s="275"/>
      <c r="T174" s="275"/>
      <c r="U174" s="275"/>
      <c r="V174" s="275"/>
      <c r="W174" s="275"/>
      <c r="X174" s="275"/>
      <c r="Y174" s="275"/>
      <c r="Z174" s="275"/>
      <c r="AA174" s="275"/>
      <c r="AB174" s="275"/>
      <c r="AC174" s="275"/>
      <c r="AD174" s="275"/>
      <c r="AE174" s="275"/>
      <c r="AF174" s="275"/>
      <c r="AG174" s="275"/>
      <c r="AH174" s="275"/>
      <c r="AJ174" s="275"/>
      <c r="AK174" s="275"/>
      <c r="AL174" s="275"/>
      <c r="AM174" s="275"/>
      <c r="AN174" s="275"/>
      <c r="AO174" s="275"/>
      <c r="AQ174" s="275"/>
      <c r="AR174" s="275"/>
      <c r="AS174" s="275"/>
      <c r="AT174" s="275"/>
      <c r="AU174" s="275"/>
      <c r="AV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D174" s="275"/>
      <c r="EE174" s="275"/>
      <c r="EF174" s="275"/>
      <c r="EG174" s="275"/>
      <c r="EH174" s="275"/>
      <c r="EI174" s="275"/>
      <c r="EJ174" s="275"/>
      <c r="EK174" s="275"/>
      <c r="EL174" s="275"/>
      <c r="EM174" s="275"/>
      <c r="EN174" s="275"/>
      <c r="EO174" s="275"/>
      <c r="EP174" s="275"/>
      <c r="EQ174" s="275"/>
      <c r="ER174" s="275"/>
      <c r="ES174" s="275"/>
      <c r="ET174" s="275"/>
      <c r="EU174"/>
      <c r="EV174"/>
      <c r="EW174" s="275"/>
      <c r="EX174" s="275"/>
      <c r="EY174" s="275"/>
      <c r="EZ174" s="275"/>
      <c r="FA174" s="275"/>
      <c r="FB174" s="275"/>
      <c r="FC174" s="275"/>
      <c r="FD174" s="275"/>
      <c r="FE174" s="275"/>
      <c r="FF174" s="275"/>
      <c r="FG174" s="275"/>
      <c r="FH174" s="275"/>
      <c r="FI174" s="275"/>
      <c r="FJ174" s="275"/>
      <c r="FK174" s="275"/>
      <c r="FL174" s="275"/>
      <c r="FM174" s="275"/>
      <c r="FN174" s="275"/>
      <c r="FO174" s="275"/>
      <c r="FP174" s="275"/>
      <c r="FQ174" s="275"/>
      <c r="FR174" s="275"/>
      <c r="FS174" s="275"/>
      <c r="FT174" s="275"/>
      <c r="FU174" s="275"/>
      <c r="FV174" s="275"/>
      <c r="FW174" s="275"/>
      <c r="FX174" s="275"/>
      <c r="FY174" s="275"/>
      <c r="FZ174" s="275"/>
      <c r="GA174" s="275"/>
      <c r="GB174" s="275"/>
      <c r="GC174" s="275"/>
      <c r="GD174" s="275"/>
      <c r="GE174" s="275"/>
      <c r="GF174" s="275"/>
      <c r="GG174" s="275"/>
      <c r="GH174" s="275"/>
      <c r="GI174" s="275"/>
      <c r="GJ174" s="275"/>
      <c r="GK174" s="275"/>
      <c r="GL174" s="275"/>
      <c r="GM174" s="275"/>
      <c r="GN174" s="275"/>
      <c r="GO174" s="275"/>
      <c r="GP174" s="275"/>
      <c r="GQ174" s="275"/>
      <c r="GR174" s="275"/>
      <c r="GS174" s="275"/>
      <c r="GT174" s="275"/>
      <c r="GU174" s="275"/>
      <c r="GV174" s="275"/>
      <c r="GW174" s="275"/>
      <c r="GX174" s="275"/>
      <c r="GY174" s="275"/>
      <c r="GZ174" s="275"/>
      <c r="HA174" s="275"/>
      <c r="HB174" s="275"/>
      <c r="HC174" s="275"/>
      <c r="HD174" s="275"/>
      <c r="HE174" s="275"/>
      <c r="HF174" s="275"/>
      <c r="HG174" s="275"/>
      <c r="HH174" s="275"/>
      <c r="HI174" s="275"/>
      <c r="HJ174" s="275"/>
      <c r="HK174" s="275"/>
      <c r="HL174" s="275"/>
      <c r="HM174" s="275"/>
      <c r="HN174" s="275"/>
      <c r="HO174" s="275"/>
      <c r="HP174" s="275"/>
      <c r="HQ174" s="275"/>
      <c r="HR174" s="275"/>
    </row>
    <row r="175" spans="1:226" s="297" customFormat="1">
      <c r="A175" s="275"/>
      <c r="B175" s="21"/>
      <c r="C175" s="21"/>
      <c r="D175" s="21"/>
      <c r="E175" s="21"/>
      <c r="F175" s="275"/>
      <c r="G175" s="275"/>
      <c r="H175" s="275"/>
      <c r="I175" s="275"/>
      <c r="J175" s="275"/>
      <c r="K175" s="275"/>
      <c r="L175" s="275"/>
      <c r="M175" s="275"/>
      <c r="N175" s="275"/>
      <c r="O175" s="275"/>
      <c r="P175" s="275"/>
      <c r="Q175" s="275"/>
      <c r="R175" s="275"/>
      <c r="S175" s="275"/>
      <c r="T175" s="275"/>
      <c r="U175" s="275"/>
      <c r="V175" s="275"/>
      <c r="W175" s="275"/>
      <c r="X175" s="275"/>
      <c r="Y175" s="275"/>
      <c r="Z175" s="275"/>
      <c r="AA175" s="275"/>
      <c r="AB175" s="275"/>
      <c r="AC175" s="275"/>
      <c r="AD175" s="275"/>
      <c r="AE175" s="275"/>
      <c r="AF175" s="275"/>
      <c r="AG175" s="275"/>
      <c r="AH175" s="275"/>
      <c r="AJ175" s="275"/>
      <c r="AK175" s="275"/>
      <c r="AL175" s="275"/>
      <c r="AM175" s="275"/>
      <c r="AN175" s="275"/>
      <c r="AO175" s="275"/>
      <c r="AQ175" s="275"/>
      <c r="AR175" s="275"/>
      <c r="AS175" s="275"/>
      <c r="AT175" s="275"/>
      <c r="AU175" s="275"/>
      <c r="AV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D175" s="275"/>
      <c r="EE175" s="275"/>
      <c r="EF175" s="275"/>
      <c r="EG175" s="275"/>
      <c r="EH175" s="275"/>
      <c r="EI175" s="275"/>
      <c r="EJ175" s="275"/>
      <c r="EK175" s="275"/>
      <c r="EL175" s="275"/>
      <c r="EM175" s="275"/>
      <c r="EN175" s="275"/>
      <c r="EO175" s="275"/>
      <c r="EP175" s="275"/>
      <c r="EQ175" s="275"/>
      <c r="ER175" s="275"/>
      <c r="ES175" s="275"/>
      <c r="ET175" s="275"/>
      <c r="EU175"/>
      <c r="EV175"/>
      <c r="EW175" s="275"/>
      <c r="EX175" s="275"/>
      <c r="EY175" s="275"/>
      <c r="EZ175" s="275"/>
      <c r="FA175" s="275"/>
      <c r="FB175" s="275"/>
      <c r="FC175" s="275"/>
      <c r="FD175" s="275"/>
      <c r="FE175" s="275"/>
      <c r="FF175" s="275"/>
      <c r="FG175" s="275"/>
      <c r="FH175" s="275"/>
      <c r="FI175" s="275"/>
      <c r="FJ175" s="275"/>
      <c r="FK175" s="275"/>
      <c r="FL175" s="275"/>
      <c r="FM175" s="275"/>
      <c r="FN175" s="275"/>
      <c r="FO175" s="275"/>
      <c r="FP175" s="275"/>
      <c r="FQ175" s="275"/>
      <c r="FR175" s="275"/>
      <c r="FS175" s="275"/>
      <c r="FT175" s="275"/>
      <c r="FU175" s="275"/>
      <c r="FV175" s="275"/>
      <c r="FW175" s="275"/>
      <c r="FX175" s="275"/>
      <c r="FY175" s="275"/>
      <c r="FZ175" s="275"/>
      <c r="GA175" s="275"/>
      <c r="GB175" s="275"/>
      <c r="GC175" s="275"/>
      <c r="GD175" s="275"/>
      <c r="GE175" s="275"/>
      <c r="GF175" s="275"/>
      <c r="GG175" s="275"/>
      <c r="GH175" s="275"/>
      <c r="GI175" s="275"/>
      <c r="GJ175" s="275"/>
      <c r="GK175" s="275"/>
      <c r="GL175" s="275"/>
      <c r="GM175" s="275"/>
      <c r="GN175" s="275"/>
      <c r="GO175" s="275"/>
      <c r="GP175" s="275"/>
      <c r="GQ175" s="275"/>
      <c r="GR175" s="275"/>
      <c r="GS175" s="275"/>
      <c r="GT175" s="275"/>
      <c r="GU175" s="275"/>
      <c r="GV175" s="275"/>
      <c r="GW175" s="275"/>
      <c r="GX175" s="275"/>
      <c r="GY175" s="275"/>
      <c r="GZ175" s="275"/>
      <c r="HA175" s="275"/>
      <c r="HB175" s="275"/>
      <c r="HC175" s="275"/>
      <c r="HD175" s="275"/>
      <c r="HE175" s="275"/>
      <c r="HF175" s="275"/>
      <c r="HG175" s="275"/>
      <c r="HH175" s="275"/>
      <c r="HI175" s="275"/>
      <c r="HJ175" s="275"/>
      <c r="HK175" s="275"/>
      <c r="HL175" s="275"/>
      <c r="HM175" s="275"/>
      <c r="HN175" s="275"/>
      <c r="HO175" s="275"/>
      <c r="HP175" s="275"/>
      <c r="HQ175" s="275"/>
      <c r="HR175" s="275"/>
    </row>
    <row r="176" spans="1:226" s="297" customFormat="1">
      <c r="A176" s="275"/>
      <c r="B176" s="21"/>
      <c r="C176" s="21"/>
      <c r="D176" s="21"/>
      <c r="E176" s="21"/>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c r="AH176" s="275"/>
      <c r="AJ176" s="275"/>
      <c r="AK176" s="275"/>
      <c r="AL176" s="275"/>
      <c r="AM176" s="275"/>
      <c r="AN176" s="275"/>
      <c r="AO176" s="275"/>
      <c r="AQ176" s="275"/>
      <c r="AR176" s="275"/>
      <c r="AS176" s="275"/>
      <c r="AT176" s="275"/>
      <c r="AU176" s="275"/>
      <c r="AV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D176" s="275"/>
      <c r="EE176" s="275"/>
      <c r="EF176" s="275"/>
      <c r="EG176" s="275"/>
      <c r="EH176" s="275"/>
      <c r="EI176" s="275"/>
      <c r="EJ176" s="275"/>
      <c r="EK176" s="275"/>
      <c r="EL176" s="275"/>
      <c r="EM176" s="275"/>
      <c r="EN176" s="275"/>
      <c r="EO176" s="275"/>
      <c r="EP176" s="275"/>
      <c r="EQ176" s="275"/>
      <c r="ER176" s="275"/>
      <c r="ES176" s="275"/>
      <c r="ET176" s="275"/>
      <c r="EU176"/>
      <c r="EV176"/>
      <c r="EW176" s="275"/>
      <c r="EX176" s="275"/>
      <c r="EY176" s="275"/>
      <c r="EZ176" s="275"/>
      <c r="FA176" s="275"/>
      <c r="FB176" s="275"/>
      <c r="FC176" s="275"/>
      <c r="FD176" s="275"/>
      <c r="FE176" s="275"/>
      <c r="FF176" s="275"/>
      <c r="FG176" s="275"/>
      <c r="FH176" s="275"/>
      <c r="FI176" s="275"/>
      <c r="FJ176" s="275"/>
      <c r="FK176" s="275"/>
      <c r="FL176" s="275"/>
      <c r="FM176" s="275"/>
      <c r="FN176" s="275"/>
      <c r="FO176" s="275"/>
      <c r="FP176" s="275"/>
      <c r="FQ176" s="275"/>
      <c r="FR176" s="275"/>
      <c r="FS176" s="275"/>
      <c r="FT176" s="275"/>
      <c r="FU176" s="275"/>
      <c r="FV176" s="275"/>
      <c r="FW176" s="275"/>
      <c r="FX176" s="275"/>
      <c r="FY176" s="275"/>
      <c r="FZ176" s="275"/>
      <c r="GA176" s="275"/>
      <c r="GB176" s="275"/>
      <c r="GC176" s="275"/>
      <c r="GD176" s="275"/>
      <c r="GE176" s="275"/>
      <c r="GF176" s="275"/>
      <c r="GG176" s="275"/>
      <c r="GH176" s="275"/>
      <c r="GI176" s="275"/>
      <c r="GJ176" s="275"/>
      <c r="GK176" s="275"/>
      <c r="GL176" s="275"/>
      <c r="GM176" s="275"/>
      <c r="GN176" s="275"/>
      <c r="GO176" s="275"/>
      <c r="GP176" s="275"/>
      <c r="GQ176" s="275"/>
      <c r="GR176" s="275"/>
      <c r="GS176" s="275"/>
      <c r="GT176" s="275"/>
      <c r="GU176" s="275"/>
      <c r="GV176" s="275"/>
      <c r="GW176" s="275"/>
      <c r="GX176" s="275"/>
      <c r="GY176" s="275"/>
      <c r="GZ176" s="275"/>
      <c r="HA176" s="275"/>
      <c r="HB176" s="275"/>
      <c r="HC176" s="275"/>
      <c r="HD176" s="275"/>
      <c r="HE176" s="275"/>
      <c r="HF176" s="275"/>
      <c r="HG176" s="275"/>
      <c r="HH176" s="275"/>
      <c r="HI176" s="275"/>
      <c r="HJ176" s="275"/>
      <c r="HK176" s="275"/>
      <c r="HL176" s="275"/>
      <c r="HM176" s="275"/>
      <c r="HN176" s="275"/>
      <c r="HO176" s="275"/>
      <c r="HP176" s="275"/>
      <c r="HQ176" s="275"/>
      <c r="HR176" s="275"/>
    </row>
    <row r="177" spans="1:226" s="297" customFormat="1">
      <c r="A177" s="275"/>
      <c r="B177" s="21"/>
      <c r="C177" s="21"/>
      <c r="D177" s="21"/>
      <c r="E177" s="21"/>
      <c r="F177" s="275"/>
      <c r="G177" s="275"/>
      <c r="H177" s="275"/>
      <c r="I177" s="275"/>
      <c r="J177" s="275"/>
      <c r="K177" s="275"/>
      <c r="L177" s="275"/>
      <c r="M177" s="275"/>
      <c r="N177" s="275"/>
      <c r="O177" s="275"/>
      <c r="P177" s="275"/>
      <c r="Q177" s="275"/>
      <c r="R177" s="275"/>
      <c r="S177" s="275"/>
      <c r="T177" s="275"/>
      <c r="U177" s="275"/>
      <c r="V177" s="275"/>
      <c r="W177" s="275"/>
      <c r="X177" s="275"/>
      <c r="Y177" s="275"/>
      <c r="Z177" s="275"/>
      <c r="AA177" s="275"/>
      <c r="AB177" s="275"/>
      <c r="AC177" s="275"/>
      <c r="AD177" s="275"/>
      <c r="AE177" s="275"/>
      <c r="AF177" s="275"/>
      <c r="AG177" s="275"/>
      <c r="AH177" s="275"/>
      <c r="AJ177" s="275"/>
      <c r="AK177" s="275"/>
      <c r="AL177" s="275"/>
      <c r="AM177" s="275"/>
      <c r="AN177" s="275"/>
      <c r="AO177" s="275"/>
      <c r="AQ177" s="275"/>
      <c r="AR177" s="275"/>
      <c r="AS177" s="275"/>
      <c r="AT177" s="275"/>
      <c r="AU177" s="275"/>
      <c r="AV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D177" s="275"/>
      <c r="EE177" s="275"/>
      <c r="EF177" s="275"/>
      <c r="EG177" s="275"/>
      <c r="EH177" s="275"/>
      <c r="EI177" s="275"/>
      <c r="EJ177" s="275"/>
      <c r="EK177" s="275"/>
      <c r="EL177" s="275"/>
      <c r="EM177" s="275"/>
      <c r="EN177" s="275"/>
      <c r="EO177" s="275"/>
      <c r="EP177" s="275"/>
      <c r="EQ177" s="275"/>
      <c r="ER177" s="275"/>
      <c r="ES177" s="275"/>
      <c r="ET177" s="275"/>
      <c r="EU177"/>
      <c r="EV177"/>
      <c r="EW177" s="275"/>
      <c r="EX177" s="275"/>
      <c r="EY177" s="275"/>
      <c r="EZ177" s="275"/>
      <c r="FA177" s="275"/>
      <c r="FB177" s="275"/>
      <c r="FC177" s="275"/>
      <c r="FD177" s="275"/>
      <c r="FE177" s="275"/>
      <c r="FF177" s="275"/>
      <c r="FG177" s="275"/>
      <c r="FH177" s="275"/>
      <c r="FI177" s="275"/>
      <c r="FJ177" s="275"/>
      <c r="FK177" s="275"/>
      <c r="FL177" s="275"/>
      <c r="FM177" s="275"/>
      <c r="FN177" s="275"/>
      <c r="FO177" s="275"/>
      <c r="FP177" s="275"/>
      <c r="FQ177" s="275"/>
      <c r="FR177" s="275"/>
      <c r="FS177" s="275"/>
      <c r="FT177" s="275"/>
      <c r="FU177" s="275"/>
      <c r="FV177" s="275"/>
      <c r="FW177" s="275"/>
      <c r="FX177" s="275"/>
      <c r="FY177" s="275"/>
      <c r="FZ177" s="275"/>
      <c r="GA177" s="275"/>
      <c r="GB177" s="275"/>
      <c r="GC177" s="275"/>
      <c r="GD177" s="275"/>
      <c r="GE177" s="275"/>
      <c r="GF177" s="275"/>
      <c r="GG177" s="275"/>
      <c r="GH177" s="275"/>
      <c r="GI177" s="275"/>
      <c r="GJ177" s="275"/>
      <c r="GK177" s="275"/>
      <c r="GL177" s="275"/>
      <c r="GM177" s="275"/>
      <c r="GN177" s="275"/>
      <c r="GO177" s="275"/>
      <c r="GP177" s="275"/>
      <c r="GQ177" s="275"/>
      <c r="GR177" s="275"/>
      <c r="GS177" s="275"/>
      <c r="GT177" s="275"/>
      <c r="GU177" s="275"/>
      <c r="GV177" s="275"/>
      <c r="GW177" s="275"/>
      <c r="GX177" s="275"/>
      <c r="GY177" s="275"/>
      <c r="GZ177" s="275"/>
      <c r="HA177" s="275"/>
      <c r="HB177" s="275"/>
      <c r="HC177" s="275"/>
      <c r="HD177" s="275"/>
      <c r="HE177" s="275"/>
      <c r="HF177" s="275"/>
      <c r="HG177" s="275"/>
      <c r="HH177" s="275"/>
      <c r="HI177" s="275"/>
      <c r="HJ177" s="275"/>
      <c r="HK177" s="275"/>
      <c r="HL177" s="275"/>
      <c r="HM177" s="275"/>
      <c r="HN177" s="275"/>
      <c r="HO177" s="275"/>
      <c r="HP177" s="275"/>
      <c r="HQ177" s="275"/>
      <c r="HR177" s="275"/>
    </row>
    <row r="178" spans="1:226" s="297" customFormat="1">
      <c r="A178" s="275"/>
      <c r="B178" s="21"/>
      <c r="C178" s="21"/>
      <c r="D178" s="21"/>
      <c r="E178" s="21"/>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c r="AH178" s="275"/>
      <c r="AJ178" s="275"/>
      <c r="AK178" s="275"/>
      <c r="AL178" s="275"/>
      <c r="AM178" s="275"/>
      <c r="AN178" s="275"/>
      <c r="AO178" s="275"/>
      <c r="AQ178" s="275"/>
      <c r="AR178" s="275"/>
      <c r="AS178" s="275"/>
      <c r="AT178" s="275"/>
      <c r="AU178" s="275"/>
      <c r="AV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D178" s="275"/>
      <c r="EE178" s="275"/>
      <c r="EF178" s="275"/>
      <c r="EG178" s="275"/>
      <c r="EH178" s="275"/>
      <c r="EI178" s="275"/>
      <c r="EJ178" s="275"/>
      <c r="EK178" s="275"/>
      <c r="EL178" s="275"/>
      <c r="EM178" s="275"/>
      <c r="EN178" s="275"/>
      <c r="EO178" s="275"/>
      <c r="EP178" s="275"/>
      <c r="EQ178" s="275"/>
      <c r="ER178" s="275"/>
      <c r="ES178" s="275"/>
      <c r="ET178" s="275"/>
      <c r="EU178"/>
      <c r="EV178"/>
      <c r="EW178" s="275"/>
      <c r="EX178" s="275"/>
      <c r="EY178" s="275"/>
      <c r="EZ178" s="275"/>
      <c r="FA178" s="275"/>
      <c r="FB178" s="275"/>
      <c r="FC178" s="275"/>
      <c r="FD178" s="275"/>
      <c r="FE178" s="275"/>
      <c r="FF178" s="275"/>
      <c r="FG178" s="275"/>
      <c r="FH178" s="275"/>
      <c r="FI178" s="275"/>
      <c r="FJ178" s="275"/>
      <c r="FK178" s="275"/>
      <c r="FL178" s="275"/>
      <c r="FM178" s="275"/>
      <c r="FN178" s="275"/>
      <c r="FO178" s="275"/>
      <c r="FP178" s="275"/>
      <c r="FQ178" s="275"/>
      <c r="FR178" s="275"/>
      <c r="FS178" s="275"/>
      <c r="FT178" s="275"/>
      <c r="FU178" s="275"/>
      <c r="FV178" s="275"/>
      <c r="FW178" s="275"/>
      <c r="FX178" s="275"/>
      <c r="FY178" s="275"/>
      <c r="FZ178" s="275"/>
      <c r="GA178" s="275"/>
      <c r="GB178" s="275"/>
      <c r="GC178" s="275"/>
      <c r="GD178" s="275"/>
      <c r="GE178" s="275"/>
      <c r="GF178" s="275"/>
      <c r="GG178" s="275"/>
      <c r="GH178" s="275"/>
      <c r="GI178" s="275"/>
      <c r="GJ178" s="275"/>
      <c r="GK178" s="275"/>
      <c r="GL178" s="275"/>
      <c r="GM178" s="275"/>
      <c r="GN178" s="275"/>
      <c r="GO178" s="275"/>
      <c r="GP178" s="275"/>
      <c r="GQ178" s="275"/>
      <c r="GR178" s="275"/>
      <c r="GS178" s="275"/>
      <c r="GT178" s="275"/>
      <c r="GU178" s="275"/>
      <c r="GV178" s="275"/>
      <c r="GW178" s="275"/>
      <c r="GX178" s="275"/>
      <c r="GY178" s="275"/>
      <c r="GZ178" s="275"/>
      <c r="HA178" s="275"/>
      <c r="HB178" s="275"/>
      <c r="HC178" s="275"/>
      <c r="HD178" s="275"/>
      <c r="HE178" s="275"/>
      <c r="HF178" s="275"/>
      <c r="HG178" s="275"/>
      <c r="HH178" s="275"/>
      <c r="HI178" s="275"/>
      <c r="HJ178" s="275"/>
      <c r="HK178" s="275"/>
      <c r="HL178" s="275"/>
      <c r="HM178" s="275"/>
      <c r="HN178" s="275"/>
      <c r="HO178" s="275"/>
      <c r="HP178" s="275"/>
      <c r="HQ178" s="275"/>
      <c r="HR178" s="275"/>
    </row>
    <row r="179" spans="1:226" s="297" customFormat="1">
      <c r="A179" s="275"/>
      <c r="B179" s="21"/>
      <c r="C179" s="21"/>
      <c r="D179" s="21"/>
      <c r="E179" s="21"/>
      <c r="F179" s="275"/>
      <c r="G179" s="275"/>
      <c r="H179" s="275"/>
      <c r="I179" s="275"/>
      <c r="J179" s="275"/>
      <c r="K179" s="275"/>
      <c r="L179" s="275"/>
      <c r="M179" s="275"/>
      <c r="N179" s="275"/>
      <c r="O179" s="275"/>
      <c r="P179" s="275"/>
      <c r="Q179" s="275"/>
      <c r="R179" s="275"/>
      <c r="S179" s="275"/>
      <c r="T179" s="275"/>
      <c r="U179" s="275"/>
      <c r="V179" s="275"/>
      <c r="W179" s="275"/>
      <c r="X179" s="275"/>
      <c r="Y179" s="275"/>
      <c r="Z179" s="275"/>
      <c r="AA179" s="275"/>
      <c r="AB179" s="275"/>
      <c r="AC179" s="275"/>
      <c r="AD179" s="275"/>
      <c r="AE179" s="275"/>
      <c r="AF179" s="275"/>
      <c r="AG179" s="275"/>
      <c r="AH179" s="275"/>
      <c r="AJ179" s="275"/>
      <c r="AK179" s="275"/>
      <c r="AL179" s="275"/>
      <c r="AM179" s="275"/>
      <c r="AN179" s="275"/>
      <c r="AO179" s="275"/>
      <c r="AQ179" s="275"/>
      <c r="AR179" s="275"/>
      <c r="AS179" s="275"/>
      <c r="AT179" s="275"/>
      <c r="AU179" s="275"/>
      <c r="AV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D179" s="275"/>
      <c r="EE179" s="275"/>
      <c r="EF179" s="275"/>
      <c r="EG179" s="275"/>
      <c r="EH179" s="275"/>
      <c r="EI179" s="275"/>
      <c r="EJ179" s="275"/>
      <c r="EK179" s="275"/>
      <c r="EL179" s="275"/>
      <c r="EM179" s="275"/>
      <c r="EN179" s="275"/>
      <c r="EO179" s="275"/>
      <c r="EP179" s="275"/>
      <c r="EQ179" s="275"/>
      <c r="ER179" s="275"/>
      <c r="ES179" s="275"/>
      <c r="ET179" s="275"/>
      <c r="EU179"/>
      <c r="EV179"/>
      <c r="EW179" s="275"/>
      <c r="EX179" s="275"/>
      <c r="EY179" s="275"/>
      <c r="EZ179" s="275"/>
      <c r="FA179" s="275"/>
      <c r="FB179" s="275"/>
      <c r="FC179" s="275"/>
      <c r="FD179" s="275"/>
      <c r="FE179" s="275"/>
      <c r="FF179" s="275"/>
      <c r="FG179" s="275"/>
      <c r="FH179" s="275"/>
      <c r="FI179" s="275"/>
      <c r="FJ179" s="275"/>
      <c r="FK179" s="275"/>
      <c r="FL179" s="275"/>
      <c r="FM179" s="275"/>
      <c r="FN179" s="275"/>
      <c r="FO179" s="275"/>
      <c r="FP179" s="275"/>
      <c r="FQ179" s="275"/>
      <c r="FR179" s="275"/>
      <c r="FS179" s="275"/>
      <c r="FT179" s="275"/>
      <c r="FU179" s="275"/>
      <c r="FV179" s="275"/>
      <c r="FW179" s="275"/>
      <c r="FX179" s="275"/>
      <c r="FY179" s="275"/>
      <c r="FZ179" s="275"/>
      <c r="GA179" s="275"/>
      <c r="GB179" s="275"/>
      <c r="GC179" s="275"/>
      <c r="GD179" s="275"/>
      <c r="GE179" s="275"/>
      <c r="GF179" s="275"/>
      <c r="GG179" s="275"/>
      <c r="GH179" s="275"/>
      <c r="GI179" s="275"/>
      <c r="GJ179" s="275"/>
      <c r="GK179" s="275"/>
      <c r="GL179" s="275"/>
      <c r="GM179" s="275"/>
      <c r="GN179" s="275"/>
      <c r="GO179" s="275"/>
      <c r="GP179" s="275"/>
      <c r="GQ179" s="275"/>
      <c r="GR179" s="275"/>
      <c r="GS179" s="275"/>
      <c r="GT179" s="275"/>
      <c r="GU179" s="275"/>
      <c r="GV179" s="275"/>
      <c r="GW179" s="275"/>
      <c r="GX179" s="275"/>
      <c r="GY179" s="275"/>
      <c r="GZ179" s="275"/>
      <c r="HA179" s="275"/>
      <c r="HB179" s="275"/>
      <c r="HC179" s="275"/>
      <c r="HD179" s="275"/>
      <c r="HE179" s="275"/>
      <c r="HF179" s="275"/>
      <c r="HG179" s="275"/>
      <c r="HH179" s="275"/>
      <c r="HI179" s="275"/>
      <c r="HJ179" s="275"/>
      <c r="HK179" s="275"/>
      <c r="HL179" s="275"/>
      <c r="HM179" s="275"/>
      <c r="HN179" s="275"/>
      <c r="HO179" s="275"/>
      <c r="HP179" s="275"/>
      <c r="HQ179" s="275"/>
      <c r="HR179" s="275"/>
    </row>
    <row r="180" spans="1:226" s="297" customFormat="1">
      <c r="A180" s="275"/>
      <c r="B180" s="21"/>
      <c r="C180" s="21"/>
      <c r="D180" s="21"/>
      <c r="E180" s="21"/>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c r="AH180" s="275"/>
      <c r="AJ180" s="275"/>
      <c r="AK180" s="275"/>
      <c r="AL180" s="275"/>
      <c r="AM180" s="275"/>
      <c r="AN180" s="275"/>
      <c r="AO180" s="275"/>
      <c r="AQ180" s="275"/>
      <c r="AR180" s="275"/>
      <c r="AS180" s="275"/>
      <c r="AT180" s="275"/>
      <c r="AU180" s="275"/>
      <c r="AV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D180" s="275"/>
      <c r="EE180" s="275"/>
      <c r="EF180" s="275"/>
      <c r="EG180" s="275"/>
      <c r="EH180" s="275"/>
      <c r="EI180" s="275"/>
      <c r="EJ180" s="275"/>
      <c r="EK180" s="275"/>
      <c r="EL180" s="275"/>
      <c r="EM180" s="275"/>
      <c r="EN180" s="275"/>
      <c r="EO180" s="275"/>
      <c r="EP180" s="275"/>
      <c r="EQ180" s="275"/>
      <c r="ER180" s="275"/>
      <c r="ES180" s="275"/>
      <c r="ET180" s="275"/>
      <c r="EU180"/>
      <c r="EV180"/>
      <c r="EW180" s="275"/>
      <c r="EX180" s="275"/>
      <c r="EY180" s="275"/>
      <c r="EZ180" s="275"/>
      <c r="FA180" s="275"/>
      <c r="FB180" s="275"/>
      <c r="FC180" s="275"/>
      <c r="FD180" s="275"/>
      <c r="FE180" s="275"/>
      <c r="FF180" s="275"/>
      <c r="FG180" s="275"/>
      <c r="FH180" s="275"/>
      <c r="FI180" s="275"/>
      <c r="FJ180" s="275"/>
      <c r="FK180" s="275"/>
      <c r="FL180" s="275"/>
      <c r="FM180" s="275"/>
      <c r="FN180" s="275"/>
      <c r="FO180" s="275"/>
      <c r="FP180" s="275"/>
      <c r="FQ180" s="275"/>
      <c r="FR180" s="275"/>
      <c r="FS180" s="275"/>
      <c r="FT180" s="275"/>
      <c r="FU180" s="275"/>
      <c r="FV180" s="275"/>
      <c r="FW180" s="275"/>
      <c r="FX180" s="275"/>
      <c r="FY180" s="275"/>
      <c r="FZ180" s="275"/>
      <c r="GA180" s="275"/>
      <c r="GB180" s="275"/>
      <c r="GC180" s="275"/>
      <c r="GD180" s="275"/>
      <c r="GE180" s="275"/>
      <c r="GF180" s="275"/>
      <c r="GG180" s="275"/>
      <c r="GH180" s="275"/>
      <c r="GI180" s="275"/>
      <c r="GJ180" s="275"/>
      <c r="GK180" s="275"/>
      <c r="GL180" s="275"/>
      <c r="GM180" s="275"/>
      <c r="GN180" s="275"/>
      <c r="GO180" s="275"/>
      <c r="GP180" s="275"/>
      <c r="GQ180" s="275"/>
      <c r="GR180" s="275"/>
      <c r="GS180" s="275"/>
      <c r="GT180" s="275"/>
      <c r="GU180" s="275"/>
      <c r="GV180" s="275"/>
      <c r="GW180" s="275"/>
      <c r="GX180" s="275"/>
      <c r="GY180" s="275"/>
      <c r="GZ180" s="275"/>
      <c r="HA180" s="275"/>
      <c r="HB180" s="275"/>
      <c r="HC180" s="275"/>
      <c r="HD180" s="275"/>
      <c r="HE180" s="275"/>
      <c r="HF180" s="275"/>
      <c r="HG180" s="275"/>
      <c r="HH180" s="275"/>
      <c r="HI180" s="275"/>
      <c r="HJ180" s="275"/>
      <c r="HK180" s="275"/>
      <c r="HL180" s="275"/>
      <c r="HM180" s="275"/>
      <c r="HN180" s="275"/>
      <c r="HO180" s="275"/>
      <c r="HP180" s="275"/>
      <c r="HQ180" s="275"/>
      <c r="HR180" s="275"/>
    </row>
    <row r="181" spans="1:226" s="297" customFormat="1">
      <c r="A181" s="275"/>
      <c r="B181" s="21"/>
      <c r="C181" s="21"/>
      <c r="D181" s="21"/>
      <c r="E181" s="21"/>
      <c r="F181" s="275"/>
      <c r="G181" s="275"/>
      <c r="H181" s="275"/>
      <c r="I181" s="275"/>
      <c r="J181" s="275"/>
      <c r="K181" s="275"/>
      <c r="L181" s="275"/>
      <c r="M181" s="275"/>
      <c r="N181" s="275"/>
      <c r="O181" s="275"/>
      <c r="P181" s="275"/>
      <c r="Q181" s="275"/>
      <c r="R181" s="275"/>
      <c r="S181" s="275"/>
      <c r="T181" s="275"/>
      <c r="U181" s="275"/>
      <c r="V181" s="275"/>
      <c r="W181" s="275"/>
      <c r="X181" s="275"/>
      <c r="Y181" s="275"/>
      <c r="Z181" s="275"/>
      <c r="AA181" s="275"/>
      <c r="AB181" s="275"/>
      <c r="AC181" s="275"/>
      <c r="AD181" s="275"/>
      <c r="AE181" s="275"/>
      <c r="AF181" s="275"/>
      <c r="AG181" s="275"/>
      <c r="AH181" s="275"/>
      <c r="AJ181" s="275"/>
      <c r="AK181" s="275"/>
      <c r="AL181" s="275"/>
      <c r="AM181" s="275"/>
      <c r="AN181" s="275"/>
      <c r="AO181" s="275"/>
      <c r="AQ181" s="275"/>
      <c r="AR181" s="275"/>
      <c r="AS181" s="275"/>
      <c r="AT181" s="275"/>
      <c r="AU181" s="275"/>
      <c r="AV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D181" s="275"/>
      <c r="EE181" s="275"/>
      <c r="EF181" s="275"/>
      <c r="EG181" s="275"/>
      <c r="EH181" s="275"/>
      <c r="EI181" s="275"/>
      <c r="EJ181" s="275"/>
      <c r="EK181" s="275"/>
      <c r="EL181" s="275"/>
      <c r="EM181" s="275"/>
      <c r="EN181" s="275"/>
      <c r="EO181" s="275"/>
      <c r="EP181" s="275"/>
      <c r="EQ181" s="275"/>
      <c r="ER181" s="275"/>
      <c r="ES181" s="275"/>
      <c r="ET181" s="275"/>
      <c r="EU181"/>
      <c r="EV181"/>
      <c r="EW181" s="275"/>
      <c r="EX181" s="275"/>
      <c r="EY181" s="275"/>
      <c r="EZ181" s="275"/>
      <c r="FA181" s="275"/>
      <c r="FB181" s="275"/>
      <c r="FC181" s="275"/>
      <c r="FD181" s="275"/>
      <c r="FE181" s="275"/>
      <c r="FF181" s="275"/>
      <c r="FG181" s="275"/>
      <c r="FH181" s="275"/>
      <c r="FI181" s="275"/>
      <c r="FJ181" s="275"/>
      <c r="FK181" s="275"/>
      <c r="FL181" s="275"/>
      <c r="FM181" s="275"/>
      <c r="FN181" s="275"/>
      <c r="FO181" s="275"/>
      <c r="FP181" s="275"/>
      <c r="FQ181" s="275"/>
      <c r="FR181" s="275"/>
      <c r="FS181" s="275"/>
      <c r="FT181" s="275"/>
      <c r="FU181" s="275"/>
      <c r="FV181" s="275"/>
      <c r="FW181" s="275"/>
      <c r="FX181" s="275"/>
      <c r="FY181" s="275"/>
      <c r="FZ181" s="275"/>
      <c r="GA181" s="275"/>
      <c r="GB181" s="275"/>
      <c r="GC181" s="275"/>
      <c r="GD181" s="275"/>
      <c r="GE181" s="275"/>
      <c r="GF181" s="275"/>
      <c r="GG181" s="275"/>
      <c r="GH181" s="275"/>
      <c r="GI181" s="275"/>
      <c r="GJ181" s="275"/>
      <c r="GK181" s="275"/>
      <c r="GL181" s="275"/>
      <c r="GM181" s="275"/>
      <c r="GN181" s="275"/>
      <c r="GO181" s="275"/>
      <c r="GP181" s="275"/>
      <c r="GQ181" s="275"/>
      <c r="GR181" s="275"/>
      <c r="GS181" s="275"/>
      <c r="GT181" s="275"/>
      <c r="GU181" s="275"/>
      <c r="GV181" s="275"/>
      <c r="GW181" s="275"/>
      <c r="GX181" s="275"/>
      <c r="GY181" s="275"/>
      <c r="GZ181" s="275"/>
      <c r="HA181" s="275"/>
      <c r="HB181" s="275"/>
      <c r="HC181" s="275"/>
      <c r="HD181" s="275"/>
      <c r="HE181" s="275"/>
      <c r="HF181" s="275"/>
      <c r="HG181" s="275"/>
      <c r="HH181" s="275"/>
      <c r="HI181" s="275"/>
      <c r="HJ181" s="275"/>
      <c r="HK181" s="275"/>
      <c r="HL181" s="275"/>
      <c r="HM181" s="275"/>
      <c r="HN181" s="275"/>
      <c r="HO181" s="275"/>
      <c r="HP181" s="275"/>
      <c r="HQ181" s="275"/>
      <c r="HR181" s="275"/>
    </row>
    <row r="182" spans="1:226" s="297" customFormat="1">
      <c r="A182" s="275"/>
      <c r="B182" s="21"/>
      <c r="C182" s="21"/>
      <c r="D182" s="21"/>
      <c r="E182" s="21"/>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c r="AH182" s="275"/>
      <c r="AJ182" s="275"/>
      <c r="AK182" s="275"/>
      <c r="AL182" s="275"/>
      <c r="AM182" s="275"/>
      <c r="AN182" s="275"/>
      <c r="AO182" s="275"/>
      <c r="AQ182" s="275"/>
      <c r="AR182" s="275"/>
      <c r="AS182" s="275"/>
      <c r="AT182" s="275"/>
      <c r="AU182" s="275"/>
      <c r="AV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D182" s="275"/>
      <c r="EE182" s="275"/>
      <c r="EF182" s="275"/>
      <c r="EG182" s="275"/>
      <c r="EH182" s="275"/>
      <c r="EI182" s="275"/>
      <c r="EJ182" s="275"/>
      <c r="EK182" s="275"/>
      <c r="EL182" s="275"/>
      <c r="EM182" s="275"/>
      <c r="EN182" s="275"/>
      <c r="EO182" s="275"/>
      <c r="EP182" s="275"/>
      <c r="EQ182" s="275"/>
      <c r="ER182" s="275"/>
      <c r="ES182" s="275"/>
      <c r="ET182" s="275"/>
      <c r="EU182"/>
      <c r="EV182"/>
      <c r="EW182" s="275"/>
      <c r="EX182" s="275"/>
      <c r="EY182" s="275"/>
      <c r="EZ182" s="275"/>
      <c r="FA182" s="275"/>
      <c r="FB182" s="275"/>
      <c r="FC182" s="275"/>
      <c r="FD182" s="275"/>
      <c r="FE182" s="275"/>
      <c r="FF182" s="275"/>
      <c r="FG182" s="275"/>
      <c r="FH182" s="275"/>
      <c r="FI182" s="275"/>
      <c r="FJ182" s="275"/>
      <c r="FK182" s="275"/>
      <c r="FL182" s="275"/>
      <c r="FM182" s="275"/>
      <c r="FN182" s="275"/>
      <c r="FO182" s="275"/>
      <c r="FP182" s="275"/>
      <c r="FQ182" s="275"/>
      <c r="FR182" s="275"/>
      <c r="FS182" s="275"/>
      <c r="FT182" s="275"/>
      <c r="FU182" s="275"/>
      <c r="FV182" s="275"/>
      <c r="FW182" s="275"/>
      <c r="FX182" s="275"/>
      <c r="FY182" s="275"/>
      <c r="FZ182" s="275"/>
      <c r="GA182" s="275"/>
      <c r="GB182" s="275"/>
      <c r="GC182" s="275"/>
      <c r="GD182" s="275"/>
      <c r="GE182" s="275"/>
      <c r="GF182" s="275"/>
      <c r="GG182" s="275"/>
      <c r="GH182" s="275"/>
      <c r="GI182" s="275"/>
      <c r="GJ182" s="275"/>
      <c r="GK182" s="275"/>
      <c r="GL182" s="275"/>
      <c r="GM182" s="275"/>
      <c r="GN182" s="275"/>
      <c r="GO182" s="275"/>
      <c r="GP182" s="275"/>
      <c r="GQ182" s="275"/>
      <c r="GR182" s="275"/>
      <c r="GS182" s="275"/>
      <c r="GT182" s="275"/>
      <c r="GU182" s="275"/>
      <c r="GV182" s="275"/>
      <c r="GW182" s="275"/>
      <c r="GX182" s="275"/>
      <c r="GY182" s="275"/>
      <c r="GZ182" s="275"/>
      <c r="HA182" s="275"/>
      <c r="HB182" s="275"/>
      <c r="HC182" s="275"/>
      <c r="HD182" s="275"/>
      <c r="HE182" s="275"/>
      <c r="HF182" s="275"/>
      <c r="HG182" s="275"/>
      <c r="HH182" s="275"/>
      <c r="HI182" s="275"/>
      <c r="HJ182" s="275"/>
      <c r="HK182" s="275"/>
      <c r="HL182" s="275"/>
      <c r="HM182" s="275"/>
      <c r="HN182" s="275"/>
      <c r="HO182" s="275"/>
      <c r="HP182" s="275"/>
      <c r="HQ182" s="275"/>
      <c r="HR182" s="275"/>
    </row>
    <row r="183" spans="1:226" s="297" customFormat="1">
      <c r="A183" s="275"/>
      <c r="B183" s="21"/>
      <c r="C183" s="21"/>
      <c r="D183" s="21"/>
      <c r="E183" s="21"/>
      <c r="F183" s="275"/>
      <c r="G183" s="275"/>
      <c r="H183" s="275"/>
      <c r="I183" s="275"/>
      <c r="J183" s="275"/>
      <c r="K183" s="275"/>
      <c r="L183" s="275"/>
      <c r="M183" s="275"/>
      <c r="N183" s="275"/>
      <c r="O183" s="275"/>
      <c r="P183" s="275"/>
      <c r="Q183" s="275"/>
      <c r="R183" s="275"/>
      <c r="S183" s="275"/>
      <c r="T183" s="275"/>
      <c r="U183" s="275"/>
      <c r="V183" s="275"/>
      <c r="W183" s="275"/>
      <c r="X183" s="275"/>
      <c r="Y183" s="275"/>
      <c r="Z183" s="275"/>
      <c r="AA183" s="275"/>
      <c r="AB183" s="275"/>
      <c r="AC183" s="275"/>
      <c r="AD183" s="275"/>
      <c r="AE183" s="275"/>
      <c r="AF183" s="275"/>
      <c r="AG183" s="275"/>
      <c r="AH183" s="275"/>
      <c r="AJ183" s="275"/>
      <c r="AK183" s="275"/>
      <c r="AL183" s="275"/>
      <c r="AM183" s="275"/>
      <c r="AN183" s="275"/>
      <c r="AO183" s="275"/>
      <c r="AQ183" s="275"/>
      <c r="AR183" s="275"/>
      <c r="AS183" s="275"/>
      <c r="AT183" s="275"/>
      <c r="AU183" s="275"/>
      <c r="AV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D183" s="275"/>
      <c r="EE183" s="275"/>
      <c r="EF183" s="275"/>
      <c r="EG183" s="275"/>
      <c r="EH183" s="275"/>
      <c r="EI183" s="275"/>
      <c r="EJ183" s="275"/>
      <c r="EK183" s="275"/>
      <c r="EL183" s="275"/>
      <c r="EM183" s="275"/>
      <c r="EN183" s="275"/>
      <c r="EO183" s="275"/>
      <c r="EP183" s="275"/>
      <c r="EQ183" s="275"/>
      <c r="ER183" s="275"/>
      <c r="ES183" s="275"/>
      <c r="ET183" s="275"/>
      <c r="EU183"/>
      <c r="EV183"/>
      <c r="EW183" s="275"/>
      <c r="EX183" s="275"/>
      <c r="EY183" s="275"/>
      <c r="EZ183" s="275"/>
      <c r="FA183" s="275"/>
      <c r="FB183" s="275"/>
      <c r="FC183" s="275"/>
      <c r="FD183" s="275"/>
      <c r="FE183" s="275"/>
      <c r="FF183" s="275"/>
      <c r="FG183" s="275"/>
      <c r="FH183" s="275"/>
      <c r="FI183" s="275"/>
      <c r="FJ183" s="275"/>
      <c r="FK183" s="275"/>
      <c r="FL183" s="275"/>
      <c r="FM183" s="275"/>
      <c r="FN183" s="275"/>
      <c r="FO183" s="275"/>
      <c r="FP183" s="275"/>
      <c r="FQ183" s="275"/>
      <c r="FR183" s="275"/>
      <c r="FS183" s="275"/>
      <c r="FT183" s="275"/>
      <c r="FU183" s="275"/>
      <c r="FV183" s="275"/>
      <c r="FW183" s="275"/>
      <c r="FX183" s="275"/>
      <c r="FY183" s="275"/>
      <c r="FZ183" s="275"/>
      <c r="GA183" s="275"/>
      <c r="GB183" s="275"/>
      <c r="GC183" s="275"/>
      <c r="GD183" s="275"/>
      <c r="GE183" s="275"/>
      <c r="GF183" s="275"/>
      <c r="GG183" s="275"/>
      <c r="GH183" s="275"/>
      <c r="GI183" s="275"/>
      <c r="GJ183" s="275"/>
      <c r="GK183" s="275"/>
      <c r="GL183" s="275"/>
      <c r="GM183" s="275"/>
      <c r="GN183" s="275"/>
      <c r="GO183" s="275"/>
      <c r="GP183" s="275"/>
      <c r="GQ183" s="275"/>
      <c r="GR183" s="275"/>
      <c r="GS183" s="275"/>
      <c r="GT183" s="275"/>
      <c r="GU183" s="275"/>
      <c r="GV183" s="275"/>
      <c r="GW183" s="275"/>
      <c r="GX183" s="275"/>
      <c r="GY183" s="275"/>
      <c r="GZ183" s="275"/>
      <c r="HA183" s="275"/>
      <c r="HB183" s="275"/>
      <c r="HC183" s="275"/>
      <c r="HD183" s="275"/>
      <c r="HE183" s="275"/>
      <c r="HF183" s="275"/>
      <c r="HG183" s="275"/>
      <c r="HH183" s="275"/>
      <c r="HI183" s="275"/>
      <c r="HJ183" s="275"/>
      <c r="HK183" s="275"/>
      <c r="HL183" s="275"/>
      <c r="HM183" s="275"/>
      <c r="HN183" s="275"/>
      <c r="HO183" s="275"/>
      <c r="HP183" s="275"/>
      <c r="HQ183" s="275"/>
      <c r="HR183" s="275"/>
    </row>
    <row r="184" spans="1:226" s="297" customFormat="1">
      <c r="A184" s="275"/>
      <c r="B184" s="21"/>
      <c r="C184" s="21"/>
      <c r="D184" s="21"/>
      <c r="E184" s="21"/>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c r="AH184" s="275"/>
      <c r="AJ184" s="275"/>
      <c r="AK184" s="275"/>
      <c r="AL184" s="275"/>
      <c r="AM184" s="275"/>
      <c r="AN184" s="275"/>
      <c r="AO184" s="275"/>
      <c r="AQ184" s="275"/>
      <c r="AR184" s="275"/>
      <c r="AS184" s="275"/>
      <c r="AT184" s="275"/>
      <c r="AU184" s="275"/>
      <c r="AV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D184" s="275"/>
      <c r="EE184" s="275"/>
      <c r="EF184" s="275"/>
      <c r="EG184" s="275"/>
      <c r="EH184" s="275"/>
      <c r="EI184" s="275"/>
      <c r="EJ184" s="275"/>
      <c r="EK184" s="275"/>
      <c r="EL184" s="275"/>
      <c r="EM184" s="275"/>
      <c r="EN184" s="275"/>
      <c r="EO184" s="275"/>
      <c r="EP184" s="275"/>
      <c r="EQ184" s="275"/>
      <c r="ER184" s="275"/>
      <c r="ES184" s="275"/>
      <c r="ET184" s="275"/>
      <c r="EU184"/>
      <c r="EV184"/>
      <c r="EW184" s="275"/>
      <c r="EX184" s="275"/>
      <c r="EY184" s="275"/>
      <c r="EZ184" s="275"/>
      <c r="FA184" s="275"/>
      <c r="FB184" s="275"/>
      <c r="FC184" s="275"/>
      <c r="FD184" s="275"/>
      <c r="FE184" s="275"/>
      <c r="FF184" s="275"/>
      <c r="FG184" s="275"/>
      <c r="FH184" s="275"/>
      <c r="FI184" s="275"/>
      <c r="FJ184" s="275"/>
      <c r="FK184" s="275"/>
      <c r="FL184" s="275"/>
      <c r="FM184" s="275"/>
      <c r="FN184" s="275"/>
      <c r="FO184" s="275"/>
      <c r="FP184" s="275"/>
      <c r="FQ184" s="275"/>
      <c r="FR184" s="275"/>
      <c r="FS184" s="275"/>
      <c r="FT184" s="275"/>
      <c r="FU184" s="275"/>
      <c r="FV184" s="275"/>
      <c r="FW184" s="275"/>
      <c r="FX184" s="275"/>
      <c r="FY184" s="275"/>
      <c r="FZ184" s="275"/>
      <c r="GA184" s="275"/>
      <c r="GB184" s="275"/>
      <c r="GC184" s="275"/>
      <c r="GD184" s="275"/>
      <c r="GE184" s="275"/>
      <c r="GF184" s="275"/>
      <c r="GG184" s="275"/>
      <c r="GH184" s="275"/>
      <c r="GI184" s="275"/>
      <c r="GJ184" s="275"/>
      <c r="GK184" s="275"/>
      <c r="GL184" s="275"/>
      <c r="GM184" s="275"/>
      <c r="GN184" s="275"/>
      <c r="GO184" s="275"/>
      <c r="GP184" s="275"/>
      <c r="GQ184" s="275"/>
      <c r="GR184" s="275"/>
      <c r="GS184" s="275"/>
      <c r="GT184" s="275"/>
      <c r="GU184" s="275"/>
      <c r="GV184" s="275"/>
      <c r="GW184" s="275"/>
      <c r="GX184" s="275"/>
      <c r="GY184" s="275"/>
      <c r="GZ184" s="275"/>
      <c r="HA184" s="275"/>
      <c r="HB184" s="275"/>
      <c r="HC184" s="275"/>
      <c r="HD184" s="275"/>
      <c r="HE184" s="275"/>
      <c r="HF184" s="275"/>
      <c r="HG184" s="275"/>
      <c r="HH184" s="275"/>
      <c r="HI184" s="275"/>
      <c r="HJ184" s="275"/>
      <c r="HK184" s="275"/>
      <c r="HL184" s="275"/>
      <c r="HM184" s="275"/>
      <c r="HN184" s="275"/>
      <c r="HO184" s="275"/>
      <c r="HP184" s="275"/>
      <c r="HQ184" s="275"/>
      <c r="HR184" s="275"/>
    </row>
    <row r="185" spans="1:226" s="297" customFormat="1">
      <c r="A185" s="275"/>
      <c r="B185" s="21"/>
      <c r="C185" s="21"/>
      <c r="D185" s="21"/>
      <c r="E185" s="21"/>
      <c r="F185" s="275"/>
      <c r="G185" s="275"/>
      <c r="H185" s="275"/>
      <c r="I185" s="275"/>
      <c r="J185" s="275"/>
      <c r="K185" s="275"/>
      <c r="L185" s="275"/>
      <c r="M185" s="275"/>
      <c r="N185" s="275"/>
      <c r="O185" s="275"/>
      <c r="P185" s="275"/>
      <c r="Q185" s="275"/>
      <c r="R185" s="275"/>
      <c r="S185" s="275"/>
      <c r="T185" s="275"/>
      <c r="U185" s="275"/>
      <c r="V185" s="275"/>
      <c r="W185" s="275"/>
      <c r="X185" s="275"/>
      <c r="Y185" s="275"/>
      <c r="Z185" s="275"/>
      <c r="AA185" s="275"/>
      <c r="AB185" s="275"/>
      <c r="AC185" s="275"/>
      <c r="AD185" s="275"/>
      <c r="AE185" s="275"/>
      <c r="AF185" s="275"/>
      <c r="AG185" s="275"/>
      <c r="AH185" s="275"/>
      <c r="AJ185" s="275"/>
      <c r="AK185" s="275"/>
      <c r="AL185" s="275"/>
      <c r="AM185" s="275"/>
      <c r="AN185" s="275"/>
      <c r="AO185" s="275"/>
      <c r="AQ185" s="275"/>
      <c r="AR185" s="275"/>
      <c r="AS185" s="275"/>
      <c r="AT185" s="275"/>
      <c r="AU185" s="275"/>
      <c r="AV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D185" s="275"/>
      <c r="EE185" s="275"/>
      <c r="EF185" s="275"/>
      <c r="EG185" s="275"/>
      <c r="EH185" s="275"/>
      <c r="EI185" s="275"/>
      <c r="EJ185" s="275"/>
      <c r="EK185" s="275"/>
      <c r="EL185" s="275"/>
      <c r="EM185" s="275"/>
      <c r="EN185" s="275"/>
      <c r="EO185" s="275"/>
      <c r="EP185" s="275"/>
      <c r="EQ185" s="275"/>
      <c r="ER185" s="275"/>
      <c r="ES185" s="275"/>
      <c r="ET185" s="275"/>
      <c r="EU185"/>
      <c r="EV185"/>
      <c r="EW185" s="275"/>
      <c r="EX185" s="275"/>
      <c r="EY185" s="275"/>
      <c r="EZ185" s="275"/>
      <c r="FA185" s="275"/>
      <c r="FB185" s="275"/>
      <c r="FC185" s="275"/>
      <c r="FD185" s="275"/>
      <c r="FE185" s="275"/>
      <c r="FF185" s="275"/>
      <c r="FG185" s="275"/>
      <c r="FH185" s="275"/>
      <c r="FI185" s="275"/>
      <c r="FJ185" s="275"/>
      <c r="FK185" s="275"/>
      <c r="FL185" s="275"/>
      <c r="FM185" s="275"/>
      <c r="FN185" s="275"/>
      <c r="FO185" s="275"/>
      <c r="FP185" s="275"/>
      <c r="FQ185" s="275"/>
      <c r="FR185" s="275"/>
      <c r="FS185" s="275"/>
      <c r="FT185" s="275"/>
      <c r="FU185" s="275"/>
      <c r="FV185" s="275"/>
      <c r="FW185" s="275"/>
      <c r="FX185" s="275"/>
      <c r="FY185" s="275"/>
      <c r="FZ185" s="275"/>
      <c r="GA185" s="275"/>
      <c r="GB185" s="275"/>
      <c r="GC185" s="275"/>
      <c r="GD185" s="275"/>
      <c r="GE185" s="275"/>
      <c r="GF185" s="275"/>
      <c r="GG185" s="275"/>
      <c r="GH185" s="275"/>
      <c r="GI185" s="275"/>
      <c r="GJ185" s="275"/>
      <c r="GK185" s="275"/>
      <c r="GL185" s="275"/>
      <c r="GM185" s="275"/>
      <c r="GN185" s="275"/>
      <c r="GO185" s="275"/>
      <c r="GP185" s="275"/>
      <c r="GQ185" s="275"/>
      <c r="GR185" s="275"/>
      <c r="GS185" s="275"/>
      <c r="GT185" s="275"/>
      <c r="GU185" s="275"/>
      <c r="GV185" s="275"/>
      <c r="GW185" s="275"/>
      <c r="GX185" s="275"/>
      <c r="GY185" s="275"/>
      <c r="GZ185" s="275"/>
      <c r="HA185" s="275"/>
      <c r="HB185" s="275"/>
      <c r="HC185" s="275"/>
      <c r="HD185" s="275"/>
      <c r="HE185" s="275"/>
      <c r="HF185" s="275"/>
      <c r="HG185" s="275"/>
      <c r="HH185" s="275"/>
      <c r="HI185" s="275"/>
      <c r="HJ185" s="275"/>
      <c r="HK185" s="275"/>
      <c r="HL185" s="275"/>
      <c r="HM185" s="275"/>
      <c r="HN185" s="275"/>
      <c r="HO185" s="275"/>
      <c r="HP185" s="275"/>
      <c r="HQ185" s="275"/>
      <c r="HR185" s="275"/>
    </row>
    <row r="186" spans="1:226" s="297" customFormat="1">
      <c r="A186" s="275"/>
      <c r="B186" s="21"/>
      <c r="C186" s="21"/>
      <c r="D186" s="21"/>
      <c r="E186" s="21"/>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c r="AH186" s="275"/>
      <c r="AJ186" s="275"/>
      <c r="AK186" s="275"/>
      <c r="AL186" s="275"/>
      <c r="AM186" s="275"/>
      <c r="AN186" s="275"/>
      <c r="AO186" s="275"/>
      <c r="AQ186" s="275"/>
      <c r="AR186" s="275"/>
      <c r="AS186" s="275"/>
      <c r="AT186" s="275"/>
      <c r="AU186" s="275"/>
      <c r="AV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D186" s="275"/>
      <c r="EE186" s="275"/>
      <c r="EF186" s="275"/>
      <c r="EG186" s="275"/>
      <c r="EH186" s="275"/>
      <c r="EI186" s="275"/>
      <c r="EJ186" s="275"/>
      <c r="EK186" s="275"/>
      <c r="EL186" s="275"/>
      <c r="EM186" s="275"/>
      <c r="EN186" s="275"/>
      <c r="EO186" s="275"/>
      <c r="EP186" s="275"/>
      <c r="EQ186" s="275"/>
      <c r="ER186" s="275"/>
      <c r="ES186" s="275"/>
      <c r="ET186" s="275"/>
      <c r="EU186"/>
      <c r="EV186"/>
      <c r="EW186" s="275"/>
      <c r="EX186" s="275"/>
      <c r="EY186" s="275"/>
      <c r="EZ186" s="275"/>
      <c r="FA186" s="275"/>
      <c r="FB186" s="275"/>
      <c r="FC186" s="275"/>
      <c r="FD186" s="275"/>
      <c r="FE186" s="275"/>
      <c r="FF186" s="275"/>
      <c r="FG186" s="275"/>
      <c r="FH186" s="275"/>
      <c r="FI186" s="275"/>
      <c r="FJ186" s="275"/>
      <c r="FK186" s="275"/>
      <c r="FL186" s="275"/>
      <c r="FM186" s="275"/>
      <c r="FN186" s="275"/>
      <c r="FO186" s="275"/>
      <c r="FP186" s="275"/>
      <c r="FQ186" s="275"/>
      <c r="FR186" s="275"/>
      <c r="FS186" s="275"/>
      <c r="FT186" s="275"/>
      <c r="FU186" s="275"/>
      <c r="FV186" s="275"/>
      <c r="FW186" s="275"/>
      <c r="FX186" s="275"/>
      <c r="FY186" s="275"/>
      <c r="FZ186" s="275"/>
      <c r="GA186" s="275"/>
      <c r="GB186" s="275"/>
      <c r="GC186" s="275"/>
      <c r="GD186" s="275"/>
      <c r="GE186" s="275"/>
      <c r="GF186" s="275"/>
      <c r="GG186" s="275"/>
      <c r="GH186" s="275"/>
      <c r="GI186" s="275"/>
      <c r="GJ186" s="275"/>
      <c r="GK186" s="275"/>
      <c r="GL186" s="275"/>
      <c r="GM186" s="275"/>
      <c r="GN186" s="275"/>
      <c r="GO186" s="275"/>
      <c r="GP186" s="275"/>
      <c r="GQ186" s="275"/>
      <c r="GR186" s="275"/>
      <c r="GS186" s="275"/>
      <c r="GT186" s="275"/>
      <c r="GU186" s="275"/>
      <c r="GV186" s="275"/>
      <c r="GW186" s="275"/>
      <c r="GX186" s="275"/>
      <c r="GY186" s="275"/>
      <c r="GZ186" s="275"/>
      <c r="HA186" s="275"/>
      <c r="HB186" s="275"/>
      <c r="HC186" s="275"/>
      <c r="HD186" s="275"/>
      <c r="HE186" s="275"/>
      <c r="HF186" s="275"/>
      <c r="HG186" s="275"/>
      <c r="HH186" s="275"/>
      <c r="HI186" s="275"/>
      <c r="HJ186" s="275"/>
      <c r="HK186" s="275"/>
      <c r="HL186" s="275"/>
      <c r="HM186" s="275"/>
      <c r="HN186" s="275"/>
      <c r="HO186" s="275"/>
      <c r="HP186" s="275"/>
      <c r="HQ186" s="275"/>
      <c r="HR186" s="275"/>
    </row>
    <row r="187" spans="1:226" s="297" customFormat="1">
      <c r="A187" s="275"/>
      <c r="B187" s="21"/>
      <c r="C187" s="21"/>
      <c r="D187" s="21"/>
      <c r="E187" s="21"/>
      <c r="F187" s="275"/>
      <c r="G187" s="275"/>
      <c r="H187" s="275"/>
      <c r="I187" s="275"/>
      <c r="J187" s="275"/>
      <c r="K187" s="275"/>
      <c r="L187" s="275"/>
      <c r="M187" s="275"/>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J187" s="275"/>
      <c r="AK187" s="275"/>
      <c r="AL187" s="275"/>
      <c r="AM187" s="275"/>
      <c r="AN187" s="275"/>
      <c r="AO187" s="275"/>
      <c r="AQ187" s="275"/>
      <c r="AR187" s="275"/>
      <c r="AS187" s="275"/>
      <c r="AT187" s="275"/>
      <c r="AU187" s="275"/>
      <c r="AV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D187" s="275"/>
      <c r="EE187" s="275"/>
      <c r="EF187" s="275"/>
      <c r="EG187" s="275"/>
      <c r="EH187" s="275"/>
      <c r="EI187" s="275"/>
      <c r="EJ187" s="275"/>
      <c r="EK187" s="275"/>
      <c r="EL187" s="275"/>
      <c r="EM187" s="275"/>
      <c r="EN187" s="275"/>
      <c r="EO187" s="275"/>
      <c r="EP187" s="275"/>
      <c r="EQ187" s="275"/>
      <c r="ER187" s="275"/>
      <c r="ES187" s="275"/>
      <c r="ET187" s="275"/>
      <c r="EU187"/>
      <c r="EV187"/>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5"/>
      <c r="FY187" s="275"/>
      <c r="FZ187" s="275"/>
      <c r="GA187" s="275"/>
      <c r="GB187" s="275"/>
      <c r="GC187" s="275"/>
      <c r="GD187" s="275"/>
      <c r="GE187" s="275"/>
      <c r="GF187" s="275"/>
      <c r="GG187" s="275"/>
      <c r="GH187" s="275"/>
      <c r="GI187" s="275"/>
      <c r="GJ187" s="275"/>
      <c r="GK187" s="275"/>
      <c r="GL187" s="275"/>
      <c r="GM187" s="275"/>
      <c r="GN187" s="275"/>
      <c r="GO187" s="275"/>
      <c r="GP187" s="275"/>
      <c r="GQ187" s="275"/>
      <c r="GR187" s="275"/>
      <c r="GS187" s="275"/>
      <c r="GT187" s="275"/>
      <c r="GU187" s="275"/>
      <c r="GV187" s="275"/>
      <c r="GW187" s="275"/>
      <c r="GX187" s="275"/>
      <c r="GY187" s="275"/>
      <c r="GZ187" s="275"/>
      <c r="HA187" s="275"/>
      <c r="HB187" s="275"/>
      <c r="HC187" s="275"/>
      <c r="HD187" s="275"/>
      <c r="HE187" s="275"/>
      <c r="HF187" s="275"/>
      <c r="HG187" s="275"/>
      <c r="HH187" s="275"/>
      <c r="HI187" s="275"/>
      <c r="HJ187" s="275"/>
      <c r="HK187" s="275"/>
      <c r="HL187" s="275"/>
      <c r="HM187" s="275"/>
      <c r="HN187" s="275"/>
      <c r="HO187" s="275"/>
      <c r="HP187" s="275"/>
      <c r="HQ187" s="275"/>
      <c r="HR187" s="275"/>
    </row>
    <row r="188" spans="1:226" s="297" customFormat="1">
      <c r="A188" s="275"/>
      <c r="B188" s="21"/>
      <c r="C188" s="21"/>
      <c r="D188" s="21"/>
      <c r="E188" s="21"/>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c r="AH188" s="275"/>
      <c r="AJ188" s="275"/>
      <c r="AK188" s="275"/>
      <c r="AL188" s="275"/>
      <c r="AM188" s="275"/>
      <c r="AN188" s="275"/>
      <c r="AO188" s="275"/>
      <c r="AQ188" s="275"/>
      <c r="AR188" s="275"/>
      <c r="AS188" s="275"/>
      <c r="AT188" s="275"/>
      <c r="AU188" s="275"/>
      <c r="AV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D188" s="275"/>
      <c r="EE188" s="275"/>
      <c r="EF188" s="275"/>
      <c r="EG188" s="275"/>
      <c r="EH188" s="275"/>
      <c r="EI188" s="275"/>
      <c r="EJ188" s="275"/>
      <c r="EK188" s="275"/>
      <c r="EL188" s="275"/>
      <c r="EM188" s="275"/>
      <c r="EN188" s="275"/>
      <c r="EO188" s="275"/>
      <c r="EP188" s="275"/>
      <c r="EQ188" s="275"/>
      <c r="ER188" s="275"/>
      <c r="ES188" s="275"/>
      <c r="ET188" s="275"/>
      <c r="EU188"/>
      <c r="EV188"/>
      <c r="EW188" s="275"/>
      <c r="EX188" s="275"/>
      <c r="EY188" s="275"/>
      <c r="EZ188" s="275"/>
      <c r="FA188" s="275"/>
      <c r="FB188" s="275"/>
      <c r="FC188" s="275"/>
      <c r="FD188" s="275"/>
      <c r="FE188" s="275"/>
      <c r="FF188" s="275"/>
      <c r="FG188" s="275"/>
      <c r="FH188" s="275"/>
      <c r="FI188" s="275"/>
      <c r="FJ188" s="275"/>
      <c r="FK188" s="275"/>
      <c r="FL188" s="275"/>
      <c r="FM188" s="275"/>
      <c r="FN188" s="275"/>
      <c r="FO188" s="275"/>
      <c r="FP188" s="275"/>
      <c r="FQ188" s="275"/>
      <c r="FR188" s="275"/>
      <c r="FS188" s="275"/>
      <c r="FT188" s="275"/>
      <c r="FU188" s="275"/>
      <c r="FV188" s="275"/>
      <c r="FW188" s="275"/>
      <c r="FX188" s="275"/>
      <c r="FY188" s="275"/>
      <c r="FZ188" s="275"/>
      <c r="GA188" s="275"/>
      <c r="GB188" s="275"/>
      <c r="GC188" s="275"/>
      <c r="GD188" s="275"/>
      <c r="GE188" s="275"/>
      <c r="GF188" s="275"/>
      <c r="GG188" s="275"/>
      <c r="GH188" s="275"/>
      <c r="GI188" s="275"/>
      <c r="GJ188" s="275"/>
      <c r="GK188" s="275"/>
      <c r="GL188" s="275"/>
      <c r="GM188" s="275"/>
      <c r="GN188" s="275"/>
      <c r="GO188" s="275"/>
      <c r="GP188" s="275"/>
      <c r="GQ188" s="275"/>
      <c r="GR188" s="275"/>
      <c r="GS188" s="275"/>
      <c r="GT188" s="275"/>
      <c r="GU188" s="275"/>
      <c r="GV188" s="275"/>
      <c r="GW188" s="275"/>
      <c r="GX188" s="275"/>
      <c r="GY188" s="275"/>
      <c r="GZ188" s="275"/>
      <c r="HA188" s="275"/>
      <c r="HB188" s="275"/>
      <c r="HC188" s="275"/>
      <c r="HD188" s="275"/>
      <c r="HE188" s="275"/>
      <c r="HF188" s="275"/>
      <c r="HG188" s="275"/>
      <c r="HH188" s="275"/>
      <c r="HI188" s="275"/>
      <c r="HJ188" s="275"/>
      <c r="HK188" s="275"/>
      <c r="HL188" s="275"/>
      <c r="HM188" s="275"/>
      <c r="HN188" s="275"/>
      <c r="HO188" s="275"/>
      <c r="HP188" s="275"/>
      <c r="HQ188" s="275"/>
      <c r="HR188" s="275"/>
    </row>
    <row r="189" spans="1:226" s="297" customFormat="1">
      <c r="A189" s="275"/>
      <c r="B189" s="21"/>
      <c r="C189" s="21"/>
      <c r="D189" s="21"/>
      <c r="E189" s="21"/>
      <c r="F189" s="275"/>
      <c r="G189" s="275"/>
      <c r="H189" s="275"/>
      <c r="I189" s="275"/>
      <c r="J189" s="275"/>
      <c r="K189" s="275"/>
      <c r="L189" s="275"/>
      <c r="M189" s="275"/>
      <c r="N189" s="275"/>
      <c r="O189" s="275"/>
      <c r="P189" s="275"/>
      <c r="Q189" s="275"/>
      <c r="R189" s="275"/>
      <c r="S189" s="275"/>
      <c r="T189" s="275"/>
      <c r="U189" s="275"/>
      <c r="V189" s="275"/>
      <c r="W189" s="275"/>
      <c r="X189" s="275"/>
      <c r="Y189" s="275"/>
      <c r="Z189" s="275"/>
      <c r="AA189" s="275"/>
      <c r="AB189" s="275"/>
      <c r="AC189" s="275"/>
      <c r="AD189" s="275"/>
      <c r="AE189" s="275"/>
      <c r="AF189" s="275"/>
      <c r="AG189" s="275"/>
      <c r="AH189" s="275"/>
      <c r="AJ189" s="275"/>
      <c r="AK189" s="275"/>
      <c r="AL189" s="275"/>
      <c r="AM189" s="275"/>
      <c r="AN189" s="275"/>
      <c r="AO189" s="275"/>
      <c r="AQ189" s="275"/>
      <c r="AR189" s="275"/>
      <c r="AS189" s="275"/>
      <c r="AT189" s="275"/>
      <c r="AU189" s="275"/>
      <c r="AV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D189" s="275"/>
      <c r="EE189" s="275"/>
      <c r="EF189" s="275"/>
      <c r="EG189" s="275"/>
      <c r="EH189" s="275"/>
      <c r="EI189" s="275"/>
      <c r="EJ189" s="275"/>
      <c r="EK189" s="275"/>
      <c r="EL189" s="275"/>
      <c r="EM189" s="275"/>
      <c r="EN189" s="275"/>
      <c r="EO189" s="275"/>
      <c r="EP189" s="275"/>
      <c r="EQ189" s="275"/>
      <c r="ER189" s="275"/>
      <c r="ES189" s="275"/>
      <c r="ET189" s="275"/>
      <c r="EU189"/>
      <c r="EV189"/>
      <c r="EW189" s="275"/>
      <c r="EX189" s="275"/>
      <c r="EY189" s="275"/>
      <c r="EZ189" s="275"/>
      <c r="FA189" s="275"/>
      <c r="FB189" s="275"/>
      <c r="FC189" s="275"/>
      <c r="FD189" s="275"/>
      <c r="FE189" s="275"/>
      <c r="FF189" s="275"/>
      <c r="FG189" s="275"/>
      <c r="FH189" s="275"/>
      <c r="FI189" s="275"/>
      <c r="FJ189" s="275"/>
      <c r="FK189" s="275"/>
      <c r="FL189" s="275"/>
      <c r="FM189" s="275"/>
      <c r="FN189" s="275"/>
      <c r="FO189" s="275"/>
      <c r="FP189" s="275"/>
      <c r="FQ189" s="275"/>
      <c r="FR189" s="275"/>
      <c r="FS189" s="275"/>
      <c r="FT189" s="275"/>
      <c r="FU189" s="275"/>
      <c r="FV189" s="275"/>
      <c r="FW189" s="275"/>
      <c r="FX189" s="275"/>
      <c r="FY189" s="275"/>
      <c r="FZ189" s="275"/>
      <c r="GA189" s="275"/>
      <c r="GB189" s="275"/>
      <c r="GC189" s="275"/>
      <c r="GD189" s="275"/>
      <c r="GE189" s="275"/>
      <c r="GF189" s="275"/>
      <c r="GG189" s="275"/>
      <c r="GH189" s="275"/>
      <c r="GI189" s="275"/>
      <c r="GJ189" s="275"/>
      <c r="GK189" s="275"/>
      <c r="GL189" s="275"/>
      <c r="GM189" s="275"/>
      <c r="GN189" s="275"/>
      <c r="GO189" s="275"/>
      <c r="GP189" s="275"/>
      <c r="GQ189" s="275"/>
      <c r="GR189" s="275"/>
      <c r="GS189" s="275"/>
      <c r="GT189" s="275"/>
      <c r="GU189" s="275"/>
      <c r="GV189" s="275"/>
      <c r="GW189" s="275"/>
      <c r="GX189" s="275"/>
      <c r="GY189" s="275"/>
      <c r="GZ189" s="275"/>
      <c r="HA189" s="275"/>
      <c r="HB189" s="275"/>
      <c r="HC189" s="275"/>
      <c r="HD189" s="275"/>
      <c r="HE189" s="275"/>
      <c r="HF189" s="275"/>
      <c r="HG189" s="275"/>
      <c r="HH189" s="275"/>
      <c r="HI189" s="275"/>
      <c r="HJ189" s="275"/>
      <c r="HK189" s="275"/>
      <c r="HL189" s="275"/>
      <c r="HM189" s="275"/>
      <c r="HN189" s="275"/>
      <c r="HO189" s="275"/>
      <c r="HP189" s="275"/>
      <c r="HQ189" s="275"/>
      <c r="HR189" s="275"/>
    </row>
    <row r="190" spans="1:226" s="297" customFormat="1">
      <c r="A190" s="275"/>
      <c r="B190" s="21"/>
      <c r="C190" s="21"/>
      <c r="D190" s="21"/>
      <c r="E190" s="21"/>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c r="AH190" s="275"/>
      <c r="AJ190" s="275"/>
      <c r="AK190" s="275"/>
      <c r="AL190" s="275"/>
      <c r="AM190" s="275"/>
      <c r="AN190" s="275"/>
      <c r="AO190" s="275"/>
      <c r="AQ190" s="275"/>
      <c r="AR190" s="275"/>
      <c r="AS190" s="275"/>
      <c r="AT190" s="275"/>
      <c r="AU190" s="275"/>
      <c r="AV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D190" s="275"/>
      <c r="EE190" s="275"/>
      <c r="EF190" s="275"/>
      <c r="EG190" s="275"/>
      <c r="EH190" s="275"/>
      <c r="EI190" s="275"/>
      <c r="EJ190" s="275"/>
      <c r="EK190" s="275"/>
      <c r="EL190" s="275"/>
      <c r="EM190" s="275"/>
      <c r="EN190" s="275"/>
      <c r="EO190" s="275"/>
      <c r="EP190" s="275"/>
      <c r="EQ190" s="275"/>
      <c r="ER190" s="275"/>
      <c r="ES190" s="275"/>
      <c r="ET190" s="275"/>
      <c r="EU190"/>
      <c r="EV190"/>
      <c r="EW190" s="275"/>
      <c r="EX190" s="275"/>
      <c r="EY190" s="275"/>
      <c r="EZ190" s="275"/>
      <c r="FA190" s="275"/>
      <c r="FB190" s="275"/>
      <c r="FC190" s="275"/>
      <c r="FD190" s="275"/>
      <c r="FE190" s="275"/>
      <c r="FF190" s="275"/>
      <c r="FG190" s="275"/>
      <c r="FH190" s="275"/>
      <c r="FI190" s="275"/>
      <c r="FJ190" s="275"/>
      <c r="FK190" s="275"/>
      <c r="FL190" s="275"/>
      <c r="FM190" s="275"/>
      <c r="FN190" s="275"/>
      <c r="FO190" s="275"/>
      <c r="FP190" s="275"/>
      <c r="FQ190" s="275"/>
      <c r="FR190" s="275"/>
      <c r="FS190" s="275"/>
      <c r="FT190" s="275"/>
      <c r="FU190" s="275"/>
      <c r="FV190" s="275"/>
      <c r="FW190" s="275"/>
      <c r="FX190" s="275"/>
      <c r="FY190" s="275"/>
      <c r="FZ190" s="275"/>
      <c r="GA190" s="275"/>
      <c r="GB190" s="275"/>
      <c r="GC190" s="275"/>
      <c r="GD190" s="275"/>
      <c r="GE190" s="275"/>
      <c r="GF190" s="275"/>
      <c r="GG190" s="275"/>
      <c r="GH190" s="275"/>
      <c r="GI190" s="275"/>
      <c r="GJ190" s="275"/>
      <c r="GK190" s="275"/>
      <c r="GL190" s="275"/>
      <c r="GM190" s="275"/>
      <c r="GN190" s="275"/>
      <c r="GO190" s="275"/>
      <c r="GP190" s="275"/>
      <c r="GQ190" s="275"/>
      <c r="GR190" s="275"/>
      <c r="GS190" s="275"/>
      <c r="GT190" s="275"/>
      <c r="GU190" s="275"/>
      <c r="GV190" s="275"/>
      <c r="GW190" s="275"/>
      <c r="GX190" s="275"/>
      <c r="GY190" s="275"/>
      <c r="GZ190" s="275"/>
      <c r="HA190" s="275"/>
      <c r="HB190" s="275"/>
      <c r="HC190" s="275"/>
      <c r="HD190" s="275"/>
      <c r="HE190" s="275"/>
      <c r="HF190" s="275"/>
      <c r="HG190" s="275"/>
      <c r="HH190" s="275"/>
      <c r="HI190" s="275"/>
      <c r="HJ190" s="275"/>
      <c r="HK190" s="275"/>
      <c r="HL190" s="275"/>
      <c r="HM190" s="275"/>
      <c r="HN190" s="275"/>
      <c r="HO190" s="275"/>
      <c r="HP190" s="275"/>
      <c r="HQ190" s="275"/>
      <c r="HR190" s="275"/>
    </row>
    <row r="191" spans="1:226" s="297" customFormat="1">
      <c r="A191" s="275"/>
      <c r="B191" s="21"/>
      <c r="C191" s="21"/>
      <c r="D191" s="21"/>
      <c r="E191" s="21"/>
      <c r="F191" s="275"/>
      <c r="G191" s="275"/>
      <c r="H191" s="275"/>
      <c r="I191" s="275"/>
      <c r="J191" s="275"/>
      <c r="K191" s="275"/>
      <c r="L191" s="275"/>
      <c r="M191" s="275"/>
      <c r="N191" s="275"/>
      <c r="O191" s="275"/>
      <c r="P191" s="275"/>
      <c r="Q191" s="275"/>
      <c r="R191" s="275"/>
      <c r="S191" s="275"/>
      <c r="T191" s="275"/>
      <c r="U191" s="275"/>
      <c r="V191" s="275"/>
      <c r="W191" s="275"/>
      <c r="X191" s="275"/>
      <c r="Y191" s="275"/>
      <c r="Z191" s="275"/>
      <c r="AA191" s="275"/>
      <c r="AB191" s="275"/>
      <c r="AC191" s="275"/>
      <c r="AD191" s="275"/>
      <c r="AE191" s="275"/>
      <c r="AF191" s="275"/>
      <c r="AG191" s="275"/>
      <c r="AH191" s="275"/>
      <c r="AJ191" s="275"/>
      <c r="AK191" s="275"/>
      <c r="AL191" s="275"/>
      <c r="AM191" s="275"/>
      <c r="AN191" s="275"/>
      <c r="AO191" s="275"/>
      <c r="AQ191" s="275"/>
      <c r="AR191" s="275"/>
      <c r="AS191" s="275"/>
      <c r="AT191" s="275"/>
      <c r="AU191" s="275"/>
      <c r="AV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D191" s="275"/>
      <c r="EE191" s="275"/>
      <c r="EF191" s="275"/>
      <c r="EG191" s="275"/>
      <c r="EH191" s="275"/>
      <c r="EI191" s="275"/>
      <c r="EJ191" s="275"/>
      <c r="EK191" s="275"/>
      <c r="EL191" s="275"/>
      <c r="EM191" s="275"/>
      <c r="EN191" s="275"/>
      <c r="EO191" s="275"/>
      <c r="EP191" s="275"/>
      <c r="EQ191" s="275"/>
      <c r="ER191" s="275"/>
      <c r="ES191" s="275"/>
      <c r="ET191" s="275"/>
      <c r="EU191"/>
      <c r="EV191"/>
      <c r="EW191" s="275"/>
      <c r="EX191" s="275"/>
      <c r="EY191" s="275"/>
      <c r="EZ191" s="275"/>
      <c r="FA191" s="275"/>
      <c r="FB191" s="275"/>
      <c r="FC191" s="275"/>
      <c r="FD191" s="275"/>
      <c r="FE191" s="275"/>
      <c r="FF191" s="275"/>
      <c r="FG191" s="275"/>
      <c r="FH191" s="275"/>
      <c r="FI191" s="275"/>
      <c r="FJ191" s="275"/>
      <c r="FK191" s="275"/>
      <c r="FL191" s="275"/>
      <c r="FM191" s="275"/>
      <c r="FN191" s="275"/>
      <c r="FO191" s="275"/>
      <c r="FP191" s="275"/>
      <c r="FQ191" s="275"/>
      <c r="FR191" s="275"/>
      <c r="FS191" s="275"/>
      <c r="FT191" s="275"/>
      <c r="FU191" s="275"/>
      <c r="FV191" s="275"/>
      <c r="FW191" s="275"/>
      <c r="FX191" s="275"/>
      <c r="FY191" s="275"/>
      <c r="FZ191" s="275"/>
      <c r="GA191" s="275"/>
      <c r="GB191" s="275"/>
      <c r="GC191" s="275"/>
      <c r="GD191" s="275"/>
      <c r="GE191" s="275"/>
      <c r="GF191" s="275"/>
      <c r="GG191" s="275"/>
      <c r="GH191" s="275"/>
      <c r="GI191" s="275"/>
      <c r="GJ191" s="275"/>
      <c r="GK191" s="275"/>
      <c r="GL191" s="275"/>
      <c r="GM191" s="275"/>
      <c r="GN191" s="275"/>
      <c r="GO191" s="275"/>
      <c r="GP191" s="275"/>
      <c r="GQ191" s="275"/>
      <c r="GR191" s="275"/>
      <c r="GS191" s="275"/>
      <c r="GT191" s="275"/>
      <c r="GU191" s="275"/>
      <c r="GV191" s="275"/>
      <c r="GW191" s="275"/>
      <c r="GX191" s="275"/>
      <c r="GY191" s="275"/>
      <c r="GZ191" s="275"/>
      <c r="HA191" s="275"/>
      <c r="HB191" s="275"/>
      <c r="HC191" s="275"/>
      <c r="HD191" s="275"/>
      <c r="HE191" s="275"/>
      <c r="HF191" s="275"/>
      <c r="HG191" s="275"/>
      <c r="HH191" s="275"/>
      <c r="HI191" s="275"/>
      <c r="HJ191" s="275"/>
      <c r="HK191" s="275"/>
      <c r="HL191" s="275"/>
      <c r="HM191" s="275"/>
      <c r="HN191" s="275"/>
      <c r="HO191" s="275"/>
      <c r="HP191" s="275"/>
      <c r="HQ191" s="275"/>
      <c r="HR191" s="275"/>
    </row>
    <row r="192" spans="1:226" s="297" customFormat="1">
      <c r="A192" s="275"/>
      <c r="B192" s="21"/>
      <c r="C192" s="21"/>
      <c r="D192" s="21"/>
      <c r="E192" s="21"/>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c r="AH192" s="275"/>
      <c r="AJ192" s="275"/>
      <c r="AK192" s="275"/>
      <c r="AL192" s="275"/>
      <c r="AM192" s="275"/>
      <c r="AN192" s="275"/>
      <c r="AO192" s="275"/>
      <c r="AQ192" s="275"/>
      <c r="AR192" s="275"/>
      <c r="AS192" s="275"/>
      <c r="AT192" s="275"/>
      <c r="AU192" s="275"/>
      <c r="AV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D192" s="275"/>
      <c r="EE192" s="275"/>
      <c r="EF192" s="275"/>
      <c r="EG192" s="275"/>
      <c r="EH192" s="275"/>
      <c r="EI192" s="275"/>
      <c r="EJ192" s="275"/>
      <c r="EK192" s="275"/>
      <c r="EL192" s="275"/>
      <c r="EM192" s="275"/>
      <c r="EN192" s="275"/>
      <c r="EO192" s="275"/>
      <c r="EP192" s="275"/>
      <c r="EQ192" s="275"/>
      <c r="ER192" s="275"/>
      <c r="ES192" s="275"/>
      <c r="ET192" s="275"/>
      <c r="EU192"/>
      <c r="EV192"/>
      <c r="EW192" s="275"/>
      <c r="EX192" s="275"/>
      <c r="EY192" s="275"/>
      <c r="EZ192" s="275"/>
      <c r="FA192" s="275"/>
      <c r="FB192" s="275"/>
      <c r="FC192" s="275"/>
      <c r="FD192" s="275"/>
      <c r="FE192" s="275"/>
      <c r="FF192" s="275"/>
      <c r="FG192" s="275"/>
      <c r="FH192" s="275"/>
      <c r="FI192" s="275"/>
      <c r="FJ192" s="275"/>
      <c r="FK192" s="275"/>
      <c r="FL192" s="275"/>
      <c r="FM192" s="275"/>
      <c r="FN192" s="275"/>
      <c r="FO192" s="275"/>
      <c r="FP192" s="275"/>
      <c r="FQ192" s="275"/>
      <c r="FR192" s="275"/>
      <c r="FS192" s="275"/>
      <c r="FT192" s="275"/>
      <c r="FU192" s="275"/>
      <c r="FV192" s="275"/>
      <c r="FW192" s="275"/>
      <c r="FX192" s="275"/>
      <c r="FY192" s="275"/>
      <c r="FZ192" s="275"/>
      <c r="GA192" s="275"/>
      <c r="GB192" s="275"/>
      <c r="GC192" s="275"/>
      <c r="GD192" s="275"/>
      <c r="GE192" s="275"/>
      <c r="GF192" s="275"/>
      <c r="GG192" s="275"/>
      <c r="GH192" s="275"/>
      <c r="GI192" s="275"/>
      <c r="GJ192" s="275"/>
      <c r="GK192" s="275"/>
      <c r="GL192" s="275"/>
      <c r="GM192" s="275"/>
      <c r="GN192" s="275"/>
      <c r="GO192" s="275"/>
      <c r="GP192" s="275"/>
      <c r="GQ192" s="275"/>
      <c r="GR192" s="275"/>
      <c r="GS192" s="275"/>
      <c r="GT192" s="275"/>
      <c r="GU192" s="275"/>
      <c r="GV192" s="275"/>
      <c r="GW192" s="275"/>
      <c r="GX192" s="275"/>
      <c r="GY192" s="275"/>
      <c r="GZ192" s="275"/>
      <c r="HA192" s="275"/>
      <c r="HB192" s="275"/>
      <c r="HC192" s="275"/>
      <c r="HD192" s="275"/>
      <c r="HE192" s="275"/>
      <c r="HF192" s="275"/>
      <c r="HG192" s="275"/>
      <c r="HH192" s="275"/>
      <c r="HI192" s="275"/>
      <c r="HJ192" s="275"/>
      <c r="HK192" s="275"/>
      <c r="HL192" s="275"/>
      <c r="HM192" s="275"/>
      <c r="HN192" s="275"/>
      <c r="HO192" s="275"/>
      <c r="HP192" s="275"/>
      <c r="HQ192" s="275"/>
      <c r="HR192" s="275"/>
    </row>
    <row r="193" spans="1:226" s="297" customFormat="1">
      <c r="A193" s="275"/>
      <c r="B193" s="21"/>
      <c r="C193" s="21"/>
      <c r="D193" s="21"/>
      <c r="E193" s="21"/>
      <c r="F193" s="275"/>
      <c r="G193" s="275"/>
      <c r="H193" s="275"/>
      <c r="I193" s="275"/>
      <c r="J193" s="275"/>
      <c r="K193" s="275"/>
      <c r="L193" s="275"/>
      <c r="M193" s="275"/>
      <c r="N193" s="275"/>
      <c r="O193" s="275"/>
      <c r="P193" s="275"/>
      <c r="Q193" s="275"/>
      <c r="R193" s="275"/>
      <c r="S193" s="275"/>
      <c r="T193" s="275"/>
      <c r="U193" s="275"/>
      <c r="V193" s="275"/>
      <c r="W193" s="275"/>
      <c r="X193" s="275"/>
      <c r="Y193" s="275"/>
      <c r="Z193" s="275"/>
      <c r="AA193" s="275"/>
      <c r="AB193" s="275"/>
      <c r="AC193" s="275"/>
      <c r="AD193" s="275"/>
      <c r="AE193" s="275"/>
      <c r="AF193" s="275"/>
      <c r="AG193" s="275"/>
      <c r="AH193" s="275"/>
      <c r="AJ193" s="275"/>
      <c r="AK193" s="275"/>
      <c r="AL193" s="275"/>
      <c r="AM193" s="275"/>
      <c r="AN193" s="275"/>
      <c r="AO193" s="275"/>
      <c r="AQ193" s="275"/>
      <c r="AR193" s="275"/>
      <c r="AS193" s="275"/>
      <c r="AT193" s="275"/>
      <c r="AU193" s="275"/>
      <c r="AV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D193" s="275"/>
      <c r="EE193" s="275"/>
      <c r="EF193" s="275"/>
      <c r="EG193" s="275"/>
      <c r="EH193" s="275"/>
      <c r="EI193" s="275"/>
      <c r="EJ193" s="275"/>
      <c r="EK193" s="275"/>
      <c r="EL193" s="275"/>
      <c r="EM193" s="275"/>
      <c r="EN193" s="275"/>
      <c r="EO193" s="275"/>
      <c r="EP193" s="275"/>
      <c r="EQ193" s="275"/>
      <c r="ER193" s="275"/>
      <c r="ES193" s="275"/>
      <c r="ET193" s="275"/>
      <c r="EU193"/>
      <c r="EV193"/>
      <c r="EW193" s="275"/>
      <c r="EX193" s="275"/>
      <c r="EY193" s="275"/>
      <c r="EZ193" s="275"/>
      <c r="FA193" s="275"/>
      <c r="FB193" s="275"/>
      <c r="FC193" s="275"/>
      <c r="FD193" s="275"/>
      <c r="FE193" s="275"/>
      <c r="FF193" s="275"/>
      <c r="FG193" s="275"/>
      <c r="FH193" s="275"/>
      <c r="FI193" s="275"/>
      <c r="FJ193" s="275"/>
      <c r="FK193" s="275"/>
      <c r="FL193" s="275"/>
      <c r="FM193" s="275"/>
      <c r="FN193" s="275"/>
      <c r="FO193" s="275"/>
      <c r="FP193" s="275"/>
      <c r="FQ193" s="275"/>
      <c r="FR193" s="275"/>
      <c r="FS193" s="275"/>
      <c r="FT193" s="275"/>
      <c r="FU193" s="275"/>
      <c r="FV193" s="275"/>
      <c r="FW193" s="275"/>
      <c r="FX193" s="275"/>
      <c r="FY193" s="275"/>
      <c r="FZ193" s="275"/>
      <c r="GA193" s="275"/>
      <c r="GB193" s="275"/>
      <c r="GC193" s="275"/>
      <c r="GD193" s="275"/>
      <c r="GE193" s="275"/>
      <c r="GF193" s="275"/>
      <c r="GG193" s="275"/>
      <c r="GH193" s="275"/>
      <c r="GI193" s="275"/>
      <c r="GJ193" s="275"/>
      <c r="GK193" s="275"/>
      <c r="GL193" s="275"/>
      <c r="GM193" s="275"/>
      <c r="GN193" s="275"/>
      <c r="GO193" s="275"/>
      <c r="GP193" s="275"/>
      <c r="GQ193" s="275"/>
      <c r="GR193" s="275"/>
      <c r="GS193" s="275"/>
      <c r="GT193" s="275"/>
      <c r="GU193" s="275"/>
      <c r="GV193" s="275"/>
      <c r="GW193" s="275"/>
      <c r="GX193" s="275"/>
      <c r="GY193" s="275"/>
      <c r="GZ193" s="275"/>
      <c r="HA193" s="275"/>
      <c r="HB193" s="275"/>
      <c r="HC193" s="275"/>
      <c r="HD193" s="275"/>
      <c r="HE193" s="275"/>
      <c r="HF193" s="275"/>
      <c r="HG193" s="275"/>
      <c r="HH193" s="275"/>
      <c r="HI193" s="275"/>
      <c r="HJ193" s="275"/>
      <c r="HK193" s="275"/>
      <c r="HL193" s="275"/>
      <c r="HM193" s="275"/>
      <c r="HN193" s="275"/>
      <c r="HO193" s="275"/>
      <c r="HP193" s="275"/>
      <c r="HQ193" s="275"/>
      <c r="HR193" s="275"/>
    </row>
    <row r="194" spans="1:226" s="297" customFormat="1">
      <c r="A194" s="275"/>
      <c r="B194" s="21"/>
      <c r="C194" s="21"/>
      <c r="D194" s="21"/>
      <c r="E194" s="21"/>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c r="AH194" s="275"/>
      <c r="AJ194" s="275"/>
      <c r="AK194" s="275"/>
      <c r="AL194" s="275"/>
      <c r="AM194" s="275"/>
      <c r="AN194" s="275"/>
      <c r="AO194" s="275"/>
      <c r="AQ194" s="275"/>
      <c r="AR194" s="275"/>
      <c r="AS194" s="275"/>
      <c r="AT194" s="275"/>
      <c r="AU194" s="275"/>
      <c r="AV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D194" s="275"/>
      <c r="EE194" s="275"/>
      <c r="EF194" s="275"/>
      <c r="EG194" s="275"/>
      <c r="EH194" s="275"/>
      <c r="EI194" s="275"/>
      <c r="EJ194" s="275"/>
      <c r="EK194" s="275"/>
      <c r="EL194" s="275"/>
      <c r="EM194" s="275"/>
      <c r="EN194" s="275"/>
      <c r="EO194" s="275"/>
      <c r="EP194" s="275"/>
      <c r="EQ194" s="275"/>
      <c r="ER194" s="275"/>
      <c r="ES194" s="275"/>
      <c r="ET194" s="275"/>
      <c r="EU194"/>
      <c r="EV194"/>
      <c r="EW194" s="275"/>
      <c r="EX194" s="275"/>
      <c r="EY194" s="275"/>
      <c r="EZ194" s="275"/>
      <c r="FA194" s="275"/>
      <c r="FB194" s="275"/>
      <c r="FC194" s="275"/>
      <c r="FD194" s="275"/>
      <c r="FE194" s="275"/>
      <c r="FF194" s="275"/>
      <c r="FG194" s="275"/>
      <c r="FH194" s="275"/>
      <c r="FI194" s="275"/>
      <c r="FJ194" s="275"/>
      <c r="FK194" s="275"/>
      <c r="FL194" s="275"/>
      <c r="FM194" s="275"/>
      <c r="FN194" s="275"/>
      <c r="FO194" s="275"/>
      <c r="FP194" s="275"/>
      <c r="FQ194" s="275"/>
      <c r="FR194" s="275"/>
      <c r="FS194" s="275"/>
      <c r="FT194" s="275"/>
      <c r="FU194" s="275"/>
      <c r="FV194" s="275"/>
      <c r="FW194" s="275"/>
      <c r="FX194" s="275"/>
      <c r="FY194" s="275"/>
      <c r="FZ194" s="275"/>
      <c r="GA194" s="275"/>
      <c r="GB194" s="275"/>
      <c r="GC194" s="275"/>
      <c r="GD194" s="275"/>
      <c r="GE194" s="275"/>
      <c r="GF194" s="275"/>
      <c r="GG194" s="275"/>
      <c r="GH194" s="275"/>
      <c r="GI194" s="275"/>
      <c r="GJ194" s="275"/>
      <c r="GK194" s="275"/>
      <c r="GL194" s="275"/>
      <c r="GM194" s="275"/>
      <c r="GN194" s="275"/>
      <c r="GO194" s="275"/>
      <c r="GP194" s="275"/>
      <c r="GQ194" s="275"/>
      <c r="GR194" s="275"/>
      <c r="GS194" s="275"/>
      <c r="GT194" s="275"/>
      <c r="GU194" s="275"/>
      <c r="GV194" s="275"/>
      <c r="GW194" s="275"/>
      <c r="GX194" s="275"/>
      <c r="GY194" s="275"/>
      <c r="GZ194" s="275"/>
      <c r="HA194" s="275"/>
      <c r="HB194" s="275"/>
      <c r="HC194" s="275"/>
      <c r="HD194" s="275"/>
      <c r="HE194" s="275"/>
      <c r="HF194" s="275"/>
      <c r="HG194" s="275"/>
      <c r="HH194" s="275"/>
      <c r="HI194" s="275"/>
      <c r="HJ194" s="275"/>
      <c r="HK194" s="275"/>
      <c r="HL194" s="275"/>
      <c r="HM194" s="275"/>
      <c r="HN194" s="275"/>
      <c r="HO194" s="275"/>
      <c r="HP194" s="275"/>
      <c r="HQ194" s="275"/>
      <c r="HR194" s="275"/>
    </row>
    <row r="195" spans="1:226" s="297" customFormat="1">
      <c r="A195" s="275"/>
      <c r="B195" s="21"/>
      <c r="C195" s="21"/>
      <c r="D195" s="21"/>
      <c r="E195" s="21"/>
      <c r="F195" s="275"/>
      <c r="G195" s="275"/>
      <c r="H195" s="275"/>
      <c r="I195" s="275"/>
      <c r="J195" s="275"/>
      <c r="K195" s="275"/>
      <c r="L195" s="275"/>
      <c r="M195" s="275"/>
      <c r="N195" s="275"/>
      <c r="O195" s="275"/>
      <c r="P195" s="275"/>
      <c r="Q195" s="275"/>
      <c r="R195" s="275"/>
      <c r="S195" s="275"/>
      <c r="T195" s="275"/>
      <c r="U195" s="275"/>
      <c r="V195" s="275"/>
      <c r="W195" s="275"/>
      <c r="X195" s="275"/>
      <c r="Y195" s="275"/>
      <c r="Z195" s="275"/>
      <c r="AA195" s="275"/>
      <c r="AB195" s="275"/>
      <c r="AC195" s="275"/>
      <c r="AD195" s="275"/>
      <c r="AE195" s="275"/>
      <c r="AF195" s="275"/>
      <c r="AG195" s="275"/>
      <c r="AH195" s="275"/>
      <c r="AJ195" s="275"/>
      <c r="AK195" s="275"/>
      <c r="AL195" s="275"/>
      <c r="AM195" s="275"/>
      <c r="AN195" s="275"/>
      <c r="AO195" s="275"/>
      <c r="AQ195" s="275"/>
      <c r="AR195" s="275"/>
      <c r="AS195" s="275"/>
      <c r="AT195" s="275"/>
      <c r="AU195" s="275"/>
      <c r="AV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D195" s="275"/>
      <c r="EE195" s="275"/>
      <c r="EF195" s="275"/>
      <c r="EG195" s="275"/>
      <c r="EH195" s="275"/>
      <c r="EI195" s="275"/>
      <c r="EJ195" s="275"/>
      <c r="EK195" s="275"/>
      <c r="EL195" s="275"/>
      <c r="EM195" s="275"/>
      <c r="EN195" s="275"/>
      <c r="EO195" s="275"/>
      <c r="EP195" s="275"/>
      <c r="EQ195" s="275"/>
      <c r="ER195" s="275"/>
      <c r="ES195" s="275"/>
      <c r="ET195" s="275"/>
      <c r="EU195"/>
      <c r="EV195"/>
      <c r="EW195" s="275"/>
      <c r="EX195" s="275"/>
      <c r="EY195" s="275"/>
      <c r="EZ195" s="275"/>
      <c r="FA195" s="275"/>
      <c r="FB195" s="275"/>
      <c r="FC195" s="275"/>
      <c r="FD195" s="275"/>
      <c r="FE195" s="275"/>
      <c r="FF195" s="275"/>
      <c r="FG195" s="275"/>
      <c r="FH195" s="275"/>
      <c r="FI195" s="275"/>
      <c r="FJ195" s="275"/>
      <c r="FK195" s="275"/>
      <c r="FL195" s="275"/>
      <c r="FM195" s="275"/>
      <c r="FN195" s="275"/>
      <c r="FO195" s="275"/>
      <c r="FP195" s="275"/>
      <c r="FQ195" s="275"/>
      <c r="FR195" s="275"/>
      <c r="FS195" s="275"/>
      <c r="FT195" s="275"/>
      <c r="FU195" s="275"/>
      <c r="FV195" s="275"/>
      <c r="FW195" s="275"/>
      <c r="FX195" s="275"/>
      <c r="FY195" s="275"/>
      <c r="FZ195" s="275"/>
      <c r="GA195" s="275"/>
      <c r="GB195" s="275"/>
      <c r="GC195" s="275"/>
      <c r="GD195" s="275"/>
      <c r="GE195" s="275"/>
      <c r="GF195" s="275"/>
      <c r="GG195" s="275"/>
      <c r="GH195" s="275"/>
      <c r="GI195" s="275"/>
      <c r="GJ195" s="275"/>
      <c r="GK195" s="275"/>
      <c r="GL195" s="275"/>
      <c r="GM195" s="275"/>
      <c r="GN195" s="275"/>
      <c r="GO195" s="275"/>
      <c r="GP195" s="275"/>
      <c r="GQ195" s="275"/>
      <c r="GR195" s="275"/>
      <c r="GS195" s="275"/>
      <c r="GT195" s="275"/>
      <c r="GU195" s="275"/>
      <c r="GV195" s="275"/>
      <c r="GW195" s="275"/>
      <c r="GX195" s="275"/>
      <c r="GY195" s="275"/>
      <c r="GZ195" s="275"/>
      <c r="HA195" s="275"/>
      <c r="HB195" s="275"/>
      <c r="HC195" s="275"/>
      <c r="HD195" s="275"/>
      <c r="HE195" s="275"/>
      <c r="HF195" s="275"/>
      <c r="HG195" s="275"/>
      <c r="HH195" s="275"/>
      <c r="HI195" s="275"/>
      <c r="HJ195" s="275"/>
      <c r="HK195" s="275"/>
      <c r="HL195" s="275"/>
      <c r="HM195" s="275"/>
      <c r="HN195" s="275"/>
      <c r="HO195" s="275"/>
      <c r="HP195" s="275"/>
      <c r="HQ195" s="275"/>
      <c r="HR195" s="275"/>
    </row>
    <row r="196" spans="1:226" s="297" customFormat="1">
      <c r="A196" s="275"/>
      <c r="B196" s="21"/>
      <c r="C196" s="21"/>
      <c r="D196" s="21"/>
      <c r="E196" s="21"/>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c r="AH196" s="275"/>
      <c r="AJ196" s="275"/>
      <c r="AK196" s="275"/>
      <c r="AL196" s="275"/>
      <c r="AM196" s="275"/>
      <c r="AN196" s="275"/>
      <c r="AO196" s="275"/>
      <c r="AQ196" s="275"/>
      <c r="AR196" s="275"/>
      <c r="AS196" s="275"/>
      <c r="AT196" s="275"/>
      <c r="AU196" s="275"/>
      <c r="AV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D196" s="275"/>
      <c r="EE196" s="275"/>
      <c r="EF196" s="275"/>
      <c r="EG196" s="275"/>
      <c r="EH196" s="275"/>
      <c r="EI196" s="275"/>
      <c r="EJ196" s="275"/>
      <c r="EK196" s="275"/>
      <c r="EL196" s="275"/>
      <c r="EM196" s="275"/>
      <c r="EN196" s="275"/>
      <c r="EO196" s="275"/>
      <c r="EP196" s="275"/>
      <c r="EQ196" s="275"/>
      <c r="ER196" s="275"/>
      <c r="ES196" s="275"/>
      <c r="ET196" s="275"/>
      <c r="EU196"/>
      <c r="EV196"/>
      <c r="EW196" s="275"/>
      <c r="EX196" s="275"/>
      <c r="EY196" s="275"/>
      <c r="EZ196" s="275"/>
      <c r="FA196" s="275"/>
      <c r="FB196" s="275"/>
      <c r="FC196" s="275"/>
      <c r="FD196" s="275"/>
      <c r="FE196" s="275"/>
      <c r="FF196" s="275"/>
      <c r="FG196" s="275"/>
      <c r="FH196" s="275"/>
      <c r="FI196" s="275"/>
      <c r="FJ196" s="275"/>
      <c r="FK196" s="275"/>
      <c r="FL196" s="275"/>
      <c r="FM196" s="275"/>
      <c r="FN196" s="275"/>
      <c r="FO196" s="275"/>
      <c r="FP196" s="275"/>
      <c r="FQ196" s="275"/>
      <c r="FR196" s="275"/>
      <c r="FS196" s="275"/>
      <c r="FT196" s="275"/>
      <c r="FU196" s="275"/>
      <c r="FV196" s="275"/>
      <c r="FW196" s="275"/>
      <c r="FX196" s="275"/>
      <c r="FY196" s="275"/>
      <c r="FZ196" s="275"/>
      <c r="GA196" s="275"/>
      <c r="GB196" s="275"/>
      <c r="GC196" s="275"/>
      <c r="GD196" s="275"/>
      <c r="GE196" s="275"/>
      <c r="GF196" s="275"/>
      <c r="GG196" s="275"/>
      <c r="GH196" s="275"/>
      <c r="GI196" s="275"/>
      <c r="GJ196" s="275"/>
      <c r="GK196" s="275"/>
      <c r="GL196" s="275"/>
      <c r="GM196" s="275"/>
      <c r="GN196" s="275"/>
      <c r="GO196" s="275"/>
      <c r="GP196" s="275"/>
      <c r="GQ196" s="275"/>
      <c r="GR196" s="275"/>
      <c r="GS196" s="275"/>
      <c r="GT196" s="275"/>
      <c r="GU196" s="275"/>
      <c r="GV196" s="275"/>
      <c r="GW196" s="275"/>
      <c r="GX196" s="275"/>
      <c r="GY196" s="275"/>
      <c r="GZ196" s="275"/>
      <c r="HA196" s="275"/>
      <c r="HB196" s="275"/>
      <c r="HC196" s="275"/>
      <c r="HD196" s="275"/>
      <c r="HE196" s="275"/>
      <c r="HF196" s="275"/>
      <c r="HG196" s="275"/>
      <c r="HH196" s="275"/>
      <c r="HI196" s="275"/>
      <c r="HJ196" s="275"/>
      <c r="HK196" s="275"/>
      <c r="HL196" s="275"/>
      <c r="HM196" s="275"/>
      <c r="HN196" s="275"/>
      <c r="HO196" s="275"/>
      <c r="HP196" s="275"/>
      <c r="HQ196" s="275"/>
      <c r="HR196" s="275"/>
    </row>
    <row r="197" spans="1:226" s="297" customFormat="1">
      <c r="A197" s="275"/>
      <c r="B197" s="21"/>
      <c r="C197" s="21"/>
      <c r="D197" s="21"/>
      <c r="E197" s="21"/>
      <c r="F197" s="275"/>
      <c r="G197" s="275"/>
      <c r="H197" s="275"/>
      <c r="I197" s="275"/>
      <c r="J197" s="275"/>
      <c r="K197" s="275"/>
      <c r="L197" s="275"/>
      <c r="M197" s="275"/>
      <c r="N197" s="275"/>
      <c r="O197" s="275"/>
      <c r="P197" s="275"/>
      <c r="Q197" s="275"/>
      <c r="R197" s="275"/>
      <c r="S197" s="275"/>
      <c r="T197" s="275"/>
      <c r="U197" s="275"/>
      <c r="V197" s="275"/>
      <c r="W197" s="275"/>
      <c r="X197" s="275"/>
      <c r="Y197" s="275"/>
      <c r="Z197" s="275"/>
      <c r="AA197" s="275"/>
      <c r="AB197" s="275"/>
      <c r="AC197" s="275"/>
      <c r="AD197" s="275"/>
      <c r="AE197" s="275"/>
      <c r="AF197" s="275"/>
      <c r="AG197" s="275"/>
      <c r="AH197" s="275"/>
      <c r="AJ197" s="275"/>
      <c r="AK197" s="275"/>
      <c r="AL197" s="275"/>
      <c r="AM197" s="275"/>
      <c r="AN197" s="275"/>
      <c r="AO197" s="275"/>
      <c r="AQ197" s="275"/>
      <c r="AR197" s="275"/>
      <c r="AS197" s="275"/>
      <c r="AT197" s="275"/>
      <c r="AU197" s="275"/>
      <c r="AV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D197" s="275"/>
      <c r="EE197" s="275"/>
      <c r="EF197" s="275"/>
      <c r="EG197" s="275"/>
      <c r="EH197" s="275"/>
      <c r="EI197" s="275"/>
      <c r="EJ197" s="275"/>
      <c r="EK197" s="275"/>
      <c r="EL197" s="275"/>
      <c r="EM197" s="275"/>
      <c r="EN197" s="275"/>
      <c r="EO197" s="275"/>
      <c r="EP197" s="275"/>
      <c r="EQ197" s="275"/>
      <c r="ER197" s="275"/>
      <c r="ES197" s="275"/>
      <c r="ET197" s="275"/>
      <c r="EU197"/>
      <c r="EV197"/>
      <c r="EW197" s="275"/>
      <c r="EX197" s="275"/>
      <c r="EY197" s="275"/>
      <c r="EZ197" s="275"/>
      <c r="FA197" s="275"/>
      <c r="FB197" s="275"/>
      <c r="FC197" s="275"/>
      <c r="FD197" s="275"/>
      <c r="FE197" s="275"/>
      <c r="FF197" s="275"/>
      <c r="FG197" s="275"/>
      <c r="FH197" s="275"/>
      <c r="FI197" s="275"/>
      <c r="FJ197" s="275"/>
      <c r="FK197" s="275"/>
      <c r="FL197" s="275"/>
      <c r="FM197" s="275"/>
      <c r="FN197" s="275"/>
      <c r="FO197" s="275"/>
      <c r="FP197" s="275"/>
      <c r="FQ197" s="275"/>
      <c r="FR197" s="275"/>
      <c r="FS197" s="275"/>
      <c r="FT197" s="275"/>
      <c r="FU197" s="275"/>
      <c r="FV197" s="275"/>
      <c r="FW197" s="275"/>
      <c r="FX197" s="275"/>
      <c r="FY197" s="275"/>
      <c r="FZ197" s="275"/>
      <c r="GA197" s="275"/>
      <c r="GB197" s="275"/>
      <c r="GC197" s="275"/>
      <c r="GD197" s="275"/>
      <c r="GE197" s="275"/>
      <c r="GF197" s="275"/>
      <c r="GG197" s="275"/>
      <c r="GH197" s="275"/>
      <c r="GI197" s="275"/>
      <c r="GJ197" s="275"/>
      <c r="GK197" s="275"/>
      <c r="GL197" s="275"/>
      <c r="GM197" s="275"/>
      <c r="GN197" s="275"/>
      <c r="GO197" s="275"/>
      <c r="GP197" s="275"/>
      <c r="GQ197" s="275"/>
      <c r="GR197" s="275"/>
      <c r="GS197" s="275"/>
      <c r="GT197" s="275"/>
      <c r="GU197" s="275"/>
      <c r="GV197" s="275"/>
      <c r="GW197" s="275"/>
      <c r="GX197" s="275"/>
      <c r="GY197" s="275"/>
      <c r="GZ197" s="275"/>
      <c r="HA197" s="275"/>
      <c r="HB197" s="275"/>
      <c r="HC197" s="275"/>
      <c r="HD197" s="275"/>
      <c r="HE197" s="275"/>
      <c r="HF197" s="275"/>
      <c r="HG197" s="275"/>
      <c r="HH197" s="275"/>
      <c r="HI197" s="275"/>
      <c r="HJ197" s="275"/>
      <c r="HK197" s="275"/>
      <c r="HL197" s="275"/>
      <c r="HM197" s="275"/>
      <c r="HN197" s="275"/>
      <c r="HO197" s="275"/>
      <c r="HP197" s="275"/>
      <c r="HQ197" s="275"/>
      <c r="HR197" s="275"/>
    </row>
    <row r="198" spans="1:226" s="297" customFormat="1">
      <c r="A198" s="275"/>
      <c r="B198" s="21"/>
      <c r="C198" s="21"/>
      <c r="D198" s="21"/>
      <c r="E198" s="21"/>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c r="AH198" s="275"/>
      <c r="AJ198" s="275"/>
      <c r="AK198" s="275"/>
      <c r="AL198" s="275"/>
      <c r="AM198" s="275"/>
      <c r="AN198" s="275"/>
      <c r="AO198" s="275"/>
      <c r="AQ198" s="275"/>
      <c r="AR198" s="275"/>
      <c r="AS198" s="275"/>
      <c r="AT198" s="275"/>
      <c r="AU198" s="275"/>
      <c r="AV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D198" s="275"/>
      <c r="EE198" s="275"/>
      <c r="EF198" s="275"/>
      <c r="EG198" s="275"/>
      <c r="EH198" s="275"/>
      <c r="EI198" s="275"/>
      <c r="EJ198" s="275"/>
      <c r="EK198" s="275"/>
      <c r="EL198" s="275"/>
      <c r="EM198" s="275"/>
      <c r="EN198" s="275"/>
      <c r="EO198" s="275"/>
      <c r="EP198" s="275"/>
      <c r="EQ198" s="275"/>
      <c r="ER198" s="275"/>
      <c r="ES198" s="275"/>
      <c r="ET198" s="275"/>
      <c r="EU198"/>
      <c r="EV198"/>
      <c r="EW198" s="275"/>
      <c r="EX198" s="275"/>
      <c r="EY198" s="275"/>
      <c r="EZ198" s="275"/>
      <c r="FA198" s="275"/>
      <c r="FB198" s="275"/>
      <c r="FC198" s="275"/>
      <c r="FD198" s="275"/>
      <c r="FE198" s="275"/>
      <c r="FF198" s="275"/>
      <c r="FG198" s="275"/>
      <c r="FH198" s="275"/>
      <c r="FI198" s="275"/>
      <c r="FJ198" s="275"/>
      <c r="FK198" s="275"/>
      <c r="FL198" s="275"/>
      <c r="FM198" s="275"/>
      <c r="FN198" s="275"/>
      <c r="FO198" s="275"/>
      <c r="FP198" s="275"/>
      <c r="FQ198" s="275"/>
      <c r="FR198" s="275"/>
      <c r="FS198" s="275"/>
      <c r="FT198" s="275"/>
      <c r="FU198" s="275"/>
      <c r="FV198" s="275"/>
      <c r="FW198" s="275"/>
      <c r="FX198" s="275"/>
      <c r="FY198" s="275"/>
      <c r="FZ198" s="275"/>
      <c r="GA198" s="275"/>
      <c r="GB198" s="275"/>
      <c r="GC198" s="275"/>
      <c r="GD198" s="275"/>
      <c r="GE198" s="275"/>
      <c r="GF198" s="275"/>
      <c r="GG198" s="275"/>
      <c r="GH198" s="275"/>
      <c r="GI198" s="275"/>
      <c r="GJ198" s="275"/>
      <c r="GK198" s="275"/>
      <c r="GL198" s="275"/>
      <c r="GM198" s="275"/>
      <c r="GN198" s="275"/>
      <c r="GO198" s="275"/>
      <c r="GP198" s="275"/>
      <c r="GQ198" s="275"/>
      <c r="GR198" s="275"/>
      <c r="GS198" s="275"/>
      <c r="GT198" s="275"/>
      <c r="GU198" s="275"/>
      <c r="GV198" s="275"/>
      <c r="GW198" s="275"/>
      <c r="GX198" s="275"/>
      <c r="GY198" s="275"/>
      <c r="GZ198" s="275"/>
      <c r="HA198" s="275"/>
      <c r="HB198" s="275"/>
      <c r="HC198" s="275"/>
      <c r="HD198" s="275"/>
      <c r="HE198" s="275"/>
      <c r="HF198" s="275"/>
      <c r="HG198" s="275"/>
      <c r="HH198" s="275"/>
      <c r="HI198" s="275"/>
      <c r="HJ198" s="275"/>
      <c r="HK198" s="275"/>
      <c r="HL198" s="275"/>
      <c r="HM198" s="275"/>
      <c r="HN198" s="275"/>
      <c r="HO198" s="275"/>
      <c r="HP198" s="275"/>
      <c r="HQ198" s="275"/>
      <c r="HR198" s="275"/>
    </row>
    <row r="199" spans="1:226" s="297" customFormat="1">
      <c r="A199" s="275"/>
      <c r="B199" s="21"/>
      <c r="C199" s="21"/>
      <c r="D199" s="21"/>
      <c r="E199" s="21"/>
      <c r="F199" s="275"/>
      <c r="G199" s="275"/>
      <c r="H199" s="275"/>
      <c r="I199" s="275"/>
      <c r="J199" s="275"/>
      <c r="K199" s="275"/>
      <c r="L199" s="275"/>
      <c r="M199" s="275"/>
      <c r="N199" s="275"/>
      <c r="O199" s="275"/>
      <c r="P199" s="275"/>
      <c r="Q199" s="275"/>
      <c r="R199" s="275"/>
      <c r="S199" s="275"/>
      <c r="T199" s="275"/>
      <c r="U199" s="275"/>
      <c r="V199" s="275"/>
      <c r="W199" s="275"/>
      <c r="X199" s="275"/>
      <c r="Y199" s="275"/>
      <c r="Z199" s="275"/>
      <c r="AA199" s="275"/>
      <c r="AB199" s="275"/>
      <c r="AC199" s="275"/>
      <c r="AD199" s="275"/>
      <c r="AE199" s="275"/>
      <c r="AF199" s="275"/>
      <c r="AG199" s="275"/>
      <c r="AH199" s="275"/>
      <c r="AJ199" s="275"/>
      <c r="AK199" s="275"/>
      <c r="AL199" s="275"/>
      <c r="AM199" s="275"/>
      <c r="AN199" s="275"/>
      <c r="AO199" s="275"/>
      <c r="AQ199" s="275"/>
      <c r="AR199" s="275"/>
      <c r="AS199" s="275"/>
      <c r="AT199" s="275"/>
      <c r="AU199" s="275"/>
      <c r="AV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D199" s="275"/>
      <c r="EE199" s="275"/>
      <c r="EF199" s="275"/>
      <c r="EG199" s="275"/>
      <c r="EH199" s="275"/>
      <c r="EI199" s="275"/>
      <c r="EJ199" s="275"/>
      <c r="EK199" s="275"/>
      <c r="EL199" s="275"/>
      <c r="EM199" s="275"/>
      <c r="EN199" s="275"/>
      <c r="EO199" s="275"/>
      <c r="EP199" s="275"/>
      <c r="EQ199" s="275"/>
      <c r="ER199" s="275"/>
      <c r="ES199" s="275"/>
      <c r="ET199" s="275"/>
      <c r="EU199"/>
      <c r="EV199"/>
      <c r="EW199" s="275"/>
      <c r="EX199" s="275"/>
      <c r="EY199" s="275"/>
      <c r="EZ199" s="275"/>
      <c r="FA199" s="275"/>
      <c r="FB199" s="275"/>
      <c r="FC199" s="275"/>
      <c r="FD199" s="275"/>
      <c r="FE199" s="275"/>
      <c r="FF199" s="275"/>
      <c r="FG199" s="275"/>
      <c r="FH199" s="275"/>
      <c r="FI199" s="275"/>
      <c r="FJ199" s="275"/>
      <c r="FK199" s="275"/>
      <c r="FL199" s="275"/>
      <c r="FM199" s="275"/>
      <c r="FN199" s="275"/>
      <c r="FO199" s="275"/>
      <c r="FP199" s="275"/>
      <c r="FQ199" s="275"/>
      <c r="FR199" s="275"/>
      <c r="FS199" s="275"/>
      <c r="FT199" s="275"/>
      <c r="FU199" s="275"/>
      <c r="FV199" s="275"/>
      <c r="FW199" s="275"/>
      <c r="FX199" s="275"/>
      <c r="FY199" s="275"/>
      <c r="FZ199" s="275"/>
      <c r="GA199" s="275"/>
      <c r="GB199" s="275"/>
      <c r="GC199" s="275"/>
      <c r="GD199" s="275"/>
      <c r="GE199" s="275"/>
      <c r="GF199" s="275"/>
      <c r="GG199" s="275"/>
      <c r="GH199" s="275"/>
      <c r="GI199" s="275"/>
      <c r="GJ199" s="275"/>
      <c r="GK199" s="275"/>
      <c r="GL199" s="275"/>
      <c r="GM199" s="275"/>
      <c r="GN199" s="275"/>
      <c r="GO199" s="275"/>
      <c r="GP199" s="275"/>
      <c r="GQ199" s="275"/>
      <c r="GR199" s="275"/>
      <c r="GS199" s="275"/>
      <c r="GT199" s="275"/>
      <c r="GU199" s="275"/>
      <c r="GV199" s="275"/>
      <c r="GW199" s="275"/>
      <c r="GX199" s="275"/>
      <c r="GY199" s="275"/>
      <c r="GZ199" s="275"/>
      <c r="HA199" s="275"/>
      <c r="HB199" s="275"/>
      <c r="HC199" s="275"/>
      <c r="HD199" s="275"/>
      <c r="HE199" s="275"/>
      <c r="HF199" s="275"/>
      <c r="HG199" s="275"/>
      <c r="HH199" s="275"/>
      <c r="HI199" s="275"/>
      <c r="HJ199" s="275"/>
      <c r="HK199" s="275"/>
      <c r="HL199" s="275"/>
      <c r="HM199" s="275"/>
      <c r="HN199" s="275"/>
      <c r="HO199" s="275"/>
      <c r="HP199" s="275"/>
      <c r="HQ199" s="275"/>
      <c r="HR199" s="275"/>
    </row>
    <row r="200" spans="1:226" s="297" customFormat="1">
      <c r="A200" s="275"/>
      <c r="B200" s="21"/>
      <c r="C200" s="21"/>
      <c r="D200" s="21"/>
      <c r="E200" s="21"/>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c r="AH200" s="275"/>
      <c r="AJ200" s="275"/>
      <c r="AK200" s="275"/>
      <c r="AL200" s="275"/>
      <c r="AM200" s="275"/>
      <c r="AN200" s="275"/>
      <c r="AO200" s="275"/>
      <c r="AQ200" s="275"/>
      <c r="AR200" s="275"/>
      <c r="AS200" s="275"/>
      <c r="AT200" s="275"/>
      <c r="AU200" s="275"/>
      <c r="AV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D200" s="275"/>
      <c r="EE200" s="275"/>
      <c r="EF200" s="275"/>
      <c r="EG200" s="275"/>
      <c r="EH200" s="275"/>
      <c r="EI200" s="275"/>
      <c r="EJ200" s="275"/>
      <c r="EK200" s="275"/>
      <c r="EL200" s="275"/>
      <c r="EM200" s="275"/>
      <c r="EN200" s="275"/>
      <c r="EO200" s="275"/>
      <c r="EP200" s="275"/>
      <c r="EQ200" s="275"/>
      <c r="ER200" s="275"/>
      <c r="ES200" s="275"/>
      <c r="ET200" s="275"/>
      <c r="EU200"/>
      <c r="EV200"/>
      <c r="EW200" s="275"/>
      <c r="EX200" s="275"/>
      <c r="EY200" s="275"/>
      <c r="EZ200" s="275"/>
      <c r="FA200" s="275"/>
      <c r="FB200" s="275"/>
      <c r="FC200" s="275"/>
      <c r="FD200" s="275"/>
      <c r="FE200" s="275"/>
      <c r="FF200" s="275"/>
      <c r="FG200" s="275"/>
      <c r="FH200" s="275"/>
      <c r="FI200" s="275"/>
      <c r="FJ200" s="275"/>
      <c r="FK200" s="275"/>
      <c r="FL200" s="275"/>
      <c r="FM200" s="275"/>
      <c r="FN200" s="275"/>
      <c r="FO200" s="275"/>
      <c r="FP200" s="275"/>
      <c r="FQ200" s="275"/>
      <c r="FR200" s="275"/>
      <c r="FS200" s="275"/>
      <c r="FT200" s="275"/>
      <c r="FU200" s="275"/>
      <c r="FV200" s="275"/>
      <c r="FW200" s="275"/>
      <c r="FX200" s="275"/>
      <c r="FY200" s="275"/>
      <c r="FZ200" s="275"/>
      <c r="GA200" s="275"/>
      <c r="GB200" s="275"/>
      <c r="GC200" s="275"/>
      <c r="GD200" s="275"/>
      <c r="GE200" s="275"/>
      <c r="GF200" s="275"/>
      <c r="GG200" s="275"/>
      <c r="GH200" s="275"/>
      <c r="GI200" s="275"/>
      <c r="GJ200" s="275"/>
      <c r="GK200" s="275"/>
      <c r="GL200" s="275"/>
      <c r="GM200" s="275"/>
      <c r="GN200" s="275"/>
      <c r="GO200" s="275"/>
      <c r="GP200" s="275"/>
      <c r="GQ200" s="275"/>
      <c r="GR200" s="275"/>
      <c r="GS200" s="275"/>
      <c r="GT200" s="275"/>
      <c r="GU200" s="275"/>
      <c r="GV200" s="275"/>
      <c r="GW200" s="275"/>
      <c r="GX200" s="275"/>
      <c r="GY200" s="275"/>
      <c r="GZ200" s="275"/>
      <c r="HA200" s="275"/>
      <c r="HB200" s="275"/>
      <c r="HC200" s="275"/>
      <c r="HD200" s="275"/>
      <c r="HE200" s="275"/>
      <c r="HF200" s="275"/>
      <c r="HG200" s="275"/>
      <c r="HH200" s="275"/>
      <c r="HI200" s="275"/>
      <c r="HJ200" s="275"/>
      <c r="HK200" s="275"/>
      <c r="HL200" s="275"/>
      <c r="HM200" s="275"/>
      <c r="HN200" s="275"/>
      <c r="HO200" s="275"/>
      <c r="HP200" s="275"/>
      <c r="HQ200" s="275"/>
      <c r="HR200" s="275"/>
    </row>
    <row r="201" spans="1:226" s="297" customFormat="1">
      <c r="A201" s="275"/>
      <c r="B201" s="21"/>
      <c r="C201" s="21"/>
      <c r="D201" s="21"/>
      <c r="E201" s="21"/>
      <c r="F201" s="275"/>
      <c r="G201" s="275"/>
      <c r="H201" s="275"/>
      <c r="I201" s="275"/>
      <c r="J201" s="275"/>
      <c r="K201" s="275"/>
      <c r="L201" s="275"/>
      <c r="M201" s="275"/>
      <c r="N201" s="275"/>
      <c r="O201" s="275"/>
      <c r="P201" s="275"/>
      <c r="Q201" s="275"/>
      <c r="R201" s="275"/>
      <c r="S201" s="275"/>
      <c r="T201" s="275"/>
      <c r="U201" s="275"/>
      <c r="V201" s="275"/>
      <c r="W201" s="275"/>
      <c r="X201" s="275"/>
      <c r="Y201" s="275"/>
      <c r="Z201" s="275"/>
      <c r="AA201" s="275"/>
      <c r="AB201" s="275"/>
      <c r="AC201" s="275"/>
      <c r="AD201" s="275"/>
      <c r="AE201" s="275"/>
      <c r="AF201" s="275"/>
      <c r="AG201" s="275"/>
      <c r="AH201" s="275"/>
      <c r="AJ201" s="275"/>
      <c r="AK201" s="275"/>
      <c r="AL201" s="275"/>
      <c r="AM201" s="275"/>
      <c r="AN201" s="275"/>
      <c r="AO201" s="275"/>
      <c r="AQ201" s="275"/>
      <c r="AR201" s="275"/>
      <c r="AS201" s="275"/>
      <c r="AT201" s="275"/>
      <c r="AU201" s="275"/>
      <c r="AV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D201" s="275"/>
      <c r="EE201" s="275"/>
      <c r="EF201" s="275"/>
      <c r="EG201" s="275"/>
      <c r="EH201" s="275"/>
      <c r="EI201" s="275"/>
      <c r="EJ201" s="275"/>
      <c r="EK201" s="275"/>
      <c r="EL201" s="275"/>
      <c r="EM201" s="275"/>
      <c r="EN201" s="275"/>
      <c r="EO201" s="275"/>
      <c r="EP201" s="275"/>
      <c r="EQ201" s="275"/>
      <c r="ER201" s="275"/>
      <c r="ES201" s="275"/>
      <c r="ET201" s="275"/>
      <c r="EU201"/>
      <c r="EV201"/>
      <c r="EW201" s="275"/>
      <c r="EX201" s="275"/>
      <c r="EY201" s="275"/>
      <c r="EZ201" s="275"/>
      <c r="FA201" s="275"/>
      <c r="FB201" s="275"/>
      <c r="FC201" s="275"/>
      <c r="FD201" s="275"/>
      <c r="FE201" s="275"/>
      <c r="FF201" s="275"/>
      <c r="FG201" s="275"/>
      <c r="FH201" s="275"/>
      <c r="FI201" s="275"/>
      <c r="FJ201" s="275"/>
      <c r="FK201" s="275"/>
      <c r="FL201" s="275"/>
      <c r="FM201" s="275"/>
      <c r="FN201" s="275"/>
      <c r="FO201" s="275"/>
      <c r="FP201" s="275"/>
      <c r="FQ201" s="275"/>
      <c r="FR201" s="275"/>
      <c r="FS201" s="275"/>
      <c r="FT201" s="275"/>
      <c r="FU201" s="275"/>
      <c r="FV201" s="275"/>
      <c r="FW201" s="275"/>
      <c r="FX201" s="275"/>
      <c r="FY201" s="275"/>
      <c r="FZ201" s="275"/>
      <c r="GA201" s="275"/>
      <c r="GB201" s="275"/>
      <c r="GC201" s="275"/>
      <c r="GD201" s="275"/>
      <c r="GE201" s="275"/>
      <c r="GF201" s="275"/>
      <c r="GG201" s="275"/>
      <c r="GH201" s="275"/>
      <c r="GI201" s="275"/>
      <c r="GJ201" s="275"/>
      <c r="GK201" s="275"/>
      <c r="GL201" s="275"/>
      <c r="GM201" s="275"/>
      <c r="GN201" s="275"/>
      <c r="GO201" s="275"/>
      <c r="GP201" s="275"/>
      <c r="GQ201" s="275"/>
      <c r="GR201" s="275"/>
      <c r="GS201" s="275"/>
      <c r="GT201" s="275"/>
      <c r="GU201" s="275"/>
      <c r="GV201" s="275"/>
      <c r="GW201" s="275"/>
      <c r="GX201" s="275"/>
      <c r="GY201" s="275"/>
      <c r="GZ201" s="275"/>
      <c r="HA201" s="275"/>
      <c r="HB201" s="275"/>
      <c r="HC201" s="275"/>
      <c r="HD201" s="275"/>
      <c r="HE201" s="275"/>
      <c r="HF201" s="275"/>
      <c r="HG201" s="275"/>
      <c r="HH201" s="275"/>
      <c r="HI201" s="275"/>
      <c r="HJ201" s="275"/>
      <c r="HK201" s="275"/>
      <c r="HL201" s="275"/>
      <c r="HM201" s="275"/>
      <c r="HN201" s="275"/>
      <c r="HO201" s="275"/>
      <c r="HP201" s="275"/>
      <c r="HQ201" s="275"/>
      <c r="HR201" s="275"/>
    </row>
    <row r="202" spans="1:226" s="297" customFormat="1">
      <c r="A202" s="275"/>
      <c r="B202" s="21"/>
      <c r="C202" s="21"/>
      <c r="D202" s="21"/>
      <c r="E202" s="21"/>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c r="AH202" s="275"/>
      <c r="AJ202" s="275"/>
      <c r="AK202" s="275"/>
      <c r="AL202" s="275"/>
      <c r="AM202" s="275"/>
      <c r="AN202" s="275"/>
      <c r="AO202" s="275"/>
      <c r="AQ202" s="275"/>
      <c r="AR202" s="275"/>
      <c r="AS202" s="275"/>
      <c r="AT202" s="275"/>
      <c r="AU202" s="275"/>
      <c r="AV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D202" s="275"/>
      <c r="EE202" s="275"/>
      <c r="EF202" s="275"/>
      <c r="EG202" s="275"/>
      <c r="EH202" s="275"/>
      <c r="EI202" s="275"/>
      <c r="EJ202" s="275"/>
      <c r="EK202" s="275"/>
      <c r="EL202" s="275"/>
      <c r="EM202" s="275"/>
      <c r="EN202" s="275"/>
      <c r="EO202" s="275"/>
      <c r="EP202" s="275"/>
      <c r="EQ202" s="275"/>
      <c r="ER202" s="275"/>
      <c r="ES202" s="275"/>
      <c r="ET202" s="275"/>
      <c r="EU202"/>
      <c r="EV202"/>
      <c r="EW202" s="275"/>
      <c r="EX202" s="275"/>
      <c r="EY202" s="275"/>
      <c r="EZ202" s="275"/>
      <c r="FA202" s="275"/>
      <c r="FB202" s="275"/>
      <c r="FC202" s="275"/>
      <c r="FD202" s="275"/>
      <c r="FE202" s="275"/>
      <c r="FF202" s="275"/>
      <c r="FG202" s="275"/>
      <c r="FH202" s="275"/>
      <c r="FI202" s="275"/>
      <c r="FJ202" s="275"/>
      <c r="FK202" s="275"/>
      <c r="FL202" s="275"/>
      <c r="FM202" s="275"/>
      <c r="FN202" s="275"/>
      <c r="FO202" s="275"/>
      <c r="FP202" s="275"/>
      <c r="FQ202" s="275"/>
      <c r="FR202" s="275"/>
      <c r="FS202" s="275"/>
      <c r="FT202" s="275"/>
      <c r="FU202" s="275"/>
      <c r="FV202" s="275"/>
      <c r="FW202" s="275"/>
      <c r="FX202" s="275"/>
      <c r="FY202" s="275"/>
      <c r="FZ202" s="275"/>
      <c r="GA202" s="275"/>
      <c r="GB202" s="275"/>
      <c r="GC202" s="275"/>
      <c r="GD202" s="275"/>
      <c r="GE202" s="275"/>
      <c r="GF202" s="275"/>
      <c r="GG202" s="275"/>
      <c r="GH202" s="275"/>
      <c r="GI202" s="275"/>
      <c r="GJ202" s="275"/>
      <c r="GK202" s="275"/>
      <c r="GL202" s="275"/>
      <c r="GM202" s="275"/>
      <c r="GN202" s="275"/>
      <c r="GO202" s="275"/>
      <c r="GP202" s="275"/>
      <c r="GQ202" s="275"/>
      <c r="GR202" s="275"/>
      <c r="GS202" s="275"/>
      <c r="GT202" s="275"/>
      <c r="GU202" s="275"/>
      <c r="GV202" s="275"/>
      <c r="GW202" s="275"/>
      <c r="GX202" s="275"/>
      <c r="GY202" s="275"/>
      <c r="GZ202" s="275"/>
      <c r="HA202" s="275"/>
      <c r="HB202" s="275"/>
      <c r="HC202" s="275"/>
      <c r="HD202" s="275"/>
      <c r="HE202" s="275"/>
      <c r="HF202" s="275"/>
      <c r="HG202" s="275"/>
      <c r="HH202" s="275"/>
      <c r="HI202" s="275"/>
      <c r="HJ202" s="275"/>
      <c r="HK202" s="275"/>
      <c r="HL202" s="275"/>
      <c r="HM202" s="275"/>
      <c r="HN202" s="275"/>
      <c r="HO202" s="275"/>
      <c r="HP202" s="275"/>
      <c r="HQ202" s="275"/>
      <c r="HR202" s="275"/>
    </row>
    <row r="203" spans="1:226" s="297" customFormat="1">
      <c r="A203" s="275"/>
      <c r="B203" s="21"/>
      <c r="C203" s="21"/>
      <c r="D203" s="21"/>
      <c r="E203" s="21"/>
      <c r="F203" s="275"/>
      <c r="G203" s="275"/>
      <c r="H203" s="275"/>
      <c r="I203" s="275"/>
      <c r="J203" s="275"/>
      <c r="K203" s="275"/>
      <c r="L203" s="275"/>
      <c r="M203" s="275"/>
      <c r="N203" s="275"/>
      <c r="O203" s="275"/>
      <c r="P203" s="275"/>
      <c r="Q203" s="275"/>
      <c r="R203" s="275"/>
      <c r="S203" s="275"/>
      <c r="T203" s="275"/>
      <c r="U203" s="275"/>
      <c r="V203" s="275"/>
      <c r="W203" s="275"/>
      <c r="X203" s="275"/>
      <c r="Y203" s="275"/>
      <c r="Z203" s="275"/>
      <c r="AA203" s="275"/>
      <c r="AB203" s="275"/>
      <c r="AC203" s="275"/>
      <c r="AD203" s="275"/>
      <c r="AE203" s="275"/>
      <c r="AF203" s="275"/>
      <c r="AG203" s="275"/>
      <c r="AH203" s="275"/>
      <c r="AJ203" s="275"/>
      <c r="AK203" s="275"/>
      <c r="AL203" s="275"/>
      <c r="AM203" s="275"/>
      <c r="AN203" s="275"/>
      <c r="AO203" s="275"/>
      <c r="AQ203" s="275"/>
      <c r="AR203" s="275"/>
      <c r="AS203" s="275"/>
      <c r="AT203" s="275"/>
      <c r="AU203" s="275"/>
      <c r="AV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D203" s="275"/>
      <c r="EE203" s="275"/>
      <c r="EF203" s="275"/>
      <c r="EG203" s="275"/>
      <c r="EH203" s="275"/>
      <c r="EI203" s="275"/>
      <c r="EJ203" s="275"/>
      <c r="EK203" s="275"/>
      <c r="EL203" s="275"/>
      <c r="EM203" s="275"/>
      <c r="EN203" s="275"/>
      <c r="EO203" s="275"/>
      <c r="EP203" s="275"/>
      <c r="EQ203" s="275"/>
      <c r="ER203" s="275"/>
      <c r="ES203" s="275"/>
      <c r="ET203" s="275"/>
      <c r="EU203"/>
      <c r="EV203"/>
      <c r="EW203" s="275"/>
      <c r="EX203" s="275"/>
      <c r="EY203" s="275"/>
      <c r="EZ203" s="275"/>
      <c r="FA203" s="275"/>
      <c r="FB203" s="275"/>
      <c r="FC203" s="275"/>
      <c r="FD203" s="275"/>
      <c r="FE203" s="275"/>
      <c r="FF203" s="275"/>
      <c r="FG203" s="275"/>
      <c r="FH203" s="275"/>
      <c r="FI203" s="275"/>
      <c r="FJ203" s="275"/>
      <c r="FK203" s="275"/>
      <c r="FL203" s="275"/>
      <c r="FM203" s="275"/>
      <c r="FN203" s="275"/>
      <c r="FO203" s="275"/>
      <c r="FP203" s="275"/>
      <c r="FQ203" s="275"/>
      <c r="FR203" s="275"/>
      <c r="FS203" s="275"/>
      <c r="FT203" s="275"/>
      <c r="FU203" s="275"/>
      <c r="FV203" s="275"/>
      <c r="FW203" s="275"/>
      <c r="FX203" s="275"/>
      <c r="FY203" s="275"/>
      <c r="FZ203" s="275"/>
      <c r="GA203" s="275"/>
      <c r="GB203" s="275"/>
      <c r="GC203" s="275"/>
      <c r="GD203" s="275"/>
      <c r="GE203" s="275"/>
      <c r="GF203" s="275"/>
      <c r="GG203" s="275"/>
      <c r="GH203" s="275"/>
      <c r="GI203" s="275"/>
      <c r="GJ203" s="275"/>
      <c r="GK203" s="275"/>
      <c r="GL203" s="275"/>
      <c r="GM203" s="275"/>
      <c r="GN203" s="275"/>
      <c r="GO203" s="275"/>
      <c r="GP203" s="275"/>
      <c r="GQ203" s="275"/>
      <c r="GR203" s="275"/>
      <c r="GS203" s="275"/>
      <c r="GT203" s="275"/>
      <c r="GU203" s="275"/>
      <c r="GV203" s="275"/>
      <c r="GW203" s="275"/>
      <c r="GX203" s="275"/>
      <c r="GY203" s="275"/>
      <c r="GZ203" s="275"/>
      <c r="HA203" s="275"/>
      <c r="HB203" s="275"/>
      <c r="HC203" s="275"/>
      <c r="HD203" s="275"/>
      <c r="HE203" s="275"/>
      <c r="HF203" s="275"/>
      <c r="HG203" s="275"/>
      <c r="HH203" s="275"/>
      <c r="HI203" s="275"/>
      <c r="HJ203" s="275"/>
      <c r="HK203" s="275"/>
      <c r="HL203" s="275"/>
      <c r="HM203" s="275"/>
      <c r="HN203" s="275"/>
      <c r="HO203" s="275"/>
      <c r="HP203" s="275"/>
      <c r="HQ203" s="275"/>
      <c r="HR203" s="275"/>
    </row>
    <row r="204" spans="1:226" s="297" customFormat="1">
      <c r="A204" s="275"/>
      <c r="B204" s="21"/>
      <c r="C204" s="21"/>
      <c r="D204" s="21"/>
      <c r="E204" s="21"/>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c r="AH204" s="275"/>
      <c r="AJ204" s="275"/>
      <c r="AK204" s="275"/>
      <c r="AL204" s="275"/>
      <c r="AM204" s="275"/>
      <c r="AN204" s="275"/>
      <c r="AO204" s="275"/>
      <c r="AQ204" s="275"/>
      <c r="AR204" s="275"/>
      <c r="AS204" s="275"/>
      <c r="AT204" s="275"/>
      <c r="AU204" s="275"/>
      <c r="AV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D204" s="275"/>
      <c r="EE204" s="275"/>
      <c r="EF204" s="275"/>
      <c r="EG204" s="275"/>
      <c r="EH204" s="275"/>
      <c r="EI204" s="275"/>
      <c r="EJ204" s="275"/>
      <c r="EK204" s="275"/>
      <c r="EL204" s="275"/>
      <c r="EM204" s="275"/>
      <c r="EN204" s="275"/>
      <c r="EO204" s="275"/>
      <c r="EP204" s="275"/>
      <c r="EQ204" s="275"/>
      <c r="ER204" s="275"/>
      <c r="ES204" s="275"/>
      <c r="ET204" s="275"/>
      <c r="EU204"/>
      <c r="EV204"/>
      <c r="EW204" s="275"/>
      <c r="EX204" s="275"/>
      <c r="EY204" s="275"/>
      <c r="EZ204" s="275"/>
      <c r="FA204" s="275"/>
      <c r="FB204" s="275"/>
      <c r="FC204" s="275"/>
      <c r="FD204" s="275"/>
      <c r="FE204" s="275"/>
      <c r="FF204" s="275"/>
      <c r="FG204" s="275"/>
      <c r="FH204" s="275"/>
      <c r="FI204" s="275"/>
      <c r="FJ204" s="275"/>
      <c r="FK204" s="275"/>
      <c r="FL204" s="275"/>
      <c r="FM204" s="275"/>
      <c r="FN204" s="275"/>
      <c r="FO204" s="275"/>
      <c r="FP204" s="275"/>
      <c r="FQ204" s="275"/>
      <c r="FR204" s="275"/>
      <c r="FS204" s="275"/>
      <c r="FT204" s="275"/>
      <c r="FU204" s="275"/>
      <c r="FV204" s="275"/>
      <c r="FW204" s="275"/>
      <c r="FX204" s="275"/>
      <c r="FY204" s="275"/>
      <c r="FZ204" s="275"/>
      <c r="GA204" s="275"/>
      <c r="GB204" s="275"/>
      <c r="GC204" s="275"/>
      <c r="GD204" s="275"/>
      <c r="GE204" s="275"/>
      <c r="GF204" s="275"/>
      <c r="GG204" s="275"/>
      <c r="GH204" s="275"/>
      <c r="GI204" s="275"/>
      <c r="GJ204" s="275"/>
      <c r="GK204" s="275"/>
      <c r="GL204" s="275"/>
      <c r="GM204" s="275"/>
      <c r="GN204" s="275"/>
      <c r="GO204" s="275"/>
      <c r="GP204" s="275"/>
      <c r="GQ204" s="275"/>
      <c r="GR204" s="275"/>
      <c r="GS204" s="275"/>
      <c r="GT204" s="275"/>
      <c r="GU204" s="275"/>
      <c r="GV204" s="275"/>
      <c r="GW204" s="275"/>
      <c r="GX204" s="275"/>
      <c r="GY204" s="275"/>
      <c r="GZ204" s="275"/>
      <c r="HA204" s="275"/>
      <c r="HB204" s="275"/>
      <c r="HC204" s="275"/>
      <c r="HD204" s="275"/>
      <c r="HE204" s="275"/>
      <c r="HF204" s="275"/>
      <c r="HG204" s="275"/>
      <c r="HH204" s="275"/>
      <c r="HI204" s="275"/>
      <c r="HJ204" s="275"/>
      <c r="HK204" s="275"/>
      <c r="HL204" s="275"/>
      <c r="HM204" s="275"/>
      <c r="HN204" s="275"/>
      <c r="HO204" s="275"/>
      <c r="HP204" s="275"/>
      <c r="HQ204" s="275"/>
      <c r="HR204" s="275"/>
    </row>
    <row r="205" spans="1:226" s="297" customFormat="1">
      <c r="A205" s="275"/>
      <c r="B205" s="21"/>
      <c r="C205" s="21"/>
      <c r="D205" s="21"/>
      <c r="E205" s="21"/>
      <c r="F205" s="275"/>
      <c r="G205" s="275"/>
      <c r="H205" s="275"/>
      <c r="I205" s="275"/>
      <c r="J205" s="275"/>
      <c r="K205" s="275"/>
      <c r="L205" s="275"/>
      <c r="M205" s="275"/>
      <c r="N205" s="275"/>
      <c r="O205" s="275"/>
      <c r="P205" s="275"/>
      <c r="Q205" s="275"/>
      <c r="R205" s="275"/>
      <c r="S205" s="275"/>
      <c r="T205" s="275"/>
      <c r="U205" s="275"/>
      <c r="V205" s="275"/>
      <c r="W205" s="275"/>
      <c r="X205" s="275"/>
      <c r="Y205" s="275"/>
      <c r="Z205" s="275"/>
      <c r="AA205" s="275"/>
      <c r="AB205" s="275"/>
      <c r="AC205" s="275"/>
      <c r="AD205" s="275"/>
      <c r="AE205" s="275"/>
      <c r="AF205" s="275"/>
      <c r="AG205" s="275"/>
      <c r="AH205" s="275"/>
      <c r="AJ205" s="275"/>
      <c r="AK205" s="275"/>
      <c r="AL205" s="275"/>
      <c r="AM205" s="275"/>
      <c r="AN205" s="275"/>
      <c r="AO205" s="275"/>
      <c r="AQ205" s="275"/>
      <c r="AR205" s="275"/>
      <c r="AS205" s="275"/>
      <c r="AT205" s="275"/>
      <c r="AU205" s="275"/>
      <c r="AV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D205" s="275"/>
      <c r="EE205" s="275"/>
      <c r="EF205" s="275"/>
      <c r="EG205" s="275"/>
      <c r="EH205" s="275"/>
      <c r="EI205" s="275"/>
      <c r="EJ205" s="275"/>
      <c r="EK205" s="275"/>
      <c r="EL205" s="275"/>
      <c r="EM205" s="275"/>
      <c r="EN205" s="275"/>
      <c r="EO205" s="275"/>
      <c r="EP205" s="275"/>
      <c r="EQ205" s="275"/>
      <c r="ER205" s="275"/>
      <c r="ES205" s="275"/>
      <c r="ET205" s="275"/>
      <c r="EU205"/>
      <c r="EV205"/>
      <c r="EW205" s="275"/>
      <c r="EX205" s="275"/>
      <c r="EY205" s="275"/>
      <c r="EZ205" s="275"/>
      <c r="FA205" s="275"/>
      <c r="FB205" s="275"/>
      <c r="FC205" s="275"/>
      <c r="FD205" s="275"/>
      <c r="FE205" s="275"/>
      <c r="FF205" s="275"/>
      <c r="FG205" s="275"/>
      <c r="FH205" s="275"/>
      <c r="FI205" s="275"/>
      <c r="FJ205" s="275"/>
      <c r="FK205" s="275"/>
      <c r="FL205" s="275"/>
      <c r="FM205" s="275"/>
      <c r="FN205" s="275"/>
      <c r="FO205" s="275"/>
      <c r="FP205" s="275"/>
      <c r="FQ205" s="275"/>
      <c r="FR205" s="275"/>
      <c r="FS205" s="275"/>
      <c r="FT205" s="275"/>
      <c r="FU205" s="275"/>
      <c r="FV205" s="275"/>
      <c r="FW205" s="275"/>
      <c r="FX205" s="275"/>
      <c r="FY205" s="275"/>
      <c r="FZ205" s="275"/>
      <c r="GA205" s="275"/>
      <c r="GB205" s="275"/>
      <c r="GC205" s="275"/>
      <c r="GD205" s="275"/>
      <c r="GE205" s="275"/>
      <c r="GF205" s="275"/>
      <c r="GG205" s="275"/>
      <c r="GH205" s="275"/>
      <c r="GI205" s="275"/>
      <c r="GJ205" s="275"/>
      <c r="GK205" s="275"/>
      <c r="GL205" s="275"/>
      <c r="GM205" s="275"/>
      <c r="GN205" s="275"/>
      <c r="GO205" s="275"/>
      <c r="GP205" s="275"/>
      <c r="GQ205" s="275"/>
      <c r="GR205" s="275"/>
      <c r="GS205" s="275"/>
      <c r="GT205" s="275"/>
      <c r="GU205" s="275"/>
      <c r="GV205" s="275"/>
      <c r="GW205" s="275"/>
      <c r="GX205" s="275"/>
      <c r="GY205" s="275"/>
      <c r="GZ205" s="275"/>
      <c r="HA205" s="275"/>
      <c r="HB205" s="275"/>
      <c r="HC205" s="275"/>
      <c r="HD205" s="275"/>
      <c r="HE205" s="275"/>
      <c r="HF205" s="275"/>
      <c r="HG205" s="275"/>
      <c r="HH205" s="275"/>
      <c r="HI205" s="275"/>
      <c r="HJ205" s="275"/>
      <c r="HK205" s="275"/>
      <c r="HL205" s="275"/>
      <c r="HM205" s="275"/>
      <c r="HN205" s="275"/>
      <c r="HO205" s="275"/>
      <c r="HP205" s="275"/>
      <c r="HQ205" s="275"/>
      <c r="HR205" s="275"/>
    </row>
    <row r="206" spans="1:226" s="297" customFormat="1">
      <c r="A206" s="275"/>
      <c r="B206" s="21"/>
      <c r="C206" s="21"/>
      <c r="D206" s="21"/>
      <c r="E206" s="21"/>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c r="AH206" s="275"/>
      <c r="AJ206" s="275"/>
      <c r="AK206" s="275"/>
      <c r="AL206" s="275"/>
      <c r="AM206" s="275"/>
      <c r="AN206" s="275"/>
      <c r="AO206" s="275"/>
      <c r="AQ206" s="275"/>
      <c r="AR206" s="275"/>
      <c r="AS206" s="275"/>
      <c r="AT206" s="275"/>
      <c r="AU206" s="275"/>
      <c r="AV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D206" s="275"/>
      <c r="EE206" s="275"/>
      <c r="EF206" s="275"/>
      <c r="EG206" s="275"/>
      <c r="EH206" s="275"/>
      <c r="EI206" s="275"/>
      <c r="EJ206" s="275"/>
      <c r="EK206" s="275"/>
      <c r="EL206" s="275"/>
      <c r="EM206" s="275"/>
      <c r="EN206" s="275"/>
      <c r="EO206" s="275"/>
      <c r="EP206" s="275"/>
      <c r="EQ206" s="275"/>
      <c r="ER206" s="275"/>
      <c r="ES206" s="275"/>
      <c r="ET206" s="275"/>
      <c r="EU206"/>
      <c r="EV206"/>
      <c r="EW206" s="275"/>
      <c r="EX206" s="275"/>
      <c r="EY206" s="275"/>
      <c r="EZ206" s="275"/>
      <c r="FA206" s="275"/>
      <c r="FB206" s="275"/>
      <c r="FC206" s="275"/>
      <c r="FD206" s="275"/>
      <c r="FE206" s="275"/>
      <c r="FF206" s="275"/>
      <c r="FG206" s="275"/>
      <c r="FH206" s="275"/>
      <c r="FI206" s="275"/>
      <c r="FJ206" s="275"/>
      <c r="FK206" s="275"/>
      <c r="FL206" s="275"/>
      <c r="FM206" s="275"/>
      <c r="FN206" s="275"/>
      <c r="FO206" s="275"/>
      <c r="FP206" s="275"/>
      <c r="FQ206" s="275"/>
      <c r="FR206" s="275"/>
      <c r="FS206" s="275"/>
      <c r="FT206" s="275"/>
      <c r="FU206" s="275"/>
      <c r="FV206" s="275"/>
      <c r="FW206" s="275"/>
      <c r="FX206" s="275"/>
      <c r="FY206" s="275"/>
      <c r="FZ206" s="275"/>
      <c r="GA206" s="275"/>
      <c r="GB206" s="275"/>
      <c r="GC206" s="275"/>
      <c r="GD206" s="275"/>
      <c r="GE206" s="275"/>
      <c r="GF206" s="275"/>
      <c r="GG206" s="275"/>
      <c r="GH206" s="275"/>
      <c r="GI206" s="275"/>
      <c r="GJ206" s="275"/>
      <c r="GK206" s="275"/>
      <c r="GL206" s="275"/>
      <c r="GM206" s="275"/>
      <c r="GN206" s="275"/>
      <c r="GO206" s="275"/>
      <c r="GP206" s="275"/>
      <c r="GQ206" s="275"/>
      <c r="GR206" s="275"/>
      <c r="GS206" s="275"/>
      <c r="GT206" s="275"/>
      <c r="GU206" s="275"/>
      <c r="GV206" s="275"/>
      <c r="GW206" s="275"/>
      <c r="GX206" s="275"/>
      <c r="GY206" s="275"/>
      <c r="GZ206" s="275"/>
      <c r="HA206" s="275"/>
      <c r="HB206" s="275"/>
      <c r="HC206" s="275"/>
      <c r="HD206" s="275"/>
      <c r="HE206" s="275"/>
      <c r="HF206" s="275"/>
      <c r="HG206" s="275"/>
      <c r="HH206" s="275"/>
      <c r="HI206" s="275"/>
      <c r="HJ206" s="275"/>
      <c r="HK206" s="275"/>
      <c r="HL206" s="275"/>
      <c r="HM206" s="275"/>
      <c r="HN206" s="275"/>
      <c r="HO206" s="275"/>
      <c r="HP206" s="275"/>
      <c r="HQ206" s="275"/>
      <c r="HR206" s="275"/>
    </row>
    <row r="207" spans="1:226" s="297" customFormat="1">
      <c r="A207" s="275"/>
      <c r="B207" s="21"/>
      <c r="C207" s="21"/>
      <c r="D207" s="21"/>
      <c r="E207" s="21"/>
      <c r="F207" s="275"/>
      <c r="G207" s="275"/>
      <c r="H207" s="275"/>
      <c r="I207" s="275"/>
      <c r="J207" s="275"/>
      <c r="K207" s="275"/>
      <c r="L207" s="275"/>
      <c r="M207" s="275"/>
      <c r="N207" s="275"/>
      <c r="O207" s="275"/>
      <c r="P207" s="275"/>
      <c r="Q207" s="275"/>
      <c r="R207" s="275"/>
      <c r="S207" s="275"/>
      <c r="T207" s="275"/>
      <c r="U207" s="275"/>
      <c r="V207" s="275"/>
      <c r="W207" s="275"/>
      <c r="X207" s="275"/>
      <c r="Y207" s="275"/>
      <c r="Z207" s="275"/>
      <c r="AA207" s="275"/>
      <c r="AB207" s="275"/>
      <c r="AC207" s="275"/>
      <c r="AD207" s="275"/>
      <c r="AE207" s="275"/>
      <c r="AF207" s="275"/>
      <c r="AG207" s="275"/>
      <c r="AH207" s="275"/>
      <c r="AJ207" s="275"/>
      <c r="AK207" s="275"/>
      <c r="AL207" s="275"/>
      <c r="AM207" s="275"/>
      <c r="AN207" s="275"/>
      <c r="AO207" s="275"/>
      <c r="AQ207" s="275"/>
      <c r="AR207" s="275"/>
      <c r="AS207" s="275"/>
      <c r="AT207" s="275"/>
      <c r="AU207" s="275"/>
      <c r="AV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D207" s="275"/>
      <c r="EE207" s="275"/>
      <c r="EF207" s="275"/>
      <c r="EG207" s="275"/>
      <c r="EH207" s="275"/>
      <c r="EI207" s="275"/>
      <c r="EJ207" s="275"/>
      <c r="EK207" s="275"/>
      <c r="EL207" s="275"/>
      <c r="EM207" s="275"/>
      <c r="EN207" s="275"/>
      <c r="EO207" s="275"/>
      <c r="EP207" s="275"/>
      <c r="EQ207" s="275"/>
      <c r="ER207" s="275"/>
      <c r="ES207" s="275"/>
      <c r="ET207" s="275"/>
      <c r="EU207"/>
      <c r="EV207"/>
      <c r="EW207" s="275"/>
      <c r="EX207" s="275"/>
      <c r="EY207" s="275"/>
      <c r="EZ207" s="275"/>
      <c r="FA207" s="275"/>
      <c r="FB207" s="275"/>
      <c r="FC207" s="275"/>
      <c r="FD207" s="275"/>
      <c r="FE207" s="275"/>
      <c r="FF207" s="275"/>
      <c r="FG207" s="275"/>
      <c r="FH207" s="275"/>
      <c r="FI207" s="275"/>
      <c r="FJ207" s="275"/>
      <c r="FK207" s="275"/>
      <c r="FL207" s="275"/>
      <c r="FM207" s="275"/>
      <c r="FN207" s="275"/>
      <c r="FO207" s="275"/>
      <c r="FP207" s="275"/>
      <c r="FQ207" s="275"/>
      <c r="FR207" s="275"/>
      <c r="FS207" s="275"/>
      <c r="FT207" s="275"/>
      <c r="FU207" s="275"/>
      <c r="FV207" s="275"/>
      <c r="FW207" s="275"/>
      <c r="FX207" s="275"/>
      <c r="FY207" s="275"/>
      <c r="FZ207" s="275"/>
      <c r="GA207" s="275"/>
      <c r="GB207" s="275"/>
      <c r="GC207" s="275"/>
      <c r="GD207" s="275"/>
      <c r="GE207" s="275"/>
      <c r="GF207" s="275"/>
      <c r="GG207" s="275"/>
      <c r="GH207" s="275"/>
      <c r="GI207" s="275"/>
      <c r="GJ207" s="275"/>
      <c r="GK207" s="275"/>
      <c r="GL207" s="275"/>
      <c r="GM207" s="275"/>
      <c r="GN207" s="275"/>
      <c r="GO207" s="275"/>
      <c r="GP207" s="275"/>
      <c r="GQ207" s="275"/>
      <c r="GR207" s="275"/>
      <c r="GS207" s="275"/>
      <c r="GT207" s="275"/>
      <c r="GU207" s="275"/>
      <c r="GV207" s="275"/>
      <c r="GW207" s="275"/>
      <c r="GX207" s="275"/>
      <c r="GY207" s="275"/>
      <c r="GZ207" s="275"/>
      <c r="HA207" s="275"/>
      <c r="HB207" s="275"/>
      <c r="HC207" s="275"/>
      <c r="HD207" s="275"/>
      <c r="HE207" s="275"/>
      <c r="HF207" s="275"/>
      <c r="HG207" s="275"/>
      <c r="HH207" s="275"/>
      <c r="HI207" s="275"/>
      <c r="HJ207" s="275"/>
      <c r="HK207" s="275"/>
      <c r="HL207" s="275"/>
      <c r="HM207" s="275"/>
      <c r="HN207" s="275"/>
      <c r="HO207" s="275"/>
      <c r="HP207" s="275"/>
      <c r="HQ207" s="275"/>
      <c r="HR207" s="275"/>
    </row>
    <row r="208" spans="1:226" s="297" customFormat="1">
      <c r="A208" s="275"/>
      <c r="B208" s="21"/>
      <c r="C208" s="21"/>
      <c r="D208" s="21"/>
      <c r="E208" s="21"/>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c r="AH208" s="275"/>
      <c r="AJ208" s="275"/>
      <c r="AK208" s="275"/>
      <c r="AL208" s="275"/>
      <c r="AM208" s="275"/>
      <c r="AN208" s="275"/>
      <c r="AO208" s="275"/>
      <c r="AQ208" s="275"/>
      <c r="AR208" s="275"/>
      <c r="AS208" s="275"/>
      <c r="AT208" s="275"/>
      <c r="AU208" s="275"/>
      <c r="AV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D208" s="275"/>
      <c r="EE208" s="275"/>
      <c r="EF208" s="275"/>
      <c r="EG208" s="275"/>
      <c r="EH208" s="275"/>
      <c r="EI208" s="275"/>
      <c r="EJ208" s="275"/>
      <c r="EK208" s="275"/>
      <c r="EL208" s="275"/>
      <c r="EM208" s="275"/>
      <c r="EN208" s="275"/>
      <c r="EO208" s="275"/>
      <c r="EP208" s="275"/>
      <c r="EQ208" s="275"/>
      <c r="ER208" s="275"/>
      <c r="ES208" s="275"/>
      <c r="ET208" s="275"/>
      <c r="EU208"/>
      <c r="EV208"/>
      <c r="EW208" s="275"/>
      <c r="EX208" s="275"/>
      <c r="EY208" s="275"/>
      <c r="EZ208" s="275"/>
      <c r="FA208" s="275"/>
      <c r="FB208" s="275"/>
      <c r="FC208" s="275"/>
      <c r="FD208" s="275"/>
      <c r="FE208" s="275"/>
      <c r="FF208" s="275"/>
      <c r="FG208" s="275"/>
      <c r="FH208" s="275"/>
      <c r="FI208" s="275"/>
      <c r="FJ208" s="275"/>
      <c r="FK208" s="275"/>
      <c r="FL208" s="275"/>
      <c r="FM208" s="275"/>
      <c r="FN208" s="275"/>
      <c r="FO208" s="275"/>
      <c r="FP208" s="275"/>
      <c r="FQ208" s="275"/>
      <c r="FR208" s="275"/>
      <c r="FS208" s="275"/>
      <c r="FT208" s="275"/>
      <c r="FU208" s="275"/>
      <c r="FV208" s="275"/>
      <c r="FW208" s="275"/>
      <c r="FX208" s="275"/>
      <c r="FY208" s="275"/>
      <c r="FZ208" s="275"/>
      <c r="GA208" s="275"/>
      <c r="GB208" s="275"/>
      <c r="GC208" s="275"/>
      <c r="GD208" s="275"/>
      <c r="GE208" s="275"/>
      <c r="GF208" s="275"/>
      <c r="GG208" s="275"/>
      <c r="GH208" s="275"/>
      <c r="GI208" s="275"/>
      <c r="GJ208" s="275"/>
      <c r="GK208" s="275"/>
      <c r="GL208" s="275"/>
      <c r="GM208" s="275"/>
      <c r="GN208" s="275"/>
      <c r="GO208" s="275"/>
      <c r="GP208" s="275"/>
      <c r="GQ208" s="275"/>
      <c r="GR208" s="275"/>
      <c r="GS208" s="275"/>
      <c r="GT208" s="275"/>
      <c r="GU208" s="275"/>
      <c r="GV208" s="275"/>
      <c r="GW208" s="275"/>
      <c r="GX208" s="275"/>
      <c r="GY208" s="275"/>
      <c r="GZ208" s="275"/>
      <c r="HA208" s="275"/>
      <c r="HB208" s="275"/>
      <c r="HC208" s="275"/>
      <c r="HD208" s="275"/>
      <c r="HE208" s="275"/>
      <c r="HF208" s="275"/>
      <c r="HG208" s="275"/>
      <c r="HH208" s="275"/>
      <c r="HI208" s="275"/>
      <c r="HJ208" s="275"/>
      <c r="HK208" s="275"/>
      <c r="HL208" s="275"/>
      <c r="HM208" s="275"/>
      <c r="HN208" s="275"/>
      <c r="HO208" s="275"/>
      <c r="HP208" s="275"/>
      <c r="HQ208" s="275"/>
      <c r="HR208" s="275"/>
    </row>
    <row r="209" spans="1:226" s="297" customFormat="1">
      <c r="A209" s="275"/>
      <c r="B209" s="21"/>
      <c r="C209" s="21"/>
      <c r="D209" s="21"/>
      <c r="E209" s="21"/>
      <c r="F209" s="275"/>
      <c r="G209" s="275"/>
      <c r="H209" s="275"/>
      <c r="I209" s="275"/>
      <c r="J209" s="275"/>
      <c r="K209" s="275"/>
      <c r="L209" s="275"/>
      <c r="M209" s="275"/>
      <c r="N209" s="275"/>
      <c r="O209" s="275"/>
      <c r="P209" s="275"/>
      <c r="Q209" s="275"/>
      <c r="R209" s="275"/>
      <c r="S209" s="275"/>
      <c r="T209" s="275"/>
      <c r="U209" s="275"/>
      <c r="V209" s="275"/>
      <c r="W209" s="275"/>
      <c r="X209" s="275"/>
      <c r="Y209" s="275"/>
      <c r="Z209" s="275"/>
      <c r="AA209" s="275"/>
      <c r="AB209" s="275"/>
      <c r="AC209" s="275"/>
      <c r="AD209" s="275"/>
      <c r="AE209" s="275"/>
      <c r="AF209" s="275"/>
      <c r="AG209" s="275"/>
      <c r="AH209" s="275"/>
      <c r="AJ209" s="275"/>
      <c r="AK209" s="275"/>
      <c r="AL209" s="275"/>
      <c r="AM209" s="275"/>
      <c r="AN209" s="275"/>
      <c r="AO209" s="275"/>
      <c r="AQ209" s="275"/>
      <c r="AR209" s="275"/>
      <c r="AS209" s="275"/>
      <c r="AT209" s="275"/>
      <c r="AU209" s="275"/>
      <c r="AV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D209" s="275"/>
      <c r="EE209" s="275"/>
      <c r="EF209" s="275"/>
      <c r="EG209" s="275"/>
      <c r="EH209" s="275"/>
      <c r="EI209" s="275"/>
      <c r="EJ209" s="275"/>
      <c r="EK209" s="275"/>
      <c r="EL209" s="275"/>
      <c r="EM209" s="275"/>
      <c r="EN209" s="275"/>
      <c r="EO209" s="275"/>
      <c r="EP209" s="275"/>
      <c r="EQ209" s="275"/>
      <c r="ER209" s="275"/>
      <c r="ES209" s="275"/>
      <c r="ET209" s="275"/>
      <c r="EU209"/>
      <c r="EV209"/>
      <c r="EW209" s="275"/>
      <c r="EX209" s="275"/>
      <c r="EY209" s="275"/>
      <c r="EZ209" s="275"/>
      <c r="FA209" s="275"/>
      <c r="FB209" s="275"/>
      <c r="FC209" s="275"/>
      <c r="FD209" s="275"/>
      <c r="FE209" s="275"/>
      <c r="FF209" s="275"/>
      <c r="FG209" s="275"/>
      <c r="FH209" s="275"/>
      <c r="FI209" s="275"/>
      <c r="FJ209" s="275"/>
      <c r="FK209" s="275"/>
      <c r="FL209" s="275"/>
      <c r="FM209" s="275"/>
      <c r="FN209" s="275"/>
      <c r="FO209" s="275"/>
      <c r="FP209" s="275"/>
      <c r="FQ209" s="275"/>
      <c r="FR209" s="275"/>
      <c r="FS209" s="275"/>
      <c r="FT209" s="275"/>
      <c r="FU209" s="275"/>
      <c r="FV209" s="275"/>
      <c r="FW209" s="275"/>
      <c r="FX209" s="275"/>
      <c r="FY209" s="275"/>
      <c r="FZ209" s="275"/>
      <c r="GA209" s="275"/>
      <c r="GB209" s="275"/>
      <c r="GC209" s="275"/>
      <c r="GD209" s="275"/>
      <c r="GE209" s="275"/>
      <c r="GF209" s="275"/>
      <c r="GG209" s="275"/>
      <c r="GH209" s="275"/>
      <c r="GI209" s="275"/>
      <c r="GJ209" s="275"/>
      <c r="GK209" s="275"/>
      <c r="GL209" s="275"/>
      <c r="GM209" s="275"/>
      <c r="GN209" s="275"/>
      <c r="GO209" s="275"/>
      <c r="GP209" s="275"/>
      <c r="GQ209" s="275"/>
      <c r="GR209" s="275"/>
      <c r="GS209" s="275"/>
      <c r="GT209" s="275"/>
      <c r="GU209" s="275"/>
      <c r="GV209" s="275"/>
      <c r="GW209" s="275"/>
      <c r="GX209" s="275"/>
      <c r="GY209" s="275"/>
      <c r="GZ209" s="275"/>
      <c r="HA209" s="275"/>
      <c r="HB209" s="275"/>
      <c r="HC209" s="275"/>
      <c r="HD209" s="275"/>
      <c r="HE209" s="275"/>
      <c r="HF209" s="275"/>
      <c r="HG209" s="275"/>
      <c r="HH209" s="275"/>
      <c r="HI209" s="275"/>
      <c r="HJ209" s="275"/>
      <c r="HK209" s="275"/>
      <c r="HL209" s="275"/>
      <c r="HM209" s="275"/>
      <c r="HN209" s="275"/>
      <c r="HO209" s="275"/>
      <c r="HP209" s="275"/>
      <c r="HQ209" s="275"/>
      <c r="HR209" s="275"/>
    </row>
    <row r="210" spans="1:226" s="297" customFormat="1">
      <c r="A210" s="275"/>
      <c r="B210" s="21"/>
      <c r="C210" s="21"/>
      <c r="D210" s="21"/>
      <c r="E210" s="21"/>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c r="AH210" s="275"/>
      <c r="AJ210" s="275"/>
      <c r="AK210" s="275"/>
      <c r="AL210" s="275"/>
      <c r="AM210" s="275"/>
      <c r="AN210" s="275"/>
      <c r="AO210" s="275"/>
      <c r="AQ210" s="275"/>
      <c r="AR210" s="275"/>
      <c r="AS210" s="275"/>
      <c r="AT210" s="275"/>
      <c r="AU210" s="275"/>
      <c r="AV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D210" s="275"/>
      <c r="EE210" s="275"/>
      <c r="EF210" s="275"/>
      <c r="EG210" s="275"/>
      <c r="EH210" s="275"/>
      <c r="EI210" s="275"/>
      <c r="EJ210" s="275"/>
      <c r="EK210" s="275"/>
      <c r="EL210" s="275"/>
      <c r="EM210" s="275"/>
      <c r="EN210" s="275"/>
      <c r="EO210" s="275"/>
      <c r="EP210" s="275"/>
      <c r="EQ210" s="275"/>
      <c r="ER210" s="275"/>
      <c r="ES210" s="275"/>
      <c r="ET210" s="275"/>
      <c r="EU210"/>
      <c r="EV210"/>
      <c r="EW210" s="275"/>
      <c r="EX210" s="275"/>
      <c r="EY210" s="275"/>
      <c r="EZ210" s="275"/>
      <c r="FA210" s="275"/>
      <c r="FB210" s="275"/>
      <c r="FC210" s="275"/>
      <c r="FD210" s="275"/>
      <c r="FE210" s="275"/>
      <c r="FF210" s="275"/>
      <c r="FG210" s="275"/>
      <c r="FH210" s="275"/>
      <c r="FI210" s="275"/>
      <c r="FJ210" s="275"/>
      <c r="FK210" s="275"/>
      <c r="FL210" s="275"/>
      <c r="FM210" s="275"/>
      <c r="FN210" s="275"/>
      <c r="FO210" s="275"/>
      <c r="FP210" s="275"/>
      <c r="FQ210" s="275"/>
      <c r="FR210" s="275"/>
      <c r="FS210" s="275"/>
      <c r="FT210" s="275"/>
      <c r="FU210" s="275"/>
      <c r="FV210" s="275"/>
      <c r="FW210" s="275"/>
      <c r="FX210" s="275"/>
      <c r="FY210" s="275"/>
      <c r="FZ210" s="275"/>
      <c r="GA210" s="275"/>
      <c r="GB210" s="275"/>
      <c r="GC210" s="275"/>
      <c r="GD210" s="275"/>
      <c r="GE210" s="275"/>
      <c r="GF210" s="275"/>
      <c r="GG210" s="275"/>
      <c r="GH210" s="275"/>
      <c r="GI210" s="275"/>
      <c r="GJ210" s="275"/>
      <c r="GK210" s="275"/>
      <c r="GL210" s="275"/>
      <c r="GM210" s="275"/>
      <c r="GN210" s="275"/>
      <c r="GO210" s="275"/>
      <c r="GP210" s="275"/>
      <c r="GQ210" s="275"/>
      <c r="GR210" s="275"/>
      <c r="GS210" s="275"/>
      <c r="GT210" s="275"/>
      <c r="GU210" s="275"/>
      <c r="GV210" s="275"/>
      <c r="GW210" s="275"/>
      <c r="GX210" s="275"/>
      <c r="GY210" s="275"/>
      <c r="GZ210" s="275"/>
      <c r="HA210" s="275"/>
      <c r="HB210" s="275"/>
      <c r="HC210" s="275"/>
      <c r="HD210" s="275"/>
      <c r="HE210" s="275"/>
      <c r="HF210" s="275"/>
      <c r="HG210" s="275"/>
      <c r="HH210" s="275"/>
      <c r="HI210" s="275"/>
      <c r="HJ210" s="275"/>
      <c r="HK210" s="275"/>
      <c r="HL210" s="275"/>
      <c r="HM210" s="275"/>
      <c r="HN210" s="275"/>
      <c r="HO210" s="275"/>
      <c r="HP210" s="275"/>
      <c r="HQ210" s="275"/>
      <c r="HR210" s="275"/>
    </row>
    <row r="211" spans="1:226" s="297" customFormat="1">
      <c r="A211" s="275"/>
      <c r="B211" s="21"/>
      <c r="C211" s="21"/>
      <c r="D211" s="21"/>
      <c r="E211" s="21"/>
      <c r="F211" s="275"/>
      <c r="G211" s="275"/>
      <c r="H211" s="275"/>
      <c r="I211" s="275"/>
      <c r="J211" s="275"/>
      <c r="K211" s="275"/>
      <c r="L211" s="275"/>
      <c r="M211" s="275"/>
      <c r="N211" s="275"/>
      <c r="O211" s="275"/>
      <c r="P211" s="275"/>
      <c r="Q211" s="275"/>
      <c r="R211" s="275"/>
      <c r="S211" s="275"/>
      <c r="T211" s="275"/>
      <c r="U211" s="275"/>
      <c r="V211" s="275"/>
      <c r="W211" s="275"/>
      <c r="X211" s="275"/>
      <c r="Y211" s="275"/>
      <c r="Z211" s="275"/>
      <c r="AA211" s="275"/>
      <c r="AB211" s="275"/>
      <c r="AC211" s="275"/>
      <c r="AD211" s="275"/>
      <c r="AE211" s="275"/>
      <c r="AF211" s="275"/>
      <c r="AG211" s="275"/>
      <c r="AH211" s="275"/>
      <c r="AJ211" s="275"/>
      <c r="AK211" s="275"/>
      <c r="AL211" s="275"/>
      <c r="AM211" s="275"/>
      <c r="AN211" s="275"/>
      <c r="AO211" s="275"/>
      <c r="AQ211" s="275"/>
      <c r="AR211" s="275"/>
      <c r="AS211" s="275"/>
      <c r="AT211" s="275"/>
      <c r="AU211" s="275"/>
      <c r="AV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D211" s="275"/>
      <c r="EE211" s="275"/>
      <c r="EF211" s="275"/>
      <c r="EG211" s="275"/>
      <c r="EH211" s="275"/>
      <c r="EI211" s="275"/>
      <c r="EJ211" s="275"/>
      <c r="EK211" s="275"/>
      <c r="EL211" s="275"/>
      <c r="EM211" s="275"/>
      <c r="EN211" s="275"/>
      <c r="EO211" s="275"/>
      <c r="EP211" s="275"/>
      <c r="EQ211" s="275"/>
      <c r="ER211" s="275"/>
      <c r="ES211" s="275"/>
      <c r="ET211" s="275"/>
      <c r="EU211"/>
      <c r="EV211"/>
      <c r="EW211" s="275"/>
      <c r="EX211" s="275"/>
      <c r="EY211" s="275"/>
      <c r="EZ211" s="275"/>
      <c r="FA211" s="275"/>
      <c r="FB211" s="275"/>
      <c r="FC211" s="275"/>
      <c r="FD211" s="275"/>
      <c r="FE211" s="275"/>
      <c r="FF211" s="275"/>
      <c r="FG211" s="275"/>
      <c r="FH211" s="275"/>
      <c r="FI211" s="275"/>
      <c r="FJ211" s="275"/>
      <c r="FK211" s="275"/>
      <c r="FL211" s="275"/>
      <c r="FM211" s="275"/>
      <c r="FN211" s="275"/>
      <c r="FO211" s="275"/>
      <c r="FP211" s="275"/>
      <c r="FQ211" s="275"/>
      <c r="FR211" s="275"/>
      <c r="FS211" s="275"/>
      <c r="FT211" s="275"/>
      <c r="FU211" s="275"/>
      <c r="FV211" s="275"/>
      <c r="FW211" s="275"/>
      <c r="FX211" s="275"/>
      <c r="FY211" s="275"/>
      <c r="FZ211" s="275"/>
      <c r="GA211" s="275"/>
      <c r="GB211" s="275"/>
      <c r="GC211" s="275"/>
      <c r="GD211" s="275"/>
      <c r="GE211" s="275"/>
      <c r="GF211" s="275"/>
      <c r="GG211" s="275"/>
      <c r="GH211" s="275"/>
      <c r="GI211" s="275"/>
      <c r="GJ211" s="275"/>
      <c r="GK211" s="275"/>
      <c r="GL211" s="275"/>
      <c r="GM211" s="275"/>
      <c r="GN211" s="275"/>
      <c r="GO211" s="275"/>
      <c r="GP211" s="275"/>
      <c r="GQ211" s="275"/>
      <c r="GR211" s="275"/>
      <c r="GS211" s="275"/>
      <c r="GT211" s="275"/>
      <c r="GU211" s="275"/>
      <c r="GV211" s="275"/>
      <c r="GW211" s="275"/>
      <c r="GX211" s="275"/>
      <c r="GY211" s="275"/>
      <c r="GZ211" s="275"/>
      <c r="HA211" s="275"/>
      <c r="HB211" s="275"/>
      <c r="HC211" s="275"/>
      <c r="HD211" s="275"/>
      <c r="HE211" s="275"/>
      <c r="HF211" s="275"/>
      <c r="HG211" s="275"/>
      <c r="HH211" s="275"/>
      <c r="HI211" s="275"/>
      <c r="HJ211" s="275"/>
      <c r="HK211" s="275"/>
      <c r="HL211" s="275"/>
      <c r="HM211" s="275"/>
      <c r="HN211" s="275"/>
      <c r="HO211" s="275"/>
      <c r="HP211" s="275"/>
      <c r="HQ211" s="275"/>
      <c r="HR211" s="275"/>
    </row>
    <row r="212" spans="1:226" s="297" customFormat="1">
      <c r="A212" s="275"/>
      <c r="B212" s="21"/>
      <c r="C212" s="21"/>
      <c r="D212" s="21"/>
      <c r="E212" s="21"/>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c r="AH212" s="275"/>
      <c r="AJ212" s="275"/>
      <c r="AK212" s="275"/>
      <c r="AL212" s="275"/>
      <c r="AM212" s="275"/>
      <c r="AN212" s="275"/>
      <c r="AO212" s="275"/>
      <c r="AQ212" s="275"/>
      <c r="AR212" s="275"/>
      <c r="AS212" s="275"/>
      <c r="AT212" s="275"/>
      <c r="AU212" s="275"/>
      <c r="AV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D212" s="275"/>
      <c r="EE212" s="275"/>
      <c r="EF212" s="275"/>
      <c r="EG212" s="275"/>
      <c r="EH212" s="275"/>
      <c r="EI212" s="275"/>
      <c r="EJ212" s="275"/>
      <c r="EK212" s="275"/>
      <c r="EL212" s="275"/>
      <c r="EM212" s="275"/>
      <c r="EN212" s="275"/>
      <c r="EO212" s="275"/>
      <c r="EP212" s="275"/>
      <c r="EQ212" s="275"/>
      <c r="ER212" s="275"/>
      <c r="ES212" s="275"/>
      <c r="ET212" s="275"/>
      <c r="EU212"/>
      <c r="EV212"/>
      <c r="EW212" s="275"/>
      <c r="EX212" s="275"/>
      <c r="EY212" s="275"/>
      <c r="EZ212" s="275"/>
      <c r="FA212" s="275"/>
      <c r="FB212" s="275"/>
      <c r="FC212" s="275"/>
      <c r="FD212" s="275"/>
      <c r="FE212" s="275"/>
      <c r="FF212" s="275"/>
      <c r="FG212" s="275"/>
      <c r="FH212" s="275"/>
      <c r="FI212" s="275"/>
      <c r="FJ212" s="275"/>
      <c r="FK212" s="275"/>
      <c r="FL212" s="275"/>
      <c r="FM212" s="275"/>
      <c r="FN212" s="275"/>
      <c r="FO212" s="275"/>
      <c r="FP212" s="275"/>
      <c r="FQ212" s="275"/>
      <c r="FR212" s="275"/>
      <c r="FS212" s="275"/>
      <c r="FT212" s="275"/>
      <c r="FU212" s="275"/>
      <c r="FV212" s="275"/>
      <c r="FW212" s="275"/>
      <c r="FX212" s="275"/>
      <c r="FY212" s="275"/>
      <c r="FZ212" s="275"/>
      <c r="GA212" s="275"/>
      <c r="GB212" s="275"/>
      <c r="GC212" s="275"/>
      <c r="GD212" s="275"/>
      <c r="GE212" s="275"/>
      <c r="GF212" s="275"/>
      <c r="GG212" s="275"/>
      <c r="GH212" s="275"/>
      <c r="GI212" s="275"/>
      <c r="GJ212" s="275"/>
      <c r="GK212" s="275"/>
      <c r="GL212" s="275"/>
      <c r="GM212" s="275"/>
      <c r="GN212" s="275"/>
      <c r="GO212" s="275"/>
      <c r="GP212" s="275"/>
      <c r="GQ212" s="275"/>
      <c r="GR212" s="275"/>
      <c r="GS212" s="275"/>
      <c r="GT212" s="275"/>
      <c r="GU212" s="275"/>
      <c r="GV212" s="275"/>
      <c r="GW212" s="275"/>
      <c r="GX212" s="275"/>
      <c r="GY212" s="275"/>
      <c r="GZ212" s="275"/>
      <c r="HA212" s="275"/>
      <c r="HB212" s="275"/>
      <c r="HC212" s="275"/>
      <c r="HD212" s="275"/>
      <c r="HE212" s="275"/>
      <c r="HF212" s="275"/>
      <c r="HG212" s="275"/>
      <c r="HH212" s="275"/>
      <c r="HI212" s="275"/>
      <c r="HJ212" s="275"/>
      <c r="HK212" s="275"/>
      <c r="HL212" s="275"/>
      <c r="HM212" s="275"/>
      <c r="HN212" s="275"/>
      <c r="HO212" s="275"/>
      <c r="HP212" s="275"/>
      <c r="HQ212" s="275"/>
      <c r="HR212" s="275"/>
    </row>
    <row r="213" spans="1:226" s="297" customFormat="1">
      <c r="A213" s="275"/>
      <c r="B213" s="21"/>
      <c r="C213" s="21"/>
      <c r="D213" s="21"/>
      <c r="E213" s="21"/>
      <c r="F213" s="275"/>
      <c r="G213" s="275"/>
      <c r="H213" s="275"/>
      <c r="I213" s="275"/>
      <c r="J213" s="275"/>
      <c r="K213" s="275"/>
      <c r="L213" s="275"/>
      <c r="M213" s="275"/>
      <c r="N213" s="275"/>
      <c r="O213" s="275"/>
      <c r="P213" s="275"/>
      <c r="Q213" s="275"/>
      <c r="R213" s="275"/>
      <c r="S213" s="275"/>
      <c r="T213" s="275"/>
      <c r="U213" s="275"/>
      <c r="V213" s="275"/>
      <c r="W213" s="275"/>
      <c r="X213" s="275"/>
      <c r="Y213" s="275"/>
      <c r="Z213" s="275"/>
      <c r="AA213" s="275"/>
      <c r="AB213" s="275"/>
      <c r="AC213" s="275"/>
      <c r="AD213" s="275"/>
      <c r="AE213" s="275"/>
      <c r="AF213" s="275"/>
      <c r="AG213" s="275"/>
      <c r="AH213" s="275"/>
      <c r="AJ213" s="275"/>
      <c r="AK213" s="275"/>
      <c r="AL213" s="275"/>
      <c r="AM213" s="275"/>
      <c r="AN213" s="275"/>
      <c r="AO213" s="275"/>
      <c r="AQ213" s="275"/>
      <c r="AR213" s="275"/>
      <c r="AS213" s="275"/>
      <c r="AT213" s="275"/>
      <c r="AU213" s="275"/>
      <c r="AV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D213" s="275"/>
      <c r="EE213" s="275"/>
      <c r="EF213" s="275"/>
      <c r="EG213" s="275"/>
      <c r="EH213" s="275"/>
      <c r="EI213" s="275"/>
      <c r="EJ213" s="275"/>
      <c r="EK213" s="275"/>
      <c r="EL213" s="275"/>
      <c r="EM213" s="275"/>
      <c r="EN213" s="275"/>
      <c r="EO213" s="275"/>
      <c r="EP213" s="275"/>
      <c r="EQ213" s="275"/>
      <c r="ER213" s="275"/>
      <c r="ES213" s="275"/>
      <c r="ET213" s="275"/>
      <c r="EU213"/>
      <c r="EV213"/>
      <c r="EW213" s="275"/>
      <c r="EX213" s="275"/>
      <c r="EY213" s="275"/>
      <c r="EZ213" s="275"/>
      <c r="FA213" s="275"/>
      <c r="FB213" s="275"/>
      <c r="FC213" s="275"/>
      <c r="FD213" s="275"/>
      <c r="FE213" s="275"/>
      <c r="FF213" s="275"/>
      <c r="FG213" s="275"/>
      <c r="FH213" s="275"/>
      <c r="FI213" s="275"/>
      <c r="FJ213" s="275"/>
      <c r="FK213" s="275"/>
      <c r="FL213" s="275"/>
      <c r="FM213" s="275"/>
      <c r="FN213" s="275"/>
      <c r="FO213" s="275"/>
      <c r="FP213" s="275"/>
      <c r="FQ213" s="275"/>
      <c r="FR213" s="275"/>
      <c r="FS213" s="275"/>
      <c r="FT213" s="275"/>
      <c r="FU213" s="275"/>
      <c r="FV213" s="275"/>
      <c r="FW213" s="275"/>
      <c r="FX213" s="275"/>
      <c r="FY213" s="275"/>
      <c r="FZ213" s="275"/>
      <c r="GA213" s="275"/>
      <c r="GB213" s="275"/>
      <c r="GC213" s="275"/>
      <c r="GD213" s="275"/>
      <c r="GE213" s="275"/>
      <c r="GF213" s="275"/>
      <c r="GG213" s="275"/>
      <c r="GH213" s="275"/>
      <c r="GI213" s="275"/>
      <c r="GJ213" s="275"/>
      <c r="GK213" s="275"/>
      <c r="GL213" s="275"/>
      <c r="GM213" s="275"/>
      <c r="GN213" s="275"/>
      <c r="GO213" s="275"/>
      <c r="GP213" s="275"/>
      <c r="GQ213" s="275"/>
      <c r="GR213" s="275"/>
      <c r="GS213" s="275"/>
      <c r="GT213" s="275"/>
      <c r="GU213" s="275"/>
      <c r="GV213" s="275"/>
      <c r="GW213" s="275"/>
      <c r="GX213" s="275"/>
      <c r="GY213" s="275"/>
      <c r="GZ213" s="275"/>
      <c r="HA213" s="275"/>
      <c r="HB213" s="275"/>
      <c r="HC213" s="275"/>
      <c r="HD213" s="275"/>
      <c r="HE213" s="275"/>
      <c r="HF213" s="275"/>
      <c r="HG213" s="275"/>
      <c r="HH213" s="275"/>
      <c r="HI213" s="275"/>
      <c r="HJ213" s="275"/>
      <c r="HK213" s="275"/>
      <c r="HL213" s="275"/>
      <c r="HM213" s="275"/>
      <c r="HN213" s="275"/>
      <c r="HO213" s="275"/>
      <c r="HP213" s="275"/>
      <c r="HQ213" s="275"/>
      <c r="HR213" s="275"/>
    </row>
    <row r="214" spans="1:226" s="297" customFormat="1">
      <c r="A214" s="275"/>
      <c r="B214" s="21"/>
      <c r="C214" s="21"/>
      <c r="D214" s="21"/>
      <c r="E214" s="21"/>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c r="AH214" s="275"/>
      <c r="AJ214" s="275"/>
      <c r="AK214" s="275"/>
      <c r="AL214" s="275"/>
      <c r="AM214" s="275"/>
      <c r="AN214" s="275"/>
      <c r="AO214" s="275"/>
      <c r="AQ214" s="275"/>
      <c r="AR214" s="275"/>
      <c r="AS214" s="275"/>
      <c r="AT214" s="275"/>
      <c r="AU214" s="275"/>
      <c r="AV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D214" s="275"/>
      <c r="EE214" s="275"/>
      <c r="EF214" s="275"/>
      <c r="EG214" s="275"/>
      <c r="EH214" s="275"/>
      <c r="EI214" s="275"/>
      <c r="EJ214" s="275"/>
      <c r="EK214" s="275"/>
      <c r="EL214" s="275"/>
      <c r="EM214" s="275"/>
      <c r="EN214" s="275"/>
      <c r="EO214" s="275"/>
      <c r="EP214" s="275"/>
      <c r="EQ214" s="275"/>
      <c r="ER214" s="275"/>
      <c r="ES214" s="275"/>
      <c r="ET214" s="275"/>
      <c r="EU214"/>
      <c r="EV214"/>
      <c r="EW214" s="275"/>
      <c r="EX214" s="275"/>
      <c r="EY214" s="275"/>
      <c r="EZ214" s="275"/>
      <c r="FA214" s="275"/>
      <c r="FB214" s="275"/>
      <c r="FC214" s="275"/>
      <c r="FD214" s="275"/>
      <c r="FE214" s="275"/>
      <c r="FF214" s="275"/>
      <c r="FG214" s="275"/>
      <c r="FH214" s="275"/>
      <c r="FI214" s="275"/>
      <c r="FJ214" s="275"/>
      <c r="FK214" s="275"/>
      <c r="FL214" s="275"/>
      <c r="FM214" s="275"/>
      <c r="FN214" s="275"/>
      <c r="FO214" s="275"/>
      <c r="FP214" s="275"/>
      <c r="FQ214" s="275"/>
      <c r="FR214" s="275"/>
      <c r="FS214" s="275"/>
      <c r="FT214" s="275"/>
      <c r="FU214" s="275"/>
      <c r="FV214" s="275"/>
      <c r="FW214" s="275"/>
      <c r="FX214" s="275"/>
      <c r="FY214" s="275"/>
      <c r="FZ214" s="275"/>
      <c r="GA214" s="275"/>
      <c r="GB214" s="275"/>
      <c r="GC214" s="275"/>
      <c r="GD214" s="275"/>
      <c r="GE214" s="275"/>
      <c r="GF214" s="275"/>
      <c r="GG214" s="275"/>
      <c r="GH214" s="275"/>
      <c r="GI214" s="275"/>
      <c r="GJ214" s="275"/>
      <c r="GK214" s="275"/>
      <c r="GL214" s="275"/>
      <c r="GM214" s="275"/>
      <c r="GN214" s="275"/>
      <c r="GO214" s="275"/>
      <c r="GP214" s="275"/>
      <c r="GQ214" s="275"/>
      <c r="GR214" s="275"/>
      <c r="GS214" s="275"/>
      <c r="GT214" s="275"/>
      <c r="GU214" s="275"/>
      <c r="GV214" s="275"/>
      <c r="GW214" s="275"/>
      <c r="GX214" s="275"/>
      <c r="GY214" s="275"/>
      <c r="GZ214" s="275"/>
      <c r="HA214" s="275"/>
      <c r="HB214" s="275"/>
      <c r="HC214" s="275"/>
      <c r="HD214" s="275"/>
      <c r="HE214" s="275"/>
      <c r="HF214" s="275"/>
      <c r="HG214" s="275"/>
      <c r="HH214" s="275"/>
      <c r="HI214" s="275"/>
      <c r="HJ214" s="275"/>
      <c r="HK214" s="275"/>
      <c r="HL214" s="275"/>
      <c r="HM214" s="275"/>
      <c r="HN214" s="275"/>
      <c r="HO214" s="275"/>
      <c r="HP214" s="275"/>
      <c r="HQ214" s="275"/>
      <c r="HR214" s="275"/>
    </row>
    <row r="215" spans="1:226" s="297" customFormat="1">
      <c r="A215" s="275"/>
      <c r="B215" s="21"/>
      <c r="C215" s="21"/>
      <c r="D215" s="21"/>
      <c r="E215" s="21"/>
      <c r="F215" s="275"/>
      <c r="G215" s="275"/>
      <c r="H215" s="275"/>
      <c r="I215" s="275"/>
      <c r="J215" s="275"/>
      <c r="K215" s="275"/>
      <c r="L215" s="275"/>
      <c r="M215" s="275"/>
      <c r="N215" s="275"/>
      <c r="O215" s="275"/>
      <c r="P215" s="275"/>
      <c r="Q215" s="275"/>
      <c r="R215" s="275"/>
      <c r="S215" s="275"/>
      <c r="T215" s="275"/>
      <c r="U215" s="275"/>
      <c r="V215" s="275"/>
      <c r="W215" s="275"/>
      <c r="X215" s="275"/>
      <c r="Y215" s="275"/>
      <c r="Z215" s="275"/>
      <c r="AA215" s="275"/>
      <c r="AB215" s="275"/>
      <c r="AC215" s="275"/>
      <c r="AD215" s="275"/>
      <c r="AE215" s="275"/>
      <c r="AF215" s="275"/>
      <c r="AG215" s="275"/>
      <c r="AH215" s="275"/>
      <c r="AJ215" s="275"/>
      <c r="AK215" s="275"/>
      <c r="AL215" s="275"/>
      <c r="AM215" s="275"/>
      <c r="AN215" s="275"/>
      <c r="AO215" s="275"/>
      <c r="AQ215" s="275"/>
      <c r="AR215" s="275"/>
      <c r="AS215" s="275"/>
      <c r="AT215" s="275"/>
      <c r="AU215" s="275"/>
      <c r="AV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D215" s="275"/>
      <c r="EE215" s="275"/>
      <c r="EF215" s="275"/>
      <c r="EG215" s="275"/>
      <c r="EH215" s="275"/>
      <c r="EI215" s="275"/>
      <c r="EJ215" s="275"/>
      <c r="EK215" s="275"/>
      <c r="EL215" s="275"/>
      <c r="EM215" s="275"/>
      <c r="EN215" s="275"/>
      <c r="EO215" s="275"/>
      <c r="EP215" s="275"/>
      <c r="EQ215" s="275"/>
      <c r="ER215" s="275"/>
      <c r="ES215" s="275"/>
      <c r="ET215" s="275"/>
      <c r="EU215"/>
      <c r="EV215"/>
      <c r="EW215" s="275"/>
      <c r="EX215" s="275"/>
      <c r="EY215" s="275"/>
      <c r="EZ215" s="275"/>
      <c r="FA215" s="275"/>
      <c r="FB215" s="275"/>
      <c r="FC215" s="275"/>
      <c r="FD215" s="275"/>
      <c r="FE215" s="275"/>
      <c r="FF215" s="275"/>
      <c r="FG215" s="275"/>
      <c r="FH215" s="275"/>
      <c r="FI215" s="275"/>
      <c r="FJ215" s="275"/>
      <c r="FK215" s="275"/>
      <c r="FL215" s="275"/>
      <c r="FM215" s="275"/>
      <c r="FN215" s="275"/>
      <c r="FO215" s="275"/>
      <c r="FP215" s="275"/>
      <c r="FQ215" s="275"/>
      <c r="FR215" s="275"/>
      <c r="FS215" s="275"/>
      <c r="FT215" s="275"/>
      <c r="FU215" s="275"/>
      <c r="FV215" s="275"/>
      <c r="FW215" s="275"/>
      <c r="FX215" s="275"/>
      <c r="FY215" s="275"/>
      <c r="FZ215" s="275"/>
      <c r="GA215" s="275"/>
      <c r="GB215" s="275"/>
      <c r="GC215" s="275"/>
      <c r="GD215" s="275"/>
      <c r="GE215" s="275"/>
      <c r="GF215" s="275"/>
      <c r="GG215" s="275"/>
      <c r="GH215" s="275"/>
      <c r="GI215" s="275"/>
      <c r="GJ215" s="275"/>
      <c r="GK215" s="275"/>
      <c r="GL215" s="275"/>
      <c r="GM215" s="275"/>
      <c r="GN215" s="275"/>
      <c r="GO215" s="275"/>
      <c r="GP215" s="275"/>
      <c r="GQ215" s="275"/>
      <c r="GR215" s="275"/>
      <c r="GS215" s="275"/>
      <c r="GT215" s="275"/>
      <c r="GU215" s="275"/>
      <c r="GV215" s="275"/>
      <c r="GW215" s="275"/>
      <c r="GX215" s="275"/>
      <c r="GY215" s="275"/>
      <c r="GZ215" s="275"/>
      <c r="HA215" s="275"/>
      <c r="HB215" s="275"/>
      <c r="HC215" s="275"/>
      <c r="HD215" s="275"/>
      <c r="HE215" s="275"/>
      <c r="HF215" s="275"/>
      <c r="HG215" s="275"/>
      <c r="HH215" s="275"/>
      <c r="HI215" s="275"/>
      <c r="HJ215" s="275"/>
      <c r="HK215" s="275"/>
      <c r="HL215" s="275"/>
      <c r="HM215" s="275"/>
      <c r="HN215" s="275"/>
      <c r="HO215" s="275"/>
      <c r="HP215" s="275"/>
      <c r="HQ215" s="275"/>
      <c r="HR215" s="275"/>
    </row>
    <row r="216" spans="1:226" s="297" customFormat="1">
      <c r="A216" s="275"/>
      <c r="B216" s="21"/>
      <c r="C216" s="21"/>
      <c r="D216" s="21"/>
      <c r="E216" s="21"/>
      <c r="F216" s="275"/>
      <c r="G216" s="275"/>
      <c r="H216" s="275"/>
      <c r="I216" s="275"/>
      <c r="J216" s="275"/>
      <c r="K216" s="275"/>
      <c r="L216" s="275"/>
      <c r="M216" s="275"/>
      <c r="N216" s="275"/>
      <c r="O216" s="275"/>
      <c r="P216" s="275"/>
      <c r="Q216" s="275"/>
      <c r="R216" s="275"/>
      <c r="S216" s="275"/>
      <c r="T216" s="275"/>
      <c r="U216" s="275"/>
      <c r="V216" s="275"/>
      <c r="W216" s="275"/>
      <c r="X216" s="275"/>
      <c r="Y216" s="275"/>
      <c r="Z216" s="275"/>
      <c r="AA216" s="275"/>
      <c r="AB216" s="275"/>
      <c r="AC216" s="275"/>
      <c r="AD216" s="275"/>
      <c r="AE216" s="275"/>
      <c r="AF216" s="275"/>
      <c r="AG216" s="275"/>
      <c r="AH216" s="275"/>
      <c r="AJ216" s="275"/>
      <c r="AK216" s="275"/>
      <c r="AL216" s="275"/>
      <c r="AM216" s="275"/>
      <c r="AN216" s="275"/>
      <c r="AO216" s="275"/>
      <c r="AQ216" s="275"/>
      <c r="AR216" s="275"/>
      <c r="AS216" s="275"/>
      <c r="AT216" s="275"/>
      <c r="AU216" s="275"/>
      <c r="AV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D216" s="275"/>
      <c r="EE216" s="275"/>
      <c r="EF216" s="275"/>
      <c r="EG216" s="275"/>
      <c r="EH216" s="275"/>
      <c r="EI216" s="275"/>
      <c r="EJ216" s="275"/>
      <c r="EK216" s="275"/>
      <c r="EL216" s="275"/>
      <c r="EM216" s="275"/>
      <c r="EN216" s="275"/>
      <c r="EO216" s="275"/>
      <c r="EP216" s="275"/>
      <c r="EQ216" s="275"/>
      <c r="ER216" s="275"/>
      <c r="ES216" s="275"/>
      <c r="ET216" s="275"/>
      <c r="EU216"/>
      <c r="EV216"/>
      <c r="EW216" s="275"/>
      <c r="EX216" s="275"/>
      <c r="EY216" s="275"/>
      <c r="EZ216" s="275"/>
      <c r="FA216" s="275"/>
      <c r="FB216" s="275"/>
      <c r="FC216" s="275"/>
      <c r="FD216" s="275"/>
      <c r="FE216" s="275"/>
      <c r="FF216" s="275"/>
      <c r="FG216" s="275"/>
      <c r="FH216" s="275"/>
      <c r="FI216" s="275"/>
      <c r="FJ216" s="275"/>
      <c r="FK216" s="275"/>
      <c r="FL216" s="275"/>
      <c r="FM216" s="275"/>
      <c r="FN216" s="275"/>
      <c r="FO216" s="275"/>
      <c r="FP216" s="275"/>
      <c r="FQ216" s="275"/>
      <c r="FR216" s="275"/>
      <c r="FS216" s="275"/>
      <c r="FT216" s="275"/>
      <c r="FU216" s="275"/>
      <c r="FV216" s="275"/>
      <c r="FW216" s="275"/>
      <c r="FX216" s="275"/>
      <c r="FY216" s="275"/>
      <c r="FZ216" s="275"/>
      <c r="GA216" s="275"/>
      <c r="GB216" s="275"/>
      <c r="GC216" s="275"/>
      <c r="GD216" s="275"/>
      <c r="GE216" s="275"/>
      <c r="GF216" s="275"/>
      <c r="GG216" s="275"/>
      <c r="GH216" s="275"/>
      <c r="GI216" s="275"/>
      <c r="GJ216" s="275"/>
      <c r="GK216" s="275"/>
      <c r="GL216" s="275"/>
      <c r="GM216" s="275"/>
      <c r="GN216" s="275"/>
      <c r="GO216" s="275"/>
      <c r="GP216" s="275"/>
      <c r="GQ216" s="275"/>
      <c r="GR216" s="275"/>
      <c r="GS216" s="275"/>
      <c r="GT216" s="275"/>
      <c r="GU216" s="275"/>
      <c r="GV216" s="275"/>
      <c r="GW216" s="275"/>
      <c r="GX216" s="275"/>
      <c r="GY216" s="275"/>
      <c r="GZ216" s="275"/>
      <c r="HA216" s="275"/>
      <c r="HB216" s="275"/>
      <c r="HC216" s="275"/>
      <c r="HD216" s="275"/>
      <c r="HE216" s="275"/>
      <c r="HF216" s="275"/>
      <c r="HG216" s="275"/>
      <c r="HH216" s="275"/>
      <c r="HI216" s="275"/>
      <c r="HJ216" s="275"/>
      <c r="HK216" s="275"/>
      <c r="HL216" s="275"/>
      <c r="HM216" s="275"/>
      <c r="HN216" s="275"/>
      <c r="HO216" s="275"/>
      <c r="HP216" s="275"/>
      <c r="HQ216" s="275"/>
      <c r="HR216" s="275"/>
    </row>
    <row r="217" spans="1:226" s="297" customFormat="1">
      <c r="A217" s="275"/>
      <c r="B217" s="21"/>
      <c r="C217" s="21"/>
      <c r="D217" s="21"/>
      <c r="E217" s="21"/>
      <c r="F217" s="275"/>
      <c r="G217" s="275"/>
      <c r="H217" s="275"/>
      <c r="I217" s="275"/>
      <c r="J217" s="275"/>
      <c r="K217" s="275"/>
      <c r="L217" s="275"/>
      <c r="M217" s="275"/>
      <c r="N217" s="275"/>
      <c r="O217" s="275"/>
      <c r="P217" s="275"/>
      <c r="Q217" s="275"/>
      <c r="R217" s="275"/>
      <c r="S217" s="275"/>
      <c r="T217" s="275"/>
      <c r="U217" s="275"/>
      <c r="V217" s="275"/>
      <c r="W217" s="275"/>
      <c r="X217" s="275"/>
      <c r="Y217" s="275"/>
      <c r="Z217" s="275"/>
      <c r="AA217" s="275"/>
      <c r="AB217" s="275"/>
      <c r="AC217" s="275"/>
      <c r="AD217" s="275"/>
      <c r="AE217" s="275"/>
      <c r="AF217" s="275"/>
      <c r="AG217" s="275"/>
      <c r="AH217" s="275"/>
      <c r="AJ217" s="275"/>
      <c r="AK217" s="275"/>
      <c r="AL217" s="275"/>
      <c r="AM217" s="275"/>
      <c r="AN217" s="275"/>
      <c r="AO217" s="275"/>
      <c r="AQ217" s="275"/>
      <c r="AR217" s="275"/>
      <c r="AS217" s="275"/>
      <c r="AT217" s="275"/>
      <c r="AU217" s="275"/>
      <c r="AV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D217" s="275"/>
      <c r="EE217" s="275"/>
      <c r="EF217" s="275"/>
      <c r="EG217" s="275"/>
      <c r="EH217" s="275"/>
      <c r="EI217" s="275"/>
      <c r="EJ217" s="275"/>
      <c r="EK217" s="275"/>
      <c r="EL217" s="275"/>
      <c r="EM217" s="275"/>
      <c r="EN217" s="275"/>
      <c r="EO217" s="275"/>
      <c r="EP217" s="275"/>
      <c r="EQ217" s="275"/>
      <c r="ER217" s="275"/>
      <c r="ES217" s="275"/>
      <c r="ET217" s="275"/>
      <c r="EU217"/>
      <c r="EV217"/>
      <c r="EW217" s="275"/>
      <c r="EX217" s="275"/>
      <c r="EY217" s="275"/>
      <c r="EZ217" s="275"/>
      <c r="FA217" s="275"/>
      <c r="FB217" s="275"/>
      <c r="FC217" s="275"/>
      <c r="FD217" s="275"/>
      <c r="FE217" s="275"/>
      <c r="FF217" s="275"/>
      <c r="FG217" s="275"/>
      <c r="FH217" s="275"/>
      <c r="FI217" s="275"/>
      <c r="FJ217" s="275"/>
      <c r="FK217" s="275"/>
      <c r="FL217" s="275"/>
      <c r="FM217" s="275"/>
      <c r="FN217" s="275"/>
      <c r="FO217" s="275"/>
      <c r="FP217" s="275"/>
      <c r="FQ217" s="275"/>
      <c r="FR217" s="275"/>
      <c r="FS217" s="275"/>
      <c r="FT217" s="275"/>
      <c r="FU217" s="275"/>
      <c r="FV217" s="275"/>
      <c r="FW217" s="275"/>
      <c r="FX217" s="275"/>
      <c r="FY217" s="275"/>
      <c r="FZ217" s="275"/>
      <c r="GA217" s="275"/>
      <c r="GB217" s="275"/>
      <c r="GC217" s="275"/>
      <c r="GD217" s="275"/>
      <c r="GE217" s="275"/>
      <c r="GF217" s="275"/>
      <c r="GG217" s="275"/>
      <c r="GH217" s="275"/>
      <c r="GI217" s="275"/>
      <c r="GJ217" s="275"/>
      <c r="GK217" s="275"/>
      <c r="GL217" s="275"/>
      <c r="GM217" s="275"/>
      <c r="GN217" s="275"/>
      <c r="GO217" s="275"/>
      <c r="GP217" s="275"/>
      <c r="GQ217" s="275"/>
      <c r="GR217" s="275"/>
      <c r="GS217" s="275"/>
      <c r="GT217" s="275"/>
      <c r="GU217" s="275"/>
      <c r="GV217" s="275"/>
      <c r="GW217" s="275"/>
      <c r="GX217" s="275"/>
      <c r="GY217" s="275"/>
      <c r="GZ217" s="275"/>
      <c r="HA217" s="275"/>
      <c r="HB217" s="275"/>
      <c r="HC217" s="275"/>
      <c r="HD217" s="275"/>
      <c r="HE217" s="275"/>
      <c r="HF217" s="275"/>
      <c r="HG217" s="275"/>
      <c r="HH217" s="275"/>
      <c r="HI217" s="275"/>
      <c r="HJ217" s="275"/>
      <c r="HK217" s="275"/>
      <c r="HL217" s="275"/>
      <c r="HM217" s="275"/>
      <c r="HN217" s="275"/>
      <c r="HO217" s="275"/>
      <c r="HP217" s="275"/>
      <c r="HQ217" s="275"/>
      <c r="HR217" s="275"/>
    </row>
    <row r="218" spans="1:226" s="297" customFormat="1">
      <c r="A218" s="275"/>
      <c r="B218" s="21"/>
      <c r="C218" s="21"/>
      <c r="D218" s="21"/>
      <c r="E218" s="21"/>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c r="AH218" s="275"/>
      <c r="AJ218" s="275"/>
      <c r="AK218" s="275"/>
      <c r="AL218" s="275"/>
      <c r="AM218" s="275"/>
      <c r="AN218" s="275"/>
      <c r="AO218" s="275"/>
      <c r="AQ218" s="275"/>
      <c r="AR218" s="275"/>
      <c r="AS218" s="275"/>
      <c r="AT218" s="275"/>
      <c r="AU218" s="275"/>
      <c r="AV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D218" s="275"/>
      <c r="EE218" s="275"/>
      <c r="EF218" s="275"/>
      <c r="EG218" s="275"/>
      <c r="EH218" s="275"/>
      <c r="EI218" s="275"/>
      <c r="EJ218" s="275"/>
      <c r="EK218" s="275"/>
      <c r="EL218" s="275"/>
      <c r="EM218" s="275"/>
      <c r="EN218" s="275"/>
      <c r="EO218" s="275"/>
      <c r="EP218" s="275"/>
      <c r="EQ218" s="275"/>
      <c r="ER218" s="275"/>
      <c r="ES218" s="275"/>
      <c r="ET218" s="275"/>
      <c r="EU218"/>
      <c r="EV218"/>
      <c r="EW218" s="275"/>
      <c r="EX218" s="275"/>
      <c r="EY218" s="275"/>
      <c r="EZ218" s="275"/>
      <c r="FA218" s="275"/>
      <c r="FB218" s="275"/>
      <c r="FC218" s="275"/>
      <c r="FD218" s="275"/>
      <c r="FE218" s="275"/>
      <c r="FF218" s="275"/>
      <c r="FG218" s="275"/>
      <c r="FH218" s="275"/>
      <c r="FI218" s="275"/>
      <c r="FJ218" s="275"/>
      <c r="FK218" s="275"/>
      <c r="FL218" s="275"/>
      <c r="FM218" s="275"/>
      <c r="FN218" s="275"/>
      <c r="FO218" s="275"/>
      <c r="FP218" s="275"/>
      <c r="FQ218" s="275"/>
      <c r="FR218" s="275"/>
      <c r="FS218" s="275"/>
      <c r="FT218" s="275"/>
      <c r="FU218" s="275"/>
      <c r="FV218" s="275"/>
      <c r="FW218" s="275"/>
      <c r="FX218" s="275"/>
      <c r="FY218" s="275"/>
      <c r="FZ218" s="275"/>
      <c r="GA218" s="275"/>
      <c r="GB218" s="275"/>
      <c r="GC218" s="275"/>
      <c r="GD218" s="275"/>
      <c r="GE218" s="275"/>
      <c r="GF218" s="275"/>
      <c r="GG218" s="275"/>
      <c r="GH218" s="275"/>
      <c r="GI218" s="275"/>
      <c r="GJ218" s="275"/>
      <c r="GK218" s="275"/>
      <c r="GL218" s="275"/>
      <c r="GM218" s="275"/>
      <c r="GN218" s="275"/>
      <c r="GO218" s="275"/>
      <c r="GP218" s="275"/>
      <c r="GQ218" s="275"/>
      <c r="GR218" s="275"/>
      <c r="GS218" s="275"/>
      <c r="GT218" s="275"/>
      <c r="GU218" s="275"/>
      <c r="GV218" s="275"/>
      <c r="GW218" s="275"/>
      <c r="GX218" s="275"/>
      <c r="GY218" s="275"/>
      <c r="GZ218" s="275"/>
      <c r="HA218" s="275"/>
      <c r="HB218" s="275"/>
      <c r="HC218" s="275"/>
      <c r="HD218" s="275"/>
      <c r="HE218" s="275"/>
      <c r="HF218" s="275"/>
      <c r="HG218" s="275"/>
      <c r="HH218" s="275"/>
      <c r="HI218" s="275"/>
      <c r="HJ218" s="275"/>
      <c r="HK218" s="275"/>
      <c r="HL218" s="275"/>
      <c r="HM218" s="275"/>
      <c r="HN218" s="275"/>
      <c r="HO218" s="275"/>
      <c r="HP218" s="275"/>
      <c r="HQ218" s="275"/>
      <c r="HR218" s="275"/>
    </row>
    <row r="219" spans="1:226" s="297" customFormat="1">
      <c r="A219" s="275"/>
      <c r="B219" s="21"/>
      <c r="C219" s="21"/>
      <c r="D219" s="21"/>
      <c r="E219" s="21"/>
      <c r="F219" s="275"/>
      <c r="G219" s="275"/>
      <c r="H219" s="275"/>
      <c r="I219" s="275"/>
      <c r="J219" s="275"/>
      <c r="K219" s="275"/>
      <c r="L219" s="275"/>
      <c r="M219" s="275"/>
      <c r="N219" s="275"/>
      <c r="O219" s="275"/>
      <c r="P219" s="275"/>
      <c r="Q219" s="275"/>
      <c r="R219" s="275"/>
      <c r="S219" s="275"/>
      <c r="T219" s="275"/>
      <c r="U219" s="275"/>
      <c r="V219" s="275"/>
      <c r="W219" s="275"/>
      <c r="X219" s="275"/>
      <c r="Y219" s="275"/>
      <c r="Z219" s="275"/>
      <c r="AA219" s="275"/>
      <c r="AB219" s="275"/>
      <c r="AC219" s="275"/>
      <c r="AD219" s="275"/>
      <c r="AE219" s="275"/>
      <c r="AF219" s="275"/>
      <c r="AG219" s="275"/>
      <c r="AH219" s="275"/>
      <c r="AJ219" s="275"/>
      <c r="AK219" s="275"/>
      <c r="AL219" s="275"/>
      <c r="AM219" s="275"/>
      <c r="AN219" s="275"/>
      <c r="AO219" s="275"/>
      <c r="AQ219" s="275"/>
      <c r="AR219" s="275"/>
      <c r="AS219" s="275"/>
      <c r="AT219" s="275"/>
      <c r="AU219" s="275"/>
      <c r="AV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D219" s="275"/>
      <c r="EE219" s="275"/>
      <c r="EF219" s="275"/>
      <c r="EG219" s="275"/>
      <c r="EH219" s="275"/>
      <c r="EI219" s="275"/>
      <c r="EJ219" s="275"/>
      <c r="EK219" s="275"/>
      <c r="EL219" s="275"/>
      <c r="EM219" s="275"/>
      <c r="EN219" s="275"/>
      <c r="EO219" s="275"/>
      <c r="EP219" s="275"/>
      <c r="EQ219" s="275"/>
      <c r="ER219" s="275"/>
      <c r="ES219" s="275"/>
      <c r="ET219" s="275"/>
      <c r="EU219"/>
      <c r="EV219"/>
      <c r="EW219" s="275"/>
      <c r="EX219" s="275"/>
      <c r="EY219" s="275"/>
      <c r="EZ219" s="275"/>
      <c r="FA219" s="275"/>
      <c r="FB219" s="275"/>
      <c r="FC219" s="275"/>
      <c r="FD219" s="275"/>
      <c r="FE219" s="275"/>
      <c r="FF219" s="275"/>
      <c r="FG219" s="275"/>
      <c r="FH219" s="275"/>
      <c r="FI219" s="275"/>
      <c r="FJ219" s="275"/>
      <c r="FK219" s="275"/>
      <c r="FL219" s="275"/>
      <c r="FM219" s="275"/>
      <c r="FN219" s="275"/>
      <c r="FO219" s="275"/>
      <c r="FP219" s="275"/>
      <c r="FQ219" s="275"/>
      <c r="FR219" s="275"/>
      <c r="FS219" s="275"/>
      <c r="FT219" s="275"/>
      <c r="FU219" s="275"/>
      <c r="FV219" s="275"/>
      <c r="FW219" s="275"/>
      <c r="FX219" s="275"/>
      <c r="FY219" s="275"/>
      <c r="FZ219" s="275"/>
      <c r="GA219" s="275"/>
      <c r="GB219" s="275"/>
      <c r="GC219" s="275"/>
      <c r="GD219" s="275"/>
      <c r="GE219" s="275"/>
      <c r="GF219" s="275"/>
      <c r="GG219" s="275"/>
      <c r="GH219" s="275"/>
      <c r="GI219" s="275"/>
      <c r="GJ219" s="275"/>
      <c r="GK219" s="275"/>
      <c r="GL219" s="275"/>
      <c r="GM219" s="275"/>
      <c r="GN219" s="275"/>
      <c r="GO219" s="275"/>
      <c r="GP219" s="275"/>
      <c r="GQ219" s="275"/>
      <c r="GR219" s="275"/>
      <c r="GS219" s="275"/>
      <c r="GT219" s="275"/>
      <c r="GU219" s="275"/>
      <c r="GV219" s="275"/>
      <c r="GW219" s="275"/>
      <c r="GX219" s="275"/>
      <c r="GY219" s="275"/>
      <c r="GZ219" s="275"/>
      <c r="HA219" s="275"/>
      <c r="HB219" s="275"/>
      <c r="HC219" s="275"/>
      <c r="HD219" s="275"/>
      <c r="HE219" s="275"/>
      <c r="HF219" s="275"/>
      <c r="HG219" s="275"/>
      <c r="HH219" s="275"/>
      <c r="HI219" s="275"/>
      <c r="HJ219" s="275"/>
      <c r="HK219" s="275"/>
      <c r="HL219" s="275"/>
      <c r="HM219" s="275"/>
      <c r="HN219" s="275"/>
      <c r="HO219" s="275"/>
      <c r="HP219" s="275"/>
      <c r="HQ219" s="275"/>
      <c r="HR219" s="275"/>
    </row>
    <row r="220" spans="1:226" s="297" customFormat="1">
      <c r="A220" s="275"/>
      <c r="B220" s="21"/>
      <c r="C220" s="21"/>
      <c r="D220" s="21"/>
      <c r="E220" s="21"/>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c r="AH220" s="275"/>
      <c r="AJ220" s="275"/>
      <c r="AK220" s="275"/>
      <c r="AL220" s="275"/>
      <c r="AM220" s="275"/>
      <c r="AN220" s="275"/>
      <c r="AO220" s="275"/>
      <c r="AQ220" s="275"/>
      <c r="AR220" s="275"/>
      <c r="AS220" s="275"/>
      <c r="AT220" s="275"/>
      <c r="AU220" s="275"/>
      <c r="AV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D220" s="275"/>
      <c r="EE220" s="275"/>
      <c r="EF220" s="275"/>
      <c r="EG220" s="275"/>
      <c r="EH220" s="275"/>
      <c r="EI220" s="275"/>
      <c r="EJ220" s="275"/>
      <c r="EK220" s="275"/>
      <c r="EL220" s="275"/>
      <c r="EM220" s="275"/>
      <c r="EN220" s="275"/>
      <c r="EO220" s="275"/>
      <c r="EP220" s="275"/>
      <c r="EQ220" s="275"/>
      <c r="ER220" s="275"/>
      <c r="ES220" s="275"/>
      <c r="ET220" s="275"/>
      <c r="EU220"/>
      <c r="EV220"/>
      <c r="EW220" s="275"/>
      <c r="EX220" s="275"/>
      <c r="EY220" s="275"/>
      <c r="EZ220" s="275"/>
      <c r="FA220" s="275"/>
      <c r="FB220" s="275"/>
      <c r="FC220" s="275"/>
      <c r="FD220" s="275"/>
      <c r="FE220" s="275"/>
      <c r="FF220" s="275"/>
      <c r="FG220" s="275"/>
      <c r="FH220" s="275"/>
      <c r="FI220" s="275"/>
      <c r="FJ220" s="275"/>
      <c r="FK220" s="275"/>
      <c r="FL220" s="275"/>
      <c r="FM220" s="275"/>
      <c r="FN220" s="275"/>
      <c r="FO220" s="275"/>
      <c r="FP220" s="275"/>
      <c r="FQ220" s="275"/>
      <c r="FR220" s="275"/>
      <c r="FS220" s="275"/>
      <c r="FT220" s="275"/>
      <c r="FU220" s="275"/>
      <c r="FV220" s="275"/>
      <c r="FW220" s="275"/>
      <c r="FX220" s="275"/>
      <c r="FY220" s="275"/>
      <c r="FZ220" s="275"/>
      <c r="GA220" s="275"/>
      <c r="GB220" s="275"/>
      <c r="GC220" s="275"/>
      <c r="GD220" s="275"/>
      <c r="GE220" s="275"/>
      <c r="GF220" s="275"/>
      <c r="GG220" s="275"/>
      <c r="GH220" s="275"/>
      <c r="GI220" s="275"/>
      <c r="GJ220" s="275"/>
      <c r="GK220" s="275"/>
      <c r="GL220" s="275"/>
      <c r="GM220" s="275"/>
      <c r="GN220" s="275"/>
      <c r="GO220" s="275"/>
      <c r="GP220" s="275"/>
      <c r="GQ220" s="275"/>
      <c r="GR220" s="275"/>
      <c r="GS220" s="275"/>
      <c r="GT220" s="275"/>
      <c r="GU220" s="275"/>
      <c r="GV220" s="275"/>
      <c r="GW220" s="275"/>
      <c r="GX220" s="275"/>
      <c r="GY220" s="275"/>
      <c r="GZ220" s="275"/>
      <c r="HA220" s="275"/>
      <c r="HB220" s="275"/>
      <c r="HC220" s="275"/>
      <c r="HD220" s="275"/>
      <c r="HE220" s="275"/>
      <c r="HF220" s="275"/>
      <c r="HG220" s="275"/>
      <c r="HH220" s="275"/>
      <c r="HI220" s="275"/>
      <c r="HJ220" s="275"/>
      <c r="HK220" s="275"/>
      <c r="HL220" s="275"/>
      <c r="HM220" s="275"/>
      <c r="HN220" s="275"/>
      <c r="HO220" s="275"/>
      <c r="HP220" s="275"/>
      <c r="HQ220" s="275"/>
      <c r="HR220" s="275"/>
    </row>
    <row r="221" spans="1:226" s="297" customFormat="1">
      <c r="A221" s="275"/>
      <c r="B221" s="21"/>
      <c r="C221" s="21"/>
      <c r="D221" s="21"/>
      <c r="E221" s="21"/>
      <c r="F221" s="275"/>
      <c r="G221" s="275"/>
      <c r="H221" s="275"/>
      <c r="I221" s="275"/>
      <c r="J221" s="275"/>
      <c r="K221" s="275"/>
      <c r="L221" s="275"/>
      <c r="M221" s="275"/>
      <c r="N221" s="275"/>
      <c r="O221" s="275"/>
      <c r="P221" s="275"/>
      <c r="Q221" s="275"/>
      <c r="R221" s="275"/>
      <c r="S221" s="275"/>
      <c r="T221" s="275"/>
      <c r="U221" s="275"/>
      <c r="V221" s="275"/>
      <c r="W221" s="275"/>
      <c r="X221" s="275"/>
      <c r="Y221" s="275"/>
      <c r="Z221" s="275"/>
      <c r="AA221" s="275"/>
      <c r="AB221" s="275"/>
      <c r="AC221" s="275"/>
      <c r="AD221" s="275"/>
      <c r="AE221" s="275"/>
      <c r="AF221" s="275"/>
      <c r="AG221" s="275"/>
      <c r="AH221" s="275"/>
      <c r="AJ221" s="275"/>
      <c r="AK221" s="275"/>
      <c r="AL221" s="275"/>
      <c r="AM221" s="275"/>
      <c r="AN221" s="275"/>
      <c r="AO221" s="275"/>
      <c r="AQ221" s="275"/>
      <c r="AR221" s="275"/>
      <c r="AS221" s="275"/>
      <c r="AT221" s="275"/>
      <c r="AU221" s="275"/>
      <c r="AV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D221" s="275"/>
      <c r="EE221" s="275"/>
      <c r="EF221" s="275"/>
      <c r="EG221" s="275"/>
      <c r="EH221" s="275"/>
      <c r="EI221" s="275"/>
      <c r="EJ221" s="275"/>
      <c r="EK221" s="275"/>
      <c r="EL221" s="275"/>
      <c r="EM221" s="275"/>
      <c r="EN221" s="275"/>
      <c r="EO221" s="275"/>
      <c r="EP221" s="275"/>
      <c r="EQ221" s="275"/>
      <c r="ER221" s="275"/>
      <c r="ES221" s="275"/>
      <c r="ET221" s="275"/>
      <c r="EU221"/>
      <c r="EV221"/>
      <c r="EW221" s="275"/>
      <c r="EX221" s="275"/>
      <c r="EY221" s="275"/>
      <c r="EZ221" s="275"/>
      <c r="FA221" s="275"/>
      <c r="FB221" s="275"/>
      <c r="FC221" s="275"/>
      <c r="FD221" s="275"/>
      <c r="FE221" s="275"/>
      <c r="FF221" s="275"/>
      <c r="FG221" s="275"/>
      <c r="FH221" s="275"/>
      <c r="FI221" s="275"/>
      <c r="FJ221" s="275"/>
      <c r="FK221" s="275"/>
      <c r="FL221" s="275"/>
      <c r="FM221" s="275"/>
      <c r="FN221" s="275"/>
      <c r="FO221" s="275"/>
      <c r="FP221" s="275"/>
      <c r="FQ221" s="275"/>
      <c r="FR221" s="275"/>
      <c r="FS221" s="275"/>
      <c r="FT221" s="275"/>
      <c r="FU221" s="275"/>
      <c r="FV221" s="275"/>
      <c r="FW221" s="275"/>
      <c r="FX221" s="275"/>
      <c r="FY221" s="275"/>
      <c r="FZ221" s="275"/>
      <c r="GA221" s="275"/>
      <c r="GB221" s="275"/>
      <c r="GC221" s="275"/>
      <c r="GD221" s="275"/>
      <c r="GE221" s="275"/>
      <c r="GF221" s="275"/>
      <c r="GG221" s="275"/>
      <c r="GH221" s="275"/>
      <c r="GI221" s="275"/>
      <c r="GJ221" s="275"/>
      <c r="GK221" s="275"/>
      <c r="GL221" s="275"/>
      <c r="GM221" s="275"/>
      <c r="GN221" s="275"/>
      <c r="GO221" s="275"/>
      <c r="GP221" s="275"/>
      <c r="GQ221" s="275"/>
      <c r="GR221" s="275"/>
      <c r="GS221" s="275"/>
      <c r="GT221" s="275"/>
      <c r="GU221" s="275"/>
      <c r="GV221" s="275"/>
      <c r="GW221" s="275"/>
      <c r="GX221" s="275"/>
      <c r="GY221" s="275"/>
      <c r="GZ221" s="275"/>
      <c r="HA221" s="275"/>
      <c r="HB221" s="275"/>
      <c r="HC221" s="275"/>
      <c r="HD221" s="275"/>
      <c r="HE221" s="275"/>
      <c r="HF221" s="275"/>
      <c r="HG221" s="275"/>
      <c r="HH221" s="275"/>
      <c r="HI221" s="275"/>
      <c r="HJ221" s="275"/>
      <c r="HK221" s="275"/>
      <c r="HL221" s="275"/>
      <c r="HM221" s="275"/>
      <c r="HN221" s="275"/>
      <c r="HO221" s="275"/>
      <c r="HP221" s="275"/>
      <c r="HQ221" s="275"/>
      <c r="HR221" s="275"/>
    </row>
    <row r="222" spans="1:226" s="297" customFormat="1">
      <c r="A222" s="275"/>
      <c r="B222" s="21"/>
      <c r="C222" s="21"/>
      <c r="D222" s="21"/>
      <c r="E222" s="21"/>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c r="AH222" s="275"/>
      <c r="AJ222" s="275"/>
      <c r="AK222" s="275"/>
      <c r="AL222" s="275"/>
      <c r="AM222" s="275"/>
      <c r="AN222" s="275"/>
      <c r="AO222" s="275"/>
      <c r="AQ222" s="275"/>
      <c r="AR222" s="275"/>
      <c r="AS222" s="275"/>
      <c r="AT222" s="275"/>
      <c r="AU222" s="275"/>
      <c r="AV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D222" s="275"/>
      <c r="EE222" s="275"/>
      <c r="EF222" s="275"/>
      <c r="EG222" s="275"/>
      <c r="EH222" s="275"/>
      <c r="EI222" s="275"/>
      <c r="EJ222" s="275"/>
      <c r="EK222" s="275"/>
      <c r="EL222" s="275"/>
      <c r="EM222" s="275"/>
      <c r="EN222" s="275"/>
      <c r="EO222" s="275"/>
      <c r="EP222" s="275"/>
      <c r="EQ222" s="275"/>
      <c r="ER222" s="275"/>
      <c r="ES222" s="275"/>
      <c r="ET222" s="275"/>
      <c r="EU222"/>
      <c r="EV222"/>
      <c r="EW222" s="275"/>
      <c r="EX222" s="275"/>
      <c r="EY222" s="275"/>
      <c r="EZ222" s="275"/>
      <c r="FA222" s="275"/>
      <c r="FB222" s="275"/>
      <c r="FC222" s="275"/>
      <c r="FD222" s="275"/>
      <c r="FE222" s="275"/>
      <c r="FF222" s="275"/>
      <c r="FG222" s="275"/>
      <c r="FH222" s="275"/>
      <c r="FI222" s="275"/>
      <c r="FJ222" s="275"/>
      <c r="FK222" s="275"/>
      <c r="FL222" s="275"/>
      <c r="FM222" s="275"/>
      <c r="FN222" s="275"/>
      <c r="FO222" s="275"/>
      <c r="FP222" s="275"/>
      <c r="FQ222" s="275"/>
      <c r="FR222" s="275"/>
      <c r="FS222" s="275"/>
      <c r="FT222" s="275"/>
      <c r="FU222" s="275"/>
      <c r="FV222" s="275"/>
      <c r="FW222" s="275"/>
      <c r="FX222" s="275"/>
      <c r="FY222" s="275"/>
      <c r="FZ222" s="275"/>
      <c r="GA222" s="275"/>
      <c r="GB222" s="275"/>
      <c r="GC222" s="275"/>
      <c r="GD222" s="275"/>
      <c r="GE222" s="275"/>
      <c r="GF222" s="275"/>
      <c r="GG222" s="275"/>
      <c r="GH222" s="275"/>
      <c r="GI222" s="275"/>
      <c r="GJ222" s="275"/>
      <c r="GK222" s="275"/>
      <c r="GL222" s="275"/>
      <c r="GM222" s="275"/>
      <c r="GN222" s="275"/>
      <c r="GO222" s="275"/>
      <c r="GP222" s="275"/>
      <c r="GQ222" s="275"/>
      <c r="GR222" s="275"/>
      <c r="GS222" s="275"/>
      <c r="GT222" s="275"/>
      <c r="GU222" s="275"/>
      <c r="GV222" s="275"/>
      <c r="GW222" s="275"/>
      <c r="GX222" s="275"/>
      <c r="GY222" s="275"/>
      <c r="GZ222" s="275"/>
      <c r="HA222" s="275"/>
      <c r="HB222" s="275"/>
      <c r="HC222" s="275"/>
      <c r="HD222" s="275"/>
      <c r="HE222" s="275"/>
      <c r="HF222" s="275"/>
      <c r="HG222" s="275"/>
      <c r="HH222" s="275"/>
      <c r="HI222" s="275"/>
      <c r="HJ222" s="275"/>
      <c r="HK222" s="275"/>
      <c r="HL222" s="275"/>
      <c r="HM222" s="275"/>
      <c r="HN222" s="275"/>
      <c r="HO222" s="275"/>
      <c r="HP222" s="275"/>
      <c r="HQ222" s="275"/>
      <c r="HR222" s="275"/>
    </row>
    <row r="223" spans="1:226" s="297" customFormat="1">
      <c r="A223" s="275"/>
      <c r="B223" s="21"/>
      <c r="C223" s="21"/>
      <c r="D223" s="21"/>
      <c r="E223" s="21"/>
      <c r="F223" s="275"/>
      <c r="G223" s="275"/>
      <c r="H223" s="275"/>
      <c r="I223" s="275"/>
      <c r="J223" s="275"/>
      <c r="K223" s="275"/>
      <c r="L223" s="275"/>
      <c r="M223" s="275"/>
      <c r="N223" s="275"/>
      <c r="O223" s="275"/>
      <c r="P223" s="275"/>
      <c r="Q223" s="275"/>
      <c r="R223" s="275"/>
      <c r="S223" s="275"/>
      <c r="T223" s="275"/>
      <c r="U223" s="275"/>
      <c r="V223" s="275"/>
      <c r="W223" s="275"/>
      <c r="X223" s="275"/>
      <c r="Y223" s="275"/>
      <c r="Z223" s="275"/>
      <c r="AA223" s="275"/>
      <c r="AB223" s="275"/>
      <c r="AC223" s="275"/>
      <c r="AD223" s="275"/>
      <c r="AE223" s="275"/>
      <c r="AF223" s="275"/>
      <c r="AG223" s="275"/>
      <c r="AH223" s="275"/>
      <c r="AJ223" s="275"/>
      <c r="AK223" s="275"/>
      <c r="AL223" s="275"/>
      <c r="AM223" s="275"/>
      <c r="AN223" s="275"/>
      <c r="AO223" s="275"/>
      <c r="AQ223" s="275"/>
      <c r="AR223" s="275"/>
      <c r="AS223" s="275"/>
      <c r="AT223" s="275"/>
      <c r="AU223" s="275"/>
      <c r="AV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D223" s="275"/>
      <c r="EE223" s="275"/>
      <c r="EF223" s="275"/>
      <c r="EG223" s="275"/>
      <c r="EH223" s="275"/>
      <c r="EI223" s="275"/>
      <c r="EJ223" s="275"/>
      <c r="EK223" s="275"/>
      <c r="EL223" s="275"/>
      <c r="EM223" s="275"/>
      <c r="EN223" s="275"/>
      <c r="EO223" s="275"/>
      <c r="EP223" s="275"/>
      <c r="EQ223" s="275"/>
      <c r="ER223" s="275"/>
      <c r="ES223" s="275"/>
      <c r="ET223" s="275"/>
      <c r="EU223"/>
      <c r="EV223"/>
      <c r="EW223" s="275"/>
      <c r="EX223" s="275"/>
      <c r="EY223" s="275"/>
      <c r="EZ223" s="275"/>
      <c r="FA223" s="275"/>
      <c r="FB223" s="275"/>
      <c r="FC223" s="275"/>
      <c r="FD223" s="275"/>
      <c r="FE223" s="275"/>
      <c r="FF223" s="275"/>
      <c r="FG223" s="275"/>
      <c r="FH223" s="275"/>
      <c r="FI223" s="275"/>
      <c r="FJ223" s="275"/>
      <c r="FK223" s="275"/>
      <c r="FL223" s="275"/>
      <c r="FM223" s="275"/>
      <c r="FN223" s="275"/>
      <c r="FO223" s="275"/>
      <c r="FP223" s="275"/>
      <c r="FQ223" s="275"/>
      <c r="FR223" s="275"/>
      <c r="FS223" s="275"/>
      <c r="FT223" s="275"/>
      <c r="FU223" s="275"/>
      <c r="FV223" s="275"/>
      <c r="FW223" s="275"/>
      <c r="FX223" s="275"/>
      <c r="FY223" s="275"/>
      <c r="FZ223" s="275"/>
      <c r="GA223" s="275"/>
      <c r="GB223" s="275"/>
      <c r="GC223" s="275"/>
      <c r="GD223" s="275"/>
      <c r="GE223" s="275"/>
      <c r="GF223" s="275"/>
      <c r="GG223" s="275"/>
      <c r="GH223" s="275"/>
      <c r="GI223" s="275"/>
      <c r="GJ223" s="275"/>
      <c r="GK223" s="275"/>
      <c r="GL223" s="275"/>
      <c r="GM223" s="275"/>
      <c r="GN223" s="275"/>
      <c r="GO223" s="275"/>
      <c r="GP223" s="275"/>
      <c r="GQ223" s="275"/>
      <c r="GR223" s="275"/>
      <c r="GS223" s="275"/>
      <c r="GT223" s="275"/>
      <c r="GU223" s="275"/>
      <c r="GV223" s="275"/>
      <c r="GW223" s="275"/>
      <c r="GX223" s="275"/>
      <c r="GY223" s="275"/>
      <c r="GZ223" s="275"/>
      <c r="HA223" s="275"/>
      <c r="HB223" s="275"/>
      <c r="HC223" s="275"/>
      <c r="HD223" s="275"/>
      <c r="HE223" s="275"/>
      <c r="HF223" s="275"/>
      <c r="HG223" s="275"/>
      <c r="HH223" s="275"/>
      <c r="HI223" s="275"/>
      <c r="HJ223" s="275"/>
      <c r="HK223" s="275"/>
      <c r="HL223" s="275"/>
      <c r="HM223" s="275"/>
      <c r="HN223" s="275"/>
      <c r="HO223" s="275"/>
      <c r="HP223" s="275"/>
      <c r="HQ223" s="275"/>
      <c r="HR223" s="275"/>
    </row>
    <row r="224" spans="1:226" s="297" customFormat="1">
      <c r="A224" s="275"/>
      <c r="B224" s="21"/>
      <c r="C224" s="21"/>
      <c r="D224" s="21"/>
      <c r="E224" s="21"/>
      <c r="F224" s="275"/>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c r="AH224" s="275"/>
      <c r="AJ224" s="275"/>
      <c r="AK224" s="275"/>
      <c r="AL224" s="275"/>
      <c r="AM224" s="275"/>
      <c r="AN224" s="275"/>
      <c r="AO224" s="275"/>
      <c r="AQ224" s="275"/>
      <c r="AR224" s="275"/>
      <c r="AS224" s="275"/>
      <c r="AT224" s="275"/>
      <c r="AU224" s="275"/>
      <c r="AV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D224" s="275"/>
      <c r="EE224" s="275"/>
      <c r="EF224" s="275"/>
      <c r="EG224" s="275"/>
      <c r="EH224" s="275"/>
      <c r="EI224" s="275"/>
      <c r="EJ224" s="275"/>
      <c r="EK224" s="275"/>
      <c r="EL224" s="275"/>
      <c r="EM224" s="275"/>
      <c r="EN224" s="275"/>
      <c r="EO224" s="275"/>
      <c r="EP224" s="275"/>
      <c r="EQ224" s="275"/>
      <c r="ER224" s="275"/>
      <c r="ES224" s="275"/>
      <c r="ET224" s="275"/>
      <c r="EU224"/>
      <c r="EV224"/>
      <c r="EW224" s="275"/>
      <c r="EX224" s="275"/>
      <c r="EY224" s="275"/>
      <c r="EZ224" s="275"/>
      <c r="FA224" s="275"/>
      <c r="FB224" s="275"/>
      <c r="FC224" s="275"/>
      <c r="FD224" s="275"/>
      <c r="FE224" s="275"/>
      <c r="FF224" s="275"/>
      <c r="FG224" s="275"/>
      <c r="FH224" s="275"/>
      <c r="FI224" s="275"/>
      <c r="FJ224" s="275"/>
      <c r="FK224" s="275"/>
      <c r="FL224" s="275"/>
      <c r="FM224" s="275"/>
      <c r="FN224" s="275"/>
      <c r="FO224" s="275"/>
      <c r="FP224" s="275"/>
      <c r="FQ224" s="275"/>
      <c r="FR224" s="275"/>
      <c r="FS224" s="275"/>
      <c r="FT224" s="275"/>
      <c r="FU224" s="275"/>
      <c r="FV224" s="275"/>
      <c r="FW224" s="275"/>
      <c r="FX224" s="275"/>
      <c r="FY224" s="275"/>
      <c r="FZ224" s="275"/>
      <c r="GA224" s="275"/>
      <c r="GB224" s="275"/>
      <c r="GC224" s="275"/>
      <c r="GD224" s="275"/>
      <c r="GE224" s="275"/>
      <c r="GF224" s="275"/>
      <c r="GG224" s="275"/>
      <c r="GH224" s="275"/>
      <c r="GI224" s="275"/>
      <c r="GJ224" s="275"/>
      <c r="GK224" s="275"/>
      <c r="GL224" s="275"/>
      <c r="GM224" s="275"/>
      <c r="GN224" s="275"/>
      <c r="GO224" s="275"/>
      <c r="GP224" s="275"/>
      <c r="GQ224" s="275"/>
      <c r="GR224" s="275"/>
      <c r="GS224" s="275"/>
      <c r="GT224" s="275"/>
      <c r="GU224" s="275"/>
      <c r="GV224" s="275"/>
      <c r="GW224" s="275"/>
      <c r="GX224" s="275"/>
      <c r="GY224" s="275"/>
      <c r="GZ224" s="275"/>
      <c r="HA224" s="275"/>
      <c r="HB224" s="275"/>
      <c r="HC224" s="275"/>
      <c r="HD224" s="275"/>
      <c r="HE224" s="275"/>
      <c r="HF224" s="275"/>
      <c r="HG224" s="275"/>
      <c r="HH224" s="275"/>
      <c r="HI224" s="275"/>
      <c r="HJ224" s="275"/>
      <c r="HK224" s="275"/>
      <c r="HL224" s="275"/>
      <c r="HM224" s="275"/>
      <c r="HN224" s="275"/>
      <c r="HO224" s="275"/>
      <c r="HP224" s="275"/>
      <c r="HQ224" s="275"/>
      <c r="HR224" s="275"/>
    </row>
    <row r="225" spans="1:226" s="297" customFormat="1">
      <c r="A225" s="275"/>
      <c r="B225" s="21"/>
      <c r="C225" s="21"/>
      <c r="D225" s="21"/>
      <c r="E225" s="21"/>
      <c r="F225" s="275"/>
      <c r="G225" s="275"/>
      <c r="H225" s="275"/>
      <c r="I225" s="275"/>
      <c r="J225" s="275"/>
      <c r="K225" s="275"/>
      <c r="L225" s="275"/>
      <c r="M225" s="275"/>
      <c r="N225" s="275"/>
      <c r="O225" s="275"/>
      <c r="P225" s="275"/>
      <c r="Q225" s="275"/>
      <c r="R225" s="275"/>
      <c r="S225" s="275"/>
      <c r="T225" s="275"/>
      <c r="U225" s="275"/>
      <c r="V225" s="275"/>
      <c r="W225" s="275"/>
      <c r="X225" s="275"/>
      <c r="Y225" s="275"/>
      <c r="Z225" s="275"/>
      <c r="AA225" s="275"/>
      <c r="AB225" s="275"/>
      <c r="AC225" s="275"/>
      <c r="AD225" s="275"/>
      <c r="AE225" s="275"/>
      <c r="AF225" s="275"/>
      <c r="AG225" s="275"/>
      <c r="AH225" s="275"/>
      <c r="AJ225" s="275"/>
      <c r="AK225" s="275"/>
      <c r="AL225" s="275"/>
      <c r="AM225" s="275"/>
      <c r="AN225" s="275"/>
      <c r="AO225" s="275"/>
      <c r="AQ225" s="275"/>
      <c r="AR225" s="275"/>
      <c r="AS225" s="275"/>
      <c r="AT225" s="275"/>
      <c r="AU225" s="275"/>
      <c r="AV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D225" s="275"/>
      <c r="EE225" s="275"/>
      <c r="EF225" s="275"/>
      <c r="EG225" s="275"/>
      <c r="EH225" s="275"/>
      <c r="EI225" s="275"/>
      <c r="EJ225" s="275"/>
      <c r="EK225" s="275"/>
      <c r="EL225" s="275"/>
      <c r="EM225" s="275"/>
      <c r="EN225" s="275"/>
      <c r="EO225" s="275"/>
      <c r="EP225" s="275"/>
      <c r="EQ225" s="275"/>
      <c r="ER225" s="275"/>
      <c r="ES225" s="275"/>
      <c r="ET225" s="275"/>
      <c r="EU225"/>
      <c r="EV225"/>
      <c r="EW225" s="275"/>
      <c r="EX225" s="275"/>
      <c r="EY225" s="275"/>
      <c r="EZ225" s="275"/>
      <c r="FA225" s="275"/>
      <c r="FB225" s="275"/>
      <c r="FC225" s="275"/>
      <c r="FD225" s="275"/>
      <c r="FE225" s="275"/>
      <c r="FF225" s="275"/>
      <c r="FG225" s="275"/>
      <c r="FH225" s="275"/>
      <c r="FI225" s="275"/>
      <c r="FJ225" s="275"/>
      <c r="FK225" s="275"/>
      <c r="FL225" s="275"/>
      <c r="FM225" s="275"/>
      <c r="FN225" s="275"/>
      <c r="FO225" s="275"/>
      <c r="FP225" s="275"/>
      <c r="FQ225" s="275"/>
      <c r="FR225" s="275"/>
      <c r="FS225" s="275"/>
      <c r="FT225" s="275"/>
      <c r="FU225" s="275"/>
      <c r="FV225" s="275"/>
      <c r="FW225" s="275"/>
      <c r="FX225" s="275"/>
      <c r="FY225" s="275"/>
      <c r="FZ225" s="275"/>
      <c r="GA225" s="275"/>
      <c r="GB225" s="275"/>
      <c r="GC225" s="275"/>
      <c r="GD225" s="275"/>
      <c r="GE225" s="275"/>
      <c r="GF225" s="275"/>
      <c r="GG225" s="275"/>
      <c r="GH225" s="275"/>
      <c r="GI225" s="275"/>
      <c r="GJ225" s="275"/>
      <c r="GK225" s="275"/>
      <c r="GL225" s="275"/>
      <c r="GM225" s="275"/>
      <c r="GN225" s="275"/>
      <c r="GO225" s="275"/>
      <c r="GP225" s="275"/>
      <c r="GQ225" s="275"/>
      <c r="GR225" s="275"/>
      <c r="GS225" s="275"/>
      <c r="GT225" s="275"/>
      <c r="GU225" s="275"/>
      <c r="GV225" s="275"/>
      <c r="GW225" s="275"/>
      <c r="GX225" s="275"/>
      <c r="GY225" s="275"/>
      <c r="GZ225" s="275"/>
      <c r="HA225" s="275"/>
      <c r="HB225" s="275"/>
      <c r="HC225" s="275"/>
      <c r="HD225" s="275"/>
      <c r="HE225" s="275"/>
      <c r="HF225" s="275"/>
      <c r="HG225" s="275"/>
      <c r="HH225" s="275"/>
      <c r="HI225" s="275"/>
      <c r="HJ225" s="275"/>
      <c r="HK225" s="275"/>
      <c r="HL225" s="275"/>
      <c r="HM225" s="275"/>
      <c r="HN225" s="275"/>
      <c r="HO225" s="275"/>
      <c r="HP225" s="275"/>
      <c r="HQ225" s="275"/>
      <c r="HR225" s="275"/>
    </row>
    <row r="226" spans="1:226" s="297" customFormat="1">
      <c r="A226" s="275"/>
      <c r="B226" s="21"/>
      <c r="C226" s="21"/>
      <c r="D226" s="21"/>
      <c r="E226" s="21"/>
      <c r="F226" s="275"/>
      <c r="G226" s="275"/>
      <c r="H226" s="275"/>
      <c r="I226" s="27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c r="AH226" s="275"/>
      <c r="AJ226" s="275"/>
      <c r="AK226" s="275"/>
      <c r="AL226" s="275"/>
      <c r="AM226" s="275"/>
      <c r="AN226" s="275"/>
      <c r="AO226" s="275"/>
      <c r="AQ226" s="275"/>
      <c r="AR226" s="275"/>
      <c r="AS226" s="275"/>
      <c r="AT226" s="275"/>
      <c r="AU226" s="275"/>
      <c r="AV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D226" s="275"/>
      <c r="EE226" s="275"/>
      <c r="EF226" s="275"/>
      <c r="EG226" s="275"/>
      <c r="EH226" s="275"/>
      <c r="EI226" s="275"/>
      <c r="EJ226" s="275"/>
      <c r="EK226" s="275"/>
      <c r="EL226" s="275"/>
      <c r="EM226" s="275"/>
      <c r="EN226" s="275"/>
      <c r="EO226" s="275"/>
      <c r="EP226" s="275"/>
      <c r="EQ226" s="275"/>
      <c r="ER226" s="275"/>
      <c r="ES226" s="275"/>
      <c r="ET226" s="275"/>
      <c r="EU226"/>
      <c r="EV226"/>
      <c r="EW226" s="275"/>
      <c r="EX226" s="275"/>
      <c r="EY226" s="275"/>
      <c r="EZ226" s="275"/>
      <c r="FA226" s="275"/>
      <c r="FB226" s="275"/>
      <c r="FC226" s="275"/>
      <c r="FD226" s="275"/>
      <c r="FE226" s="275"/>
      <c r="FF226" s="275"/>
      <c r="FG226" s="275"/>
      <c r="FH226" s="275"/>
      <c r="FI226" s="275"/>
      <c r="FJ226" s="275"/>
      <c r="FK226" s="275"/>
      <c r="FL226" s="275"/>
      <c r="FM226" s="275"/>
      <c r="FN226" s="275"/>
      <c r="FO226" s="275"/>
      <c r="FP226" s="275"/>
      <c r="FQ226" s="275"/>
      <c r="FR226" s="275"/>
      <c r="FS226" s="275"/>
      <c r="FT226" s="275"/>
      <c r="FU226" s="275"/>
      <c r="FV226" s="275"/>
      <c r="FW226" s="275"/>
      <c r="FX226" s="275"/>
      <c r="FY226" s="275"/>
      <c r="FZ226" s="275"/>
      <c r="GA226" s="275"/>
      <c r="GB226" s="275"/>
      <c r="GC226" s="275"/>
      <c r="GD226" s="275"/>
      <c r="GE226" s="275"/>
      <c r="GF226" s="275"/>
      <c r="GG226" s="275"/>
      <c r="GH226" s="275"/>
      <c r="GI226" s="275"/>
      <c r="GJ226" s="275"/>
      <c r="GK226" s="275"/>
      <c r="GL226" s="275"/>
      <c r="GM226" s="275"/>
      <c r="GN226" s="275"/>
      <c r="GO226" s="275"/>
      <c r="GP226" s="275"/>
      <c r="GQ226" s="275"/>
      <c r="GR226" s="275"/>
      <c r="GS226" s="275"/>
      <c r="GT226" s="275"/>
      <c r="GU226" s="275"/>
      <c r="GV226" s="275"/>
      <c r="GW226" s="275"/>
      <c r="GX226" s="275"/>
      <c r="GY226" s="275"/>
      <c r="GZ226" s="275"/>
      <c r="HA226" s="275"/>
      <c r="HB226" s="275"/>
      <c r="HC226" s="275"/>
      <c r="HD226" s="275"/>
      <c r="HE226" s="275"/>
      <c r="HF226" s="275"/>
      <c r="HG226" s="275"/>
      <c r="HH226" s="275"/>
      <c r="HI226" s="275"/>
      <c r="HJ226" s="275"/>
      <c r="HK226" s="275"/>
      <c r="HL226" s="275"/>
      <c r="HM226" s="275"/>
      <c r="HN226" s="275"/>
      <c r="HO226" s="275"/>
      <c r="HP226" s="275"/>
      <c r="HQ226" s="275"/>
      <c r="HR226" s="275"/>
    </row>
    <row r="227" spans="1:226" s="297" customFormat="1">
      <c r="A227" s="275"/>
      <c r="B227" s="21"/>
      <c r="C227" s="21"/>
      <c r="D227" s="21"/>
      <c r="E227" s="21"/>
      <c r="F227" s="275"/>
      <c r="G227" s="275"/>
      <c r="H227" s="275"/>
      <c r="I227" s="275"/>
      <c r="J227" s="275"/>
      <c r="K227" s="275"/>
      <c r="L227" s="275"/>
      <c r="M227" s="275"/>
      <c r="N227" s="275"/>
      <c r="O227" s="275"/>
      <c r="P227" s="275"/>
      <c r="Q227" s="275"/>
      <c r="R227" s="275"/>
      <c r="S227" s="275"/>
      <c r="T227" s="275"/>
      <c r="U227" s="275"/>
      <c r="V227" s="275"/>
      <c r="W227" s="275"/>
      <c r="X227" s="275"/>
      <c r="Y227" s="275"/>
      <c r="Z227" s="275"/>
      <c r="AA227" s="275"/>
      <c r="AB227" s="275"/>
      <c r="AC227" s="275"/>
      <c r="AD227" s="275"/>
      <c r="AE227" s="275"/>
      <c r="AF227" s="275"/>
      <c r="AG227" s="275"/>
      <c r="AH227" s="275"/>
      <c r="AJ227" s="275"/>
      <c r="AK227" s="275"/>
      <c r="AL227" s="275"/>
      <c r="AM227" s="275"/>
      <c r="AN227" s="275"/>
      <c r="AO227" s="275"/>
      <c r="AQ227" s="275"/>
      <c r="AR227" s="275"/>
      <c r="AS227" s="275"/>
      <c r="AT227" s="275"/>
      <c r="AU227" s="275"/>
      <c r="AV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D227" s="275"/>
      <c r="EE227" s="275"/>
      <c r="EF227" s="275"/>
      <c r="EG227" s="275"/>
      <c r="EH227" s="275"/>
      <c r="EI227" s="275"/>
      <c r="EJ227" s="275"/>
      <c r="EK227" s="275"/>
      <c r="EL227" s="275"/>
      <c r="EM227" s="275"/>
      <c r="EN227" s="275"/>
      <c r="EO227" s="275"/>
      <c r="EP227" s="275"/>
      <c r="EQ227" s="275"/>
      <c r="ER227" s="275"/>
      <c r="ES227" s="275"/>
      <c r="ET227" s="275"/>
      <c r="EU227"/>
      <c r="EV227"/>
      <c r="EW227" s="275"/>
      <c r="EX227" s="275"/>
      <c r="EY227" s="275"/>
      <c r="EZ227" s="275"/>
      <c r="FA227" s="275"/>
      <c r="FB227" s="275"/>
      <c r="FC227" s="275"/>
      <c r="FD227" s="275"/>
      <c r="FE227" s="275"/>
      <c r="FF227" s="275"/>
      <c r="FG227" s="275"/>
      <c r="FH227" s="275"/>
      <c r="FI227" s="275"/>
      <c r="FJ227" s="275"/>
      <c r="FK227" s="275"/>
      <c r="FL227" s="275"/>
      <c r="FM227" s="275"/>
      <c r="FN227" s="275"/>
      <c r="FO227" s="275"/>
      <c r="FP227" s="275"/>
      <c r="FQ227" s="275"/>
      <c r="FR227" s="275"/>
      <c r="FS227" s="275"/>
      <c r="FT227" s="275"/>
      <c r="FU227" s="275"/>
      <c r="FV227" s="275"/>
      <c r="FW227" s="275"/>
      <c r="FX227" s="275"/>
      <c r="FY227" s="275"/>
      <c r="FZ227" s="275"/>
      <c r="GA227" s="275"/>
      <c r="GB227" s="275"/>
      <c r="GC227" s="275"/>
      <c r="GD227" s="275"/>
      <c r="GE227" s="275"/>
      <c r="GF227" s="275"/>
      <c r="GG227" s="275"/>
      <c r="GH227" s="275"/>
      <c r="GI227" s="275"/>
      <c r="GJ227" s="275"/>
      <c r="GK227" s="275"/>
      <c r="GL227" s="275"/>
      <c r="GM227" s="275"/>
      <c r="GN227" s="275"/>
      <c r="GO227" s="275"/>
      <c r="GP227" s="275"/>
      <c r="GQ227" s="275"/>
      <c r="GR227" s="275"/>
      <c r="GS227" s="275"/>
      <c r="GT227" s="275"/>
      <c r="GU227" s="275"/>
      <c r="GV227" s="275"/>
      <c r="GW227" s="275"/>
      <c r="GX227" s="275"/>
      <c r="GY227" s="275"/>
      <c r="GZ227" s="275"/>
      <c r="HA227" s="275"/>
      <c r="HB227" s="275"/>
      <c r="HC227" s="275"/>
      <c r="HD227" s="275"/>
      <c r="HE227" s="275"/>
      <c r="HF227" s="275"/>
      <c r="HG227" s="275"/>
      <c r="HH227" s="275"/>
      <c r="HI227" s="275"/>
      <c r="HJ227" s="275"/>
      <c r="HK227" s="275"/>
      <c r="HL227" s="275"/>
      <c r="HM227" s="275"/>
      <c r="HN227" s="275"/>
      <c r="HO227" s="275"/>
      <c r="HP227" s="275"/>
      <c r="HQ227" s="275"/>
      <c r="HR227" s="275"/>
    </row>
    <row r="228" spans="1:226" s="297" customFormat="1">
      <c r="A228" s="275"/>
      <c r="B228" s="21"/>
      <c r="C228" s="21"/>
      <c r="D228" s="21"/>
      <c r="E228" s="21"/>
      <c r="F228" s="275"/>
      <c r="G228" s="275"/>
      <c r="H228" s="275"/>
      <c r="I228" s="275"/>
      <c r="J228" s="275"/>
      <c r="K228" s="275"/>
      <c r="L228" s="275"/>
      <c r="M228" s="275"/>
      <c r="N228" s="275"/>
      <c r="O228" s="275"/>
      <c r="P228" s="275"/>
      <c r="Q228" s="275"/>
      <c r="R228" s="275"/>
      <c r="S228" s="275"/>
      <c r="T228" s="275"/>
      <c r="U228" s="275"/>
      <c r="V228" s="275"/>
      <c r="W228" s="275"/>
      <c r="X228" s="275"/>
      <c r="Y228" s="275"/>
      <c r="Z228" s="275"/>
      <c r="AA228" s="275"/>
      <c r="AB228" s="275"/>
      <c r="AC228" s="275"/>
      <c r="AD228" s="275"/>
      <c r="AE228" s="275"/>
      <c r="AF228" s="275"/>
      <c r="AG228" s="275"/>
      <c r="AH228" s="275"/>
      <c r="AJ228" s="275"/>
      <c r="AK228" s="275"/>
      <c r="AL228" s="275"/>
      <c r="AM228" s="275"/>
      <c r="AN228" s="275"/>
      <c r="AO228" s="275"/>
      <c r="AQ228" s="275"/>
      <c r="AR228" s="275"/>
      <c r="AS228" s="275"/>
      <c r="AT228" s="275"/>
      <c r="AU228" s="275"/>
      <c r="AV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D228" s="275"/>
      <c r="EE228" s="275"/>
      <c r="EF228" s="275"/>
      <c r="EG228" s="275"/>
      <c r="EH228" s="275"/>
      <c r="EI228" s="275"/>
      <c r="EJ228" s="275"/>
      <c r="EK228" s="275"/>
      <c r="EL228" s="275"/>
      <c r="EM228" s="275"/>
      <c r="EN228" s="275"/>
      <c r="EO228" s="275"/>
      <c r="EP228" s="275"/>
      <c r="EQ228" s="275"/>
      <c r="ER228" s="275"/>
      <c r="ES228" s="275"/>
      <c r="ET228" s="275"/>
      <c r="EU228"/>
      <c r="EV228"/>
      <c r="EW228" s="275"/>
      <c r="EX228" s="275"/>
      <c r="EY228" s="275"/>
      <c r="EZ228" s="275"/>
      <c r="FA228" s="275"/>
      <c r="FB228" s="275"/>
      <c r="FC228" s="275"/>
      <c r="FD228" s="275"/>
      <c r="FE228" s="275"/>
      <c r="FF228" s="275"/>
      <c r="FG228" s="275"/>
      <c r="FH228" s="275"/>
      <c r="FI228" s="275"/>
      <c r="FJ228" s="275"/>
      <c r="FK228" s="275"/>
      <c r="FL228" s="275"/>
      <c r="FM228" s="275"/>
      <c r="FN228" s="275"/>
      <c r="FO228" s="275"/>
      <c r="FP228" s="275"/>
      <c r="FQ228" s="275"/>
      <c r="FR228" s="275"/>
      <c r="FS228" s="275"/>
      <c r="FT228" s="275"/>
      <c r="FU228" s="275"/>
      <c r="FV228" s="275"/>
      <c r="FW228" s="275"/>
      <c r="FX228" s="275"/>
      <c r="FY228" s="275"/>
      <c r="FZ228" s="275"/>
      <c r="GA228" s="275"/>
      <c r="GB228" s="275"/>
      <c r="GC228" s="275"/>
      <c r="GD228" s="275"/>
      <c r="GE228" s="275"/>
      <c r="GF228" s="275"/>
      <c r="GG228" s="275"/>
      <c r="GH228" s="275"/>
      <c r="GI228" s="275"/>
      <c r="GJ228" s="275"/>
      <c r="GK228" s="275"/>
      <c r="GL228" s="275"/>
      <c r="GM228" s="275"/>
      <c r="GN228" s="275"/>
      <c r="GO228" s="275"/>
      <c r="GP228" s="275"/>
      <c r="GQ228" s="275"/>
      <c r="GR228" s="275"/>
      <c r="GS228" s="275"/>
      <c r="GT228" s="275"/>
      <c r="GU228" s="275"/>
      <c r="GV228" s="275"/>
      <c r="GW228" s="275"/>
      <c r="GX228" s="275"/>
      <c r="GY228" s="275"/>
      <c r="GZ228" s="275"/>
      <c r="HA228" s="275"/>
      <c r="HB228" s="275"/>
      <c r="HC228" s="275"/>
      <c r="HD228" s="275"/>
      <c r="HE228" s="275"/>
      <c r="HF228" s="275"/>
      <c r="HG228" s="275"/>
      <c r="HH228" s="275"/>
      <c r="HI228" s="275"/>
      <c r="HJ228" s="275"/>
      <c r="HK228" s="275"/>
      <c r="HL228" s="275"/>
      <c r="HM228" s="275"/>
      <c r="HN228" s="275"/>
      <c r="HO228" s="275"/>
      <c r="HP228" s="275"/>
      <c r="HQ228" s="275"/>
      <c r="HR228" s="275"/>
    </row>
    <row r="229" spans="1:226" s="297" customFormat="1">
      <c r="A229" s="275"/>
      <c r="B229" s="21"/>
      <c r="C229" s="21"/>
      <c r="D229" s="21"/>
      <c r="E229" s="21"/>
      <c r="F229" s="275"/>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J229" s="275"/>
      <c r="AK229" s="275"/>
      <c r="AL229" s="275"/>
      <c r="AM229" s="275"/>
      <c r="AN229" s="275"/>
      <c r="AO229" s="275"/>
      <c r="AQ229" s="275"/>
      <c r="AR229" s="275"/>
      <c r="AS229" s="275"/>
      <c r="AT229" s="275"/>
      <c r="AU229" s="275"/>
      <c r="AV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D229" s="275"/>
      <c r="EE229" s="275"/>
      <c r="EF229" s="275"/>
      <c r="EG229" s="275"/>
      <c r="EH229" s="275"/>
      <c r="EI229" s="275"/>
      <c r="EJ229" s="275"/>
      <c r="EK229" s="275"/>
      <c r="EL229" s="275"/>
      <c r="EM229" s="275"/>
      <c r="EN229" s="275"/>
      <c r="EO229" s="275"/>
      <c r="EP229" s="275"/>
      <c r="EQ229" s="275"/>
      <c r="ER229" s="275"/>
      <c r="ES229" s="275"/>
      <c r="ET229" s="275"/>
      <c r="EU229"/>
      <c r="EV229"/>
      <c r="EW229" s="275"/>
      <c r="EX229" s="275"/>
      <c r="EY229" s="275"/>
      <c r="EZ229" s="275"/>
      <c r="FA229" s="275"/>
      <c r="FB229" s="275"/>
      <c r="FC229" s="275"/>
      <c r="FD229" s="275"/>
      <c r="FE229" s="275"/>
      <c r="FF229" s="275"/>
      <c r="FG229" s="275"/>
      <c r="FH229" s="275"/>
      <c r="FI229" s="275"/>
      <c r="FJ229" s="275"/>
      <c r="FK229" s="275"/>
      <c r="FL229" s="275"/>
      <c r="FM229" s="275"/>
      <c r="FN229" s="275"/>
      <c r="FO229" s="275"/>
      <c r="FP229" s="275"/>
      <c r="FQ229" s="275"/>
      <c r="FR229" s="275"/>
      <c r="FS229" s="275"/>
      <c r="FT229" s="275"/>
      <c r="FU229" s="275"/>
      <c r="FV229" s="275"/>
      <c r="FW229" s="275"/>
      <c r="FX229" s="275"/>
      <c r="FY229" s="275"/>
      <c r="FZ229" s="275"/>
      <c r="GA229" s="275"/>
      <c r="GB229" s="275"/>
      <c r="GC229" s="275"/>
      <c r="GD229" s="275"/>
      <c r="GE229" s="275"/>
      <c r="GF229" s="275"/>
      <c r="GG229" s="275"/>
      <c r="GH229" s="275"/>
      <c r="GI229" s="275"/>
      <c r="GJ229" s="275"/>
      <c r="GK229" s="275"/>
      <c r="GL229" s="275"/>
      <c r="GM229" s="275"/>
      <c r="GN229" s="275"/>
      <c r="GO229" s="275"/>
      <c r="GP229" s="275"/>
      <c r="GQ229" s="275"/>
      <c r="GR229" s="275"/>
      <c r="GS229" s="275"/>
      <c r="GT229" s="275"/>
      <c r="GU229" s="275"/>
      <c r="GV229" s="275"/>
      <c r="GW229" s="275"/>
      <c r="GX229" s="275"/>
      <c r="GY229" s="275"/>
      <c r="GZ229" s="275"/>
      <c r="HA229" s="275"/>
      <c r="HB229" s="275"/>
      <c r="HC229" s="275"/>
      <c r="HD229" s="275"/>
      <c r="HE229" s="275"/>
      <c r="HF229" s="275"/>
      <c r="HG229" s="275"/>
      <c r="HH229" s="275"/>
      <c r="HI229" s="275"/>
      <c r="HJ229" s="275"/>
      <c r="HK229" s="275"/>
      <c r="HL229" s="275"/>
      <c r="HM229" s="275"/>
      <c r="HN229" s="275"/>
      <c r="HO229" s="275"/>
      <c r="HP229" s="275"/>
      <c r="HQ229" s="275"/>
      <c r="HR229" s="275"/>
    </row>
    <row r="230" spans="1:226" s="297" customFormat="1">
      <c r="A230" s="275"/>
      <c r="B230" s="21"/>
      <c r="C230" s="21"/>
      <c r="D230" s="21"/>
      <c r="E230" s="21"/>
      <c r="F230" s="275"/>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J230" s="275"/>
      <c r="AK230" s="275"/>
      <c r="AL230" s="275"/>
      <c r="AM230" s="275"/>
      <c r="AN230" s="275"/>
      <c r="AO230" s="275"/>
      <c r="AQ230" s="275"/>
      <c r="AR230" s="275"/>
      <c r="AS230" s="275"/>
      <c r="AT230" s="275"/>
      <c r="AU230" s="275"/>
      <c r="AV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D230" s="275"/>
      <c r="EE230" s="275"/>
      <c r="EF230" s="275"/>
      <c r="EG230" s="275"/>
      <c r="EH230" s="275"/>
      <c r="EI230" s="275"/>
      <c r="EJ230" s="275"/>
      <c r="EK230" s="275"/>
      <c r="EL230" s="275"/>
      <c r="EM230" s="275"/>
      <c r="EN230" s="275"/>
      <c r="EO230" s="275"/>
      <c r="EP230" s="275"/>
      <c r="EQ230" s="275"/>
      <c r="ER230" s="275"/>
      <c r="ES230" s="275"/>
      <c r="ET230" s="275"/>
      <c r="EU230"/>
      <c r="EV230"/>
      <c r="EW230" s="275"/>
      <c r="EX230" s="275"/>
      <c r="EY230" s="275"/>
      <c r="EZ230" s="275"/>
      <c r="FA230" s="275"/>
      <c r="FB230" s="275"/>
      <c r="FC230" s="275"/>
      <c r="FD230" s="275"/>
      <c r="FE230" s="275"/>
      <c r="FF230" s="275"/>
      <c r="FG230" s="275"/>
      <c r="FH230" s="275"/>
      <c r="FI230" s="275"/>
      <c r="FJ230" s="275"/>
      <c r="FK230" s="275"/>
      <c r="FL230" s="275"/>
      <c r="FM230" s="275"/>
      <c r="FN230" s="275"/>
      <c r="FO230" s="275"/>
      <c r="FP230" s="275"/>
      <c r="FQ230" s="275"/>
      <c r="FR230" s="275"/>
      <c r="FS230" s="275"/>
      <c r="FT230" s="275"/>
      <c r="FU230" s="275"/>
      <c r="FV230" s="275"/>
      <c r="FW230" s="275"/>
      <c r="FX230" s="275"/>
      <c r="FY230" s="275"/>
      <c r="FZ230" s="275"/>
      <c r="GA230" s="275"/>
      <c r="GB230" s="275"/>
      <c r="GC230" s="275"/>
      <c r="GD230" s="275"/>
      <c r="GE230" s="275"/>
      <c r="GF230" s="275"/>
      <c r="GG230" s="275"/>
      <c r="GH230" s="275"/>
      <c r="GI230" s="275"/>
      <c r="GJ230" s="275"/>
      <c r="GK230" s="275"/>
      <c r="GL230" s="275"/>
      <c r="GM230" s="275"/>
      <c r="GN230" s="275"/>
      <c r="GO230" s="275"/>
      <c r="GP230" s="275"/>
      <c r="GQ230" s="275"/>
      <c r="GR230" s="275"/>
      <c r="GS230" s="275"/>
      <c r="GT230" s="275"/>
      <c r="GU230" s="275"/>
      <c r="GV230" s="275"/>
      <c r="GW230" s="275"/>
      <c r="GX230" s="275"/>
      <c r="GY230" s="275"/>
      <c r="GZ230" s="275"/>
      <c r="HA230" s="275"/>
      <c r="HB230" s="275"/>
      <c r="HC230" s="275"/>
      <c r="HD230" s="275"/>
      <c r="HE230" s="275"/>
      <c r="HF230" s="275"/>
      <c r="HG230" s="275"/>
      <c r="HH230" s="275"/>
      <c r="HI230" s="275"/>
      <c r="HJ230" s="275"/>
      <c r="HK230" s="275"/>
      <c r="HL230" s="275"/>
      <c r="HM230" s="275"/>
      <c r="HN230" s="275"/>
      <c r="HO230" s="275"/>
      <c r="HP230" s="275"/>
      <c r="HQ230" s="275"/>
      <c r="HR230" s="275"/>
    </row>
    <row r="231" spans="1:226" s="297" customFormat="1">
      <c r="A231" s="275"/>
      <c r="B231" s="21"/>
      <c r="C231" s="21"/>
      <c r="D231" s="21"/>
      <c r="E231" s="21"/>
      <c r="F231" s="275"/>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J231" s="275"/>
      <c r="AK231" s="275"/>
      <c r="AL231" s="275"/>
      <c r="AM231" s="275"/>
      <c r="AN231" s="275"/>
      <c r="AO231" s="275"/>
      <c r="AQ231" s="275"/>
      <c r="AR231" s="275"/>
      <c r="AS231" s="275"/>
      <c r="AT231" s="275"/>
      <c r="AU231" s="275"/>
      <c r="AV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D231" s="275"/>
      <c r="EE231" s="275"/>
      <c r="EF231" s="275"/>
      <c r="EG231" s="275"/>
      <c r="EH231" s="275"/>
      <c r="EI231" s="275"/>
      <c r="EJ231" s="275"/>
      <c r="EK231" s="275"/>
      <c r="EL231" s="275"/>
      <c r="EM231" s="275"/>
      <c r="EN231" s="275"/>
      <c r="EO231" s="275"/>
      <c r="EP231" s="275"/>
      <c r="EQ231" s="275"/>
      <c r="ER231" s="275"/>
      <c r="ES231" s="275"/>
      <c r="ET231" s="275"/>
      <c r="EU231"/>
      <c r="EV231"/>
      <c r="EW231" s="275"/>
      <c r="EX231" s="275"/>
      <c r="EY231" s="275"/>
      <c r="EZ231" s="275"/>
      <c r="FA231" s="275"/>
      <c r="FB231" s="275"/>
      <c r="FC231" s="275"/>
      <c r="FD231" s="275"/>
      <c r="FE231" s="275"/>
      <c r="FF231" s="275"/>
      <c r="FG231" s="275"/>
      <c r="FH231" s="275"/>
      <c r="FI231" s="275"/>
      <c r="FJ231" s="275"/>
      <c r="FK231" s="275"/>
      <c r="FL231" s="275"/>
      <c r="FM231" s="275"/>
      <c r="FN231" s="275"/>
      <c r="FO231" s="275"/>
      <c r="FP231" s="275"/>
      <c r="FQ231" s="275"/>
      <c r="FR231" s="275"/>
      <c r="FS231" s="275"/>
      <c r="FT231" s="275"/>
      <c r="FU231" s="275"/>
      <c r="FV231" s="275"/>
      <c r="FW231" s="275"/>
      <c r="FX231" s="275"/>
      <c r="FY231" s="275"/>
      <c r="FZ231" s="275"/>
      <c r="GA231" s="275"/>
      <c r="GB231" s="275"/>
      <c r="GC231" s="275"/>
      <c r="GD231" s="275"/>
      <c r="GE231" s="275"/>
      <c r="GF231" s="275"/>
      <c r="GG231" s="275"/>
      <c r="GH231" s="275"/>
      <c r="GI231" s="275"/>
      <c r="GJ231" s="275"/>
      <c r="GK231" s="275"/>
      <c r="GL231" s="275"/>
      <c r="GM231" s="275"/>
      <c r="GN231" s="275"/>
      <c r="GO231" s="275"/>
      <c r="GP231" s="275"/>
      <c r="GQ231" s="275"/>
      <c r="GR231" s="275"/>
      <c r="GS231" s="275"/>
      <c r="GT231" s="275"/>
      <c r="GU231" s="275"/>
      <c r="GV231" s="275"/>
      <c r="GW231" s="275"/>
      <c r="GX231" s="275"/>
      <c r="GY231" s="275"/>
      <c r="GZ231" s="275"/>
      <c r="HA231" s="275"/>
      <c r="HB231" s="275"/>
      <c r="HC231" s="275"/>
      <c r="HD231" s="275"/>
      <c r="HE231" s="275"/>
      <c r="HF231" s="275"/>
      <c r="HG231" s="275"/>
      <c r="HH231" s="275"/>
      <c r="HI231" s="275"/>
      <c r="HJ231" s="275"/>
      <c r="HK231" s="275"/>
      <c r="HL231" s="275"/>
      <c r="HM231" s="275"/>
      <c r="HN231" s="275"/>
      <c r="HO231" s="275"/>
      <c r="HP231" s="275"/>
      <c r="HQ231" s="275"/>
      <c r="HR231" s="275"/>
    </row>
    <row r="232" spans="1:226" s="297" customFormat="1">
      <c r="A232" s="275"/>
      <c r="B232" s="21"/>
      <c r="C232" s="21"/>
      <c r="D232" s="21"/>
      <c r="E232" s="21"/>
      <c r="F232" s="275"/>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J232" s="275"/>
      <c r="AK232" s="275"/>
      <c r="AL232" s="275"/>
      <c r="AM232" s="275"/>
      <c r="AN232" s="275"/>
      <c r="AO232" s="275"/>
      <c r="AQ232" s="275"/>
      <c r="AR232" s="275"/>
      <c r="AS232" s="275"/>
      <c r="AT232" s="275"/>
      <c r="AU232" s="275"/>
      <c r="AV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D232" s="275"/>
      <c r="EE232" s="275"/>
      <c r="EF232" s="275"/>
      <c r="EG232" s="275"/>
      <c r="EH232" s="275"/>
      <c r="EI232" s="275"/>
      <c r="EJ232" s="275"/>
      <c r="EK232" s="275"/>
      <c r="EL232" s="275"/>
      <c r="EM232" s="275"/>
      <c r="EN232" s="275"/>
      <c r="EO232" s="275"/>
      <c r="EP232" s="275"/>
      <c r="EQ232" s="275"/>
      <c r="ER232" s="275"/>
      <c r="ES232" s="275"/>
      <c r="ET232" s="275"/>
      <c r="EU232"/>
      <c r="EV232"/>
      <c r="EW232" s="275"/>
      <c r="EX232" s="275"/>
      <c r="EY232" s="275"/>
      <c r="EZ232" s="275"/>
      <c r="FA232" s="275"/>
      <c r="FB232" s="275"/>
      <c r="FC232" s="275"/>
      <c r="FD232" s="275"/>
      <c r="FE232" s="275"/>
      <c r="FF232" s="275"/>
      <c r="FG232" s="275"/>
      <c r="FH232" s="275"/>
      <c r="FI232" s="275"/>
      <c r="FJ232" s="275"/>
      <c r="FK232" s="275"/>
      <c r="FL232" s="275"/>
      <c r="FM232" s="275"/>
      <c r="FN232" s="275"/>
      <c r="FO232" s="275"/>
      <c r="FP232" s="275"/>
      <c r="FQ232" s="275"/>
      <c r="FR232" s="275"/>
      <c r="FS232" s="275"/>
      <c r="FT232" s="275"/>
      <c r="FU232" s="275"/>
      <c r="FV232" s="275"/>
      <c r="FW232" s="275"/>
      <c r="FX232" s="275"/>
      <c r="FY232" s="275"/>
      <c r="FZ232" s="275"/>
      <c r="GA232" s="275"/>
      <c r="GB232" s="275"/>
      <c r="GC232" s="275"/>
      <c r="GD232" s="275"/>
      <c r="GE232" s="275"/>
      <c r="GF232" s="275"/>
      <c r="GG232" s="275"/>
      <c r="GH232" s="275"/>
      <c r="GI232" s="275"/>
      <c r="GJ232" s="275"/>
      <c r="GK232" s="275"/>
      <c r="GL232" s="275"/>
      <c r="GM232" s="275"/>
      <c r="GN232" s="275"/>
      <c r="GO232" s="275"/>
      <c r="GP232" s="275"/>
      <c r="GQ232" s="275"/>
      <c r="GR232" s="275"/>
      <c r="GS232" s="275"/>
      <c r="GT232" s="275"/>
      <c r="GU232" s="275"/>
      <c r="GV232" s="275"/>
      <c r="GW232" s="275"/>
      <c r="GX232" s="275"/>
      <c r="GY232" s="275"/>
      <c r="GZ232" s="275"/>
      <c r="HA232" s="275"/>
      <c r="HB232" s="275"/>
      <c r="HC232" s="275"/>
      <c r="HD232" s="275"/>
      <c r="HE232" s="275"/>
      <c r="HF232" s="275"/>
      <c r="HG232" s="275"/>
      <c r="HH232" s="275"/>
      <c r="HI232" s="275"/>
      <c r="HJ232" s="275"/>
      <c r="HK232" s="275"/>
      <c r="HL232" s="275"/>
      <c r="HM232" s="275"/>
      <c r="HN232" s="275"/>
      <c r="HO232" s="275"/>
      <c r="HP232" s="275"/>
      <c r="HQ232" s="275"/>
      <c r="HR232" s="275"/>
    </row>
    <row r="233" spans="1:226" s="297" customFormat="1">
      <c r="A233" s="275"/>
      <c r="B233" s="21"/>
      <c r="C233" s="21"/>
      <c r="D233" s="21"/>
      <c r="E233" s="21"/>
      <c r="F233" s="275"/>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J233" s="275"/>
      <c r="AK233" s="275"/>
      <c r="AL233" s="275"/>
      <c r="AM233" s="275"/>
      <c r="AN233" s="275"/>
      <c r="AO233" s="275"/>
      <c r="AQ233" s="275"/>
      <c r="AR233" s="275"/>
      <c r="AS233" s="275"/>
      <c r="AT233" s="275"/>
      <c r="AU233" s="275"/>
      <c r="AV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D233" s="275"/>
      <c r="EE233" s="275"/>
      <c r="EF233" s="275"/>
      <c r="EG233" s="275"/>
      <c r="EH233" s="275"/>
      <c r="EI233" s="275"/>
      <c r="EJ233" s="275"/>
      <c r="EK233" s="275"/>
      <c r="EL233" s="275"/>
      <c r="EM233" s="275"/>
      <c r="EN233" s="275"/>
      <c r="EO233" s="275"/>
      <c r="EP233" s="275"/>
      <c r="EQ233" s="275"/>
      <c r="ER233" s="275"/>
      <c r="ES233" s="275"/>
      <c r="ET233" s="275"/>
      <c r="EU233"/>
      <c r="EV233"/>
      <c r="EW233" s="275"/>
      <c r="EX233" s="275"/>
      <c r="EY233" s="275"/>
      <c r="EZ233" s="275"/>
      <c r="FA233" s="275"/>
      <c r="FB233" s="275"/>
      <c r="FC233" s="275"/>
      <c r="FD233" s="275"/>
      <c r="FE233" s="275"/>
      <c r="FF233" s="275"/>
      <c r="FG233" s="275"/>
      <c r="FH233" s="275"/>
      <c r="FI233" s="275"/>
      <c r="FJ233" s="275"/>
      <c r="FK233" s="275"/>
      <c r="FL233" s="275"/>
      <c r="FM233" s="275"/>
      <c r="FN233" s="275"/>
      <c r="FO233" s="275"/>
      <c r="FP233" s="275"/>
      <c r="FQ233" s="275"/>
      <c r="FR233" s="275"/>
      <c r="FS233" s="275"/>
      <c r="FT233" s="275"/>
      <c r="FU233" s="275"/>
      <c r="FV233" s="275"/>
      <c r="FW233" s="275"/>
      <c r="FX233" s="275"/>
      <c r="FY233" s="275"/>
      <c r="FZ233" s="275"/>
      <c r="GA233" s="275"/>
      <c r="GB233" s="275"/>
      <c r="GC233" s="275"/>
      <c r="GD233" s="275"/>
      <c r="GE233" s="275"/>
      <c r="GF233" s="275"/>
      <c r="GG233" s="275"/>
      <c r="GH233" s="275"/>
      <c r="GI233" s="275"/>
      <c r="GJ233" s="275"/>
      <c r="GK233" s="275"/>
      <c r="GL233" s="275"/>
      <c r="GM233" s="275"/>
      <c r="GN233" s="275"/>
      <c r="GO233" s="275"/>
      <c r="GP233" s="275"/>
      <c r="GQ233" s="275"/>
      <c r="GR233" s="275"/>
      <c r="GS233" s="275"/>
      <c r="GT233" s="275"/>
      <c r="GU233" s="275"/>
      <c r="GV233" s="275"/>
      <c r="GW233" s="275"/>
      <c r="GX233" s="275"/>
      <c r="GY233" s="275"/>
      <c r="GZ233" s="275"/>
      <c r="HA233" s="275"/>
      <c r="HB233" s="275"/>
      <c r="HC233" s="275"/>
      <c r="HD233" s="275"/>
      <c r="HE233" s="275"/>
      <c r="HF233" s="275"/>
      <c r="HG233" s="275"/>
      <c r="HH233" s="275"/>
      <c r="HI233" s="275"/>
      <c r="HJ233" s="275"/>
      <c r="HK233" s="275"/>
      <c r="HL233" s="275"/>
      <c r="HM233" s="275"/>
      <c r="HN233" s="275"/>
      <c r="HO233" s="275"/>
      <c r="HP233" s="275"/>
      <c r="HQ233" s="275"/>
      <c r="HR233" s="275"/>
    </row>
    <row r="234" spans="1:226" s="297" customFormat="1">
      <c r="A234" s="275"/>
      <c r="B234" s="21"/>
      <c r="C234" s="21"/>
      <c r="D234" s="21"/>
      <c r="E234" s="21"/>
      <c r="F234" s="275"/>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J234" s="275"/>
      <c r="AK234" s="275"/>
      <c r="AL234" s="275"/>
      <c r="AM234" s="275"/>
      <c r="AN234" s="275"/>
      <c r="AO234" s="275"/>
      <c r="AQ234" s="275"/>
      <c r="AR234" s="275"/>
      <c r="AS234" s="275"/>
      <c r="AT234" s="275"/>
      <c r="AU234" s="275"/>
      <c r="AV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D234" s="275"/>
      <c r="EE234" s="275"/>
      <c r="EF234" s="275"/>
      <c r="EG234" s="275"/>
      <c r="EH234" s="275"/>
      <c r="EI234" s="275"/>
      <c r="EJ234" s="275"/>
      <c r="EK234" s="275"/>
      <c r="EL234" s="275"/>
      <c r="EM234" s="275"/>
      <c r="EN234" s="275"/>
      <c r="EO234" s="275"/>
      <c r="EP234" s="275"/>
      <c r="EQ234" s="275"/>
      <c r="ER234" s="275"/>
      <c r="ES234" s="275"/>
      <c r="ET234" s="275"/>
      <c r="EU234"/>
      <c r="EV234"/>
      <c r="EW234" s="275"/>
      <c r="EX234" s="275"/>
      <c r="EY234" s="275"/>
      <c r="EZ234" s="275"/>
      <c r="FA234" s="275"/>
      <c r="FB234" s="275"/>
      <c r="FC234" s="275"/>
      <c r="FD234" s="275"/>
      <c r="FE234" s="275"/>
      <c r="FF234" s="275"/>
      <c r="FG234" s="275"/>
      <c r="FH234" s="275"/>
      <c r="FI234" s="275"/>
      <c r="FJ234" s="275"/>
      <c r="FK234" s="275"/>
      <c r="FL234" s="275"/>
      <c r="FM234" s="275"/>
      <c r="FN234" s="275"/>
      <c r="FO234" s="275"/>
      <c r="FP234" s="275"/>
      <c r="FQ234" s="275"/>
      <c r="FR234" s="275"/>
      <c r="FS234" s="275"/>
      <c r="FT234" s="275"/>
      <c r="FU234" s="275"/>
      <c r="FV234" s="275"/>
      <c r="FW234" s="275"/>
      <c r="FX234" s="275"/>
      <c r="FY234" s="275"/>
      <c r="FZ234" s="275"/>
      <c r="GA234" s="275"/>
      <c r="GB234" s="275"/>
      <c r="GC234" s="275"/>
      <c r="GD234" s="275"/>
      <c r="GE234" s="275"/>
      <c r="GF234" s="275"/>
      <c r="GG234" s="275"/>
      <c r="GH234" s="275"/>
      <c r="GI234" s="275"/>
      <c r="GJ234" s="275"/>
      <c r="GK234" s="275"/>
      <c r="GL234" s="275"/>
      <c r="GM234" s="275"/>
      <c r="GN234" s="275"/>
      <c r="GO234" s="275"/>
      <c r="GP234" s="275"/>
      <c r="GQ234" s="275"/>
      <c r="GR234" s="275"/>
      <c r="GS234" s="275"/>
      <c r="GT234" s="275"/>
      <c r="GU234" s="275"/>
      <c r="GV234" s="275"/>
      <c r="GW234" s="275"/>
      <c r="GX234" s="275"/>
      <c r="GY234" s="275"/>
      <c r="GZ234" s="275"/>
      <c r="HA234" s="275"/>
      <c r="HB234" s="275"/>
      <c r="HC234" s="275"/>
      <c r="HD234" s="275"/>
      <c r="HE234" s="275"/>
      <c r="HF234" s="275"/>
      <c r="HG234" s="275"/>
      <c r="HH234" s="275"/>
      <c r="HI234" s="275"/>
      <c r="HJ234" s="275"/>
      <c r="HK234" s="275"/>
      <c r="HL234" s="275"/>
      <c r="HM234" s="275"/>
      <c r="HN234" s="275"/>
      <c r="HO234" s="275"/>
      <c r="HP234" s="275"/>
      <c r="HQ234" s="275"/>
      <c r="HR234" s="275"/>
    </row>
    <row r="235" spans="1:226" s="297" customFormat="1">
      <c r="A235" s="275"/>
      <c r="B235" s="21"/>
      <c r="C235" s="21"/>
      <c r="D235" s="21"/>
      <c r="E235" s="21"/>
      <c r="F235" s="275"/>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J235" s="275"/>
      <c r="AK235" s="275"/>
      <c r="AL235" s="275"/>
      <c r="AM235" s="275"/>
      <c r="AN235" s="275"/>
      <c r="AO235" s="275"/>
      <c r="AQ235" s="275"/>
      <c r="AR235" s="275"/>
      <c r="AS235" s="275"/>
      <c r="AT235" s="275"/>
      <c r="AU235" s="275"/>
      <c r="AV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D235" s="275"/>
      <c r="EE235" s="275"/>
      <c r="EF235" s="275"/>
      <c r="EG235" s="275"/>
      <c r="EH235" s="275"/>
      <c r="EI235" s="275"/>
      <c r="EJ235" s="275"/>
      <c r="EK235" s="275"/>
      <c r="EL235" s="275"/>
      <c r="EM235" s="275"/>
      <c r="EN235" s="275"/>
      <c r="EO235" s="275"/>
      <c r="EP235" s="275"/>
      <c r="EQ235" s="275"/>
      <c r="ER235" s="275"/>
      <c r="ES235" s="275"/>
      <c r="ET235" s="275"/>
      <c r="EU235"/>
      <c r="EV235"/>
      <c r="EW235" s="275"/>
      <c r="EX235" s="275"/>
      <c r="EY235" s="275"/>
      <c r="EZ235" s="275"/>
      <c r="FA235" s="275"/>
      <c r="FB235" s="275"/>
      <c r="FC235" s="275"/>
      <c r="FD235" s="275"/>
      <c r="FE235" s="275"/>
      <c r="FF235" s="275"/>
      <c r="FG235" s="275"/>
      <c r="FH235" s="275"/>
      <c r="FI235" s="275"/>
      <c r="FJ235" s="275"/>
      <c r="FK235" s="275"/>
      <c r="FL235" s="275"/>
      <c r="FM235" s="275"/>
      <c r="FN235" s="275"/>
      <c r="FO235" s="275"/>
      <c r="FP235" s="275"/>
      <c r="FQ235" s="275"/>
      <c r="FR235" s="275"/>
      <c r="FS235" s="275"/>
      <c r="FT235" s="275"/>
      <c r="FU235" s="275"/>
      <c r="FV235" s="275"/>
      <c r="FW235" s="275"/>
      <c r="FX235" s="275"/>
      <c r="FY235" s="275"/>
      <c r="FZ235" s="275"/>
      <c r="GA235" s="275"/>
      <c r="GB235" s="275"/>
      <c r="GC235" s="275"/>
      <c r="GD235" s="275"/>
      <c r="GE235" s="275"/>
      <c r="GF235" s="275"/>
      <c r="GG235" s="275"/>
      <c r="GH235" s="275"/>
      <c r="GI235" s="275"/>
      <c r="GJ235" s="275"/>
      <c r="GK235" s="275"/>
      <c r="GL235" s="275"/>
      <c r="GM235" s="275"/>
      <c r="GN235" s="275"/>
      <c r="GO235" s="275"/>
      <c r="GP235" s="275"/>
      <c r="GQ235" s="275"/>
      <c r="GR235" s="275"/>
      <c r="GS235" s="275"/>
      <c r="GT235" s="275"/>
      <c r="GU235" s="275"/>
      <c r="GV235" s="275"/>
      <c r="GW235" s="275"/>
      <c r="GX235" s="275"/>
      <c r="GY235" s="275"/>
      <c r="GZ235" s="275"/>
      <c r="HA235" s="275"/>
      <c r="HB235" s="275"/>
      <c r="HC235" s="275"/>
      <c r="HD235" s="275"/>
      <c r="HE235" s="275"/>
      <c r="HF235" s="275"/>
      <c r="HG235" s="275"/>
      <c r="HH235" s="275"/>
      <c r="HI235" s="275"/>
      <c r="HJ235" s="275"/>
      <c r="HK235" s="275"/>
      <c r="HL235" s="275"/>
      <c r="HM235" s="275"/>
      <c r="HN235" s="275"/>
      <c r="HO235" s="275"/>
      <c r="HP235" s="275"/>
      <c r="HQ235" s="275"/>
      <c r="HR235" s="275"/>
    </row>
    <row r="236" spans="1:226" s="297" customFormat="1">
      <c r="A236" s="275"/>
      <c r="B236" s="21"/>
      <c r="C236" s="21"/>
      <c r="D236" s="21"/>
      <c r="E236" s="21"/>
      <c r="F236" s="275"/>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J236" s="275"/>
      <c r="AK236" s="275"/>
      <c r="AL236" s="275"/>
      <c r="AM236" s="275"/>
      <c r="AN236" s="275"/>
      <c r="AO236" s="275"/>
      <c r="AQ236" s="275"/>
      <c r="AR236" s="275"/>
      <c r="AS236" s="275"/>
      <c r="AT236" s="275"/>
      <c r="AU236" s="275"/>
      <c r="AV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D236" s="275"/>
      <c r="EE236" s="275"/>
      <c r="EF236" s="275"/>
      <c r="EG236" s="275"/>
      <c r="EH236" s="275"/>
      <c r="EI236" s="275"/>
      <c r="EJ236" s="275"/>
      <c r="EK236" s="275"/>
      <c r="EL236" s="275"/>
      <c r="EM236" s="275"/>
      <c r="EN236" s="275"/>
      <c r="EO236" s="275"/>
      <c r="EP236" s="275"/>
      <c r="EQ236" s="275"/>
      <c r="ER236" s="275"/>
      <c r="ES236" s="275"/>
      <c r="ET236" s="275"/>
      <c r="EU236"/>
      <c r="EV236"/>
      <c r="EW236" s="275"/>
      <c r="EX236" s="275"/>
      <c r="EY236" s="275"/>
      <c r="EZ236" s="275"/>
      <c r="FA236" s="275"/>
      <c r="FB236" s="275"/>
      <c r="FC236" s="275"/>
      <c r="FD236" s="275"/>
      <c r="FE236" s="275"/>
      <c r="FF236" s="275"/>
      <c r="FG236" s="275"/>
      <c r="FH236" s="275"/>
      <c r="FI236" s="275"/>
      <c r="FJ236" s="275"/>
      <c r="FK236" s="275"/>
      <c r="FL236" s="275"/>
      <c r="FM236" s="275"/>
      <c r="FN236" s="275"/>
      <c r="FO236" s="275"/>
      <c r="FP236" s="275"/>
      <c r="FQ236" s="275"/>
      <c r="FR236" s="275"/>
      <c r="FS236" s="275"/>
      <c r="FT236" s="275"/>
      <c r="FU236" s="275"/>
      <c r="FV236" s="275"/>
      <c r="FW236" s="275"/>
      <c r="FX236" s="275"/>
      <c r="FY236" s="275"/>
      <c r="FZ236" s="275"/>
      <c r="GA236" s="275"/>
      <c r="GB236" s="275"/>
      <c r="GC236" s="275"/>
      <c r="GD236" s="275"/>
      <c r="GE236" s="275"/>
      <c r="GF236" s="275"/>
      <c r="GG236" s="275"/>
      <c r="GH236" s="275"/>
      <c r="GI236" s="275"/>
      <c r="GJ236" s="275"/>
      <c r="GK236" s="275"/>
      <c r="GL236" s="275"/>
      <c r="GM236" s="275"/>
      <c r="GN236" s="275"/>
      <c r="GO236" s="275"/>
      <c r="GP236" s="275"/>
      <c r="GQ236" s="275"/>
      <c r="GR236" s="275"/>
      <c r="GS236" s="275"/>
      <c r="GT236" s="275"/>
      <c r="GU236" s="275"/>
      <c r="GV236" s="275"/>
      <c r="GW236" s="275"/>
      <c r="GX236" s="275"/>
      <c r="GY236" s="275"/>
      <c r="GZ236" s="275"/>
      <c r="HA236" s="275"/>
      <c r="HB236" s="275"/>
      <c r="HC236" s="275"/>
      <c r="HD236" s="275"/>
      <c r="HE236" s="275"/>
      <c r="HF236" s="275"/>
      <c r="HG236" s="275"/>
      <c r="HH236" s="275"/>
      <c r="HI236" s="275"/>
      <c r="HJ236" s="275"/>
      <c r="HK236" s="275"/>
      <c r="HL236" s="275"/>
      <c r="HM236" s="275"/>
      <c r="HN236" s="275"/>
      <c r="HO236" s="275"/>
      <c r="HP236" s="275"/>
      <c r="HQ236" s="275"/>
      <c r="HR236" s="275"/>
    </row>
    <row r="237" spans="1:226" s="297" customFormat="1">
      <c r="A237" s="275"/>
      <c r="B237" s="21"/>
      <c r="C237" s="21"/>
      <c r="D237" s="21"/>
      <c r="E237" s="21"/>
      <c r="F237" s="275"/>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J237" s="275"/>
      <c r="AK237" s="275"/>
      <c r="AL237" s="275"/>
      <c r="AM237" s="275"/>
      <c r="AN237" s="275"/>
      <c r="AO237" s="275"/>
      <c r="AQ237" s="275"/>
      <c r="AR237" s="275"/>
      <c r="AS237" s="275"/>
      <c r="AT237" s="275"/>
      <c r="AU237" s="275"/>
      <c r="AV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D237" s="275"/>
      <c r="EE237" s="275"/>
      <c r="EF237" s="275"/>
      <c r="EG237" s="275"/>
      <c r="EH237" s="275"/>
      <c r="EI237" s="275"/>
      <c r="EJ237" s="275"/>
      <c r="EK237" s="275"/>
      <c r="EL237" s="275"/>
      <c r="EM237" s="275"/>
      <c r="EN237" s="275"/>
      <c r="EO237" s="275"/>
      <c r="EP237" s="275"/>
      <c r="EQ237" s="275"/>
      <c r="ER237" s="275"/>
      <c r="ES237" s="275"/>
      <c r="ET237" s="275"/>
      <c r="EU237"/>
      <c r="EV237"/>
      <c r="EW237" s="275"/>
      <c r="EX237" s="275"/>
      <c r="EY237" s="275"/>
      <c r="EZ237" s="275"/>
      <c r="FA237" s="275"/>
      <c r="FB237" s="275"/>
      <c r="FC237" s="275"/>
      <c r="FD237" s="275"/>
      <c r="FE237" s="275"/>
      <c r="FF237" s="275"/>
      <c r="FG237" s="275"/>
      <c r="FH237" s="275"/>
      <c r="FI237" s="275"/>
      <c r="FJ237" s="275"/>
      <c r="FK237" s="275"/>
      <c r="FL237" s="275"/>
      <c r="FM237" s="275"/>
      <c r="FN237" s="275"/>
      <c r="FO237" s="275"/>
      <c r="FP237" s="275"/>
      <c r="FQ237" s="275"/>
      <c r="FR237" s="275"/>
      <c r="FS237" s="275"/>
      <c r="FT237" s="275"/>
      <c r="FU237" s="275"/>
      <c r="FV237" s="275"/>
      <c r="FW237" s="275"/>
      <c r="FX237" s="275"/>
      <c r="FY237" s="275"/>
      <c r="FZ237" s="275"/>
      <c r="GA237" s="275"/>
      <c r="GB237" s="275"/>
      <c r="GC237" s="275"/>
      <c r="GD237" s="275"/>
      <c r="GE237" s="275"/>
      <c r="GF237" s="275"/>
      <c r="GG237" s="275"/>
      <c r="GH237" s="275"/>
      <c r="GI237" s="275"/>
      <c r="GJ237" s="275"/>
      <c r="GK237" s="275"/>
      <c r="GL237" s="275"/>
      <c r="GM237" s="275"/>
      <c r="GN237" s="275"/>
      <c r="GO237" s="275"/>
      <c r="GP237" s="275"/>
      <c r="GQ237" s="275"/>
      <c r="GR237" s="275"/>
      <c r="GS237" s="275"/>
      <c r="GT237" s="275"/>
      <c r="GU237" s="275"/>
      <c r="GV237" s="275"/>
      <c r="GW237" s="275"/>
      <c r="GX237" s="275"/>
      <c r="GY237" s="275"/>
      <c r="GZ237" s="275"/>
      <c r="HA237" s="275"/>
      <c r="HB237" s="275"/>
      <c r="HC237" s="275"/>
      <c r="HD237" s="275"/>
      <c r="HE237" s="275"/>
      <c r="HF237" s="275"/>
      <c r="HG237" s="275"/>
      <c r="HH237" s="275"/>
      <c r="HI237" s="275"/>
      <c r="HJ237" s="275"/>
      <c r="HK237" s="275"/>
      <c r="HL237" s="275"/>
      <c r="HM237" s="275"/>
      <c r="HN237" s="275"/>
      <c r="HO237" s="275"/>
      <c r="HP237" s="275"/>
      <c r="HQ237" s="275"/>
      <c r="HR237" s="275"/>
    </row>
    <row r="238" spans="1:226" s="297" customFormat="1">
      <c r="A238" s="275"/>
      <c r="B238" s="21"/>
      <c r="C238" s="21"/>
      <c r="D238" s="21"/>
      <c r="E238" s="21"/>
      <c r="F238" s="275"/>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J238" s="275"/>
      <c r="AK238" s="275"/>
      <c r="AL238" s="275"/>
      <c r="AM238" s="275"/>
      <c r="AN238" s="275"/>
      <c r="AO238" s="275"/>
      <c r="AQ238" s="275"/>
      <c r="AR238" s="275"/>
      <c r="AS238" s="275"/>
      <c r="AT238" s="275"/>
      <c r="AU238" s="275"/>
      <c r="AV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D238" s="275"/>
      <c r="EE238" s="275"/>
      <c r="EF238" s="275"/>
      <c r="EG238" s="275"/>
      <c r="EH238" s="275"/>
      <c r="EI238" s="275"/>
      <c r="EJ238" s="275"/>
      <c r="EK238" s="275"/>
      <c r="EL238" s="275"/>
      <c r="EM238" s="275"/>
      <c r="EN238" s="275"/>
      <c r="EO238" s="275"/>
      <c r="EP238" s="275"/>
      <c r="EQ238" s="275"/>
      <c r="ER238" s="275"/>
      <c r="ES238" s="275"/>
      <c r="ET238" s="275"/>
      <c r="EU238"/>
      <c r="EV238"/>
      <c r="EW238" s="275"/>
      <c r="EX238" s="275"/>
      <c r="EY238" s="275"/>
      <c r="EZ238" s="275"/>
      <c r="FA238" s="275"/>
      <c r="FB238" s="275"/>
      <c r="FC238" s="275"/>
      <c r="FD238" s="275"/>
      <c r="FE238" s="275"/>
      <c r="FF238" s="275"/>
      <c r="FG238" s="275"/>
      <c r="FH238" s="275"/>
      <c r="FI238" s="275"/>
      <c r="FJ238" s="275"/>
      <c r="FK238" s="275"/>
      <c r="FL238" s="275"/>
      <c r="FM238" s="275"/>
      <c r="FN238" s="275"/>
      <c r="FO238" s="275"/>
      <c r="FP238" s="275"/>
      <c r="FQ238" s="275"/>
      <c r="FR238" s="275"/>
      <c r="FS238" s="275"/>
      <c r="FT238" s="275"/>
      <c r="FU238" s="275"/>
      <c r="FV238" s="275"/>
      <c r="FW238" s="275"/>
      <c r="FX238" s="275"/>
      <c r="FY238" s="275"/>
      <c r="FZ238" s="275"/>
      <c r="GA238" s="275"/>
      <c r="GB238" s="275"/>
      <c r="GC238" s="275"/>
      <c r="GD238" s="275"/>
      <c r="GE238" s="275"/>
      <c r="GF238" s="275"/>
      <c r="GG238" s="275"/>
      <c r="GH238" s="275"/>
      <c r="GI238" s="275"/>
      <c r="GJ238" s="275"/>
      <c r="GK238" s="275"/>
      <c r="GL238" s="275"/>
      <c r="GM238" s="275"/>
      <c r="GN238" s="275"/>
      <c r="GO238" s="275"/>
      <c r="GP238" s="275"/>
      <c r="GQ238" s="275"/>
      <c r="GR238" s="275"/>
      <c r="GS238" s="275"/>
      <c r="GT238" s="275"/>
      <c r="GU238" s="275"/>
      <c r="GV238" s="275"/>
      <c r="GW238" s="275"/>
      <c r="GX238" s="275"/>
      <c r="GY238" s="275"/>
      <c r="GZ238" s="275"/>
      <c r="HA238" s="275"/>
      <c r="HB238" s="275"/>
      <c r="HC238" s="275"/>
      <c r="HD238" s="275"/>
      <c r="HE238" s="275"/>
      <c r="HF238" s="275"/>
      <c r="HG238" s="275"/>
      <c r="HH238" s="275"/>
      <c r="HI238" s="275"/>
      <c r="HJ238" s="275"/>
      <c r="HK238" s="275"/>
      <c r="HL238" s="275"/>
      <c r="HM238" s="275"/>
      <c r="HN238" s="275"/>
      <c r="HO238" s="275"/>
      <c r="HP238" s="275"/>
      <c r="HQ238" s="275"/>
      <c r="HR238" s="275"/>
    </row>
    <row r="239" spans="1:226" s="297" customFormat="1">
      <c r="A239" s="275"/>
      <c r="B239" s="21"/>
      <c r="C239" s="21"/>
      <c r="D239" s="21"/>
      <c r="E239" s="21"/>
      <c r="F239" s="275"/>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J239" s="275"/>
      <c r="AK239" s="275"/>
      <c r="AL239" s="275"/>
      <c r="AM239" s="275"/>
      <c r="AN239" s="275"/>
      <c r="AO239" s="275"/>
      <c r="AQ239" s="275"/>
      <c r="AR239" s="275"/>
      <c r="AS239" s="275"/>
      <c r="AT239" s="275"/>
      <c r="AU239" s="275"/>
      <c r="AV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D239" s="275"/>
      <c r="EE239" s="275"/>
      <c r="EF239" s="275"/>
      <c r="EG239" s="275"/>
      <c r="EH239" s="275"/>
      <c r="EI239" s="275"/>
      <c r="EJ239" s="275"/>
      <c r="EK239" s="275"/>
      <c r="EL239" s="275"/>
      <c r="EM239" s="275"/>
      <c r="EN239" s="275"/>
      <c r="EO239" s="275"/>
      <c r="EP239" s="275"/>
      <c r="EQ239" s="275"/>
      <c r="ER239" s="275"/>
      <c r="ES239" s="275"/>
      <c r="ET239" s="275"/>
      <c r="EU239"/>
      <c r="EV239"/>
      <c r="EW239" s="275"/>
      <c r="EX239" s="275"/>
      <c r="EY239" s="275"/>
      <c r="EZ239" s="275"/>
      <c r="FA239" s="275"/>
      <c r="FB239" s="275"/>
      <c r="FC239" s="275"/>
      <c r="FD239" s="275"/>
      <c r="FE239" s="275"/>
      <c r="FF239" s="275"/>
      <c r="FG239" s="275"/>
      <c r="FH239" s="275"/>
      <c r="FI239" s="275"/>
      <c r="FJ239" s="275"/>
      <c r="FK239" s="275"/>
      <c r="FL239" s="275"/>
      <c r="FM239" s="275"/>
      <c r="FN239" s="275"/>
      <c r="FO239" s="275"/>
      <c r="FP239" s="275"/>
      <c r="FQ239" s="275"/>
      <c r="FR239" s="275"/>
      <c r="FS239" s="275"/>
      <c r="FT239" s="275"/>
      <c r="FU239" s="275"/>
      <c r="FV239" s="275"/>
      <c r="FW239" s="275"/>
      <c r="FX239" s="275"/>
      <c r="FY239" s="275"/>
      <c r="FZ239" s="275"/>
      <c r="GA239" s="275"/>
      <c r="GB239" s="275"/>
      <c r="GC239" s="275"/>
      <c r="GD239" s="275"/>
      <c r="GE239" s="275"/>
      <c r="GF239" s="275"/>
      <c r="GG239" s="275"/>
      <c r="GH239" s="275"/>
      <c r="GI239" s="275"/>
      <c r="GJ239" s="275"/>
      <c r="GK239" s="275"/>
      <c r="GL239" s="275"/>
      <c r="GM239" s="275"/>
      <c r="GN239" s="275"/>
      <c r="GO239" s="275"/>
      <c r="GP239" s="275"/>
      <c r="GQ239" s="275"/>
      <c r="GR239" s="275"/>
      <c r="GS239" s="275"/>
      <c r="GT239" s="275"/>
      <c r="GU239" s="275"/>
      <c r="GV239" s="275"/>
      <c r="GW239" s="275"/>
      <c r="GX239" s="275"/>
      <c r="GY239" s="275"/>
      <c r="GZ239" s="275"/>
      <c r="HA239" s="275"/>
      <c r="HB239" s="275"/>
      <c r="HC239" s="275"/>
      <c r="HD239" s="275"/>
      <c r="HE239" s="275"/>
      <c r="HF239" s="275"/>
      <c r="HG239" s="275"/>
      <c r="HH239" s="275"/>
      <c r="HI239" s="275"/>
      <c r="HJ239" s="275"/>
      <c r="HK239" s="275"/>
      <c r="HL239" s="275"/>
      <c r="HM239" s="275"/>
      <c r="HN239" s="275"/>
      <c r="HO239" s="275"/>
      <c r="HP239" s="275"/>
      <c r="HQ239" s="275"/>
      <c r="HR239" s="275"/>
    </row>
    <row r="240" spans="1:226" s="297" customFormat="1">
      <c r="A240" s="275"/>
      <c r="B240" s="21"/>
      <c r="C240" s="21"/>
      <c r="D240" s="21"/>
      <c r="E240" s="21"/>
      <c r="F240" s="275"/>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J240" s="275"/>
      <c r="AK240" s="275"/>
      <c r="AL240" s="275"/>
      <c r="AM240" s="275"/>
      <c r="AN240" s="275"/>
      <c r="AO240" s="275"/>
      <c r="AQ240" s="275"/>
      <c r="AR240" s="275"/>
      <c r="AS240" s="275"/>
      <c r="AT240" s="275"/>
      <c r="AU240" s="275"/>
      <c r="AV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D240" s="275"/>
      <c r="EE240" s="275"/>
      <c r="EF240" s="275"/>
      <c r="EG240" s="275"/>
      <c r="EH240" s="275"/>
      <c r="EI240" s="275"/>
      <c r="EJ240" s="275"/>
      <c r="EK240" s="275"/>
      <c r="EL240" s="275"/>
      <c r="EM240" s="275"/>
      <c r="EN240" s="275"/>
      <c r="EO240" s="275"/>
      <c r="EP240" s="275"/>
      <c r="EQ240" s="275"/>
      <c r="ER240" s="275"/>
      <c r="ES240" s="275"/>
      <c r="ET240" s="275"/>
      <c r="EU240"/>
      <c r="EV240"/>
      <c r="EW240" s="275"/>
      <c r="EX240" s="275"/>
      <c r="EY240" s="275"/>
      <c r="EZ240" s="275"/>
      <c r="FA240" s="275"/>
      <c r="FB240" s="275"/>
      <c r="FC240" s="275"/>
      <c r="FD240" s="275"/>
      <c r="FE240" s="275"/>
      <c r="FF240" s="275"/>
      <c r="FG240" s="275"/>
      <c r="FH240" s="275"/>
      <c r="FI240" s="275"/>
      <c r="FJ240" s="275"/>
      <c r="FK240" s="275"/>
      <c r="FL240" s="275"/>
      <c r="FM240" s="275"/>
      <c r="FN240" s="275"/>
      <c r="FO240" s="275"/>
      <c r="FP240" s="275"/>
      <c r="FQ240" s="275"/>
      <c r="FR240" s="275"/>
      <c r="FS240" s="275"/>
      <c r="FT240" s="275"/>
      <c r="FU240" s="275"/>
      <c r="FV240" s="275"/>
      <c r="FW240" s="275"/>
      <c r="FX240" s="275"/>
      <c r="FY240" s="275"/>
      <c r="FZ240" s="275"/>
      <c r="GA240" s="275"/>
      <c r="GB240" s="275"/>
      <c r="GC240" s="275"/>
      <c r="GD240" s="275"/>
      <c r="GE240" s="275"/>
      <c r="GF240" s="275"/>
      <c r="GG240" s="275"/>
      <c r="GH240" s="275"/>
      <c r="GI240" s="275"/>
      <c r="GJ240" s="275"/>
      <c r="GK240" s="275"/>
      <c r="GL240" s="275"/>
      <c r="GM240" s="275"/>
      <c r="GN240" s="275"/>
      <c r="GO240" s="275"/>
      <c r="GP240" s="275"/>
      <c r="GQ240" s="275"/>
      <c r="GR240" s="275"/>
      <c r="GS240" s="275"/>
      <c r="GT240" s="275"/>
      <c r="GU240" s="275"/>
      <c r="GV240" s="275"/>
      <c r="GW240" s="275"/>
      <c r="GX240" s="275"/>
      <c r="GY240" s="275"/>
      <c r="GZ240" s="275"/>
      <c r="HA240" s="275"/>
      <c r="HB240" s="275"/>
      <c r="HC240" s="275"/>
      <c r="HD240" s="275"/>
      <c r="HE240" s="275"/>
      <c r="HF240" s="275"/>
      <c r="HG240" s="275"/>
      <c r="HH240" s="275"/>
      <c r="HI240" s="275"/>
      <c r="HJ240" s="275"/>
      <c r="HK240" s="275"/>
      <c r="HL240" s="275"/>
      <c r="HM240" s="275"/>
      <c r="HN240" s="275"/>
      <c r="HO240" s="275"/>
      <c r="HP240" s="275"/>
      <c r="HQ240" s="275"/>
      <c r="HR240" s="275"/>
    </row>
    <row r="241" spans="1:226" s="297" customFormat="1">
      <c r="A241" s="275"/>
      <c r="B241" s="21"/>
      <c r="C241" s="21"/>
      <c r="D241" s="21"/>
      <c r="E241" s="21"/>
      <c r="F241" s="275"/>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J241" s="275"/>
      <c r="AK241" s="275"/>
      <c r="AL241" s="275"/>
      <c r="AM241" s="275"/>
      <c r="AN241" s="275"/>
      <c r="AO241" s="275"/>
      <c r="AQ241" s="275"/>
      <c r="AR241" s="275"/>
      <c r="AS241" s="275"/>
      <c r="AT241" s="275"/>
      <c r="AU241" s="275"/>
      <c r="AV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D241" s="275"/>
      <c r="EE241" s="275"/>
      <c r="EF241" s="275"/>
      <c r="EG241" s="275"/>
      <c r="EH241" s="275"/>
      <c r="EI241" s="275"/>
      <c r="EJ241" s="275"/>
      <c r="EK241" s="275"/>
      <c r="EL241" s="275"/>
      <c r="EM241" s="275"/>
      <c r="EN241" s="275"/>
      <c r="EO241" s="275"/>
      <c r="EP241" s="275"/>
      <c r="EQ241" s="275"/>
      <c r="ER241" s="275"/>
      <c r="ES241" s="275"/>
      <c r="ET241" s="275"/>
      <c r="EU241"/>
      <c r="EV241"/>
      <c r="EW241" s="275"/>
      <c r="EX241" s="275"/>
      <c r="EY241" s="275"/>
      <c r="EZ241" s="275"/>
      <c r="FA241" s="275"/>
      <c r="FB241" s="275"/>
      <c r="FC241" s="275"/>
      <c r="FD241" s="275"/>
      <c r="FE241" s="275"/>
      <c r="FF241" s="275"/>
      <c r="FG241" s="275"/>
      <c r="FH241" s="275"/>
      <c r="FI241" s="275"/>
      <c r="FJ241" s="275"/>
      <c r="FK241" s="275"/>
      <c r="FL241" s="275"/>
      <c r="FM241" s="275"/>
      <c r="FN241" s="275"/>
      <c r="FO241" s="275"/>
      <c r="FP241" s="275"/>
      <c r="FQ241" s="275"/>
      <c r="FR241" s="275"/>
      <c r="FS241" s="275"/>
      <c r="FT241" s="275"/>
      <c r="FU241" s="275"/>
      <c r="FV241" s="275"/>
      <c r="FW241" s="275"/>
      <c r="FX241" s="275"/>
      <c r="FY241" s="275"/>
      <c r="FZ241" s="275"/>
      <c r="GA241" s="275"/>
      <c r="GB241" s="275"/>
      <c r="GC241" s="275"/>
      <c r="GD241" s="275"/>
      <c r="GE241" s="275"/>
      <c r="GF241" s="275"/>
      <c r="GG241" s="275"/>
      <c r="GH241" s="275"/>
      <c r="GI241" s="275"/>
      <c r="GJ241" s="275"/>
      <c r="GK241" s="275"/>
      <c r="GL241" s="275"/>
      <c r="GM241" s="275"/>
      <c r="GN241" s="275"/>
      <c r="GO241" s="275"/>
      <c r="GP241" s="275"/>
      <c r="GQ241" s="275"/>
      <c r="GR241" s="275"/>
      <c r="GS241" s="275"/>
      <c r="GT241" s="275"/>
      <c r="GU241" s="275"/>
      <c r="GV241" s="275"/>
      <c r="GW241" s="275"/>
      <c r="GX241" s="275"/>
      <c r="GY241" s="275"/>
      <c r="GZ241" s="275"/>
      <c r="HA241" s="275"/>
      <c r="HB241" s="275"/>
      <c r="HC241" s="275"/>
      <c r="HD241" s="275"/>
      <c r="HE241" s="275"/>
      <c r="HF241" s="275"/>
      <c r="HG241" s="275"/>
      <c r="HH241" s="275"/>
      <c r="HI241" s="275"/>
      <c r="HJ241" s="275"/>
      <c r="HK241" s="275"/>
      <c r="HL241" s="275"/>
      <c r="HM241" s="275"/>
      <c r="HN241" s="275"/>
      <c r="HO241" s="275"/>
      <c r="HP241" s="275"/>
      <c r="HQ241" s="275"/>
      <c r="HR241" s="275"/>
    </row>
    <row r="242" spans="1:226" s="297" customFormat="1">
      <c r="A242" s="275"/>
      <c r="B242" s="21"/>
      <c r="C242" s="21"/>
      <c r="D242" s="21"/>
      <c r="E242" s="21"/>
      <c r="F242" s="275"/>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J242" s="275"/>
      <c r="AK242" s="275"/>
      <c r="AL242" s="275"/>
      <c r="AM242" s="275"/>
      <c r="AN242" s="275"/>
      <c r="AO242" s="275"/>
      <c r="AQ242" s="275"/>
      <c r="AR242" s="275"/>
      <c r="AS242" s="275"/>
      <c r="AT242" s="275"/>
      <c r="AU242" s="275"/>
      <c r="AV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D242" s="275"/>
      <c r="EE242" s="275"/>
      <c r="EF242" s="275"/>
      <c r="EG242" s="275"/>
      <c r="EH242" s="275"/>
      <c r="EI242" s="275"/>
      <c r="EJ242" s="275"/>
      <c r="EK242" s="275"/>
      <c r="EL242" s="275"/>
      <c r="EM242" s="275"/>
      <c r="EN242" s="275"/>
      <c r="EO242" s="275"/>
      <c r="EP242" s="275"/>
      <c r="EQ242" s="275"/>
      <c r="ER242" s="275"/>
      <c r="ES242" s="275"/>
      <c r="ET242" s="275"/>
      <c r="EU242"/>
      <c r="EV242"/>
      <c r="EW242" s="275"/>
      <c r="EX242" s="275"/>
      <c r="EY242" s="275"/>
      <c r="EZ242" s="275"/>
      <c r="FA242" s="275"/>
      <c r="FB242" s="275"/>
      <c r="FC242" s="275"/>
      <c r="FD242" s="275"/>
      <c r="FE242" s="275"/>
      <c r="FF242" s="275"/>
      <c r="FG242" s="275"/>
      <c r="FH242" s="275"/>
      <c r="FI242" s="275"/>
      <c r="FJ242" s="275"/>
      <c r="FK242" s="275"/>
      <c r="FL242" s="275"/>
      <c r="FM242" s="275"/>
      <c r="FN242" s="275"/>
      <c r="FO242" s="275"/>
      <c r="FP242" s="275"/>
      <c r="FQ242" s="275"/>
      <c r="FR242" s="275"/>
      <c r="FS242" s="275"/>
      <c r="FT242" s="275"/>
      <c r="FU242" s="275"/>
      <c r="FV242" s="275"/>
      <c r="FW242" s="275"/>
      <c r="FX242" s="275"/>
      <c r="FY242" s="275"/>
      <c r="FZ242" s="275"/>
      <c r="GA242" s="275"/>
      <c r="GB242" s="275"/>
      <c r="GC242" s="275"/>
      <c r="GD242" s="275"/>
      <c r="GE242" s="275"/>
      <c r="GF242" s="275"/>
      <c r="GG242" s="275"/>
      <c r="GH242" s="275"/>
      <c r="GI242" s="275"/>
      <c r="GJ242" s="275"/>
      <c r="GK242" s="275"/>
      <c r="GL242" s="275"/>
      <c r="GM242" s="275"/>
      <c r="GN242" s="275"/>
      <c r="GO242" s="275"/>
      <c r="GP242" s="275"/>
      <c r="GQ242" s="275"/>
      <c r="GR242" s="275"/>
      <c r="GS242" s="275"/>
      <c r="GT242" s="275"/>
      <c r="GU242" s="275"/>
      <c r="GV242" s="275"/>
      <c r="GW242" s="275"/>
      <c r="GX242" s="275"/>
      <c r="GY242" s="275"/>
      <c r="GZ242" s="275"/>
      <c r="HA242" s="275"/>
      <c r="HB242" s="275"/>
      <c r="HC242" s="275"/>
      <c r="HD242" s="275"/>
      <c r="HE242" s="275"/>
      <c r="HF242" s="275"/>
      <c r="HG242" s="275"/>
      <c r="HH242" s="275"/>
      <c r="HI242" s="275"/>
      <c r="HJ242" s="275"/>
      <c r="HK242" s="275"/>
      <c r="HL242" s="275"/>
      <c r="HM242" s="275"/>
      <c r="HN242" s="275"/>
      <c r="HO242" s="275"/>
      <c r="HP242" s="275"/>
      <c r="HQ242" s="275"/>
      <c r="HR242" s="275"/>
    </row>
    <row r="243" spans="1:226" s="297" customFormat="1">
      <c r="A243" s="275"/>
      <c r="B243" s="21"/>
      <c r="C243" s="21"/>
      <c r="D243" s="21"/>
      <c r="E243" s="21"/>
      <c r="F243" s="275"/>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J243" s="275"/>
      <c r="AK243" s="275"/>
      <c r="AL243" s="275"/>
      <c r="AM243" s="275"/>
      <c r="AN243" s="275"/>
      <c r="AO243" s="275"/>
      <c r="AQ243" s="275"/>
      <c r="AR243" s="275"/>
      <c r="AS243" s="275"/>
      <c r="AT243" s="275"/>
      <c r="AU243" s="275"/>
      <c r="AV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D243" s="275"/>
      <c r="EE243" s="275"/>
      <c r="EF243" s="275"/>
      <c r="EG243" s="275"/>
      <c r="EH243" s="275"/>
      <c r="EI243" s="275"/>
      <c r="EJ243" s="275"/>
      <c r="EK243" s="275"/>
      <c r="EL243" s="275"/>
      <c r="EM243" s="275"/>
      <c r="EN243" s="275"/>
      <c r="EO243" s="275"/>
      <c r="EP243" s="275"/>
      <c r="EQ243" s="275"/>
      <c r="ER243" s="275"/>
      <c r="ES243" s="275"/>
      <c r="ET243" s="275"/>
      <c r="EU243"/>
      <c r="EV243"/>
      <c r="EW243" s="275"/>
      <c r="EX243" s="275"/>
      <c r="EY243" s="275"/>
      <c r="EZ243" s="275"/>
      <c r="FA243" s="275"/>
      <c r="FB243" s="275"/>
      <c r="FC243" s="275"/>
      <c r="FD243" s="275"/>
      <c r="FE243" s="275"/>
      <c r="FF243" s="275"/>
      <c r="FG243" s="275"/>
      <c r="FH243" s="275"/>
      <c r="FI243" s="275"/>
      <c r="FJ243" s="275"/>
      <c r="FK243" s="275"/>
      <c r="FL243" s="275"/>
      <c r="FM243" s="275"/>
      <c r="FN243" s="275"/>
      <c r="FO243" s="275"/>
      <c r="FP243" s="275"/>
      <c r="FQ243" s="275"/>
      <c r="FR243" s="275"/>
      <c r="FS243" s="275"/>
      <c r="FT243" s="275"/>
      <c r="FU243" s="275"/>
      <c r="FV243" s="275"/>
      <c r="FW243" s="275"/>
      <c r="FX243" s="275"/>
      <c r="FY243" s="275"/>
      <c r="FZ243" s="275"/>
      <c r="GA243" s="275"/>
      <c r="GB243" s="275"/>
      <c r="GC243" s="275"/>
      <c r="GD243" s="275"/>
      <c r="GE243" s="275"/>
      <c r="GF243" s="275"/>
      <c r="GG243" s="275"/>
      <c r="GH243" s="275"/>
      <c r="GI243" s="275"/>
      <c r="GJ243" s="275"/>
      <c r="GK243" s="275"/>
      <c r="GL243" s="275"/>
      <c r="GM243" s="275"/>
      <c r="GN243" s="275"/>
      <c r="GO243" s="275"/>
      <c r="GP243" s="275"/>
      <c r="GQ243" s="275"/>
      <c r="GR243" s="275"/>
      <c r="GS243" s="275"/>
      <c r="GT243" s="275"/>
      <c r="GU243" s="275"/>
      <c r="GV243" s="275"/>
      <c r="GW243" s="275"/>
      <c r="GX243" s="275"/>
      <c r="GY243" s="275"/>
      <c r="GZ243" s="275"/>
      <c r="HA243" s="275"/>
      <c r="HB243" s="275"/>
      <c r="HC243" s="275"/>
      <c r="HD243" s="275"/>
      <c r="HE243" s="275"/>
      <c r="HF243" s="275"/>
      <c r="HG243" s="275"/>
      <c r="HH243" s="275"/>
      <c r="HI243" s="275"/>
      <c r="HJ243" s="275"/>
      <c r="HK243" s="275"/>
      <c r="HL243" s="275"/>
      <c r="HM243" s="275"/>
      <c r="HN243" s="275"/>
      <c r="HO243" s="275"/>
      <c r="HP243" s="275"/>
      <c r="HQ243" s="275"/>
      <c r="HR243" s="275"/>
    </row>
    <row r="244" spans="1:226" s="297" customFormat="1">
      <c r="A244" s="275"/>
      <c r="B244" s="21"/>
      <c r="C244" s="21"/>
      <c r="D244" s="21"/>
      <c r="E244" s="21"/>
      <c r="F244" s="275"/>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J244" s="275"/>
      <c r="AK244" s="275"/>
      <c r="AL244" s="275"/>
      <c r="AM244" s="275"/>
      <c r="AN244" s="275"/>
      <c r="AO244" s="275"/>
      <c r="AQ244" s="275"/>
      <c r="AR244" s="275"/>
      <c r="AS244" s="275"/>
      <c r="AT244" s="275"/>
      <c r="AU244" s="275"/>
      <c r="AV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D244" s="275"/>
      <c r="EE244" s="275"/>
      <c r="EF244" s="275"/>
      <c r="EG244" s="275"/>
      <c r="EH244" s="275"/>
      <c r="EI244" s="275"/>
      <c r="EJ244" s="275"/>
      <c r="EK244" s="275"/>
      <c r="EL244" s="275"/>
      <c r="EM244" s="275"/>
      <c r="EN244" s="275"/>
      <c r="EO244" s="275"/>
      <c r="EP244" s="275"/>
      <c r="EQ244" s="275"/>
      <c r="ER244" s="275"/>
      <c r="ES244" s="275"/>
      <c r="ET244" s="275"/>
      <c r="EU244"/>
      <c r="EV244"/>
      <c r="EW244" s="275"/>
      <c r="EX244" s="275"/>
      <c r="EY244" s="275"/>
      <c r="EZ244" s="275"/>
      <c r="FA244" s="275"/>
      <c r="FB244" s="275"/>
      <c r="FC244" s="275"/>
      <c r="FD244" s="275"/>
      <c r="FE244" s="275"/>
      <c r="FF244" s="275"/>
      <c r="FG244" s="275"/>
      <c r="FH244" s="275"/>
      <c r="FI244" s="275"/>
      <c r="FJ244" s="275"/>
      <c r="FK244" s="275"/>
      <c r="FL244" s="275"/>
      <c r="FM244" s="275"/>
      <c r="FN244" s="275"/>
      <c r="FO244" s="275"/>
      <c r="FP244" s="275"/>
      <c r="FQ244" s="275"/>
      <c r="FR244" s="275"/>
      <c r="FS244" s="275"/>
      <c r="FT244" s="275"/>
      <c r="FU244" s="275"/>
      <c r="FV244" s="275"/>
      <c r="FW244" s="275"/>
      <c r="FX244" s="275"/>
      <c r="FY244" s="275"/>
      <c r="FZ244" s="275"/>
      <c r="GA244" s="275"/>
      <c r="GB244" s="275"/>
      <c r="GC244" s="275"/>
      <c r="GD244" s="275"/>
      <c r="GE244" s="275"/>
      <c r="GF244" s="275"/>
      <c r="GG244" s="275"/>
      <c r="GH244" s="275"/>
      <c r="GI244" s="275"/>
      <c r="GJ244" s="275"/>
      <c r="GK244" s="275"/>
      <c r="GL244" s="275"/>
      <c r="GM244" s="275"/>
      <c r="GN244" s="275"/>
      <c r="GO244" s="275"/>
      <c r="GP244" s="275"/>
      <c r="GQ244" s="275"/>
      <c r="GR244" s="275"/>
      <c r="GS244" s="275"/>
      <c r="GT244" s="275"/>
      <c r="GU244" s="275"/>
      <c r="GV244" s="275"/>
      <c r="GW244" s="275"/>
      <c r="GX244" s="275"/>
      <c r="GY244" s="275"/>
      <c r="GZ244" s="275"/>
      <c r="HA244" s="275"/>
      <c r="HB244" s="275"/>
      <c r="HC244" s="275"/>
      <c r="HD244" s="275"/>
      <c r="HE244" s="275"/>
      <c r="HF244" s="275"/>
      <c r="HG244" s="275"/>
      <c r="HH244" s="275"/>
      <c r="HI244" s="275"/>
      <c r="HJ244" s="275"/>
      <c r="HK244" s="275"/>
      <c r="HL244" s="275"/>
      <c r="HM244" s="275"/>
      <c r="HN244" s="275"/>
      <c r="HO244" s="275"/>
      <c r="HP244" s="275"/>
      <c r="HQ244" s="275"/>
      <c r="HR244" s="275"/>
    </row>
    <row r="245" spans="1:226" s="297" customFormat="1">
      <c r="A245" s="275"/>
      <c r="B245" s="21"/>
      <c r="C245" s="21"/>
      <c r="D245" s="21"/>
      <c r="E245" s="21"/>
      <c r="F245" s="275"/>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J245" s="275"/>
      <c r="AK245" s="275"/>
      <c r="AL245" s="275"/>
      <c r="AM245" s="275"/>
      <c r="AN245" s="275"/>
      <c r="AO245" s="275"/>
      <c r="AQ245" s="275"/>
      <c r="AR245" s="275"/>
      <c r="AS245" s="275"/>
      <c r="AT245" s="275"/>
      <c r="AU245" s="275"/>
      <c r="AV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D245" s="275"/>
      <c r="EE245" s="275"/>
      <c r="EF245" s="275"/>
      <c r="EG245" s="275"/>
      <c r="EH245" s="275"/>
      <c r="EI245" s="275"/>
      <c r="EJ245" s="275"/>
      <c r="EK245" s="275"/>
      <c r="EL245" s="275"/>
      <c r="EM245" s="275"/>
      <c r="EN245" s="275"/>
      <c r="EO245" s="275"/>
      <c r="EP245" s="275"/>
      <c r="EQ245" s="275"/>
      <c r="ER245" s="275"/>
      <c r="ES245" s="275"/>
      <c r="ET245" s="275"/>
      <c r="EU245"/>
      <c r="EV245"/>
      <c r="EW245" s="275"/>
      <c r="EX245" s="275"/>
      <c r="EY245" s="275"/>
      <c r="EZ245" s="275"/>
      <c r="FA245" s="275"/>
      <c r="FB245" s="275"/>
      <c r="FC245" s="275"/>
      <c r="FD245" s="275"/>
      <c r="FE245" s="275"/>
      <c r="FF245" s="275"/>
      <c r="FG245" s="275"/>
      <c r="FH245" s="275"/>
      <c r="FI245" s="275"/>
      <c r="FJ245" s="275"/>
      <c r="FK245" s="275"/>
      <c r="FL245" s="275"/>
      <c r="FM245" s="275"/>
      <c r="FN245" s="275"/>
      <c r="FO245" s="275"/>
      <c r="FP245" s="275"/>
      <c r="FQ245" s="275"/>
      <c r="FR245" s="275"/>
      <c r="FS245" s="275"/>
      <c r="FT245" s="275"/>
      <c r="FU245" s="275"/>
      <c r="FV245" s="275"/>
      <c r="FW245" s="275"/>
      <c r="FX245" s="275"/>
      <c r="FY245" s="275"/>
      <c r="FZ245" s="275"/>
      <c r="GA245" s="275"/>
      <c r="GB245" s="275"/>
      <c r="GC245" s="275"/>
      <c r="GD245" s="275"/>
      <c r="GE245" s="275"/>
      <c r="GF245" s="275"/>
      <c r="GG245" s="275"/>
      <c r="GH245" s="275"/>
      <c r="GI245" s="275"/>
      <c r="GJ245" s="275"/>
      <c r="GK245" s="275"/>
      <c r="GL245" s="275"/>
      <c r="GM245" s="275"/>
      <c r="GN245" s="275"/>
      <c r="GO245" s="275"/>
      <c r="GP245" s="275"/>
      <c r="GQ245" s="275"/>
      <c r="GR245" s="275"/>
      <c r="GS245" s="275"/>
      <c r="GT245" s="275"/>
      <c r="GU245" s="275"/>
      <c r="GV245" s="275"/>
      <c r="GW245" s="275"/>
      <c r="GX245" s="275"/>
      <c r="GY245" s="275"/>
      <c r="GZ245" s="275"/>
      <c r="HA245" s="275"/>
      <c r="HB245" s="275"/>
      <c r="HC245" s="275"/>
      <c r="HD245" s="275"/>
      <c r="HE245" s="275"/>
      <c r="HF245" s="275"/>
      <c r="HG245" s="275"/>
      <c r="HH245" s="275"/>
      <c r="HI245" s="275"/>
      <c r="HJ245" s="275"/>
      <c r="HK245" s="275"/>
      <c r="HL245" s="275"/>
      <c r="HM245" s="275"/>
      <c r="HN245" s="275"/>
      <c r="HO245" s="275"/>
      <c r="HP245" s="275"/>
      <c r="HQ245" s="275"/>
      <c r="HR245" s="275"/>
    </row>
    <row r="246" spans="1:226" s="297" customFormat="1">
      <c r="A246" s="275"/>
      <c r="B246" s="21"/>
      <c r="C246" s="21"/>
      <c r="D246" s="21"/>
      <c r="E246" s="21"/>
      <c r="F246" s="275"/>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J246" s="275"/>
      <c r="AK246" s="275"/>
      <c r="AL246" s="275"/>
      <c r="AM246" s="275"/>
      <c r="AN246" s="275"/>
      <c r="AO246" s="275"/>
      <c r="AQ246" s="275"/>
      <c r="AR246" s="275"/>
      <c r="AS246" s="275"/>
      <c r="AT246" s="275"/>
      <c r="AU246" s="275"/>
      <c r="AV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D246" s="275"/>
      <c r="EE246" s="275"/>
      <c r="EF246" s="275"/>
      <c r="EG246" s="275"/>
      <c r="EH246" s="275"/>
      <c r="EI246" s="275"/>
      <c r="EJ246" s="275"/>
      <c r="EK246" s="275"/>
      <c r="EL246" s="275"/>
      <c r="EM246" s="275"/>
      <c r="EN246" s="275"/>
      <c r="EO246" s="275"/>
      <c r="EP246" s="275"/>
      <c r="EQ246" s="275"/>
      <c r="ER246" s="275"/>
      <c r="ES246" s="275"/>
      <c r="ET246" s="275"/>
      <c r="EU246"/>
      <c r="EV246"/>
      <c r="EW246" s="275"/>
      <c r="EX246" s="275"/>
      <c r="EY246" s="275"/>
      <c r="EZ246" s="275"/>
      <c r="FA246" s="275"/>
      <c r="FB246" s="275"/>
      <c r="FC246" s="275"/>
      <c r="FD246" s="275"/>
      <c r="FE246" s="275"/>
      <c r="FF246" s="275"/>
      <c r="FG246" s="275"/>
      <c r="FH246" s="275"/>
      <c r="FI246" s="275"/>
      <c r="FJ246" s="275"/>
      <c r="FK246" s="275"/>
      <c r="FL246" s="275"/>
      <c r="FM246" s="275"/>
      <c r="FN246" s="275"/>
      <c r="FO246" s="275"/>
      <c r="FP246" s="275"/>
      <c r="FQ246" s="275"/>
      <c r="FR246" s="275"/>
      <c r="FS246" s="275"/>
      <c r="FT246" s="275"/>
      <c r="FU246" s="275"/>
      <c r="FV246" s="275"/>
      <c r="FW246" s="275"/>
      <c r="FX246" s="275"/>
      <c r="FY246" s="275"/>
      <c r="FZ246" s="275"/>
      <c r="GA246" s="275"/>
      <c r="GB246" s="275"/>
      <c r="GC246" s="275"/>
      <c r="GD246" s="275"/>
      <c r="GE246" s="275"/>
      <c r="GF246" s="275"/>
      <c r="GG246" s="275"/>
      <c r="GH246" s="275"/>
      <c r="GI246" s="275"/>
      <c r="GJ246" s="275"/>
      <c r="GK246" s="275"/>
      <c r="GL246" s="275"/>
      <c r="GM246" s="275"/>
      <c r="GN246" s="275"/>
      <c r="GO246" s="275"/>
      <c r="GP246" s="275"/>
      <c r="GQ246" s="275"/>
      <c r="GR246" s="275"/>
      <c r="GS246" s="275"/>
      <c r="GT246" s="275"/>
      <c r="GU246" s="275"/>
      <c r="GV246" s="275"/>
      <c r="GW246" s="275"/>
      <c r="GX246" s="275"/>
      <c r="GY246" s="275"/>
      <c r="GZ246" s="275"/>
      <c r="HA246" s="275"/>
      <c r="HB246" s="275"/>
      <c r="HC246" s="275"/>
      <c r="HD246" s="275"/>
      <c r="HE246" s="275"/>
      <c r="HF246" s="275"/>
      <c r="HG246" s="275"/>
      <c r="HH246" s="275"/>
      <c r="HI246" s="275"/>
      <c r="HJ246" s="275"/>
      <c r="HK246" s="275"/>
      <c r="HL246" s="275"/>
      <c r="HM246" s="275"/>
      <c r="HN246" s="275"/>
      <c r="HO246" s="275"/>
      <c r="HP246" s="275"/>
      <c r="HQ246" s="275"/>
      <c r="HR246" s="275"/>
    </row>
    <row r="247" spans="1:226" s="297" customFormat="1">
      <c r="A247" s="275"/>
      <c r="B247" s="21"/>
      <c r="C247" s="21"/>
      <c r="D247" s="21"/>
      <c r="E247" s="21"/>
      <c r="F247" s="275"/>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J247" s="275"/>
      <c r="AK247" s="275"/>
      <c r="AL247" s="275"/>
      <c r="AM247" s="275"/>
      <c r="AN247" s="275"/>
      <c r="AO247" s="275"/>
      <c r="AQ247" s="275"/>
      <c r="AR247" s="275"/>
      <c r="AS247" s="275"/>
      <c r="AT247" s="275"/>
      <c r="AU247" s="275"/>
      <c r="AV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D247" s="275"/>
      <c r="EE247" s="275"/>
      <c r="EF247" s="275"/>
      <c r="EG247" s="275"/>
      <c r="EH247" s="275"/>
      <c r="EI247" s="275"/>
      <c r="EJ247" s="275"/>
      <c r="EK247" s="275"/>
      <c r="EL247" s="275"/>
      <c r="EM247" s="275"/>
      <c r="EN247" s="275"/>
      <c r="EO247" s="275"/>
      <c r="EP247" s="275"/>
      <c r="EQ247" s="275"/>
      <c r="ER247" s="275"/>
      <c r="ES247" s="275"/>
      <c r="ET247" s="275"/>
      <c r="EU247"/>
      <c r="EV247"/>
      <c r="EW247" s="275"/>
      <c r="EX247" s="275"/>
      <c r="EY247" s="275"/>
      <c r="EZ247" s="275"/>
      <c r="FA247" s="275"/>
      <c r="FB247" s="275"/>
      <c r="FC247" s="275"/>
      <c r="FD247" s="275"/>
      <c r="FE247" s="275"/>
      <c r="FF247" s="275"/>
      <c r="FG247" s="275"/>
      <c r="FH247" s="275"/>
      <c r="FI247" s="275"/>
      <c r="FJ247" s="275"/>
      <c r="FK247" s="275"/>
      <c r="FL247" s="275"/>
      <c r="FM247" s="275"/>
      <c r="FN247" s="275"/>
      <c r="FO247" s="275"/>
      <c r="FP247" s="275"/>
      <c r="FQ247" s="275"/>
      <c r="FR247" s="275"/>
      <c r="FS247" s="275"/>
      <c r="FT247" s="275"/>
      <c r="FU247" s="275"/>
      <c r="FV247" s="275"/>
      <c r="FW247" s="275"/>
      <c r="FX247" s="275"/>
      <c r="FY247" s="275"/>
      <c r="FZ247" s="275"/>
      <c r="GA247" s="275"/>
      <c r="GB247" s="275"/>
      <c r="GC247" s="275"/>
      <c r="GD247" s="275"/>
      <c r="GE247" s="275"/>
      <c r="GF247" s="275"/>
      <c r="GG247" s="275"/>
      <c r="GH247" s="275"/>
      <c r="GI247" s="275"/>
      <c r="GJ247" s="275"/>
      <c r="GK247" s="275"/>
      <c r="GL247" s="275"/>
      <c r="GM247" s="275"/>
      <c r="GN247" s="275"/>
      <c r="GO247" s="275"/>
      <c r="GP247" s="275"/>
      <c r="GQ247" s="275"/>
      <c r="GR247" s="275"/>
      <c r="GS247" s="275"/>
      <c r="GT247" s="275"/>
      <c r="GU247" s="275"/>
      <c r="GV247" s="275"/>
      <c r="GW247" s="275"/>
      <c r="GX247" s="275"/>
      <c r="GY247" s="275"/>
      <c r="GZ247" s="275"/>
      <c r="HA247" s="275"/>
      <c r="HB247" s="275"/>
      <c r="HC247" s="275"/>
      <c r="HD247" s="275"/>
      <c r="HE247" s="275"/>
      <c r="HF247" s="275"/>
      <c r="HG247" s="275"/>
      <c r="HH247" s="275"/>
      <c r="HI247" s="275"/>
      <c r="HJ247" s="275"/>
      <c r="HK247" s="275"/>
      <c r="HL247" s="275"/>
      <c r="HM247" s="275"/>
      <c r="HN247" s="275"/>
      <c r="HO247" s="275"/>
      <c r="HP247" s="275"/>
      <c r="HQ247" s="275"/>
      <c r="HR247" s="275"/>
    </row>
    <row r="248" spans="1:226" s="297" customFormat="1">
      <c r="A248" s="275"/>
      <c r="B248" s="21"/>
      <c r="C248" s="21"/>
      <c r="D248" s="21"/>
      <c r="E248" s="21"/>
      <c r="F248" s="275"/>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J248" s="275"/>
      <c r="AK248" s="275"/>
      <c r="AL248" s="275"/>
      <c r="AM248" s="275"/>
      <c r="AN248" s="275"/>
      <c r="AO248" s="275"/>
      <c r="AQ248" s="275"/>
      <c r="AR248" s="275"/>
      <c r="AS248" s="275"/>
      <c r="AT248" s="275"/>
      <c r="AU248" s="275"/>
      <c r="AV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D248" s="275"/>
      <c r="EE248" s="275"/>
      <c r="EF248" s="275"/>
      <c r="EG248" s="275"/>
      <c r="EH248" s="275"/>
      <c r="EI248" s="275"/>
      <c r="EJ248" s="275"/>
      <c r="EK248" s="275"/>
      <c r="EL248" s="275"/>
      <c r="EM248" s="275"/>
      <c r="EN248" s="275"/>
      <c r="EO248" s="275"/>
      <c r="EP248" s="275"/>
      <c r="EQ248" s="275"/>
      <c r="ER248" s="275"/>
      <c r="ES248" s="275"/>
      <c r="ET248" s="275"/>
      <c r="EU248"/>
      <c r="EV248"/>
      <c r="EW248" s="275"/>
      <c r="EX248" s="275"/>
      <c r="EY248" s="275"/>
      <c r="EZ248" s="275"/>
      <c r="FA248" s="275"/>
      <c r="FB248" s="275"/>
      <c r="FC248" s="275"/>
      <c r="FD248" s="275"/>
      <c r="FE248" s="275"/>
      <c r="FF248" s="275"/>
      <c r="FG248" s="275"/>
      <c r="FH248" s="275"/>
      <c r="FI248" s="275"/>
      <c r="FJ248" s="275"/>
      <c r="FK248" s="275"/>
      <c r="FL248" s="275"/>
      <c r="FM248" s="275"/>
      <c r="FN248" s="275"/>
      <c r="FO248" s="275"/>
      <c r="FP248" s="275"/>
      <c r="FQ248" s="275"/>
      <c r="FR248" s="275"/>
      <c r="FS248" s="275"/>
      <c r="FT248" s="275"/>
      <c r="FU248" s="275"/>
      <c r="FV248" s="275"/>
      <c r="FW248" s="275"/>
      <c r="FX248" s="275"/>
      <c r="FY248" s="275"/>
      <c r="FZ248" s="275"/>
      <c r="GA248" s="275"/>
      <c r="GB248" s="275"/>
      <c r="GC248" s="275"/>
      <c r="GD248" s="275"/>
      <c r="GE248" s="275"/>
      <c r="GF248" s="275"/>
      <c r="GG248" s="275"/>
      <c r="GH248" s="275"/>
      <c r="GI248" s="275"/>
      <c r="GJ248" s="275"/>
      <c r="GK248" s="275"/>
      <c r="GL248" s="275"/>
      <c r="GM248" s="275"/>
      <c r="GN248" s="275"/>
      <c r="GO248" s="275"/>
      <c r="GP248" s="275"/>
      <c r="GQ248" s="275"/>
      <c r="GR248" s="275"/>
      <c r="GS248" s="275"/>
      <c r="GT248" s="275"/>
      <c r="GU248" s="275"/>
      <c r="GV248" s="275"/>
      <c r="GW248" s="275"/>
      <c r="GX248" s="275"/>
      <c r="GY248" s="275"/>
      <c r="GZ248" s="275"/>
      <c r="HA248" s="275"/>
      <c r="HB248" s="275"/>
      <c r="HC248" s="275"/>
      <c r="HD248" s="275"/>
      <c r="HE248" s="275"/>
      <c r="HF248" s="275"/>
      <c r="HG248" s="275"/>
      <c r="HH248" s="275"/>
      <c r="HI248" s="275"/>
      <c r="HJ248" s="275"/>
      <c r="HK248" s="275"/>
      <c r="HL248" s="275"/>
      <c r="HM248" s="275"/>
      <c r="HN248" s="275"/>
      <c r="HO248" s="275"/>
      <c r="HP248" s="275"/>
      <c r="HQ248" s="275"/>
      <c r="HR248" s="275"/>
    </row>
    <row r="249" spans="1:226" s="297" customFormat="1">
      <c r="A249" s="275"/>
      <c r="B249" s="21"/>
      <c r="C249" s="21"/>
      <c r="D249" s="21"/>
      <c r="E249" s="21"/>
      <c r="F249" s="275"/>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J249" s="275"/>
      <c r="AK249" s="275"/>
      <c r="AL249" s="275"/>
      <c r="AM249" s="275"/>
      <c r="AN249" s="275"/>
      <c r="AO249" s="275"/>
      <c r="AQ249" s="275"/>
      <c r="AR249" s="275"/>
      <c r="AS249" s="275"/>
      <c r="AT249" s="275"/>
      <c r="AU249" s="275"/>
      <c r="AV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D249" s="275"/>
      <c r="EE249" s="275"/>
      <c r="EF249" s="275"/>
      <c r="EG249" s="275"/>
      <c r="EH249" s="275"/>
      <c r="EI249" s="275"/>
      <c r="EJ249" s="275"/>
      <c r="EK249" s="275"/>
      <c r="EL249" s="275"/>
      <c r="EM249" s="275"/>
      <c r="EN249" s="275"/>
      <c r="EO249" s="275"/>
      <c r="EP249" s="275"/>
      <c r="EQ249" s="275"/>
      <c r="ER249" s="275"/>
      <c r="ES249" s="275"/>
      <c r="ET249" s="275"/>
      <c r="EU249"/>
      <c r="EV249"/>
      <c r="EW249" s="275"/>
      <c r="EX249" s="275"/>
      <c r="EY249" s="275"/>
      <c r="EZ249" s="275"/>
      <c r="FA249" s="275"/>
      <c r="FB249" s="275"/>
      <c r="FC249" s="275"/>
      <c r="FD249" s="275"/>
      <c r="FE249" s="275"/>
      <c r="FF249" s="275"/>
      <c r="FG249" s="275"/>
      <c r="FH249" s="275"/>
      <c r="FI249" s="275"/>
      <c r="FJ249" s="275"/>
      <c r="FK249" s="275"/>
      <c r="FL249" s="275"/>
      <c r="FM249" s="275"/>
      <c r="FN249" s="275"/>
      <c r="FO249" s="275"/>
      <c r="FP249" s="275"/>
      <c r="FQ249" s="275"/>
      <c r="FR249" s="275"/>
      <c r="FS249" s="275"/>
      <c r="FT249" s="275"/>
      <c r="FU249" s="275"/>
      <c r="FV249" s="275"/>
      <c r="FW249" s="275"/>
      <c r="FX249" s="275"/>
      <c r="FY249" s="275"/>
      <c r="FZ249" s="275"/>
      <c r="GA249" s="275"/>
      <c r="GB249" s="275"/>
      <c r="GC249" s="275"/>
      <c r="GD249" s="275"/>
      <c r="GE249" s="275"/>
      <c r="GF249" s="275"/>
      <c r="GG249" s="275"/>
      <c r="GH249" s="275"/>
      <c r="GI249" s="275"/>
      <c r="GJ249" s="275"/>
      <c r="GK249" s="275"/>
      <c r="GL249" s="275"/>
      <c r="GM249" s="275"/>
      <c r="GN249" s="275"/>
      <c r="GO249" s="275"/>
      <c r="GP249" s="275"/>
      <c r="GQ249" s="275"/>
      <c r="GR249" s="275"/>
      <c r="GS249" s="275"/>
      <c r="GT249" s="275"/>
      <c r="GU249" s="275"/>
      <c r="GV249" s="275"/>
      <c r="GW249" s="275"/>
      <c r="GX249" s="275"/>
      <c r="GY249" s="275"/>
      <c r="GZ249" s="275"/>
      <c r="HA249" s="275"/>
      <c r="HB249" s="275"/>
      <c r="HC249" s="275"/>
      <c r="HD249" s="275"/>
      <c r="HE249" s="275"/>
      <c r="HF249" s="275"/>
      <c r="HG249" s="275"/>
      <c r="HH249" s="275"/>
      <c r="HI249" s="275"/>
      <c r="HJ249" s="275"/>
      <c r="HK249" s="275"/>
      <c r="HL249" s="275"/>
      <c r="HM249" s="275"/>
      <c r="HN249" s="275"/>
      <c r="HO249" s="275"/>
      <c r="HP249" s="275"/>
      <c r="HQ249" s="275"/>
      <c r="HR249" s="275"/>
    </row>
    <row r="250" spans="1:226" s="297" customFormat="1">
      <c r="A250" s="275"/>
      <c r="B250" s="21"/>
      <c r="C250" s="21"/>
      <c r="D250" s="21"/>
      <c r="E250" s="21"/>
      <c r="F250" s="275"/>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J250" s="275"/>
      <c r="AK250" s="275"/>
      <c r="AL250" s="275"/>
      <c r="AM250" s="275"/>
      <c r="AN250" s="275"/>
      <c r="AO250" s="275"/>
      <c r="AQ250" s="275"/>
      <c r="AR250" s="275"/>
      <c r="AS250" s="275"/>
      <c r="AT250" s="275"/>
      <c r="AU250" s="275"/>
      <c r="AV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D250" s="275"/>
      <c r="EE250" s="275"/>
      <c r="EF250" s="275"/>
      <c r="EG250" s="275"/>
      <c r="EH250" s="275"/>
      <c r="EI250" s="275"/>
      <c r="EJ250" s="275"/>
      <c r="EK250" s="275"/>
      <c r="EL250" s="275"/>
      <c r="EM250" s="275"/>
      <c r="EN250" s="275"/>
      <c r="EO250" s="275"/>
      <c r="EP250" s="275"/>
      <c r="EQ250" s="275"/>
      <c r="ER250" s="275"/>
      <c r="ES250" s="275"/>
      <c r="ET250" s="275"/>
      <c r="EU250"/>
      <c r="EV250"/>
      <c r="EW250" s="275"/>
      <c r="EX250" s="275"/>
      <c r="EY250" s="275"/>
      <c r="EZ250" s="275"/>
      <c r="FA250" s="275"/>
      <c r="FB250" s="275"/>
      <c r="FC250" s="275"/>
      <c r="FD250" s="275"/>
      <c r="FE250" s="275"/>
      <c r="FF250" s="275"/>
      <c r="FG250" s="275"/>
      <c r="FH250" s="275"/>
      <c r="FI250" s="275"/>
      <c r="FJ250" s="275"/>
      <c r="FK250" s="275"/>
      <c r="FL250" s="275"/>
      <c r="FM250" s="275"/>
      <c r="FN250" s="275"/>
      <c r="FO250" s="275"/>
      <c r="FP250" s="275"/>
      <c r="FQ250" s="275"/>
      <c r="FR250" s="275"/>
      <c r="FS250" s="275"/>
      <c r="FT250" s="275"/>
      <c r="FU250" s="275"/>
      <c r="FV250" s="275"/>
      <c r="FW250" s="275"/>
      <c r="FX250" s="275"/>
      <c r="FY250" s="275"/>
      <c r="FZ250" s="275"/>
      <c r="GA250" s="275"/>
      <c r="GB250" s="275"/>
      <c r="GC250" s="275"/>
      <c r="GD250" s="275"/>
      <c r="GE250" s="275"/>
      <c r="GF250" s="275"/>
      <c r="GG250" s="275"/>
      <c r="GH250" s="275"/>
      <c r="GI250" s="275"/>
      <c r="GJ250" s="275"/>
      <c r="GK250" s="275"/>
      <c r="GL250" s="275"/>
      <c r="GM250" s="275"/>
      <c r="GN250" s="275"/>
      <c r="GO250" s="275"/>
      <c r="GP250" s="275"/>
      <c r="GQ250" s="275"/>
      <c r="GR250" s="275"/>
      <c r="GS250" s="275"/>
      <c r="GT250" s="275"/>
      <c r="GU250" s="275"/>
      <c r="GV250" s="275"/>
      <c r="GW250" s="275"/>
      <c r="GX250" s="275"/>
      <c r="GY250" s="275"/>
      <c r="GZ250" s="275"/>
      <c r="HA250" s="275"/>
      <c r="HB250" s="275"/>
      <c r="HC250" s="275"/>
      <c r="HD250" s="275"/>
      <c r="HE250" s="275"/>
      <c r="HF250" s="275"/>
      <c r="HG250" s="275"/>
      <c r="HH250" s="275"/>
      <c r="HI250" s="275"/>
      <c r="HJ250" s="275"/>
      <c r="HK250" s="275"/>
      <c r="HL250" s="275"/>
      <c r="HM250" s="275"/>
      <c r="HN250" s="275"/>
      <c r="HO250" s="275"/>
      <c r="HP250" s="275"/>
      <c r="HQ250" s="275"/>
      <c r="HR250" s="275"/>
    </row>
    <row r="251" spans="1:226" s="297" customFormat="1">
      <c r="A251" s="275"/>
      <c r="B251" s="21"/>
      <c r="C251" s="21"/>
      <c r="D251" s="21"/>
      <c r="E251" s="21"/>
      <c r="F251" s="275"/>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J251" s="275"/>
      <c r="AK251" s="275"/>
      <c r="AL251" s="275"/>
      <c r="AM251" s="275"/>
      <c r="AN251" s="275"/>
      <c r="AO251" s="275"/>
      <c r="AQ251" s="275"/>
      <c r="AR251" s="275"/>
      <c r="AS251" s="275"/>
      <c r="AT251" s="275"/>
      <c r="AU251" s="275"/>
      <c r="AV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D251" s="275"/>
      <c r="EE251" s="275"/>
      <c r="EF251" s="275"/>
      <c r="EG251" s="275"/>
      <c r="EH251" s="275"/>
      <c r="EI251" s="275"/>
      <c r="EJ251" s="275"/>
      <c r="EK251" s="275"/>
      <c r="EL251" s="275"/>
      <c r="EM251" s="275"/>
      <c r="EN251" s="275"/>
      <c r="EO251" s="275"/>
      <c r="EP251" s="275"/>
      <c r="EQ251" s="275"/>
      <c r="ER251" s="275"/>
      <c r="ES251" s="275"/>
      <c r="ET251" s="275"/>
      <c r="EU251"/>
      <c r="EV251"/>
      <c r="EW251" s="275"/>
      <c r="EX251" s="275"/>
      <c r="EY251" s="275"/>
      <c r="EZ251" s="275"/>
      <c r="FA251" s="275"/>
      <c r="FB251" s="275"/>
      <c r="FC251" s="275"/>
      <c r="FD251" s="275"/>
      <c r="FE251" s="275"/>
      <c r="FF251" s="275"/>
      <c r="FG251" s="275"/>
      <c r="FH251" s="275"/>
      <c r="FI251" s="275"/>
      <c r="FJ251" s="275"/>
      <c r="FK251" s="275"/>
      <c r="FL251" s="275"/>
      <c r="FM251" s="275"/>
      <c r="FN251" s="275"/>
      <c r="FO251" s="275"/>
      <c r="FP251" s="275"/>
      <c r="FQ251" s="275"/>
      <c r="FR251" s="275"/>
      <c r="FS251" s="275"/>
      <c r="FT251" s="275"/>
      <c r="FU251" s="275"/>
      <c r="FV251" s="275"/>
      <c r="FW251" s="275"/>
      <c r="FX251" s="275"/>
      <c r="FY251" s="275"/>
      <c r="FZ251" s="275"/>
      <c r="GA251" s="275"/>
      <c r="GB251" s="275"/>
      <c r="GC251" s="275"/>
      <c r="GD251" s="275"/>
      <c r="GE251" s="275"/>
      <c r="GF251" s="275"/>
      <c r="GG251" s="275"/>
      <c r="GH251" s="275"/>
      <c r="GI251" s="275"/>
      <c r="GJ251" s="275"/>
      <c r="GK251" s="275"/>
      <c r="GL251" s="275"/>
      <c r="GM251" s="275"/>
      <c r="GN251" s="275"/>
      <c r="GO251" s="275"/>
      <c r="GP251" s="275"/>
      <c r="GQ251" s="275"/>
      <c r="GR251" s="275"/>
      <c r="GS251" s="275"/>
      <c r="GT251" s="275"/>
      <c r="GU251" s="275"/>
      <c r="GV251" s="275"/>
      <c r="GW251" s="275"/>
      <c r="GX251" s="275"/>
      <c r="GY251" s="275"/>
      <c r="GZ251" s="275"/>
      <c r="HA251" s="275"/>
      <c r="HB251" s="275"/>
      <c r="HC251" s="275"/>
      <c r="HD251" s="275"/>
      <c r="HE251" s="275"/>
      <c r="HF251" s="275"/>
      <c r="HG251" s="275"/>
      <c r="HH251" s="275"/>
      <c r="HI251" s="275"/>
      <c r="HJ251" s="275"/>
      <c r="HK251" s="275"/>
      <c r="HL251" s="275"/>
      <c r="HM251" s="275"/>
      <c r="HN251" s="275"/>
      <c r="HO251" s="275"/>
      <c r="HP251" s="275"/>
      <c r="HQ251" s="275"/>
      <c r="HR251" s="275"/>
    </row>
    <row r="252" spans="1:226" s="297" customFormat="1">
      <c r="A252" s="275"/>
      <c r="B252" s="21"/>
      <c r="C252" s="21"/>
      <c r="D252" s="21"/>
      <c r="E252" s="21"/>
      <c r="F252" s="275"/>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J252" s="275"/>
      <c r="AK252" s="275"/>
      <c r="AL252" s="275"/>
      <c r="AM252" s="275"/>
      <c r="AN252" s="275"/>
      <c r="AO252" s="275"/>
      <c r="AQ252" s="275"/>
      <c r="AR252" s="275"/>
      <c r="AS252" s="275"/>
      <c r="AT252" s="275"/>
      <c r="AU252" s="275"/>
      <c r="AV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D252" s="275"/>
      <c r="EE252" s="275"/>
      <c r="EF252" s="275"/>
      <c r="EG252" s="275"/>
      <c r="EH252" s="275"/>
      <c r="EI252" s="275"/>
      <c r="EJ252" s="275"/>
      <c r="EK252" s="275"/>
      <c r="EL252" s="275"/>
      <c r="EM252" s="275"/>
      <c r="EN252" s="275"/>
      <c r="EO252" s="275"/>
      <c r="EP252" s="275"/>
      <c r="EQ252" s="275"/>
      <c r="ER252" s="275"/>
      <c r="ES252" s="275"/>
      <c r="ET252" s="275"/>
      <c r="EU252"/>
      <c r="EV252"/>
      <c r="EW252" s="275"/>
      <c r="EX252" s="275"/>
      <c r="EY252" s="275"/>
      <c r="EZ252" s="275"/>
      <c r="FA252" s="275"/>
      <c r="FB252" s="275"/>
      <c r="FC252" s="275"/>
      <c r="FD252" s="275"/>
      <c r="FE252" s="275"/>
      <c r="FF252" s="275"/>
      <c r="FG252" s="275"/>
      <c r="FH252" s="275"/>
      <c r="FI252" s="275"/>
      <c r="FJ252" s="275"/>
      <c r="FK252" s="275"/>
      <c r="FL252" s="275"/>
      <c r="FM252" s="275"/>
      <c r="FN252" s="275"/>
      <c r="FO252" s="275"/>
      <c r="FP252" s="275"/>
      <c r="FQ252" s="275"/>
      <c r="FR252" s="275"/>
      <c r="FS252" s="275"/>
      <c r="FT252" s="275"/>
      <c r="FU252" s="275"/>
      <c r="FV252" s="275"/>
      <c r="FW252" s="275"/>
      <c r="FX252" s="275"/>
      <c r="FY252" s="275"/>
      <c r="FZ252" s="275"/>
      <c r="GA252" s="275"/>
      <c r="GB252" s="275"/>
      <c r="GC252" s="275"/>
      <c r="GD252" s="275"/>
      <c r="GE252" s="275"/>
      <c r="GF252" s="275"/>
      <c r="GG252" s="275"/>
      <c r="GH252" s="275"/>
      <c r="GI252" s="275"/>
      <c r="GJ252" s="275"/>
      <c r="GK252" s="275"/>
      <c r="GL252" s="275"/>
      <c r="GM252" s="275"/>
      <c r="GN252" s="275"/>
      <c r="GO252" s="275"/>
      <c r="GP252" s="275"/>
      <c r="GQ252" s="275"/>
      <c r="GR252" s="275"/>
      <c r="GS252" s="275"/>
      <c r="GT252" s="275"/>
      <c r="GU252" s="275"/>
      <c r="GV252" s="275"/>
      <c r="GW252" s="275"/>
      <c r="GX252" s="275"/>
      <c r="GY252" s="275"/>
      <c r="GZ252" s="275"/>
      <c r="HA252" s="275"/>
      <c r="HB252" s="275"/>
      <c r="HC252" s="275"/>
      <c r="HD252" s="275"/>
      <c r="HE252" s="275"/>
      <c r="HF252" s="275"/>
      <c r="HG252" s="275"/>
      <c r="HH252" s="275"/>
      <c r="HI252" s="275"/>
      <c r="HJ252" s="275"/>
      <c r="HK252" s="275"/>
      <c r="HL252" s="275"/>
      <c r="HM252" s="275"/>
      <c r="HN252" s="275"/>
      <c r="HO252" s="275"/>
      <c r="HP252" s="275"/>
      <c r="HQ252" s="275"/>
      <c r="HR252" s="275"/>
    </row>
    <row r="253" spans="1:226" s="297" customFormat="1">
      <c r="A253" s="275"/>
      <c r="B253" s="21"/>
      <c r="C253" s="21"/>
      <c r="D253" s="21"/>
      <c r="E253" s="21"/>
      <c r="F253" s="275"/>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J253" s="275"/>
      <c r="AK253" s="275"/>
      <c r="AL253" s="275"/>
      <c r="AM253" s="275"/>
      <c r="AN253" s="275"/>
      <c r="AO253" s="275"/>
      <c r="AQ253" s="275"/>
      <c r="AR253" s="275"/>
      <c r="AS253" s="275"/>
      <c r="AT253" s="275"/>
      <c r="AU253" s="275"/>
      <c r="AV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D253" s="275"/>
      <c r="EE253" s="275"/>
      <c r="EF253" s="275"/>
      <c r="EG253" s="275"/>
      <c r="EH253" s="275"/>
      <c r="EI253" s="275"/>
      <c r="EJ253" s="275"/>
      <c r="EK253" s="275"/>
      <c r="EL253" s="275"/>
      <c r="EM253" s="275"/>
      <c r="EN253" s="275"/>
      <c r="EO253" s="275"/>
      <c r="EP253" s="275"/>
      <c r="EQ253" s="275"/>
      <c r="ER253" s="275"/>
      <c r="ES253" s="275"/>
      <c r="ET253" s="275"/>
      <c r="EU253"/>
      <c r="EV253"/>
      <c r="EW253" s="275"/>
      <c r="EX253" s="275"/>
      <c r="EY253" s="275"/>
      <c r="EZ253" s="275"/>
      <c r="FA253" s="275"/>
      <c r="FB253" s="275"/>
      <c r="FC253" s="275"/>
      <c r="FD253" s="275"/>
      <c r="FE253" s="275"/>
      <c r="FF253" s="275"/>
      <c r="FG253" s="275"/>
      <c r="FH253" s="275"/>
      <c r="FI253" s="275"/>
      <c r="FJ253" s="275"/>
      <c r="FK253" s="275"/>
      <c r="FL253" s="275"/>
      <c r="FM253" s="275"/>
      <c r="FN253" s="275"/>
      <c r="FO253" s="275"/>
      <c r="FP253" s="275"/>
      <c r="FQ253" s="275"/>
      <c r="FR253" s="275"/>
      <c r="FS253" s="275"/>
      <c r="FT253" s="275"/>
      <c r="FU253" s="275"/>
      <c r="FV253" s="275"/>
      <c r="FW253" s="275"/>
      <c r="FX253" s="275"/>
      <c r="FY253" s="275"/>
      <c r="FZ253" s="275"/>
      <c r="GA253" s="275"/>
      <c r="GB253" s="275"/>
      <c r="GC253" s="275"/>
      <c r="GD253" s="275"/>
      <c r="GE253" s="275"/>
      <c r="GF253" s="275"/>
      <c r="GG253" s="275"/>
      <c r="GH253" s="275"/>
      <c r="GI253" s="275"/>
      <c r="GJ253" s="275"/>
      <c r="GK253" s="275"/>
      <c r="GL253" s="275"/>
      <c r="GM253" s="275"/>
      <c r="GN253" s="275"/>
      <c r="GO253" s="275"/>
      <c r="GP253" s="275"/>
      <c r="GQ253" s="275"/>
      <c r="GR253" s="275"/>
      <c r="GS253" s="275"/>
      <c r="GT253" s="275"/>
      <c r="GU253" s="275"/>
      <c r="GV253" s="275"/>
      <c r="GW253" s="275"/>
      <c r="GX253" s="275"/>
      <c r="GY253" s="275"/>
      <c r="GZ253" s="275"/>
      <c r="HA253" s="275"/>
      <c r="HB253" s="275"/>
      <c r="HC253" s="275"/>
      <c r="HD253" s="275"/>
      <c r="HE253" s="275"/>
      <c r="HF253" s="275"/>
      <c r="HG253" s="275"/>
      <c r="HH253" s="275"/>
      <c r="HI253" s="275"/>
      <c r="HJ253" s="275"/>
      <c r="HK253" s="275"/>
      <c r="HL253" s="275"/>
      <c r="HM253" s="275"/>
      <c r="HN253" s="275"/>
      <c r="HO253" s="275"/>
      <c r="HP253" s="275"/>
      <c r="HQ253" s="275"/>
      <c r="HR253" s="275"/>
    </row>
    <row r="254" spans="1:226" s="297" customFormat="1">
      <c r="A254" s="275"/>
      <c r="B254" s="21"/>
      <c r="C254" s="21"/>
      <c r="D254" s="21"/>
      <c r="E254" s="21"/>
      <c r="F254" s="275"/>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J254" s="275"/>
      <c r="AK254" s="275"/>
      <c r="AL254" s="275"/>
      <c r="AM254" s="275"/>
      <c r="AN254" s="275"/>
      <c r="AO254" s="275"/>
      <c r="AQ254" s="275"/>
      <c r="AR254" s="275"/>
      <c r="AS254" s="275"/>
      <c r="AT254" s="275"/>
      <c r="AU254" s="275"/>
      <c r="AV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D254" s="275"/>
      <c r="EE254" s="275"/>
      <c r="EF254" s="275"/>
      <c r="EG254" s="275"/>
      <c r="EH254" s="275"/>
      <c r="EI254" s="275"/>
      <c r="EJ254" s="275"/>
      <c r="EK254" s="275"/>
      <c r="EL254" s="275"/>
      <c r="EM254" s="275"/>
      <c r="EN254" s="275"/>
      <c r="EO254" s="275"/>
      <c r="EP254" s="275"/>
      <c r="EQ254" s="275"/>
      <c r="ER254" s="275"/>
      <c r="ES254" s="275"/>
      <c r="ET254" s="275"/>
      <c r="EU254"/>
      <c r="EV254"/>
      <c r="EW254" s="275"/>
      <c r="EX254" s="275"/>
      <c r="EY254" s="275"/>
      <c r="EZ254" s="275"/>
      <c r="FA254" s="275"/>
      <c r="FB254" s="275"/>
      <c r="FC254" s="275"/>
      <c r="FD254" s="275"/>
      <c r="FE254" s="275"/>
      <c r="FF254" s="275"/>
      <c r="FG254" s="275"/>
      <c r="FH254" s="275"/>
      <c r="FI254" s="275"/>
      <c r="FJ254" s="275"/>
      <c r="FK254" s="275"/>
      <c r="FL254" s="275"/>
      <c r="FM254" s="275"/>
      <c r="FN254" s="275"/>
      <c r="FO254" s="275"/>
      <c r="FP254" s="275"/>
      <c r="FQ254" s="275"/>
      <c r="FR254" s="275"/>
      <c r="FS254" s="275"/>
      <c r="FT254" s="275"/>
      <c r="FU254" s="275"/>
      <c r="FV254" s="275"/>
      <c r="FW254" s="275"/>
      <c r="FX254" s="275"/>
      <c r="FY254" s="275"/>
      <c r="FZ254" s="275"/>
      <c r="GA254" s="275"/>
      <c r="GB254" s="275"/>
      <c r="GC254" s="275"/>
      <c r="GD254" s="275"/>
      <c r="GE254" s="275"/>
      <c r="GF254" s="275"/>
      <c r="GG254" s="275"/>
      <c r="GH254" s="275"/>
      <c r="GI254" s="275"/>
      <c r="GJ254" s="275"/>
      <c r="GK254" s="275"/>
      <c r="GL254" s="275"/>
      <c r="GM254" s="275"/>
      <c r="GN254" s="275"/>
      <c r="GO254" s="275"/>
      <c r="GP254" s="275"/>
      <c r="GQ254" s="275"/>
      <c r="GR254" s="275"/>
      <c r="GS254" s="275"/>
      <c r="GT254" s="275"/>
      <c r="GU254" s="275"/>
      <c r="GV254" s="275"/>
      <c r="GW254" s="275"/>
      <c r="GX254" s="275"/>
      <c r="GY254" s="275"/>
      <c r="GZ254" s="275"/>
      <c r="HA254" s="275"/>
      <c r="HB254" s="275"/>
      <c r="HC254" s="275"/>
      <c r="HD254" s="275"/>
      <c r="HE254" s="275"/>
      <c r="HF254" s="275"/>
      <c r="HG254" s="275"/>
      <c r="HH254" s="275"/>
      <c r="HI254" s="275"/>
      <c r="HJ254" s="275"/>
      <c r="HK254" s="275"/>
      <c r="HL254" s="275"/>
      <c r="HM254" s="275"/>
      <c r="HN254" s="275"/>
      <c r="HO254" s="275"/>
      <c r="HP254" s="275"/>
      <c r="HQ254" s="275"/>
      <c r="HR254" s="275"/>
    </row>
    <row r="255" spans="1:226" s="297" customFormat="1">
      <c r="A255" s="275"/>
      <c r="B255" s="21"/>
      <c r="C255" s="21"/>
      <c r="D255" s="21"/>
      <c r="E255" s="21"/>
      <c r="F255" s="275"/>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J255" s="275"/>
      <c r="AK255" s="275"/>
      <c r="AL255" s="275"/>
      <c r="AM255" s="275"/>
      <c r="AN255" s="275"/>
      <c r="AO255" s="275"/>
      <c r="AQ255" s="275"/>
      <c r="AR255" s="275"/>
      <c r="AS255" s="275"/>
      <c r="AT255" s="275"/>
      <c r="AU255" s="275"/>
      <c r="AV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D255" s="275"/>
      <c r="EE255" s="275"/>
      <c r="EF255" s="275"/>
      <c r="EG255" s="275"/>
      <c r="EH255" s="275"/>
      <c r="EI255" s="275"/>
      <c r="EJ255" s="275"/>
      <c r="EK255" s="275"/>
      <c r="EL255" s="275"/>
      <c r="EM255" s="275"/>
      <c r="EN255" s="275"/>
      <c r="EO255" s="275"/>
      <c r="EP255" s="275"/>
      <c r="EQ255" s="275"/>
      <c r="ER255" s="275"/>
      <c r="ES255" s="275"/>
      <c r="ET255" s="275"/>
      <c r="EU255"/>
      <c r="EV255"/>
      <c r="EW255" s="275"/>
      <c r="EX255" s="275"/>
      <c r="EY255" s="275"/>
      <c r="EZ255" s="275"/>
      <c r="FA255" s="275"/>
      <c r="FB255" s="275"/>
      <c r="FC255" s="275"/>
      <c r="FD255" s="275"/>
      <c r="FE255" s="275"/>
      <c r="FF255" s="275"/>
      <c r="FG255" s="275"/>
      <c r="FH255" s="275"/>
      <c r="FI255" s="275"/>
      <c r="FJ255" s="275"/>
      <c r="FK255" s="275"/>
      <c r="FL255" s="275"/>
      <c r="FM255" s="275"/>
      <c r="FN255" s="275"/>
      <c r="FO255" s="275"/>
      <c r="FP255" s="275"/>
      <c r="FQ255" s="275"/>
      <c r="FR255" s="275"/>
      <c r="FS255" s="275"/>
      <c r="FT255" s="275"/>
      <c r="FU255" s="275"/>
      <c r="FV255" s="275"/>
      <c r="FW255" s="275"/>
      <c r="FX255" s="275"/>
      <c r="FY255" s="275"/>
      <c r="FZ255" s="275"/>
      <c r="GA255" s="275"/>
      <c r="GB255" s="275"/>
      <c r="GC255" s="275"/>
      <c r="GD255" s="275"/>
      <c r="GE255" s="275"/>
      <c r="GF255" s="275"/>
      <c r="GG255" s="275"/>
      <c r="GH255" s="275"/>
      <c r="GI255" s="275"/>
      <c r="GJ255" s="275"/>
      <c r="GK255" s="275"/>
      <c r="GL255" s="275"/>
      <c r="GM255" s="275"/>
      <c r="GN255" s="275"/>
      <c r="GO255" s="275"/>
      <c r="GP255" s="275"/>
      <c r="GQ255" s="275"/>
      <c r="GR255" s="275"/>
      <c r="GS255" s="275"/>
      <c r="GT255" s="275"/>
      <c r="GU255" s="275"/>
      <c r="GV255" s="275"/>
      <c r="GW255" s="275"/>
      <c r="GX255" s="275"/>
      <c r="GY255" s="275"/>
      <c r="GZ255" s="275"/>
      <c r="HA255" s="275"/>
      <c r="HB255" s="275"/>
      <c r="HC255" s="275"/>
      <c r="HD255" s="275"/>
      <c r="HE255" s="275"/>
      <c r="HF255" s="275"/>
      <c r="HG255" s="275"/>
      <c r="HH255" s="275"/>
      <c r="HI255" s="275"/>
      <c r="HJ255" s="275"/>
      <c r="HK255" s="275"/>
      <c r="HL255" s="275"/>
      <c r="HM255" s="275"/>
      <c r="HN255" s="275"/>
      <c r="HO255" s="275"/>
      <c r="HP255" s="275"/>
      <c r="HQ255" s="275"/>
      <c r="HR255" s="275"/>
    </row>
    <row r="256" spans="1:226" s="297" customFormat="1">
      <c r="A256" s="275"/>
      <c r="B256" s="21"/>
      <c r="C256" s="21"/>
      <c r="D256" s="21"/>
      <c r="E256" s="21"/>
      <c r="F256" s="275"/>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J256" s="275"/>
      <c r="AK256" s="275"/>
      <c r="AL256" s="275"/>
      <c r="AM256" s="275"/>
      <c r="AN256" s="275"/>
      <c r="AO256" s="275"/>
      <c r="AQ256" s="275"/>
      <c r="AR256" s="275"/>
      <c r="AS256" s="275"/>
      <c r="AT256" s="275"/>
      <c r="AU256" s="275"/>
      <c r="AV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D256" s="275"/>
      <c r="EE256" s="275"/>
      <c r="EF256" s="275"/>
      <c r="EG256" s="275"/>
      <c r="EH256" s="275"/>
      <c r="EI256" s="275"/>
      <c r="EJ256" s="275"/>
      <c r="EK256" s="275"/>
      <c r="EL256" s="275"/>
      <c r="EM256" s="275"/>
      <c r="EN256" s="275"/>
      <c r="EO256" s="275"/>
      <c r="EP256" s="275"/>
      <c r="EQ256" s="275"/>
      <c r="ER256" s="275"/>
      <c r="ES256" s="275"/>
      <c r="ET256" s="275"/>
      <c r="EU256"/>
      <c r="EV256"/>
      <c r="EW256" s="275"/>
      <c r="EX256" s="275"/>
      <c r="EY256" s="275"/>
      <c r="EZ256" s="275"/>
      <c r="FA256" s="275"/>
      <c r="FB256" s="275"/>
      <c r="FC256" s="275"/>
      <c r="FD256" s="275"/>
      <c r="FE256" s="275"/>
      <c r="FF256" s="275"/>
      <c r="FG256" s="275"/>
      <c r="FH256" s="275"/>
      <c r="FI256" s="275"/>
      <c r="FJ256" s="275"/>
      <c r="FK256" s="275"/>
      <c r="FL256" s="275"/>
      <c r="FM256" s="275"/>
      <c r="FN256" s="275"/>
      <c r="FO256" s="275"/>
      <c r="FP256" s="275"/>
      <c r="FQ256" s="275"/>
      <c r="FR256" s="275"/>
      <c r="FS256" s="275"/>
      <c r="FT256" s="275"/>
      <c r="FU256" s="275"/>
      <c r="FV256" s="275"/>
      <c r="FW256" s="275"/>
      <c r="FX256" s="275"/>
      <c r="FY256" s="275"/>
      <c r="FZ256" s="275"/>
      <c r="GA256" s="275"/>
      <c r="GB256" s="275"/>
      <c r="GC256" s="275"/>
      <c r="GD256" s="275"/>
      <c r="GE256" s="275"/>
      <c r="GF256" s="275"/>
      <c r="GG256" s="275"/>
      <c r="GH256" s="275"/>
      <c r="GI256" s="275"/>
      <c r="GJ256" s="275"/>
      <c r="GK256" s="275"/>
      <c r="GL256" s="275"/>
      <c r="GM256" s="275"/>
      <c r="GN256" s="275"/>
      <c r="GO256" s="275"/>
      <c r="GP256" s="275"/>
      <c r="GQ256" s="275"/>
      <c r="GR256" s="275"/>
      <c r="GS256" s="275"/>
      <c r="GT256" s="275"/>
      <c r="GU256" s="275"/>
      <c r="GV256" s="275"/>
      <c r="GW256" s="275"/>
      <c r="GX256" s="275"/>
      <c r="GY256" s="275"/>
      <c r="GZ256" s="275"/>
      <c r="HA256" s="275"/>
      <c r="HB256" s="275"/>
      <c r="HC256" s="275"/>
      <c r="HD256" s="275"/>
      <c r="HE256" s="275"/>
      <c r="HF256" s="275"/>
      <c r="HG256" s="275"/>
      <c r="HH256" s="275"/>
      <c r="HI256" s="275"/>
      <c r="HJ256" s="275"/>
      <c r="HK256" s="275"/>
      <c r="HL256" s="275"/>
      <c r="HM256" s="275"/>
      <c r="HN256" s="275"/>
      <c r="HO256" s="275"/>
      <c r="HP256" s="275"/>
      <c r="HQ256" s="275"/>
      <c r="HR256" s="275"/>
    </row>
    <row r="257" spans="1:226" s="297" customFormat="1">
      <c r="A257" s="275"/>
      <c r="B257" s="21"/>
      <c r="C257" s="21"/>
      <c r="D257" s="21"/>
      <c r="E257" s="21"/>
      <c r="F257" s="275"/>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J257" s="275"/>
      <c r="AK257" s="275"/>
      <c r="AL257" s="275"/>
      <c r="AM257" s="275"/>
      <c r="AN257" s="275"/>
      <c r="AO257" s="275"/>
      <c r="AQ257" s="275"/>
      <c r="AR257" s="275"/>
      <c r="AS257" s="275"/>
      <c r="AT257" s="275"/>
      <c r="AU257" s="275"/>
      <c r="AV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D257" s="275"/>
      <c r="EE257" s="275"/>
      <c r="EF257" s="275"/>
      <c r="EG257" s="275"/>
      <c r="EH257" s="275"/>
      <c r="EI257" s="275"/>
      <c r="EJ257" s="275"/>
      <c r="EK257" s="275"/>
      <c r="EL257" s="275"/>
      <c r="EM257" s="275"/>
      <c r="EN257" s="275"/>
      <c r="EO257" s="275"/>
      <c r="EP257" s="275"/>
      <c r="EQ257" s="275"/>
      <c r="ER257" s="275"/>
      <c r="ES257" s="275"/>
      <c r="ET257" s="275"/>
      <c r="EU257"/>
      <c r="EV257"/>
      <c r="EW257" s="275"/>
      <c r="EX257" s="275"/>
      <c r="EY257" s="275"/>
      <c r="EZ257" s="275"/>
      <c r="FA257" s="275"/>
      <c r="FB257" s="275"/>
      <c r="FC257" s="275"/>
      <c r="FD257" s="275"/>
      <c r="FE257" s="275"/>
      <c r="FF257" s="275"/>
      <c r="FG257" s="275"/>
      <c r="FH257" s="275"/>
      <c r="FI257" s="275"/>
      <c r="FJ257" s="275"/>
      <c r="FK257" s="275"/>
      <c r="FL257" s="275"/>
      <c r="FM257" s="275"/>
      <c r="FN257" s="275"/>
      <c r="FO257" s="275"/>
      <c r="FP257" s="275"/>
      <c r="FQ257" s="275"/>
      <c r="FR257" s="275"/>
      <c r="FS257" s="275"/>
      <c r="FT257" s="275"/>
      <c r="FU257" s="275"/>
      <c r="FV257" s="275"/>
      <c r="FW257" s="275"/>
      <c r="FX257" s="275"/>
      <c r="FY257" s="275"/>
      <c r="FZ257" s="275"/>
      <c r="GA257" s="275"/>
      <c r="GB257" s="275"/>
      <c r="GC257" s="275"/>
      <c r="GD257" s="275"/>
      <c r="GE257" s="275"/>
      <c r="GF257" s="275"/>
      <c r="GG257" s="275"/>
      <c r="GH257" s="275"/>
      <c r="GI257" s="275"/>
      <c r="GJ257" s="275"/>
      <c r="GK257" s="275"/>
      <c r="GL257" s="275"/>
      <c r="GM257" s="275"/>
      <c r="GN257" s="275"/>
      <c r="GO257" s="275"/>
      <c r="GP257" s="275"/>
      <c r="GQ257" s="275"/>
      <c r="GR257" s="275"/>
      <c r="GS257" s="275"/>
      <c r="GT257" s="275"/>
      <c r="GU257" s="275"/>
      <c r="GV257" s="275"/>
      <c r="GW257" s="275"/>
      <c r="GX257" s="275"/>
      <c r="GY257" s="275"/>
      <c r="GZ257" s="275"/>
      <c r="HA257" s="275"/>
      <c r="HB257" s="275"/>
      <c r="HC257" s="275"/>
      <c r="HD257" s="275"/>
      <c r="HE257" s="275"/>
      <c r="HF257" s="275"/>
      <c r="HG257" s="275"/>
      <c r="HH257" s="275"/>
      <c r="HI257" s="275"/>
      <c r="HJ257" s="275"/>
      <c r="HK257" s="275"/>
      <c r="HL257" s="275"/>
      <c r="HM257" s="275"/>
      <c r="HN257" s="275"/>
      <c r="HO257" s="275"/>
      <c r="HP257" s="275"/>
      <c r="HQ257" s="275"/>
      <c r="HR257" s="275"/>
    </row>
    <row r="258" spans="1:226" s="297" customFormat="1">
      <c r="A258" s="275"/>
      <c r="B258" s="21"/>
      <c r="C258" s="21"/>
      <c r="D258" s="21"/>
      <c r="E258" s="21"/>
      <c r="F258" s="275"/>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J258" s="275"/>
      <c r="AK258" s="275"/>
      <c r="AL258" s="275"/>
      <c r="AM258" s="275"/>
      <c r="AN258" s="275"/>
      <c r="AO258" s="275"/>
      <c r="AQ258" s="275"/>
      <c r="AR258" s="275"/>
      <c r="AS258" s="275"/>
      <c r="AT258" s="275"/>
      <c r="AU258" s="275"/>
      <c r="AV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D258" s="275"/>
      <c r="EE258" s="275"/>
      <c r="EF258" s="275"/>
      <c r="EG258" s="275"/>
      <c r="EH258" s="275"/>
      <c r="EI258" s="275"/>
      <c r="EJ258" s="275"/>
      <c r="EK258" s="275"/>
      <c r="EL258" s="275"/>
      <c r="EM258" s="275"/>
      <c r="EN258" s="275"/>
      <c r="EO258" s="275"/>
      <c r="EP258" s="275"/>
      <c r="EQ258" s="275"/>
      <c r="ER258" s="275"/>
      <c r="ES258" s="275"/>
      <c r="ET258" s="275"/>
      <c r="EU258"/>
      <c r="EV258"/>
      <c r="EW258" s="275"/>
      <c r="EX258" s="275"/>
      <c r="EY258" s="275"/>
      <c r="EZ258" s="275"/>
      <c r="FA258" s="275"/>
      <c r="FB258" s="275"/>
      <c r="FC258" s="275"/>
      <c r="FD258" s="275"/>
      <c r="FE258" s="275"/>
      <c r="FF258" s="275"/>
      <c r="FG258" s="275"/>
      <c r="FH258" s="275"/>
      <c r="FI258" s="275"/>
      <c r="FJ258" s="275"/>
      <c r="FK258" s="275"/>
      <c r="FL258" s="275"/>
      <c r="FM258" s="275"/>
      <c r="FN258" s="275"/>
      <c r="FO258" s="275"/>
      <c r="FP258" s="275"/>
      <c r="FQ258" s="275"/>
      <c r="FR258" s="275"/>
      <c r="FS258" s="275"/>
      <c r="FT258" s="275"/>
      <c r="FU258" s="275"/>
      <c r="FV258" s="275"/>
      <c r="FW258" s="275"/>
      <c r="FX258" s="275"/>
      <c r="FY258" s="275"/>
      <c r="FZ258" s="275"/>
      <c r="GA258" s="275"/>
      <c r="GB258" s="275"/>
      <c r="GC258" s="275"/>
      <c r="GD258" s="275"/>
      <c r="GE258" s="275"/>
      <c r="GF258" s="275"/>
      <c r="GG258" s="275"/>
      <c r="GH258" s="275"/>
      <c r="GI258" s="275"/>
      <c r="GJ258" s="275"/>
      <c r="GK258" s="275"/>
      <c r="GL258" s="275"/>
      <c r="GM258" s="275"/>
      <c r="GN258" s="275"/>
      <c r="GO258" s="275"/>
      <c r="GP258" s="275"/>
      <c r="GQ258" s="275"/>
      <c r="GR258" s="275"/>
      <c r="GS258" s="275"/>
      <c r="GT258" s="275"/>
      <c r="GU258" s="275"/>
      <c r="GV258" s="275"/>
      <c r="GW258" s="275"/>
      <c r="GX258" s="275"/>
      <c r="GY258" s="275"/>
      <c r="GZ258" s="275"/>
      <c r="HA258" s="275"/>
      <c r="HB258" s="275"/>
      <c r="HC258" s="275"/>
      <c r="HD258" s="275"/>
      <c r="HE258" s="275"/>
      <c r="HF258" s="275"/>
      <c r="HG258" s="275"/>
      <c r="HH258" s="275"/>
      <c r="HI258" s="275"/>
      <c r="HJ258" s="275"/>
      <c r="HK258" s="275"/>
      <c r="HL258" s="275"/>
      <c r="HM258" s="275"/>
      <c r="HN258" s="275"/>
      <c r="HO258" s="275"/>
      <c r="HP258" s="275"/>
      <c r="HQ258" s="275"/>
      <c r="HR258" s="275"/>
    </row>
    <row r="259" spans="1:226" s="297" customFormat="1">
      <c r="A259" s="275"/>
      <c r="B259" s="21"/>
      <c r="C259" s="21"/>
      <c r="D259" s="21"/>
      <c r="E259" s="21"/>
      <c r="F259" s="275"/>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J259" s="275"/>
      <c r="AK259" s="275"/>
      <c r="AL259" s="275"/>
      <c r="AM259" s="275"/>
      <c r="AN259" s="275"/>
      <c r="AO259" s="275"/>
      <c r="AQ259" s="275"/>
      <c r="AR259" s="275"/>
      <c r="AS259" s="275"/>
      <c r="AT259" s="275"/>
      <c r="AU259" s="275"/>
      <c r="AV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D259" s="275"/>
      <c r="EE259" s="275"/>
      <c r="EF259" s="275"/>
      <c r="EG259" s="275"/>
      <c r="EH259" s="275"/>
      <c r="EI259" s="275"/>
      <c r="EJ259" s="275"/>
      <c r="EK259" s="275"/>
      <c r="EL259" s="275"/>
      <c r="EM259" s="275"/>
      <c r="EN259" s="275"/>
      <c r="EO259" s="275"/>
      <c r="EP259" s="275"/>
      <c r="EQ259" s="275"/>
      <c r="ER259" s="275"/>
      <c r="ES259" s="275"/>
      <c r="ET259" s="275"/>
      <c r="EU259"/>
      <c r="EV259"/>
      <c r="EW259" s="275"/>
      <c r="EX259" s="275"/>
      <c r="EY259" s="275"/>
      <c r="EZ259" s="275"/>
      <c r="FA259" s="275"/>
      <c r="FB259" s="275"/>
      <c r="FC259" s="275"/>
      <c r="FD259" s="275"/>
      <c r="FE259" s="275"/>
      <c r="FF259" s="275"/>
      <c r="FG259" s="275"/>
      <c r="FH259" s="275"/>
      <c r="FI259" s="275"/>
      <c r="FJ259" s="275"/>
      <c r="FK259" s="275"/>
      <c r="FL259" s="275"/>
      <c r="FM259" s="275"/>
      <c r="FN259" s="275"/>
      <c r="FO259" s="275"/>
      <c r="FP259" s="275"/>
      <c r="FQ259" s="275"/>
      <c r="FR259" s="275"/>
      <c r="FS259" s="275"/>
      <c r="FT259" s="275"/>
      <c r="FU259" s="275"/>
      <c r="FV259" s="275"/>
      <c r="FW259" s="275"/>
      <c r="FX259" s="275"/>
      <c r="FY259" s="275"/>
      <c r="FZ259" s="275"/>
      <c r="GA259" s="275"/>
      <c r="GB259" s="275"/>
      <c r="GC259" s="275"/>
      <c r="GD259" s="275"/>
      <c r="GE259" s="275"/>
      <c r="GF259" s="275"/>
      <c r="GG259" s="275"/>
      <c r="GH259" s="275"/>
      <c r="GI259" s="275"/>
      <c r="GJ259" s="275"/>
      <c r="GK259" s="275"/>
      <c r="GL259" s="275"/>
      <c r="GM259" s="275"/>
      <c r="GN259" s="275"/>
      <c r="GO259" s="275"/>
      <c r="GP259" s="275"/>
      <c r="GQ259" s="275"/>
      <c r="GR259" s="275"/>
      <c r="GS259" s="275"/>
      <c r="GT259" s="275"/>
      <c r="GU259" s="275"/>
      <c r="GV259" s="275"/>
      <c r="GW259" s="275"/>
      <c r="GX259" s="275"/>
      <c r="GY259" s="275"/>
      <c r="GZ259" s="275"/>
      <c r="HA259" s="275"/>
      <c r="HB259" s="275"/>
      <c r="HC259" s="275"/>
      <c r="HD259" s="275"/>
      <c r="HE259" s="275"/>
      <c r="HF259" s="275"/>
      <c r="HG259" s="275"/>
      <c r="HH259" s="275"/>
      <c r="HI259" s="275"/>
      <c r="HJ259" s="275"/>
      <c r="HK259" s="275"/>
      <c r="HL259" s="275"/>
      <c r="HM259" s="275"/>
      <c r="HN259" s="275"/>
      <c r="HO259" s="275"/>
      <c r="HP259" s="275"/>
      <c r="HQ259" s="275"/>
      <c r="HR259" s="275"/>
    </row>
    <row r="260" spans="1:226" s="297" customFormat="1">
      <c r="A260" s="275"/>
      <c r="B260" s="21"/>
      <c r="C260" s="21"/>
      <c r="D260" s="21"/>
      <c r="E260" s="21"/>
      <c r="F260" s="275"/>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J260" s="275"/>
      <c r="AK260" s="275"/>
      <c r="AL260" s="275"/>
      <c r="AM260" s="275"/>
      <c r="AN260" s="275"/>
      <c r="AO260" s="275"/>
      <c r="AQ260" s="275"/>
      <c r="AR260" s="275"/>
      <c r="AS260" s="275"/>
      <c r="AT260" s="275"/>
      <c r="AU260" s="275"/>
      <c r="AV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D260" s="275"/>
      <c r="EE260" s="275"/>
      <c r="EF260" s="275"/>
      <c r="EG260" s="275"/>
      <c r="EH260" s="275"/>
      <c r="EI260" s="275"/>
      <c r="EJ260" s="275"/>
      <c r="EK260" s="275"/>
      <c r="EL260" s="275"/>
      <c r="EM260" s="275"/>
      <c r="EN260" s="275"/>
      <c r="EO260" s="275"/>
      <c r="EP260" s="275"/>
      <c r="EQ260" s="275"/>
      <c r="ER260" s="275"/>
      <c r="ES260" s="275"/>
      <c r="ET260" s="275"/>
      <c r="EU260"/>
      <c r="EV260"/>
      <c r="EW260" s="275"/>
      <c r="EX260" s="275"/>
      <c r="EY260" s="275"/>
      <c r="EZ260" s="275"/>
      <c r="FA260" s="275"/>
      <c r="FB260" s="275"/>
      <c r="FC260" s="275"/>
      <c r="FD260" s="275"/>
      <c r="FE260" s="275"/>
      <c r="FF260" s="275"/>
      <c r="FG260" s="275"/>
      <c r="FH260" s="275"/>
      <c r="FI260" s="275"/>
      <c r="FJ260" s="275"/>
      <c r="FK260" s="275"/>
      <c r="FL260" s="275"/>
      <c r="FM260" s="275"/>
      <c r="FN260" s="275"/>
      <c r="FO260" s="275"/>
      <c r="FP260" s="275"/>
      <c r="FQ260" s="275"/>
      <c r="FR260" s="275"/>
      <c r="FS260" s="275"/>
      <c r="FT260" s="275"/>
      <c r="FU260" s="275"/>
      <c r="FV260" s="275"/>
      <c r="FW260" s="275"/>
      <c r="FX260" s="275"/>
      <c r="FY260" s="275"/>
      <c r="FZ260" s="275"/>
      <c r="GA260" s="275"/>
      <c r="GB260" s="275"/>
      <c r="GC260" s="275"/>
      <c r="GD260" s="275"/>
      <c r="GE260" s="275"/>
      <c r="GF260" s="275"/>
      <c r="GG260" s="275"/>
      <c r="GH260" s="275"/>
      <c r="GI260" s="275"/>
      <c r="GJ260" s="275"/>
      <c r="GK260" s="275"/>
      <c r="GL260" s="275"/>
      <c r="GM260" s="275"/>
      <c r="GN260" s="275"/>
      <c r="GO260" s="275"/>
      <c r="GP260" s="275"/>
      <c r="GQ260" s="275"/>
      <c r="GR260" s="275"/>
      <c r="GS260" s="275"/>
      <c r="GT260" s="275"/>
      <c r="GU260" s="275"/>
      <c r="GV260" s="275"/>
      <c r="GW260" s="275"/>
      <c r="GX260" s="275"/>
      <c r="GY260" s="275"/>
      <c r="GZ260" s="275"/>
      <c r="HA260" s="275"/>
      <c r="HB260" s="275"/>
      <c r="HC260" s="275"/>
      <c r="HD260" s="275"/>
      <c r="HE260" s="275"/>
      <c r="HF260" s="275"/>
      <c r="HG260" s="275"/>
      <c r="HH260" s="275"/>
      <c r="HI260" s="275"/>
      <c r="HJ260" s="275"/>
      <c r="HK260" s="275"/>
      <c r="HL260" s="275"/>
      <c r="HM260" s="275"/>
      <c r="HN260" s="275"/>
      <c r="HO260" s="275"/>
      <c r="HP260" s="275"/>
      <c r="HQ260" s="275"/>
      <c r="HR260" s="275"/>
    </row>
    <row r="261" spans="1:226" s="297" customFormat="1">
      <c r="A261" s="275"/>
      <c r="B261" s="21"/>
      <c r="C261" s="21"/>
      <c r="D261" s="21"/>
      <c r="E261" s="21"/>
      <c r="F261" s="275"/>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J261" s="275"/>
      <c r="AK261" s="275"/>
      <c r="AL261" s="275"/>
      <c r="AM261" s="275"/>
      <c r="AN261" s="275"/>
      <c r="AO261" s="275"/>
      <c r="AQ261" s="275"/>
      <c r="AR261" s="275"/>
      <c r="AS261" s="275"/>
      <c r="AT261" s="275"/>
      <c r="AU261" s="275"/>
      <c r="AV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D261" s="275"/>
      <c r="EE261" s="275"/>
      <c r="EF261" s="275"/>
      <c r="EG261" s="275"/>
      <c r="EH261" s="275"/>
      <c r="EI261" s="275"/>
      <c r="EJ261" s="275"/>
      <c r="EK261" s="275"/>
      <c r="EL261" s="275"/>
      <c r="EM261" s="275"/>
      <c r="EN261" s="275"/>
      <c r="EO261" s="275"/>
      <c r="EP261" s="275"/>
      <c r="EQ261" s="275"/>
      <c r="ER261" s="275"/>
      <c r="ES261" s="275"/>
      <c r="ET261" s="275"/>
      <c r="EU261"/>
      <c r="EV261"/>
      <c r="EW261" s="275"/>
      <c r="EX261" s="275"/>
      <c r="EY261" s="275"/>
      <c r="EZ261" s="275"/>
      <c r="FA261" s="275"/>
      <c r="FB261" s="275"/>
      <c r="FC261" s="275"/>
      <c r="FD261" s="275"/>
      <c r="FE261" s="275"/>
      <c r="FF261" s="275"/>
      <c r="FG261" s="275"/>
      <c r="FH261" s="275"/>
      <c r="FI261" s="275"/>
      <c r="FJ261" s="275"/>
      <c r="FK261" s="275"/>
      <c r="FL261" s="275"/>
      <c r="FM261" s="275"/>
      <c r="FN261" s="275"/>
      <c r="FO261" s="275"/>
      <c r="FP261" s="275"/>
      <c r="FQ261" s="275"/>
      <c r="FR261" s="275"/>
      <c r="FS261" s="275"/>
      <c r="FT261" s="275"/>
      <c r="FU261" s="275"/>
      <c r="FV261" s="275"/>
      <c r="FW261" s="275"/>
      <c r="FX261" s="275"/>
      <c r="FY261" s="275"/>
      <c r="FZ261" s="275"/>
      <c r="GA261" s="275"/>
      <c r="GB261" s="275"/>
      <c r="GC261" s="275"/>
      <c r="GD261" s="275"/>
      <c r="GE261" s="275"/>
      <c r="GF261" s="275"/>
      <c r="GG261" s="275"/>
      <c r="GH261" s="275"/>
      <c r="GI261" s="275"/>
      <c r="GJ261" s="275"/>
      <c r="GK261" s="275"/>
      <c r="GL261" s="275"/>
      <c r="GM261" s="275"/>
      <c r="GN261" s="275"/>
      <c r="GO261" s="275"/>
      <c r="GP261" s="275"/>
      <c r="GQ261" s="275"/>
      <c r="GR261" s="275"/>
      <c r="GS261" s="275"/>
      <c r="GT261" s="275"/>
      <c r="GU261" s="275"/>
      <c r="GV261" s="275"/>
      <c r="GW261" s="275"/>
      <c r="GX261" s="275"/>
      <c r="GY261" s="275"/>
      <c r="GZ261" s="275"/>
      <c r="HA261" s="275"/>
      <c r="HB261" s="275"/>
      <c r="HC261" s="275"/>
      <c r="HD261" s="275"/>
      <c r="HE261" s="275"/>
      <c r="HF261" s="275"/>
      <c r="HG261" s="275"/>
      <c r="HH261" s="275"/>
      <c r="HI261" s="275"/>
      <c r="HJ261" s="275"/>
      <c r="HK261" s="275"/>
      <c r="HL261" s="275"/>
      <c r="HM261" s="275"/>
      <c r="HN261" s="275"/>
      <c r="HO261" s="275"/>
      <c r="HP261" s="275"/>
      <c r="HQ261" s="275"/>
      <c r="HR261" s="275"/>
    </row>
    <row r="262" spans="1:226" s="297" customFormat="1">
      <c r="A262" s="275"/>
      <c r="B262" s="21"/>
      <c r="C262" s="21"/>
      <c r="D262" s="21"/>
      <c r="E262" s="21"/>
      <c r="F262" s="275"/>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J262" s="275"/>
      <c r="AK262" s="275"/>
      <c r="AL262" s="275"/>
      <c r="AM262" s="275"/>
      <c r="AN262" s="275"/>
      <c r="AO262" s="275"/>
      <c r="AQ262" s="275"/>
      <c r="AR262" s="275"/>
      <c r="AS262" s="275"/>
      <c r="AT262" s="275"/>
      <c r="AU262" s="275"/>
      <c r="AV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D262" s="275"/>
      <c r="EE262" s="275"/>
      <c r="EF262" s="275"/>
      <c r="EG262" s="275"/>
      <c r="EH262" s="275"/>
      <c r="EI262" s="275"/>
      <c r="EJ262" s="275"/>
      <c r="EK262" s="275"/>
      <c r="EL262" s="275"/>
      <c r="EM262" s="275"/>
      <c r="EN262" s="275"/>
      <c r="EO262" s="275"/>
      <c r="EP262" s="275"/>
      <c r="EQ262" s="275"/>
      <c r="ER262" s="275"/>
      <c r="ES262" s="275"/>
      <c r="ET262" s="275"/>
      <c r="EU262"/>
      <c r="EV262"/>
      <c r="EW262" s="275"/>
      <c r="EX262" s="275"/>
      <c r="EY262" s="275"/>
      <c r="EZ262" s="275"/>
      <c r="FA262" s="275"/>
      <c r="FB262" s="275"/>
      <c r="FC262" s="275"/>
      <c r="FD262" s="275"/>
      <c r="FE262" s="275"/>
      <c r="FF262" s="275"/>
      <c r="FG262" s="275"/>
      <c r="FH262" s="275"/>
      <c r="FI262" s="275"/>
      <c r="FJ262" s="275"/>
      <c r="FK262" s="275"/>
      <c r="FL262" s="275"/>
      <c r="FM262" s="275"/>
      <c r="FN262" s="275"/>
      <c r="FO262" s="275"/>
      <c r="FP262" s="275"/>
      <c r="FQ262" s="275"/>
      <c r="FR262" s="275"/>
      <c r="FS262" s="275"/>
      <c r="FT262" s="275"/>
      <c r="FU262" s="275"/>
      <c r="FV262" s="275"/>
      <c r="FW262" s="275"/>
      <c r="FX262" s="275"/>
      <c r="FY262" s="275"/>
      <c r="FZ262" s="275"/>
      <c r="GA262" s="275"/>
      <c r="GB262" s="275"/>
      <c r="GC262" s="275"/>
      <c r="GD262" s="275"/>
      <c r="GE262" s="275"/>
      <c r="GF262" s="275"/>
      <c r="GG262" s="275"/>
      <c r="GH262" s="275"/>
      <c r="GI262" s="275"/>
      <c r="GJ262" s="275"/>
      <c r="GK262" s="275"/>
      <c r="GL262" s="275"/>
      <c r="GM262" s="275"/>
      <c r="GN262" s="275"/>
      <c r="GO262" s="275"/>
      <c r="GP262" s="275"/>
      <c r="GQ262" s="275"/>
      <c r="GR262" s="275"/>
      <c r="GS262" s="275"/>
      <c r="GT262" s="275"/>
      <c r="GU262" s="275"/>
      <c r="GV262" s="275"/>
      <c r="GW262" s="275"/>
      <c r="GX262" s="275"/>
      <c r="GY262" s="275"/>
      <c r="GZ262" s="275"/>
      <c r="HA262" s="275"/>
      <c r="HB262" s="275"/>
      <c r="HC262" s="275"/>
      <c r="HD262" s="275"/>
      <c r="HE262" s="275"/>
      <c r="HF262" s="275"/>
      <c r="HG262" s="275"/>
      <c r="HH262" s="275"/>
      <c r="HI262" s="275"/>
      <c r="HJ262" s="275"/>
      <c r="HK262" s="275"/>
      <c r="HL262" s="275"/>
      <c r="HM262" s="275"/>
      <c r="HN262" s="275"/>
      <c r="HO262" s="275"/>
      <c r="HP262" s="275"/>
      <c r="HQ262" s="275"/>
      <c r="HR262" s="275"/>
    </row>
    <row r="263" spans="1:226" s="297" customFormat="1">
      <c r="A263" s="275"/>
      <c r="B263" s="21"/>
      <c r="C263" s="21"/>
      <c r="D263" s="21"/>
      <c r="E263" s="21"/>
      <c r="F263" s="275"/>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J263" s="275"/>
      <c r="AK263" s="275"/>
      <c r="AL263" s="275"/>
      <c r="AM263" s="275"/>
      <c r="AN263" s="275"/>
      <c r="AO263" s="275"/>
      <c r="AQ263" s="275"/>
      <c r="AR263" s="275"/>
      <c r="AS263" s="275"/>
      <c r="AT263" s="275"/>
      <c r="AU263" s="275"/>
      <c r="AV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D263" s="275"/>
      <c r="EE263" s="275"/>
      <c r="EF263" s="275"/>
      <c r="EG263" s="275"/>
      <c r="EH263" s="275"/>
      <c r="EI263" s="275"/>
      <c r="EJ263" s="275"/>
      <c r="EK263" s="275"/>
      <c r="EL263" s="275"/>
      <c r="EM263" s="275"/>
      <c r="EN263" s="275"/>
      <c r="EO263" s="275"/>
      <c r="EP263" s="275"/>
      <c r="EQ263" s="275"/>
      <c r="ER263" s="275"/>
      <c r="ES263" s="275"/>
      <c r="ET263" s="275"/>
      <c r="EU263"/>
      <c r="EV263"/>
      <c r="EW263" s="275"/>
      <c r="EX263" s="275"/>
      <c r="EY263" s="275"/>
      <c r="EZ263" s="275"/>
      <c r="FA263" s="275"/>
      <c r="FB263" s="275"/>
      <c r="FC263" s="275"/>
      <c r="FD263" s="275"/>
      <c r="FE263" s="275"/>
      <c r="FF263" s="275"/>
      <c r="FG263" s="275"/>
      <c r="FH263" s="275"/>
      <c r="FI263" s="275"/>
      <c r="FJ263" s="275"/>
      <c r="FK263" s="275"/>
      <c r="FL263" s="275"/>
      <c r="FM263" s="275"/>
      <c r="FN263" s="275"/>
      <c r="FO263" s="275"/>
      <c r="FP263" s="275"/>
      <c r="FQ263" s="275"/>
      <c r="FR263" s="275"/>
      <c r="FS263" s="275"/>
      <c r="FT263" s="275"/>
      <c r="FU263" s="275"/>
      <c r="FV263" s="275"/>
      <c r="FW263" s="275"/>
      <c r="FX263" s="275"/>
      <c r="FY263" s="275"/>
      <c r="FZ263" s="275"/>
      <c r="GA263" s="275"/>
      <c r="GB263" s="275"/>
      <c r="GC263" s="275"/>
      <c r="GD263" s="275"/>
      <c r="GE263" s="275"/>
      <c r="GF263" s="275"/>
      <c r="GG263" s="275"/>
      <c r="GH263" s="275"/>
      <c r="GI263" s="275"/>
      <c r="GJ263" s="275"/>
      <c r="GK263" s="275"/>
      <c r="GL263" s="275"/>
      <c r="GM263" s="275"/>
      <c r="GN263" s="275"/>
      <c r="GO263" s="275"/>
      <c r="GP263" s="275"/>
      <c r="GQ263" s="275"/>
      <c r="GR263" s="275"/>
      <c r="GS263" s="275"/>
      <c r="GT263" s="275"/>
      <c r="GU263" s="275"/>
      <c r="GV263" s="275"/>
      <c r="GW263" s="275"/>
      <c r="GX263" s="275"/>
      <c r="GY263" s="275"/>
      <c r="GZ263" s="275"/>
      <c r="HA263" s="275"/>
      <c r="HB263" s="275"/>
      <c r="HC263" s="275"/>
      <c r="HD263" s="275"/>
      <c r="HE263" s="275"/>
      <c r="HF263" s="275"/>
      <c r="HG263" s="275"/>
      <c r="HH263" s="275"/>
      <c r="HI263" s="275"/>
      <c r="HJ263" s="275"/>
      <c r="HK263" s="275"/>
      <c r="HL263" s="275"/>
      <c r="HM263" s="275"/>
      <c r="HN263" s="275"/>
      <c r="HO263" s="275"/>
      <c r="HP263" s="275"/>
      <c r="HQ263" s="275"/>
      <c r="HR263" s="275"/>
    </row>
    <row r="264" spans="1:226" s="297" customFormat="1">
      <c r="A264" s="275"/>
      <c r="B264" s="21"/>
      <c r="C264" s="21"/>
      <c r="D264" s="21"/>
      <c r="E264" s="21"/>
      <c r="F264" s="275"/>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J264" s="275"/>
      <c r="AK264" s="275"/>
      <c r="AL264" s="275"/>
      <c r="AM264" s="275"/>
      <c r="AN264" s="275"/>
      <c r="AO264" s="275"/>
      <c r="AQ264" s="275"/>
      <c r="AR264" s="275"/>
      <c r="AS264" s="275"/>
      <c r="AT264" s="275"/>
      <c r="AU264" s="275"/>
      <c r="AV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D264" s="275"/>
      <c r="EE264" s="275"/>
      <c r="EF264" s="275"/>
      <c r="EG264" s="275"/>
      <c r="EH264" s="275"/>
      <c r="EI264" s="275"/>
      <c r="EJ264" s="275"/>
      <c r="EK264" s="275"/>
      <c r="EL264" s="275"/>
      <c r="EM264" s="275"/>
      <c r="EN264" s="275"/>
      <c r="EO264" s="275"/>
      <c r="EP264" s="275"/>
      <c r="EQ264" s="275"/>
      <c r="ER264" s="275"/>
      <c r="ES264" s="275"/>
      <c r="ET264" s="275"/>
      <c r="EU264"/>
      <c r="EV264"/>
      <c r="EW264" s="275"/>
      <c r="EX264" s="275"/>
      <c r="EY264" s="275"/>
      <c r="EZ264" s="275"/>
      <c r="FA264" s="275"/>
      <c r="FB264" s="275"/>
      <c r="FC264" s="275"/>
      <c r="FD264" s="275"/>
      <c r="FE264" s="275"/>
      <c r="FF264" s="275"/>
      <c r="FG264" s="275"/>
      <c r="FH264" s="275"/>
      <c r="FI264" s="275"/>
      <c r="FJ264" s="275"/>
      <c r="FK264" s="275"/>
      <c r="FL264" s="275"/>
      <c r="FM264" s="275"/>
      <c r="FN264" s="275"/>
      <c r="FO264" s="275"/>
      <c r="FP264" s="275"/>
      <c r="FQ264" s="275"/>
      <c r="FR264" s="275"/>
      <c r="FS264" s="275"/>
      <c r="FT264" s="275"/>
      <c r="FU264" s="275"/>
      <c r="FV264" s="275"/>
      <c r="FW264" s="275"/>
      <c r="FX264" s="275"/>
      <c r="FY264" s="275"/>
      <c r="FZ264" s="275"/>
      <c r="GA264" s="275"/>
      <c r="GB264" s="275"/>
      <c r="GC264" s="275"/>
      <c r="GD264" s="275"/>
      <c r="GE264" s="275"/>
      <c r="GF264" s="275"/>
      <c r="GG264" s="275"/>
      <c r="GH264" s="275"/>
      <c r="GI264" s="275"/>
      <c r="GJ264" s="275"/>
      <c r="GK264" s="275"/>
      <c r="GL264" s="275"/>
      <c r="GM264" s="275"/>
      <c r="GN264" s="275"/>
      <c r="GO264" s="275"/>
      <c r="GP264" s="275"/>
      <c r="GQ264" s="275"/>
      <c r="GR264" s="275"/>
      <c r="GS264" s="275"/>
      <c r="GT264" s="275"/>
      <c r="GU264" s="275"/>
      <c r="GV264" s="275"/>
      <c r="GW264" s="275"/>
      <c r="GX264" s="275"/>
      <c r="GY264" s="275"/>
      <c r="GZ264" s="275"/>
      <c r="HA264" s="275"/>
      <c r="HB264" s="275"/>
      <c r="HC264" s="275"/>
      <c r="HD264" s="275"/>
      <c r="HE264" s="275"/>
      <c r="HF264" s="275"/>
      <c r="HG264" s="275"/>
      <c r="HH264" s="275"/>
      <c r="HI264" s="275"/>
      <c r="HJ264" s="275"/>
      <c r="HK264" s="275"/>
      <c r="HL264" s="275"/>
      <c r="HM264" s="275"/>
      <c r="HN264" s="275"/>
      <c r="HO264" s="275"/>
      <c r="HP264" s="275"/>
      <c r="HQ264" s="275"/>
      <c r="HR264" s="275"/>
    </row>
    <row r="265" spans="1:226" s="297" customFormat="1">
      <c r="A265" s="275"/>
      <c r="B265" s="21"/>
      <c r="C265" s="21"/>
      <c r="D265" s="21"/>
      <c r="E265" s="21"/>
      <c r="F265" s="275"/>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J265" s="275"/>
      <c r="AK265" s="275"/>
      <c r="AL265" s="275"/>
      <c r="AM265" s="275"/>
      <c r="AN265" s="275"/>
      <c r="AO265" s="275"/>
      <c r="AQ265" s="275"/>
      <c r="AR265" s="275"/>
      <c r="AS265" s="275"/>
      <c r="AT265" s="275"/>
      <c r="AU265" s="275"/>
      <c r="AV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D265" s="275"/>
      <c r="EE265" s="275"/>
      <c r="EF265" s="275"/>
      <c r="EG265" s="275"/>
      <c r="EH265" s="275"/>
      <c r="EI265" s="275"/>
      <c r="EJ265" s="275"/>
      <c r="EK265" s="275"/>
      <c r="EL265" s="275"/>
      <c r="EM265" s="275"/>
      <c r="EN265" s="275"/>
      <c r="EO265" s="275"/>
      <c r="EP265" s="275"/>
      <c r="EQ265" s="275"/>
      <c r="ER265" s="275"/>
      <c r="ES265" s="275"/>
      <c r="ET265" s="275"/>
      <c r="EU265"/>
      <c r="EV265"/>
      <c r="EW265" s="275"/>
      <c r="EX265" s="275"/>
      <c r="EY265" s="275"/>
      <c r="EZ265" s="275"/>
      <c r="FA265" s="275"/>
      <c r="FB265" s="275"/>
      <c r="FC265" s="275"/>
      <c r="FD265" s="275"/>
      <c r="FE265" s="275"/>
      <c r="FF265" s="275"/>
      <c r="FG265" s="275"/>
      <c r="FH265" s="275"/>
      <c r="FI265" s="275"/>
      <c r="FJ265" s="275"/>
      <c r="FK265" s="275"/>
      <c r="FL265" s="275"/>
      <c r="FM265" s="275"/>
      <c r="FN265" s="275"/>
      <c r="FO265" s="275"/>
      <c r="FP265" s="275"/>
      <c r="FQ265" s="275"/>
      <c r="FR265" s="275"/>
      <c r="FS265" s="275"/>
      <c r="FT265" s="275"/>
      <c r="FU265" s="275"/>
      <c r="FV265" s="275"/>
      <c r="FW265" s="275"/>
      <c r="FX265" s="275"/>
      <c r="FY265" s="275"/>
      <c r="FZ265" s="275"/>
      <c r="GA265" s="275"/>
      <c r="GB265" s="275"/>
      <c r="GC265" s="275"/>
      <c r="GD265" s="275"/>
      <c r="GE265" s="275"/>
      <c r="GF265" s="275"/>
      <c r="GG265" s="275"/>
      <c r="GH265" s="275"/>
      <c r="GI265" s="275"/>
      <c r="GJ265" s="275"/>
      <c r="GK265" s="275"/>
      <c r="GL265" s="275"/>
      <c r="GM265" s="275"/>
      <c r="GN265" s="275"/>
      <c r="GO265" s="275"/>
      <c r="GP265" s="275"/>
      <c r="GQ265" s="275"/>
      <c r="GR265" s="275"/>
      <c r="GS265" s="275"/>
      <c r="GT265" s="275"/>
      <c r="GU265" s="275"/>
      <c r="GV265" s="275"/>
      <c r="GW265" s="275"/>
      <c r="GX265" s="275"/>
      <c r="GY265" s="275"/>
      <c r="GZ265" s="275"/>
      <c r="HA265" s="275"/>
      <c r="HB265" s="275"/>
      <c r="HC265" s="275"/>
      <c r="HD265" s="275"/>
      <c r="HE265" s="275"/>
      <c r="HF265" s="275"/>
      <c r="HG265" s="275"/>
      <c r="HH265" s="275"/>
      <c r="HI265" s="275"/>
      <c r="HJ265" s="275"/>
      <c r="HK265" s="275"/>
      <c r="HL265" s="275"/>
      <c r="HM265" s="275"/>
      <c r="HN265" s="275"/>
      <c r="HO265" s="275"/>
      <c r="HP265" s="275"/>
      <c r="HQ265" s="275"/>
      <c r="HR265" s="275"/>
    </row>
    <row r="266" spans="1:226" s="297" customFormat="1">
      <c r="A266" s="275"/>
      <c r="B266" s="21"/>
      <c r="C266" s="21"/>
      <c r="D266" s="21"/>
      <c r="E266" s="21"/>
      <c r="F266" s="275"/>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J266" s="275"/>
      <c r="AK266" s="275"/>
      <c r="AL266" s="275"/>
      <c r="AM266" s="275"/>
      <c r="AN266" s="275"/>
      <c r="AO266" s="275"/>
      <c r="AQ266" s="275"/>
      <c r="AR266" s="275"/>
      <c r="AS266" s="275"/>
      <c r="AT266" s="275"/>
      <c r="AU266" s="275"/>
      <c r="AV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D266" s="275"/>
      <c r="EE266" s="275"/>
      <c r="EF266" s="275"/>
      <c r="EG266" s="275"/>
      <c r="EH266" s="275"/>
      <c r="EI266" s="275"/>
      <c r="EJ266" s="275"/>
      <c r="EK266" s="275"/>
      <c r="EL266" s="275"/>
      <c r="EM266" s="275"/>
      <c r="EN266" s="275"/>
      <c r="EO266" s="275"/>
      <c r="EP266" s="275"/>
      <c r="EQ266" s="275"/>
      <c r="ER266" s="275"/>
      <c r="ES266" s="275"/>
      <c r="ET266" s="275"/>
      <c r="EU266"/>
      <c r="EV266"/>
      <c r="EW266" s="275"/>
      <c r="EX266" s="275"/>
      <c r="EY266" s="275"/>
      <c r="EZ266" s="275"/>
      <c r="FA266" s="275"/>
      <c r="FB266" s="275"/>
      <c r="FC266" s="275"/>
      <c r="FD266" s="275"/>
      <c r="FE266" s="275"/>
      <c r="FF266" s="275"/>
      <c r="FG266" s="275"/>
      <c r="FH266" s="275"/>
      <c r="FI266" s="275"/>
      <c r="FJ266" s="275"/>
      <c r="FK266" s="275"/>
      <c r="FL266" s="275"/>
      <c r="FM266" s="275"/>
      <c r="FN266" s="275"/>
      <c r="FO266" s="275"/>
      <c r="FP266" s="275"/>
      <c r="FQ266" s="275"/>
      <c r="FR266" s="275"/>
      <c r="FS266" s="275"/>
      <c r="FT266" s="275"/>
      <c r="FU266" s="275"/>
      <c r="FV266" s="275"/>
      <c r="FW266" s="275"/>
      <c r="FX266" s="275"/>
      <c r="FY266" s="275"/>
      <c r="FZ266" s="275"/>
      <c r="GA266" s="275"/>
      <c r="GB266" s="275"/>
      <c r="GC266" s="275"/>
      <c r="GD266" s="275"/>
      <c r="GE266" s="275"/>
      <c r="GF266" s="275"/>
      <c r="GG266" s="275"/>
      <c r="GH266" s="275"/>
      <c r="GI266" s="275"/>
      <c r="GJ266" s="275"/>
      <c r="GK266" s="275"/>
      <c r="GL266" s="275"/>
      <c r="GM266" s="275"/>
      <c r="GN266" s="275"/>
      <c r="GO266" s="275"/>
      <c r="GP266" s="275"/>
      <c r="GQ266" s="275"/>
      <c r="GR266" s="275"/>
      <c r="GS266" s="275"/>
      <c r="GT266" s="275"/>
      <c r="GU266" s="275"/>
      <c r="GV266" s="275"/>
      <c r="GW266" s="275"/>
      <c r="GX266" s="275"/>
      <c r="GY266" s="275"/>
      <c r="GZ266" s="275"/>
      <c r="HA266" s="275"/>
      <c r="HB266" s="275"/>
      <c r="HC266" s="275"/>
      <c r="HD266" s="275"/>
      <c r="HE266" s="275"/>
      <c r="HF266" s="275"/>
      <c r="HG266" s="275"/>
      <c r="HH266" s="275"/>
      <c r="HI266" s="275"/>
      <c r="HJ266" s="275"/>
      <c r="HK266" s="275"/>
      <c r="HL266" s="275"/>
      <c r="HM266" s="275"/>
      <c r="HN266" s="275"/>
      <c r="HO266" s="275"/>
      <c r="HP266" s="275"/>
      <c r="HQ266" s="275"/>
      <c r="HR266" s="275"/>
    </row>
    <row r="267" spans="1:226" s="297" customFormat="1">
      <c r="A267" s="275"/>
      <c r="B267" s="21"/>
      <c r="C267" s="21"/>
      <c r="D267" s="21"/>
      <c r="E267" s="21"/>
      <c r="F267" s="275"/>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J267" s="275"/>
      <c r="AK267" s="275"/>
      <c r="AL267" s="275"/>
      <c r="AM267" s="275"/>
      <c r="AN267" s="275"/>
      <c r="AO267" s="275"/>
      <c r="AQ267" s="275"/>
      <c r="AR267" s="275"/>
      <c r="AS267" s="275"/>
      <c r="AT267" s="275"/>
      <c r="AU267" s="275"/>
      <c r="AV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D267" s="275"/>
      <c r="EE267" s="275"/>
      <c r="EF267" s="275"/>
      <c r="EG267" s="275"/>
      <c r="EH267" s="275"/>
      <c r="EI267" s="275"/>
      <c r="EJ267" s="275"/>
      <c r="EK267" s="275"/>
      <c r="EL267" s="275"/>
      <c r="EM267" s="275"/>
      <c r="EN267" s="275"/>
      <c r="EO267" s="275"/>
      <c r="EP267" s="275"/>
      <c r="EQ267" s="275"/>
      <c r="ER267" s="275"/>
      <c r="ES267" s="275"/>
      <c r="ET267" s="275"/>
      <c r="EU267"/>
      <c r="EV267"/>
      <c r="EW267" s="275"/>
      <c r="EX267" s="275"/>
      <c r="EY267" s="275"/>
      <c r="EZ267" s="275"/>
      <c r="FA267" s="275"/>
      <c r="FB267" s="275"/>
      <c r="FC267" s="275"/>
      <c r="FD267" s="275"/>
      <c r="FE267" s="275"/>
      <c r="FF267" s="275"/>
      <c r="FG267" s="275"/>
      <c r="FH267" s="275"/>
      <c r="FI267" s="275"/>
      <c r="FJ267" s="275"/>
      <c r="FK267" s="275"/>
      <c r="FL267" s="275"/>
      <c r="FM267" s="275"/>
      <c r="FN267" s="275"/>
      <c r="FO267" s="275"/>
      <c r="FP267" s="275"/>
      <c r="FQ267" s="275"/>
      <c r="FR267" s="275"/>
      <c r="FS267" s="275"/>
      <c r="FT267" s="275"/>
      <c r="FU267" s="275"/>
      <c r="FV267" s="275"/>
      <c r="FW267" s="275"/>
      <c r="FX267" s="275"/>
      <c r="FY267" s="275"/>
      <c r="FZ267" s="275"/>
      <c r="GA267" s="275"/>
      <c r="GB267" s="275"/>
      <c r="GC267" s="275"/>
      <c r="GD267" s="275"/>
      <c r="GE267" s="275"/>
      <c r="GF267" s="275"/>
      <c r="GG267" s="275"/>
      <c r="GH267" s="275"/>
      <c r="GI267" s="275"/>
      <c r="GJ267" s="275"/>
      <c r="GK267" s="275"/>
      <c r="GL267" s="275"/>
      <c r="GM267" s="275"/>
      <c r="GN267" s="275"/>
      <c r="GO267" s="275"/>
      <c r="GP267" s="275"/>
      <c r="GQ267" s="275"/>
      <c r="GR267" s="275"/>
      <c r="GS267" s="275"/>
      <c r="GT267" s="275"/>
      <c r="GU267" s="275"/>
      <c r="GV267" s="275"/>
      <c r="GW267" s="275"/>
      <c r="GX267" s="275"/>
      <c r="GY267" s="275"/>
      <c r="GZ267" s="275"/>
      <c r="HA267" s="275"/>
      <c r="HB267" s="275"/>
      <c r="HC267" s="275"/>
      <c r="HD267" s="275"/>
      <c r="HE267" s="275"/>
      <c r="HF267" s="275"/>
      <c r="HG267" s="275"/>
      <c r="HH267" s="275"/>
      <c r="HI267" s="275"/>
      <c r="HJ267" s="275"/>
      <c r="HK267" s="275"/>
      <c r="HL267" s="275"/>
      <c r="HM267" s="275"/>
      <c r="HN267" s="275"/>
      <c r="HO267" s="275"/>
      <c r="HP267" s="275"/>
      <c r="HQ267" s="275"/>
      <c r="HR267" s="275"/>
    </row>
    <row r="268" spans="1:226" s="297" customFormat="1">
      <c r="A268" s="275"/>
      <c r="B268" s="21"/>
      <c r="C268" s="21"/>
      <c r="D268" s="21"/>
      <c r="E268" s="21"/>
      <c r="F268" s="275"/>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J268" s="275"/>
      <c r="AK268" s="275"/>
      <c r="AL268" s="275"/>
      <c r="AM268" s="275"/>
      <c r="AN268" s="275"/>
      <c r="AO268" s="275"/>
      <c r="AQ268" s="275"/>
      <c r="AR268" s="275"/>
      <c r="AS268" s="275"/>
      <c r="AT268" s="275"/>
      <c r="AU268" s="275"/>
      <c r="AV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D268" s="275"/>
      <c r="EE268" s="275"/>
      <c r="EF268" s="275"/>
      <c r="EG268" s="275"/>
      <c r="EH268" s="275"/>
      <c r="EI268" s="275"/>
      <c r="EJ268" s="275"/>
      <c r="EK268" s="275"/>
      <c r="EL268" s="275"/>
      <c r="EM268" s="275"/>
      <c r="EN268" s="275"/>
      <c r="EO268" s="275"/>
      <c r="EP268" s="275"/>
      <c r="EQ268" s="275"/>
      <c r="ER268" s="275"/>
      <c r="ES268" s="275"/>
      <c r="ET268" s="275"/>
      <c r="EU268"/>
      <c r="EV268"/>
      <c r="EW268" s="275"/>
      <c r="EX268" s="275"/>
      <c r="EY268" s="275"/>
      <c r="EZ268" s="275"/>
      <c r="FA268" s="275"/>
      <c r="FB268" s="275"/>
      <c r="FC268" s="275"/>
      <c r="FD268" s="275"/>
      <c r="FE268" s="275"/>
      <c r="FF268" s="275"/>
      <c r="FG268" s="275"/>
      <c r="FH268" s="275"/>
      <c r="FI268" s="275"/>
      <c r="FJ268" s="275"/>
      <c r="FK268" s="275"/>
      <c r="FL268" s="275"/>
      <c r="FM268" s="275"/>
      <c r="FN268" s="275"/>
      <c r="FO268" s="275"/>
      <c r="FP268" s="275"/>
      <c r="FQ268" s="275"/>
      <c r="FR268" s="275"/>
      <c r="FS268" s="275"/>
      <c r="FT268" s="275"/>
      <c r="FU268" s="275"/>
      <c r="FV268" s="275"/>
      <c r="FW268" s="275"/>
      <c r="FX268" s="275"/>
      <c r="FY268" s="275"/>
      <c r="FZ268" s="275"/>
      <c r="GA268" s="275"/>
      <c r="GB268" s="275"/>
      <c r="GC268" s="275"/>
      <c r="GD268" s="275"/>
      <c r="GE268" s="275"/>
      <c r="GF268" s="275"/>
      <c r="GG268" s="275"/>
      <c r="GH268" s="275"/>
      <c r="GI268" s="275"/>
      <c r="GJ268" s="275"/>
      <c r="GK268" s="275"/>
      <c r="GL268" s="275"/>
      <c r="GM268" s="275"/>
      <c r="GN268" s="275"/>
      <c r="GO268" s="275"/>
      <c r="GP268" s="275"/>
      <c r="GQ268" s="275"/>
      <c r="GR268" s="275"/>
      <c r="GS268" s="275"/>
      <c r="GT268" s="275"/>
      <c r="GU268" s="275"/>
      <c r="GV268" s="275"/>
      <c r="GW268" s="275"/>
      <c r="GX268" s="275"/>
      <c r="GY268" s="275"/>
      <c r="GZ268" s="275"/>
      <c r="HA268" s="275"/>
      <c r="HB268" s="275"/>
      <c r="HC268" s="275"/>
      <c r="HD268" s="275"/>
      <c r="HE268" s="275"/>
      <c r="HF268" s="275"/>
      <c r="HG268" s="275"/>
      <c r="HH268" s="275"/>
      <c r="HI268" s="275"/>
      <c r="HJ268" s="275"/>
      <c r="HK268" s="275"/>
      <c r="HL268" s="275"/>
      <c r="HM268" s="275"/>
      <c r="HN268" s="275"/>
      <c r="HO268" s="275"/>
      <c r="HP268" s="275"/>
      <c r="HQ268" s="275"/>
      <c r="HR268" s="275"/>
    </row>
    <row r="269" spans="1:226" s="297" customFormat="1">
      <c r="A269" s="275"/>
      <c r="B269" s="21"/>
      <c r="C269" s="21"/>
      <c r="D269" s="21"/>
      <c r="E269" s="21"/>
      <c r="F269" s="275"/>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J269" s="275"/>
      <c r="AK269" s="275"/>
      <c r="AL269" s="275"/>
      <c r="AM269" s="275"/>
      <c r="AN269" s="275"/>
      <c r="AO269" s="275"/>
      <c r="AQ269" s="275"/>
      <c r="AR269" s="275"/>
      <c r="AS269" s="275"/>
      <c r="AT269" s="275"/>
      <c r="AU269" s="275"/>
      <c r="AV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D269" s="275"/>
      <c r="EE269" s="275"/>
      <c r="EF269" s="275"/>
      <c r="EG269" s="275"/>
      <c r="EH269" s="275"/>
      <c r="EI269" s="275"/>
      <c r="EJ269" s="275"/>
      <c r="EK269" s="275"/>
      <c r="EL269" s="275"/>
      <c r="EM269" s="275"/>
      <c r="EN269" s="275"/>
      <c r="EO269" s="275"/>
      <c r="EP269" s="275"/>
      <c r="EQ269" s="275"/>
      <c r="ER269" s="275"/>
      <c r="ES269" s="275"/>
      <c r="ET269" s="275"/>
      <c r="EU269"/>
      <c r="EV269"/>
      <c r="EW269" s="275"/>
      <c r="EX269" s="275"/>
      <c r="EY269" s="275"/>
      <c r="EZ269" s="275"/>
      <c r="FA269" s="275"/>
      <c r="FB269" s="275"/>
      <c r="FC269" s="275"/>
      <c r="FD269" s="275"/>
      <c r="FE269" s="275"/>
      <c r="FF269" s="275"/>
      <c r="FG269" s="275"/>
      <c r="FH269" s="275"/>
      <c r="FI269" s="275"/>
      <c r="FJ269" s="275"/>
      <c r="FK269" s="275"/>
      <c r="FL269" s="275"/>
      <c r="FM269" s="275"/>
      <c r="FN269" s="275"/>
      <c r="FO269" s="275"/>
      <c r="FP269" s="275"/>
      <c r="FQ269" s="275"/>
      <c r="FR269" s="275"/>
      <c r="FS269" s="275"/>
      <c r="FT269" s="275"/>
      <c r="FU269" s="275"/>
      <c r="FV269" s="275"/>
      <c r="FW269" s="275"/>
      <c r="FX269" s="275"/>
      <c r="FY269" s="275"/>
      <c r="FZ269" s="275"/>
      <c r="GA269" s="275"/>
      <c r="GB269" s="275"/>
      <c r="GC269" s="275"/>
      <c r="GD269" s="275"/>
      <c r="GE269" s="275"/>
      <c r="GF269" s="275"/>
      <c r="GG269" s="275"/>
      <c r="GH269" s="275"/>
      <c r="GI269" s="275"/>
      <c r="GJ269" s="275"/>
      <c r="GK269" s="275"/>
      <c r="GL269" s="275"/>
      <c r="GM269" s="275"/>
      <c r="GN269" s="275"/>
      <c r="GO269" s="275"/>
      <c r="GP269" s="275"/>
      <c r="GQ269" s="275"/>
      <c r="GR269" s="275"/>
      <c r="GS269" s="275"/>
      <c r="GT269" s="275"/>
      <c r="GU269" s="275"/>
      <c r="GV269" s="275"/>
      <c r="GW269" s="275"/>
      <c r="GX269" s="275"/>
      <c r="GY269" s="275"/>
      <c r="GZ269" s="275"/>
      <c r="HA269" s="275"/>
      <c r="HB269" s="275"/>
      <c r="HC269" s="275"/>
      <c r="HD269" s="275"/>
      <c r="HE269" s="275"/>
      <c r="HF269" s="275"/>
      <c r="HG269" s="275"/>
      <c r="HH269" s="275"/>
      <c r="HI269" s="275"/>
      <c r="HJ269" s="275"/>
      <c r="HK269" s="275"/>
      <c r="HL269" s="275"/>
      <c r="HM269" s="275"/>
      <c r="HN269" s="275"/>
      <c r="HO269" s="275"/>
      <c r="HP269" s="275"/>
      <c r="HQ269" s="275"/>
      <c r="HR269" s="275"/>
    </row>
    <row r="270" spans="1:226" s="297" customFormat="1">
      <c r="A270" s="275"/>
      <c r="B270" s="21"/>
      <c r="C270" s="21"/>
      <c r="D270" s="21"/>
      <c r="E270" s="21"/>
      <c r="F270" s="275"/>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J270" s="275"/>
      <c r="AK270" s="275"/>
      <c r="AL270" s="275"/>
      <c r="AM270" s="275"/>
      <c r="AN270" s="275"/>
      <c r="AO270" s="275"/>
      <c r="AQ270" s="275"/>
      <c r="AR270" s="275"/>
      <c r="AS270" s="275"/>
      <c r="AT270" s="275"/>
      <c r="AU270" s="275"/>
      <c r="AV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D270" s="275"/>
      <c r="EE270" s="275"/>
      <c r="EF270" s="275"/>
      <c r="EG270" s="275"/>
      <c r="EH270" s="275"/>
      <c r="EI270" s="275"/>
      <c r="EJ270" s="275"/>
      <c r="EK270" s="275"/>
      <c r="EL270" s="275"/>
      <c r="EM270" s="275"/>
      <c r="EN270" s="275"/>
      <c r="EO270" s="275"/>
      <c r="EP270" s="275"/>
      <c r="EQ270" s="275"/>
      <c r="ER270" s="275"/>
      <c r="ES270" s="275"/>
      <c r="ET270" s="275"/>
      <c r="EU270"/>
      <c r="EV270"/>
      <c r="EW270" s="275"/>
      <c r="EX270" s="275"/>
      <c r="EY270" s="275"/>
      <c r="EZ270" s="275"/>
      <c r="FA270" s="275"/>
      <c r="FB270" s="275"/>
      <c r="FC270" s="275"/>
      <c r="FD270" s="275"/>
      <c r="FE270" s="275"/>
      <c r="FF270" s="275"/>
      <c r="FG270" s="275"/>
      <c r="FH270" s="275"/>
      <c r="FI270" s="275"/>
      <c r="FJ270" s="275"/>
      <c r="FK270" s="275"/>
      <c r="FL270" s="275"/>
      <c r="FM270" s="275"/>
      <c r="FN270" s="275"/>
      <c r="FO270" s="275"/>
      <c r="FP270" s="275"/>
      <c r="FQ270" s="275"/>
      <c r="FR270" s="275"/>
      <c r="FS270" s="275"/>
      <c r="FT270" s="275"/>
      <c r="FU270" s="275"/>
      <c r="FV270" s="275"/>
      <c r="FW270" s="275"/>
      <c r="FX270" s="275"/>
      <c r="FY270" s="275"/>
      <c r="FZ270" s="275"/>
      <c r="GA270" s="275"/>
      <c r="GB270" s="275"/>
      <c r="GC270" s="275"/>
      <c r="GD270" s="275"/>
      <c r="GE270" s="275"/>
      <c r="GF270" s="275"/>
      <c r="GG270" s="275"/>
      <c r="GH270" s="275"/>
      <c r="GI270" s="275"/>
      <c r="GJ270" s="275"/>
      <c r="GK270" s="275"/>
      <c r="GL270" s="275"/>
      <c r="GM270" s="275"/>
      <c r="GN270" s="275"/>
      <c r="GO270" s="275"/>
      <c r="GP270" s="275"/>
      <c r="GQ270" s="275"/>
      <c r="GR270" s="275"/>
      <c r="GS270" s="275"/>
      <c r="GT270" s="275"/>
      <c r="GU270" s="275"/>
      <c r="GV270" s="275"/>
      <c r="GW270" s="275"/>
      <c r="GX270" s="275"/>
      <c r="GY270" s="275"/>
      <c r="GZ270" s="275"/>
      <c r="HA270" s="275"/>
      <c r="HB270" s="275"/>
      <c r="HC270" s="275"/>
      <c r="HD270" s="275"/>
      <c r="HE270" s="275"/>
      <c r="HF270" s="275"/>
      <c r="HG270" s="275"/>
      <c r="HH270" s="275"/>
      <c r="HI270" s="275"/>
      <c r="HJ270" s="275"/>
      <c r="HK270" s="275"/>
      <c r="HL270" s="275"/>
      <c r="HM270" s="275"/>
      <c r="HN270" s="275"/>
      <c r="HO270" s="275"/>
      <c r="HP270" s="275"/>
      <c r="HQ270" s="275"/>
      <c r="HR270" s="275"/>
    </row>
    <row r="271" spans="1:226" s="297" customFormat="1">
      <c r="A271" s="275"/>
      <c r="B271" s="21"/>
      <c r="C271" s="21"/>
      <c r="D271" s="21"/>
      <c r="E271" s="21"/>
      <c r="F271" s="275"/>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J271" s="275"/>
      <c r="AK271" s="275"/>
      <c r="AL271" s="275"/>
      <c r="AM271" s="275"/>
      <c r="AN271" s="275"/>
      <c r="AO271" s="275"/>
      <c r="AQ271" s="275"/>
      <c r="AR271" s="275"/>
      <c r="AS271" s="275"/>
      <c r="AT271" s="275"/>
      <c r="AU271" s="275"/>
      <c r="AV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D271" s="275"/>
      <c r="EE271" s="275"/>
      <c r="EF271" s="275"/>
      <c r="EG271" s="275"/>
      <c r="EH271" s="275"/>
      <c r="EI271" s="275"/>
      <c r="EJ271" s="275"/>
      <c r="EK271" s="275"/>
      <c r="EL271" s="275"/>
      <c r="EM271" s="275"/>
      <c r="EN271" s="275"/>
      <c r="EO271" s="275"/>
      <c r="EP271" s="275"/>
      <c r="EQ271" s="275"/>
      <c r="ER271" s="275"/>
      <c r="ES271" s="275"/>
      <c r="ET271" s="275"/>
      <c r="EU271"/>
      <c r="EV271"/>
      <c r="EW271" s="275"/>
      <c r="EX271" s="275"/>
      <c r="EY271" s="275"/>
      <c r="EZ271" s="275"/>
      <c r="FA271" s="275"/>
      <c r="FB271" s="275"/>
      <c r="FC271" s="275"/>
      <c r="FD271" s="275"/>
      <c r="FE271" s="275"/>
      <c r="FF271" s="275"/>
      <c r="FG271" s="275"/>
      <c r="FH271" s="275"/>
      <c r="FI271" s="275"/>
      <c r="FJ271" s="275"/>
      <c r="FK271" s="275"/>
      <c r="FL271" s="275"/>
      <c r="FM271" s="275"/>
      <c r="FN271" s="275"/>
      <c r="FO271" s="275"/>
      <c r="FP271" s="275"/>
      <c r="FQ271" s="275"/>
      <c r="FR271" s="275"/>
      <c r="FS271" s="275"/>
      <c r="FT271" s="275"/>
      <c r="FU271" s="275"/>
      <c r="FV271" s="275"/>
      <c r="FW271" s="275"/>
      <c r="FX271" s="275"/>
      <c r="FY271" s="275"/>
      <c r="FZ271" s="275"/>
      <c r="GA271" s="275"/>
      <c r="GB271" s="275"/>
      <c r="GC271" s="275"/>
      <c r="GD271" s="275"/>
      <c r="GE271" s="275"/>
      <c r="GF271" s="275"/>
      <c r="GG271" s="275"/>
      <c r="GH271" s="275"/>
      <c r="GI271" s="275"/>
      <c r="GJ271" s="275"/>
      <c r="GK271" s="275"/>
      <c r="GL271" s="275"/>
      <c r="GM271" s="275"/>
      <c r="GN271" s="275"/>
      <c r="GO271" s="275"/>
      <c r="GP271" s="275"/>
      <c r="GQ271" s="275"/>
      <c r="GR271" s="275"/>
      <c r="GS271" s="275"/>
      <c r="GT271" s="275"/>
      <c r="GU271" s="275"/>
      <c r="GV271" s="275"/>
      <c r="GW271" s="275"/>
      <c r="GX271" s="275"/>
      <c r="GY271" s="275"/>
      <c r="GZ271" s="275"/>
      <c r="HA271" s="275"/>
      <c r="HB271" s="275"/>
      <c r="HC271" s="275"/>
      <c r="HD271" s="275"/>
      <c r="HE271" s="275"/>
      <c r="HF271" s="275"/>
      <c r="HG271" s="275"/>
      <c r="HH271" s="275"/>
      <c r="HI271" s="275"/>
      <c r="HJ271" s="275"/>
      <c r="HK271" s="275"/>
      <c r="HL271" s="275"/>
      <c r="HM271" s="275"/>
      <c r="HN271" s="275"/>
      <c r="HO271" s="275"/>
      <c r="HP271" s="275"/>
      <c r="HQ271" s="275"/>
      <c r="HR271" s="275"/>
    </row>
    <row r="272" spans="1:226" s="297" customFormat="1">
      <c r="A272" s="275"/>
      <c r="B272" s="21"/>
      <c r="C272" s="21"/>
      <c r="D272" s="21"/>
      <c r="E272" s="21"/>
      <c r="F272" s="275"/>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J272" s="275"/>
      <c r="AK272" s="275"/>
      <c r="AL272" s="275"/>
      <c r="AM272" s="275"/>
      <c r="AN272" s="275"/>
      <c r="AO272" s="275"/>
      <c r="AQ272" s="275"/>
      <c r="AR272" s="275"/>
      <c r="AS272" s="275"/>
      <c r="AT272" s="275"/>
      <c r="AU272" s="275"/>
      <c r="AV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D272" s="275"/>
      <c r="EE272" s="275"/>
      <c r="EF272" s="275"/>
      <c r="EG272" s="275"/>
      <c r="EH272" s="275"/>
      <c r="EI272" s="275"/>
      <c r="EJ272" s="275"/>
      <c r="EK272" s="275"/>
      <c r="EL272" s="275"/>
      <c r="EM272" s="275"/>
      <c r="EN272" s="275"/>
      <c r="EO272" s="275"/>
      <c r="EP272" s="275"/>
      <c r="EQ272" s="275"/>
      <c r="ER272" s="275"/>
      <c r="ES272" s="275"/>
      <c r="ET272" s="275"/>
      <c r="EU272"/>
      <c r="EV272"/>
      <c r="EW272" s="275"/>
      <c r="EX272" s="275"/>
      <c r="EY272" s="275"/>
      <c r="EZ272" s="275"/>
      <c r="FA272" s="275"/>
      <c r="FB272" s="275"/>
      <c r="FC272" s="275"/>
      <c r="FD272" s="275"/>
      <c r="FE272" s="275"/>
      <c r="FF272" s="275"/>
      <c r="FG272" s="275"/>
      <c r="FH272" s="275"/>
      <c r="FI272" s="275"/>
      <c r="FJ272" s="275"/>
      <c r="FK272" s="275"/>
      <c r="FL272" s="275"/>
      <c r="FM272" s="275"/>
      <c r="FN272" s="275"/>
      <c r="FO272" s="275"/>
      <c r="FP272" s="275"/>
      <c r="FQ272" s="275"/>
      <c r="FR272" s="275"/>
      <c r="FS272" s="275"/>
      <c r="FT272" s="275"/>
      <c r="FU272" s="275"/>
      <c r="FV272" s="275"/>
      <c r="FW272" s="275"/>
      <c r="FX272" s="275"/>
      <c r="FY272" s="275"/>
      <c r="FZ272" s="275"/>
      <c r="GA272" s="275"/>
      <c r="GB272" s="275"/>
      <c r="GC272" s="275"/>
      <c r="GD272" s="275"/>
      <c r="GE272" s="275"/>
      <c r="GF272" s="275"/>
      <c r="GG272" s="275"/>
      <c r="GH272" s="275"/>
      <c r="GI272" s="275"/>
      <c r="GJ272" s="275"/>
      <c r="GK272" s="275"/>
      <c r="GL272" s="275"/>
      <c r="GM272" s="275"/>
      <c r="GN272" s="275"/>
      <c r="GO272" s="275"/>
      <c r="GP272" s="275"/>
      <c r="GQ272" s="275"/>
      <c r="GR272" s="275"/>
      <c r="GS272" s="275"/>
      <c r="GT272" s="275"/>
      <c r="GU272" s="275"/>
      <c r="GV272" s="275"/>
      <c r="GW272" s="275"/>
      <c r="GX272" s="275"/>
      <c r="GY272" s="275"/>
      <c r="GZ272" s="275"/>
      <c r="HA272" s="275"/>
      <c r="HB272" s="275"/>
      <c r="HC272" s="275"/>
      <c r="HD272" s="275"/>
      <c r="HE272" s="275"/>
      <c r="HF272" s="275"/>
      <c r="HG272" s="275"/>
      <c r="HH272" s="275"/>
      <c r="HI272" s="275"/>
      <c r="HJ272" s="275"/>
      <c r="HK272" s="275"/>
      <c r="HL272" s="275"/>
      <c r="HM272" s="275"/>
      <c r="HN272" s="275"/>
      <c r="HO272" s="275"/>
      <c r="HP272" s="275"/>
      <c r="HQ272" s="275"/>
      <c r="HR272" s="275"/>
    </row>
    <row r="273" spans="1:226" s="297" customFormat="1">
      <c r="A273" s="275"/>
      <c r="B273" s="21"/>
      <c r="C273" s="21"/>
      <c r="D273" s="21"/>
      <c r="E273" s="21"/>
      <c r="F273" s="275"/>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J273" s="275"/>
      <c r="AK273" s="275"/>
      <c r="AL273" s="275"/>
      <c r="AM273" s="275"/>
      <c r="AN273" s="275"/>
      <c r="AO273" s="275"/>
      <c r="AQ273" s="275"/>
      <c r="AR273" s="275"/>
      <c r="AS273" s="275"/>
      <c r="AT273" s="275"/>
      <c r="AU273" s="275"/>
      <c r="AV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D273" s="275"/>
      <c r="EE273" s="275"/>
      <c r="EF273" s="275"/>
      <c r="EG273" s="275"/>
      <c r="EH273" s="275"/>
      <c r="EI273" s="275"/>
      <c r="EJ273" s="275"/>
      <c r="EK273" s="275"/>
      <c r="EL273" s="275"/>
      <c r="EM273" s="275"/>
      <c r="EN273" s="275"/>
      <c r="EO273" s="275"/>
      <c r="EP273" s="275"/>
      <c r="EQ273" s="275"/>
      <c r="ER273" s="275"/>
      <c r="ES273" s="275"/>
      <c r="ET273" s="275"/>
      <c r="EU273"/>
      <c r="EV273"/>
      <c r="EW273" s="275"/>
      <c r="EX273" s="275"/>
      <c r="EY273" s="275"/>
      <c r="EZ273" s="275"/>
      <c r="FA273" s="275"/>
      <c r="FB273" s="275"/>
      <c r="FC273" s="275"/>
      <c r="FD273" s="275"/>
      <c r="FE273" s="275"/>
      <c r="FF273" s="275"/>
      <c r="FG273" s="275"/>
      <c r="FH273" s="275"/>
      <c r="FI273" s="275"/>
      <c r="FJ273" s="275"/>
      <c r="FK273" s="275"/>
      <c r="FL273" s="275"/>
      <c r="FM273" s="275"/>
      <c r="FN273" s="275"/>
      <c r="FO273" s="275"/>
      <c r="FP273" s="275"/>
      <c r="FQ273" s="275"/>
      <c r="FR273" s="275"/>
      <c r="FS273" s="275"/>
      <c r="FT273" s="275"/>
      <c r="FU273" s="275"/>
      <c r="FV273" s="275"/>
      <c r="FW273" s="275"/>
      <c r="FX273" s="275"/>
      <c r="FY273" s="275"/>
      <c r="FZ273" s="275"/>
      <c r="GA273" s="275"/>
      <c r="GB273" s="275"/>
      <c r="GC273" s="275"/>
      <c r="GD273" s="275"/>
      <c r="GE273" s="275"/>
      <c r="GF273" s="275"/>
      <c r="GG273" s="275"/>
      <c r="GH273" s="275"/>
      <c r="GI273" s="275"/>
      <c r="GJ273" s="275"/>
      <c r="GK273" s="275"/>
      <c r="GL273" s="275"/>
      <c r="GM273" s="275"/>
      <c r="GN273" s="275"/>
      <c r="GO273" s="275"/>
      <c r="GP273" s="275"/>
      <c r="GQ273" s="275"/>
      <c r="GR273" s="275"/>
      <c r="GS273" s="275"/>
      <c r="GT273" s="275"/>
      <c r="GU273" s="275"/>
      <c r="GV273" s="275"/>
      <c r="GW273" s="275"/>
      <c r="GX273" s="275"/>
      <c r="GY273" s="275"/>
      <c r="GZ273" s="275"/>
      <c r="HA273" s="275"/>
      <c r="HB273" s="275"/>
      <c r="HC273" s="275"/>
      <c r="HD273" s="275"/>
      <c r="HE273" s="275"/>
      <c r="HF273" s="275"/>
      <c r="HG273" s="275"/>
      <c r="HH273" s="275"/>
      <c r="HI273" s="275"/>
      <c r="HJ273" s="275"/>
      <c r="HK273" s="275"/>
      <c r="HL273" s="275"/>
      <c r="HM273" s="275"/>
      <c r="HN273" s="275"/>
      <c r="HO273" s="275"/>
      <c r="HP273" s="275"/>
      <c r="HQ273" s="275"/>
      <c r="HR273" s="275"/>
    </row>
    <row r="274" spans="1:226" s="297" customFormat="1">
      <c r="A274" s="275"/>
      <c r="B274" s="21"/>
      <c r="C274" s="21"/>
      <c r="D274" s="21"/>
      <c r="E274" s="21"/>
      <c r="F274" s="275"/>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J274" s="275"/>
      <c r="AK274" s="275"/>
      <c r="AL274" s="275"/>
      <c r="AM274" s="275"/>
      <c r="AN274" s="275"/>
      <c r="AO274" s="275"/>
      <c r="AQ274" s="275"/>
      <c r="AR274" s="275"/>
      <c r="AS274" s="275"/>
      <c r="AT274" s="275"/>
      <c r="AU274" s="275"/>
      <c r="AV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D274" s="275"/>
      <c r="EE274" s="275"/>
      <c r="EF274" s="275"/>
      <c r="EG274" s="275"/>
      <c r="EH274" s="275"/>
      <c r="EI274" s="275"/>
      <c r="EJ274" s="275"/>
      <c r="EK274" s="275"/>
      <c r="EL274" s="275"/>
      <c r="EM274" s="275"/>
      <c r="EN274" s="275"/>
      <c r="EO274" s="275"/>
      <c r="EP274" s="275"/>
      <c r="EQ274" s="275"/>
      <c r="ER274" s="275"/>
      <c r="ES274" s="275"/>
      <c r="ET274" s="275"/>
      <c r="EU274"/>
      <c r="EV274"/>
      <c r="EW274" s="275"/>
      <c r="EX274" s="275"/>
      <c r="EY274" s="275"/>
      <c r="EZ274" s="275"/>
      <c r="FA274" s="275"/>
      <c r="FB274" s="275"/>
      <c r="FC274" s="275"/>
      <c r="FD274" s="275"/>
      <c r="FE274" s="275"/>
      <c r="FF274" s="275"/>
      <c r="FG274" s="275"/>
      <c r="FH274" s="275"/>
      <c r="FI274" s="275"/>
      <c r="FJ274" s="275"/>
      <c r="FK274" s="275"/>
      <c r="FL274" s="275"/>
      <c r="FM274" s="275"/>
      <c r="FN274" s="275"/>
      <c r="FO274" s="275"/>
      <c r="FP274" s="275"/>
      <c r="FQ274" s="275"/>
      <c r="FR274" s="275"/>
      <c r="FS274" s="275"/>
      <c r="FT274" s="275"/>
      <c r="FU274" s="275"/>
      <c r="FV274" s="275"/>
      <c r="FW274" s="275"/>
      <c r="FX274" s="275"/>
      <c r="FY274" s="275"/>
      <c r="FZ274" s="275"/>
      <c r="GA274" s="275"/>
      <c r="GB274" s="275"/>
      <c r="GC274" s="275"/>
      <c r="GD274" s="275"/>
      <c r="GE274" s="275"/>
      <c r="GF274" s="275"/>
      <c r="GG274" s="275"/>
      <c r="GH274" s="275"/>
      <c r="GI274" s="275"/>
      <c r="GJ274" s="275"/>
      <c r="GK274" s="275"/>
      <c r="GL274" s="275"/>
      <c r="GM274" s="275"/>
      <c r="GN274" s="275"/>
      <c r="GO274" s="275"/>
      <c r="GP274" s="275"/>
      <c r="GQ274" s="275"/>
      <c r="GR274" s="275"/>
      <c r="GS274" s="275"/>
      <c r="GT274" s="275"/>
      <c r="GU274" s="275"/>
      <c r="GV274" s="275"/>
      <c r="GW274" s="275"/>
      <c r="GX274" s="275"/>
      <c r="GY274" s="275"/>
      <c r="GZ274" s="275"/>
      <c r="HA274" s="275"/>
      <c r="HB274" s="275"/>
      <c r="HC274" s="275"/>
      <c r="HD274" s="275"/>
      <c r="HE274" s="275"/>
      <c r="HF274" s="275"/>
      <c r="HG274" s="275"/>
      <c r="HH274" s="275"/>
      <c r="HI274" s="275"/>
      <c r="HJ274" s="275"/>
      <c r="HK274" s="275"/>
      <c r="HL274" s="275"/>
      <c r="HM274" s="275"/>
      <c r="HN274" s="275"/>
      <c r="HO274" s="275"/>
      <c r="HP274" s="275"/>
      <c r="HQ274" s="275"/>
      <c r="HR274" s="275"/>
    </row>
    <row r="275" spans="1:226" s="297" customFormat="1">
      <c r="A275" s="275"/>
      <c r="B275" s="21"/>
      <c r="C275" s="21"/>
      <c r="D275" s="21"/>
      <c r="E275" s="21"/>
      <c r="F275" s="275"/>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J275" s="275"/>
      <c r="AK275" s="275"/>
      <c r="AL275" s="275"/>
      <c r="AM275" s="275"/>
      <c r="AN275" s="275"/>
      <c r="AO275" s="275"/>
      <c r="AQ275" s="275"/>
      <c r="AR275" s="275"/>
      <c r="AS275" s="275"/>
      <c r="AT275" s="275"/>
      <c r="AU275" s="275"/>
      <c r="AV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D275" s="275"/>
      <c r="EE275" s="275"/>
      <c r="EF275" s="275"/>
      <c r="EG275" s="275"/>
      <c r="EH275" s="275"/>
      <c r="EI275" s="275"/>
      <c r="EJ275" s="275"/>
      <c r="EK275" s="275"/>
      <c r="EL275" s="275"/>
      <c r="EM275" s="275"/>
      <c r="EN275" s="275"/>
      <c r="EO275" s="275"/>
      <c r="EP275" s="275"/>
      <c r="EQ275" s="275"/>
      <c r="ER275" s="275"/>
      <c r="ES275" s="275"/>
      <c r="ET275" s="275"/>
      <c r="EU275"/>
      <c r="EV275"/>
      <c r="EW275" s="275"/>
      <c r="EX275" s="275"/>
      <c r="EY275" s="275"/>
      <c r="EZ275" s="275"/>
      <c r="FA275" s="275"/>
      <c r="FB275" s="275"/>
      <c r="FC275" s="275"/>
      <c r="FD275" s="275"/>
      <c r="FE275" s="275"/>
      <c r="FF275" s="275"/>
      <c r="FG275" s="275"/>
      <c r="FH275" s="275"/>
      <c r="FI275" s="275"/>
      <c r="FJ275" s="275"/>
      <c r="FK275" s="275"/>
      <c r="FL275" s="275"/>
      <c r="FM275" s="275"/>
      <c r="FN275" s="275"/>
      <c r="FO275" s="275"/>
      <c r="FP275" s="275"/>
      <c r="FQ275" s="275"/>
      <c r="FR275" s="275"/>
      <c r="FS275" s="275"/>
      <c r="FT275" s="275"/>
      <c r="FU275" s="275"/>
      <c r="FV275" s="275"/>
      <c r="FW275" s="275"/>
      <c r="FX275" s="275"/>
      <c r="FY275" s="275"/>
      <c r="FZ275" s="275"/>
      <c r="GA275" s="275"/>
      <c r="GB275" s="275"/>
      <c r="GC275" s="275"/>
      <c r="GD275" s="275"/>
      <c r="GE275" s="275"/>
      <c r="GF275" s="275"/>
      <c r="GG275" s="275"/>
      <c r="GH275" s="275"/>
      <c r="GI275" s="275"/>
      <c r="GJ275" s="275"/>
      <c r="GK275" s="275"/>
      <c r="GL275" s="275"/>
      <c r="GM275" s="275"/>
      <c r="GN275" s="275"/>
      <c r="GO275" s="275"/>
      <c r="GP275" s="275"/>
      <c r="GQ275" s="275"/>
      <c r="GR275" s="275"/>
      <c r="GS275" s="275"/>
      <c r="GT275" s="275"/>
      <c r="GU275" s="275"/>
      <c r="GV275" s="275"/>
      <c r="GW275" s="275"/>
      <c r="GX275" s="275"/>
      <c r="GY275" s="275"/>
      <c r="GZ275" s="275"/>
      <c r="HA275" s="275"/>
      <c r="HB275" s="275"/>
      <c r="HC275" s="275"/>
      <c r="HD275" s="275"/>
      <c r="HE275" s="275"/>
      <c r="HF275" s="275"/>
      <c r="HG275" s="275"/>
      <c r="HH275" s="275"/>
      <c r="HI275" s="275"/>
      <c r="HJ275" s="275"/>
      <c r="HK275" s="275"/>
      <c r="HL275" s="275"/>
      <c r="HM275" s="275"/>
      <c r="HN275" s="275"/>
      <c r="HO275" s="275"/>
      <c r="HP275" s="275"/>
      <c r="HQ275" s="275"/>
      <c r="HR275" s="275"/>
    </row>
    <row r="276" spans="1:226" s="297" customFormat="1">
      <c r="A276" s="275"/>
      <c r="B276" s="21"/>
      <c r="C276" s="21"/>
      <c r="D276" s="21"/>
      <c r="E276" s="21"/>
      <c r="F276" s="275"/>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J276" s="275"/>
      <c r="AK276" s="275"/>
      <c r="AL276" s="275"/>
      <c r="AM276" s="275"/>
      <c r="AN276" s="275"/>
      <c r="AO276" s="275"/>
      <c r="AQ276" s="275"/>
      <c r="AR276" s="275"/>
      <c r="AS276" s="275"/>
      <c r="AT276" s="275"/>
      <c r="AU276" s="275"/>
      <c r="AV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D276" s="275"/>
      <c r="EE276" s="275"/>
      <c r="EF276" s="275"/>
      <c r="EG276" s="275"/>
      <c r="EH276" s="275"/>
      <c r="EI276" s="275"/>
      <c r="EJ276" s="275"/>
      <c r="EK276" s="275"/>
      <c r="EL276" s="275"/>
      <c r="EM276" s="275"/>
      <c r="EN276" s="275"/>
      <c r="EO276" s="275"/>
      <c r="EP276" s="275"/>
      <c r="EQ276" s="275"/>
      <c r="ER276" s="275"/>
      <c r="ES276" s="275"/>
      <c r="ET276" s="275"/>
      <c r="EU276"/>
      <c r="EV276"/>
      <c r="EW276" s="275"/>
      <c r="EX276" s="275"/>
      <c r="EY276" s="275"/>
      <c r="EZ276" s="275"/>
      <c r="FA276" s="275"/>
      <c r="FB276" s="275"/>
      <c r="FC276" s="275"/>
      <c r="FD276" s="275"/>
      <c r="FE276" s="275"/>
      <c r="FF276" s="275"/>
      <c r="FG276" s="275"/>
      <c r="FH276" s="275"/>
      <c r="FI276" s="275"/>
      <c r="FJ276" s="275"/>
      <c r="FK276" s="275"/>
      <c r="FL276" s="275"/>
      <c r="FM276" s="275"/>
      <c r="FN276" s="275"/>
      <c r="FO276" s="275"/>
      <c r="FP276" s="275"/>
      <c r="FQ276" s="275"/>
      <c r="FR276" s="275"/>
      <c r="FS276" s="275"/>
      <c r="FT276" s="275"/>
      <c r="FU276" s="275"/>
      <c r="FV276" s="275"/>
      <c r="FW276" s="275"/>
      <c r="FX276" s="275"/>
      <c r="FY276" s="275"/>
      <c r="FZ276" s="275"/>
      <c r="GA276" s="275"/>
      <c r="GB276" s="275"/>
      <c r="GC276" s="275"/>
      <c r="GD276" s="275"/>
      <c r="GE276" s="275"/>
      <c r="GF276" s="275"/>
      <c r="GG276" s="275"/>
      <c r="GH276" s="275"/>
      <c r="GI276" s="275"/>
      <c r="GJ276" s="275"/>
      <c r="GK276" s="275"/>
      <c r="GL276" s="275"/>
      <c r="GM276" s="275"/>
      <c r="GN276" s="275"/>
      <c r="GO276" s="275"/>
      <c r="GP276" s="275"/>
      <c r="GQ276" s="275"/>
      <c r="GR276" s="275"/>
      <c r="GS276" s="275"/>
      <c r="GT276" s="275"/>
      <c r="GU276" s="275"/>
      <c r="GV276" s="275"/>
      <c r="GW276" s="275"/>
      <c r="GX276" s="275"/>
      <c r="GY276" s="275"/>
      <c r="GZ276" s="275"/>
      <c r="HA276" s="275"/>
      <c r="HB276" s="275"/>
      <c r="HC276" s="275"/>
      <c r="HD276" s="275"/>
      <c r="HE276" s="275"/>
      <c r="HF276" s="275"/>
      <c r="HG276" s="275"/>
      <c r="HH276" s="275"/>
      <c r="HI276" s="275"/>
      <c r="HJ276" s="275"/>
      <c r="HK276" s="275"/>
      <c r="HL276" s="275"/>
      <c r="HM276" s="275"/>
      <c r="HN276" s="275"/>
      <c r="HO276" s="275"/>
      <c r="HP276" s="275"/>
      <c r="HQ276" s="275"/>
      <c r="HR276" s="275"/>
    </row>
    <row r="277" spans="1:226" s="297" customFormat="1">
      <c r="A277" s="275"/>
      <c r="B277" s="21"/>
      <c r="C277" s="21"/>
      <c r="D277" s="21"/>
      <c r="E277" s="21"/>
      <c r="F277" s="275"/>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J277" s="275"/>
      <c r="AK277" s="275"/>
      <c r="AL277" s="275"/>
      <c r="AM277" s="275"/>
      <c r="AN277" s="275"/>
      <c r="AO277" s="275"/>
      <c r="AQ277" s="275"/>
      <c r="AR277" s="275"/>
      <c r="AS277" s="275"/>
      <c r="AT277" s="275"/>
      <c r="AU277" s="275"/>
      <c r="AV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D277" s="275"/>
      <c r="EE277" s="275"/>
      <c r="EF277" s="275"/>
      <c r="EG277" s="275"/>
      <c r="EH277" s="275"/>
      <c r="EI277" s="275"/>
      <c r="EJ277" s="275"/>
      <c r="EK277" s="275"/>
      <c r="EL277" s="275"/>
      <c r="EM277" s="275"/>
      <c r="EN277" s="275"/>
      <c r="EO277" s="275"/>
      <c r="EP277" s="275"/>
      <c r="EQ277" s="275"/>
      <c r="ER277" s="275"/>
      <c r="ES277" s="275"/>
      <c r="ET277" s="275"/>
      <c r="EU277"/>
      <c r="EV277"/>
      <c r="EW277" s="275"/>
      <c r="EX277" s="275"/>
      <c r="EY277" s="275"/>
      <c r="EZ277" s="275"/>
      <c r="FA277" s="275"/>
      <c r="FB277" s="275"/>
      <c r="FC277" s="275"/>
      <c r="FD277" s="275"/>
      <c r="FE277" s="275"/>
      <c r="FF277" s="275"/>
      <c r="FG277" s="275"/>
      <c r="FH277" s="275"/>
      <c r="FI277" s="275"/>
      <c r="FJ277" s="275"/>
      <c r="FK277" s="275"/>
      <c r="FL277" s="275"/>
      <c r="FM277" s="275"/>
      <c r="FN277" s="275"/>
      <c r="FO277" s="275"/>
      <c r="FP277" s="275"/>
      <c r="FQ277" s="275"/>
      <c r="FR277" s="275"/>
      <c r="FS277" s="275"/>
      <c r="FT277" s="275"/>
      <c r="FU277" s="275"/>
      <c r="FV277" s="275"/>
      <c r="FW277" s="275"/>
      <c r="FX277" s="275"/>
      <c r="FY277" s="275"/>
      <c r="FZ277" s="275"/>
      <c r="GA277" s="275"/>
      <c r="GB277" s="275"/>
      <c r="GC277" s="275"/>
      <c r="GD277" s="275"/>
      <c r="GE277" s="275"/>
      <c r="GF277" s="275"/>
      <c r="GG277" s="275"/>
      <c r="GH277" s="275"/>
      <c r="GI277" s="275"/>
      <c r="GJ277" s="275"/>
      <c r="GK277" s="275"/>
      <c r="GL277" s="275"/>
      <c r="GM277" s="275"/>
      <c r="GN277" s="275"/>
      <c r="GO277" s="275"/>
      <c r="GP277" s="275"/>
      <c r="GQ277" s="275"/>
      <c r="GR277" s="275"/>
      <c r="GS277" s="275"/>
      <c r="GT277" s="275"/>
      <c r="GU277" s="275"/>
      <c r="GV277" s="275"/>
      <c r="GW277" s="275"/>
      <c r="GX277" s="275"/>
      <c r="GY277" s="275"/>
      <c r="GZ277" s="275"/>
      <c r="HA277" s="275"/>
      <c r="HB277" s="275"/>
      <c r="HC277" s="275"/>
      <c r="HD277" s="275"/>
      <c r="HE277" s="275"/>
      <c r="HF277" s="275"/>
      <c r="HG277" s="275"/>
      <c r="HH277" s="275"/>
      <c r="HI277" s="275"/>
      <c r="HJ277" s="275"/>
      <c r="HK277" s="275"/>
      <c r="HL277" s="275"/>
      <c r="HM277" s="275"/>
      <c r="HN277" s="275"/>
      <c r="HO277" s="275"/>
      <c r="HP277" s="275"/>
      <c r="HQ277" s="275"/>
      <c r="HR277" s="275"/>
    </row>
    <row r="278" spans="1:226" s="297" customFormat="1">
      <c r="A278" s="275"/>
      <c r="B278" s="21"/>
      <c r="C278" s="21"/>
      <c r="D278" s="21"/>
      <c r="E278" s="21"/>
      <c r="F278" s="275"/>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J278" s="275"/>
      <c r="AK278" s="275"/>
      <c r="AL278" s="275"/>
      <c r="AM278" s="275"/>
      <c r="AN278" s="275"/>
      <c r="AO278" s="275"/>
      <c r="AQ278" s="275"/>
      <c r="AR278" s="275"/>
      <c r="AS278" s="275"/>
      <c r="AT278" s="275"/>
      <c r="AU278" s="275"/>
      <c r="AV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D278" s="275"/>
      <c r="EE278" s="275"/>
      <c r="EF278" s="275"/>
      <c r="EG278" s="275"/>
      <c r="EH278" s="275"/>
      <c r="EI278" s="275"/>
      <c r="EJ278" s="275"/>
      <c r="EK278" s="275"/>
      <c r="EL278" s="275"/>
      <c r="EM278" s="275"/>
      <c r="EN278" s="275"/>
      <c r="EO278" s="275"/>
      <c r="EP278" s="275"/>
      <c r="EQ278" s="275"/>
      <c r="ER278" s="275"/>
      <c r="ES278" s="275"/>
      <c r="ET278" s="275"/>
      <c r="EU278"/>
      <c r="EV278"/>
      <c r="EW278" s="275"/>
      <c r="EX278" s="275"/>
      <c r="EY278" s="275"/>
      <c r="EZ278" s="275"/>
      <c r="FA278" s="275"/>
      <c r="FB278" s="275"/>
      <c r="FC278" s="275"/>
      <c r="FD278" s="275"/>
      <c r="FE278" s="275"/>
      <c r="FF278" s="275"/>
      <c r="FG278" s="275"/>
      <c r="FH278" s="275"/>
      <c r="FI278" s="275"/>
      <c r="FJ278" s="275"/>
      <c r="FK278" s="275"/>
      <c r="FL278" s="275"/>
      <c r="FM278" s="275"/>
      <c r="FN278" s="275"/>
      <c r="FO278" s="275"/>
      <c r="FP278" s="275"/>
      <c r="FQ278" s="275"/>
      <c r="FR278" s="275"/>
      <c r="FS278" s="275"/>
      <c r="FT278" s="275"/>
      <c r="FU278" s="275"/>
      <c r="FV278" s="275"/>
      <c r="FW278" s="275"/>
      <c r="FX278" s="275"/>
      <c r="FY278" s="275"/>
      <c r="FZ278" s="275"/>
      <c r="GA278" s="275"/>
      <c r="GB278" s="275"/>
      <c r="GC278" s="275"/>
      <c r="GD278" s="275"/>
      <c r="GE278" s="275"/>
      <c r="GF278" s="275"/>
      <c r="GG278" s="275"/>
      <c r="GH278" s="275"/>
      <c r="GI278" s="275"/>
      <c r="GJ278" s="275"/>
      <c r="GK278" s="275"/>
      <c r="GL278" s="275"/>
      <c r="GM278" s="275"/>
      <c r="GN278" s="275"/>
      <c r="GO278" s="275"/>
      <c r="GP278" s="275"/>
      <c r="GQ278" s="275"/>
      <c r="GR278" s="275"/>
      <c r="GS278" s="275"/>
      <c r="GT278" s="275"/>
      <c r="GU278" s="275"/>
      <c r="GV278" s="275"/>
      <c r="GW278" s="275"/>
      <c r="GX278" s="275"/>
      <c r="GY278" s="275"/>
      <c r="GZ278" s="275"/>
      <c r="HA278" s="275"/>
      <c r="HB278" s="275"/>
      <c r="HC278" s="275"/>
      <c r="HD278" s="275"/>
      <c r="HE278" s="275"/>
      <c r="HF278" s="275"/>
      <c r="HG278" s="275"/>
      <c r="HH278" s="275"/>
      <c r="HI278" s="275"/>
      <c r="HJ278" s="275"/>
      <c r="HK278" s="275"/>
      <c r="HL278" s="275"/>
      <c r="HM278" s="275"/>
      <c r="HN278" s="275"/>
      <c r="HO278" s="275"/>
      <c r="HP278" s="275"/>
      <c r="HQ278" s="275"/>
      <c r="HR278" s="275"/>
    </row>
    <row r="279" spans="1:226" s="297" customFormat="1">
      <c r="A279" s="275"/>
      <c r="B279" s="21"/>
      <c r="C279" s="21"/>
      <c r="D279" s="21"/>
      <c r="E279" s="21"/>
      <c r="F279" s="275"/>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J279" s="275"/>
      <c r="AK279" s="275"/>
      <c r="AL279" s="275"/>
      <c r="AM279" s="275"/>
      <c r="AN279" s="275"/>
      <c r="AO279" s="275"/>
      <c r="AQ279" s="275"/>
      <c r="AR279" s="275"/>
      <c r="AS279" s="275"/>
      <c r="AT279" s="275"/>
      <c r="AU279" s="275"/>
      <c r="AV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D279" s="275"/>
      <c r="EE279" s="275"/>
      <c r="EF279" s="275"/>
      <c r="EG279" s="275"/>
      <c r="EH279" s="275"/>
      <c r="EI279" s="275"/>
      <c r="EJ279" s="275"/>
      <c r="EK279" s="275"/>
      <c r="EL279" s="275"/>
      <c r="EM279" s="275"/>
      <c r="EN279" s="275"/>
      <c r="EO279" s="275"/>
      <c r="EP279" s="275"/>
      <c r="EQ279" s="275"/>
      <c r="ER279" s="275"/>
      <c r="ES279" s="275"/>
      <c r="ET279" s="275"/>
      <c r="EU279"/>
      <c r="EV279"/>
      <c r="EW279" s="275"/>
      <c r="EX279" s="275"/>
      <c r="EY279" s="275"/>
      <c r="EZ279" s="275"/>
      <c r="FA279" s="275"/>
      <c r="FB279" s="275"/>
      <c r="FC279" s="275"/>
      <c r="FD279" s="275"/>
      <c r="FE279" s="275"/>
      <c r="FF279" s="275"/>
      <c r="FG279" s="275"/>
      <c r="FH279" s="275"/>
      <c r="FI279" s="275"/>
      <c r="FJ279" s="275"/>
      <c r="FK279" s="275"/>
      <c r="FL279" s="275"/>
      <c r="FM279" s="275"/>
      <c r="FN279" s="275"/>
      <c r="FO279" s="275"/>
      <c r="FP279" s="275"/>
      <c r="FQ279" s="275"/>
      <c r="FR279" s="275"/>
      <c r="FS279" s="275"/>
      <c r="FT279" s="275"/>
      <c r="FU279" s="275"/>
      <c r="FV279" s="275"/>
      <c r="FW279" s="275"/>
      <c r="FX279" s="275"/>
      <c r="FY279" s="275"/>
      <c r="FZ279" s="275"/>
      <c r="GA279" s="275"/>
      <c r="GB279" s="275"/>
      <c r="GC279" s="275"/>
      <c r="GD279" s="275"/>
      <c r="GE279" s="275"/>
      <c r="GF279" s="275"/>
      <c r="GG279" s="275"/>
      <c r="GH279" s="275"/>
      <c r="GI279" s="275"/>
      <c r="GJ279" s="275"/>
      <c r="GK279" s="275"/>
      <c r="GL279" s="275"/>
      <c r="GM279" s="275"/>
      <c r="GN279" s="275"/>
      <c r="GO279" s="275"/>
      <c r="GP279" s="275"/>
      <c r="GQ279" s="275"/>
      <c r="GR279" s="275"/>
      <c r="GS279" s="275"/>
      <c r="GT279" s="275"/>
      <c r="GU279" s="275"/>
      <c r="GV279" s="275"/>
      <c r="GW279" s="275"/>
      <c r="GX279" s="275"/>
      <c r="GY279" s="275"/>
      <c r="GZ279" s="275"/>
      <c r="HA279" s="275"/>
      <c r="HB279" s="275"/>
      <c r="HC279" s="275"/>
      <c r="HD279" s="275"/>
      <c r="HE279" s="275"/>
      <c r="HF279" s="275"/>
      <c r="HG279" s="275"/>
      <c r="HH279" s="275"/>
      <c r="HI279" s="275"/>
      <c r="HJ279" s="275"/>
      <c r="HK279" s="275"/>
      <c r="HL279" s="275"/>
      <c r="HM279" s="275"/>
      <c r="HN279" s="275"/>
      <c r="HO279" s="275"/>
      <c r="HP279" s="275"/>
      <c r="HQ279" s="275"/>
      <c r="HR279" s="275"/>
    </row>
    <row r="280" spans="1:226" s="297" customFormat="1">
      <c r="A280" s="275"/>
      <c r="B280" s="21"/>
      <c r="C280" s="21"/>
      <c r="D280" s="21"/>
      <c r="E280" s="21"/>
      <c r="F280" s="275"/>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J280" s="275"/>
      <c r="AK280" s="275"/>
      <c r="AL280" s="275"/>
      <c r="AM280" s="275"/>
      <c r="AN280" s="275"/>
      <c r="AO280" s="275"/>
      <c r="AQ280" s="275"/>
      <c r="AR280" s="275"/>
      <c r="AS280" s="275"/>
      <c r="AT280" s="275"/>
      <c r="AU280" s="275"/>
      <c r="AV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D280" s="275"/>
      <c r="EE280" s="275"/>
      <c r="EF280" s="275"/>
      <c r="EG280" s="275"/>
      <c r="EH280" s="275"/>
      <c r="EI280" s="275"/>
      <c r="EJ280" s="275"/>
      <c r="EK280" s="275"/>
      <c r="EL280" s="275"/>
      <c r="EM280" s="275"/>
      <c r="EN280" s="275"/>
      <c r="EO280" s="275"/>
      <c r="EP280" s="275"/>
      <c r="EQ280" s="275"/>
      <c r="ER280" s="275"/>
      <c r="ES280" s="275"/>
      <c r="ET280" s="275"/>
      <c r="EU280"/>
      <c r="EV280"/>
      <c r="EW280" s="275"/>
      <c r="EX280" s="275"/>
      <c r="EY280" s="275"/>
      <c r="EZ280" s="275"/>
      <c r="FA280" s="275"/>
      <c r="FB280" s="275"/>
      <c r="FC280" s="275"/>
      <c r="FD280" s="275"/>
      <c r="FE280" s="275"/>
      <c r="FF280" s="275"/>
      <c r="FG280" s="275"/>
      <c r="FH280" s="275"/>
      <c r="FI280" s="275"/>
      <c r="FJ280" s="275"/>
      <c r="FK280" s="275"/>
      <c r="FL280" s="275"/>
      <c r="FM280" s="275"/>
      <c r="FN280" s="275"/>
      <c r="FO280" s="275"/>
      <c r="FP280" s="275"/>
      <c r="FQ280" s="275"/>
      <c r="FR280" s="275"/>
      <c r="FS280" s="275"/>
      <c r="FT280" s="275"/>
      <c r="FU280" s="275"/>
      <c r="FV280" s="275"/>
      <c r="FW280" s="275"/>
      <c r="FX280" s="275"/>
      <c r="FY280" s="275"/>
      <c r="FZ280" s="275"/>
      <c r="GA280" s="275"/>
      <c r="GB280" s="275"/>
      <c r="GC280" s="275"/>
      <c r="GD280" s="275"/>
      <c r="GE280" s="275"/>
      <c r="GF280" s="275"/>
      <c r="GG280" s="275"/>
      <c r="GH280" s="275"/>
      <c r="GI280" s="275"/>
      <c r="GJ280" s="275"/>
      <c r="GK280" s="275"/>
      <c r="GL280" s="275"/>
      <c r="GM280" s="275"/>
      <c r="GN280" s="275"/>
      <c r="GO280" s="275"/>
      <c r="GP280" s="275"/>
      <c r="GQ280" s="275"/>
      <c r="GR280" s="275"/>
      <c r="GS280" s="275"/>
      <c r="GT280" s="275"/>
      <c r="GU280" s="275"/>
      <c r="GV280" s="275"/>
      <c r="GW280" s="275"/>
      <c r="GX280" s="275"/>
      <c r="GY280" s="275"/>
      <c r="GZ280" s="275"/>
      <c r="HA280" s="275"/>
      <c r="HB280" s="275"/>
      <c r="HC280" s="275"/>
      <c r="HD280" s="275"/>
      <c r="HE280" s="275"/>
      <c r="HF280" s="275"/>
      <c r="HG280" s="275"/>
      <c r="HH280" s="275"/>
      <c r="HI280" s="275"/>
      <c r="HJ280" s="275"/>
      <c r="HK280" s="275"/>
      <c r="HL280" s="275"/>
      <c r="HM280" s="275"/>
      <c r="HN280" s="275"/>
      <c r="HO280" s="275"/>
      <c r="HP280" s="275"/>
      <c r="HQ280" s="275"/>
      <c r="HR280" s="275"/>
    </row>
    <row r="281" spans="1:226" s="297" customFormat="1">
      <c r="A281" s="275"/>
      <c r="B281" s="21"/>
      <c r="C281" s="21"/>
      <c r="D281" s="21"/>
      <c r="E281" s="21"/>
      <c r="F281" s="275"/>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J281" s="275"/>
      <c r="AK281" s="275"/>
      <c r="AL281" s="275"/>
      <c r="AM281" s="275"/>
      <c r="AN281" s="275"/>
      <c r="AO281" s="275"/>
      <c r="AQ281" s="275"/>
      <c r="AR281" s="275"/>
      <c r="AS281" s="275"/>
      <c r="AT281" s="275"/>
      <c r="AU281" s="275"/>
      <c r="AV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D281" s="275"/>
      <c r="EE281" s="275"/>
      <c r="EF281" s="275"/>
      <c r="EG281" s="275"/>
      <c r="EH281" s="275"/>
      <c r="EI281" s="275"/>
      <c r="EJ281" s="275"/>
      <c r="EK281" s="275"/>
      <c r="EL281" s="275"/>
      <c r="EM281" s="275"/>
      <c r="EN281" s="275"/>
      <c r="EO281" s="275"/>
      <c r="EP281" s="275"/>
      <c r="EQ281" s="275"/>
      <c r="ER281" s="275"/>
      <c r="ES281" s="275"/>
      <c r="ET281" s="275"/>
      <c r="EU281"/>
      <c r="EV281"/>
      <c r="EW281" s="275"/>
      <c r="EX281" s="275"/>
      <c r="EY281" s="275"/>
      <c r="EZ281" s="275"/>
      <c r="FA281" s="275"/>
      <c r="FB281" s="275"/>
      <c r="FC281" s="275"/>
      <c r="FD281" s="275"/>
      <c r="FE281" s="275"/>
      <c r="FF281" s="275"/>
      <c r="FG281" s="275"/>
      <c r="FH281" s="275"/>
      <c r="FI281" s="275"/>
      <c r="FJ281" s="275"/>
      <c r="FK281" s="275"/>
      <c r="FL281" s="275"/>
      <c r="FM281" s="275"/>
      <c r="FN281" s="275"/>
      <c r="FO281" s="275"/>
      <c r="FP281" s="275"/>
      <c r="FQ281" s="275"/>
      <c r="FR281" s="275"/>
      <c r="FS281" s="275"/>
      <c r="FT281" s="275"/>
      <c r="FU281" s="275"/>
      <c r="FV281" s="275"/>
      <c r="FW281" s="275"/>
      <c r="FX281" s="275"/>
      <c r="FY281" s="275"/>
      <c r="FZ281" s="275"/>
      <c r="GA281" s="275"/>
      <c r="GB281" s="275"/>
      <c r="GC281" s="275"/>
      <c r="GD281" s="275"/>
      <c r="GE281" s="275"/>
      <c r="GF281" s="275"/>
      <c r="GG281" s="275"/>
      <c r="GH281" s="275"/>
      <c r="GI281" s="275"/>
      <c r="GJ281" s="275"/>
      <c r="GK281" s="275"/>
      <c r="GL281" s="275"/>
      <c r="GM281" s="275"/>
      <c r="GN281" s="275"/>
      <c r="GO281" s="275"/>
      <c r="GP281" s="275"/>
      <c r="GQ281" s="275"/>
      <c r="GR281" s="275"/>
      <c r="GS281" s="275"/>
      <c r="GT281" s="275"/>
      <c r="GU281" s="275"/>
      <c r="GV281" s="275"/>
      <c r="GW281" s="275"/>
      <c r="GX281" s="275"/>
      <c r="GY281" s="275"/>
      <c r="GZ281" s="275"/>
      <c r="HA281" s="275"/>
      <c r="HB281" s="275"/>
      <c r="HC281" s="275"/>
      <c r="HD281" s="275"/>
      <c r="HE281" s="275"/>
      <c r="HF281" s="275"/>
      <c r="HG281" s="275"/>
      <c r="HH281" s="275"/>
      <c r="HI281" s="275"/>
      <c r="HJ281" s="275"/>
      <c r="HK281" s="275"/>
      <c r="HL281" s="275"/>
      <c r="HM281" s="275"/>
      <c r="HN281" s="275"/>
      <c r="HO281" s="275"/>
      <c r="HP281" s="275"/>
      <c r="HQ281" s="275"/>
      <c r="HR281" s="275"/>
    </row>
    <row r="282" spans="1:226" s="297" customFormat="1">
      <c r="A282" s="275"/>
      <c r="B282" s="21"/>
      <c r="C282" s="21"/>
      <c r="D282" s="21"/>
      <c r="E282" s="21"/>
      <c r="F282" s="275"/>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J282" s="275"/>
      <c r="AK282" s="275"/>
      <c r="AL282" s="275"/>
      <c r="AM282" s="275"/>
      <c r="AN282" s="275"/>
      <c r="AO282" s="275"/>
      <c r="AQ282" s="275"/>
      <c r="AR282" s="275"/>
      <c r="AS282" s="275"/>
      <c r="AT282" s="275"/>
      <c r="AU282" s="275"/>
      <c r="AV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D282" s="275"/>
      <c r="EE282" s="275"/>
      <c r="EF282" s="275"/>
      <c r="EG282" s="275"/>
      <c r="EH282" s="275"/>
      <c r="EI282" s="275"/>
      <c r="EJ282" s="275"/>
      <c r="EK282" s="275"/>
      <c r="EL282" s="275"/>
      <c r="EM282" s="275"/>
      <c r="EN282" s="275"/>
      <c r="EO282" s="275"/>
      <c r="EP282" s="275"/>
      <c r="EQ282" s="275"/>
      <c r="ER282" s="275"/>
      <c r="ES282" s="275"/>
      <c r="ET282" s="275"/>
      <c r="EU282"/>
      <c r="EV282"/>
      <c r="EW282" s="275"/>
      <c r="EX282" s="275"/>
      <c r="EY282" s="275"/>
      <c r="EZ282" s="275"/>
      <c r="FA282" s="275"/>
      <c r="FB282" s="275"/>
      <c r="FC282" s="275"/>
      <c r="FD282" s="275"/>
      <c r="FE282" s="275"/>
      <c r="FF282" s="275"/>
      <c r="FG282" s="275"/>
      <c r="FH282" s="275"/>
      <c r="FI282" s="275"/>
      <c r="FJ282" s="275"/>
      <c r="FK282" s="275"/>
      <c r="FL282" s="275"/>
      <c r="FM282" s="275"/>
      <c r="FN282" s="275"/>
      <c r="FO282" s="275"/>
      <c r="FP282" s="275"/>
      <c r="FQ282" s="275"/>
      <c r="FR282" s="275"/>
      <c r="FS282" s="275"/>
      <c r="FT282" s="275"/>
      <c r="FU282" s="275"/>
      <c r="FV282" s="275"/>
      <c r="FW282" s="275"/>
      <c r="FX282" s="275"/>
      <c r="FY282" s="275"/>
      <c r="FZ282" s="275"/>
      <c r="GA282" s="275"/>
      <c r="GB282" s="275"/>
      <c r="GC282" s="275"/>
      <c r="GD282" s="275"/>
      <c r="GE282" s="275"/>
      <c r="GF282" s="275"/>
      <c r="GG282" s="275"/>
      <c r="GH282" s="275"/>
      <c r="GI282" s="275"/>
      <c r="GJ282" s="275"/>
      <c r="GK282" s="275"/>
      <c r="GL282" s="275"/>
      <c r="GM282" s="275"/>
      <c r="GN282" s="275"/>
      <c r="GO282" s="275"/>
      <c r="GP282" s="275"/>
      <c r="GQ282" s="275"/>
      <c r="GR282" s="275"/>
      <c r="GS282" s="275"/>
      <c r="GT282" s="275"/>
      <c r="GU282" s="275"/>
      <c r="GV282" s="275"/>
      <c r="GW282" s="275"/>
      <c r="GX282" s="275"/>
      <c r="GY282" s="275"/>
      <c r="GZ282" s="275"/>
      <c r="HA282" s="275"/>
      <c r="HB282" s="275"/>
      <c r="HC282" s="275"/>
      <c r="HD282" s="275"/>
      <c r="HE282" s="275"/>
      <c r="HF282" s="275"/>
      <c r="HG282" s="275"/>
      <c r="HH282" s="275"/>
      <c r="HI282" s="275"/>
      <c r="HJ282" s="275"/>
      <c r="HK282" s="275"/>
      <c r="HL282" s="275"/>
      <c r="HM282" s="275"/>
      <c r="HN282" s="275"/>
      <c r="HO282" s="275"/>
      <c r="HP282" s="275"/>
      <c r="HQ282" s="275"/>
      <c r="HR282" s="275"/>
    </row>
    <row r="283" spans="1:226" s="297" customFormat="1">
      <c r="A283" s="275"/>
      <c r="B283" s="21"/>
      <c r="C283" s="21"/>
      <c r="D283" s="21"/>
      <c r="E283" s="21"/>
      <c r="F283" s="275"/>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J283" s="275"/>
      <c r="AK283" s="275"/>
      <c r="AL283" s="275"/>
      <c r="AM283" s="275"/>
      <c r="AN283" s="275"/>
      <c r="AO283" s="275"/>
      <c r="AQ283" s="275"/>
      <c r="AR283" s="275"/>
      <c r="AS283" s="275"/>
      <c r="AT283" s="275"/>
      <c r="AU283" s="275"/>
      <c r="AV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D283" s="275"/>
      <c r="EE283" s="275"/>
      <c r="EF283" s="275"/>
      <c r="EG283" s="275"/>
      <c r="EH283" s="275"/>
      <c r="EI283" s="275"/>
      <c r="EJ283" s="275"/>
      <c r="EK283" s="275"/>
      <c r="EL283" s="275"/>
      <c r="EM283" s="275"/>
      <c r="EN283" s="275"/>
      <c r="EO283" s="275"/>
      <c r="EP283" s="275"/>
      <c r="EQ283" s="275"/>
      <c r="ER283" s="275"/>
      <c r="ES283" s="275"/>
      <c r="ET283" s="275"/>
      <c r="EU283"/>
      <c r="EV283"/>
      <c r="EW283" s="275"/>
      <c r="EX283" s="275"/>
      <c r="EY283" s="275"/>
      <c r="EZ283" s="275"/>
      <c r="FA283" s="275"/>
      <c r="FB283" s="275"/>
      <c r="FC283" s="275"/>
      <c r="FD283" s="275"/>
      <c r="FE283" s="275"/>
      <c r="FF283" s="275"/>
      <c r="FG283" s="275"/>
      <c r="FH283" s="275"/>
      <c r="FI283" s="275"/>
      <c r="FJ283" s="275"/>
      <c r="FK283" s="275"/>
      <c r="FL283" s="275"/>
      <c r="FM283" s="275"/>
      <c r="FN283" s="275"/>
      <c r="FO283" s="275"/>
      <c r="FP283" s="275"/>
      <c r="FQ283" s="275"/>
      <c r="FR283" s="275"/>
      <c r="FS283" s="275"/>
      <c r="FT283" s="275"/>
      <c r="FU283" s="275"/>
      <c r="FV283" s="275"/>
      <c r="FW283" s="275"/>
      <c r="FX283" s="275"/>
      <c r="FY283" s="275"/>
      <c r="FZ283" s="275"/>
      <c r="GA283" s="275"/>
      <c r="GB283" s="275"/>
      <c r="GC283" s="275"/>
      <c r="GD283" s="275"/>
      <c r="GE283" s="275"/>
      <c r="GF283" s="275"/>
      <c r="GG283" s="275"/>
      <c r="GH283" s="275"/>
      <c r="GI283" s="275"/>
      <c r="GJ283" s="275"/>
      <c r="GK283" s="275"/>
      <c r="GL283" s="275"/>
      <c r="GM283" s="275"/>
      <c r="GN283" s="275"/>
      <c r="GO283" s="275"/>
      <c r="GP283" s="275"/>
      <c r="GQ283" s="275"/>
      <c r="GR283" s="275"/>
      <c r="GS283" s="275"/>
      <c r="GT283" s="275"/>
      <c r="GU283" s="275"/>
      <c r="GV283" s="275"/>
      <c r="GW283" s="275"/>
      <c r="GX283" s="275"/>
      <c r="GY283" s="275"/>
      <c r="GZ283" s="275"/>
      <c r="HA283" s="275"/>
      <c r="HB283" s="275"/>
      <c r="HC283" s="275"/>
      <c r="HD283" s="275"/>
      <c r="HE283" s="275"/>
      <c r="HF283" s="275"/>
      <c r="HG283" s="275"/>
      <c r="HH283" s="275"/>
      <c r="HI283" s="275"/>
      <c r="HJ283" s="275"/>
      <c r="HK283" s="275"/>
      <c r="HL283" s="275"/>
      <c r="HM283" s="275"/>
      <c r="HN283" s="275"/>
      <c r="HO283" s="275"/>
      <c r="HP283" s="275"/>
      <c r="HQ283" s="275"/>
      <c r="HR283" s="275"/>
    </row>
    <row r="284" spans="1:226" s="297" customFormat="1">
      <c r="A284" s="275"/>
      <c r="B284" s="21"/>
      <c r="C284" s="21"/>
      <c r="D284" s="21"/>
      <c r="E284" s="21"/>
      <c r="F284" s="275"/>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J284" s="275"/>
      <c r="AK284" s="275"/>
      <c r="AL284" s="275"/>
      <c r="AM284" s="275"/>
      <c r="AN284" s="275"/>
      <c r="AO284" s="275"/>
      <c r="AQ284" s="275"/>
      <c r="AR284" s="275"/>
      <c r="AS284" s="275"/>
      <c r="AT284" s="275"/>
      <c r="AU284" s="275"/>
      <c r="AV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D284" s="275"/>
      <c r="EE284" s="275"/>
      <c r="EF284" s="275"/>
      <c r="EG284" s="275"/>
      <c r="EH284" s="275"/>
      <c r="EI284" s="275"/>
      <c r="EJ284" s="275"/>
      <c r="EK284" s="275"/>
      <c r="EL284" s="275"/>
      <c r="EM284" s="275"/>
      <c r="EN284" s="275"/>
      <c r="EO284" s="275"/>
      <c r="EP284" s="275"/>
      <c r="EQ284" s="275"/>
      <c r="ER284" s="275"/>
      <c r="ES284" s="275"/>
      <c r="ET284" s="275"/>
      <c r="EU284"/>
      <c r="EV284"/>
      <c r="EW284" s="275"/>
      <c r="EX284" s="275"/>
      <c r="EY284" s="275"/>
      <c r="EZ284" s="275"/>
      <c r="FA284" s="275"/>
      <c r="FB284" s="275"/>
      <c r="FC284" s="275"/>
      <c r="FD284" s="275"/>
      <c r="FE284" s="275"/>
      <c r="FF284" s="275"/>
      <c r="FG284" s="275"/>
      <c r="FH284" s="275"/>
      <c r="FI284" s="275"/>
      <c r="FJ284" s="275"/>
      <c r="FK284" s="275"/>
      <c r="FL284" s="275"/>
      <c r="FM284" s="275"/>
      <c r="FN284" s="275"/>
      <c r="FO284" s="275"/>
      <c r="FP284" s="275"/>
      <c r="FQ284" s="275"/>
      <c r="FR284" s="275"/>
      <c r="FS284" s="275"/>
      <c r="FT284" s="275"/>
      <c r="FU284" s="275"/>
      <c r="FV284" s="275"/>
      <c r="FW284" s="275"/>
      <c r="FX284" s="275"/>
      <c r="FY284" s="275"/>
      <c r="FZ284" s="275"/>
      <c r="GA284" s="275"/>
      <c r="GB284" s="275"/>
      <c r="GC284" s="275"/>
      <c r="GD284" s="275"/>
      <c r="GE284" s="275"/>
      <c r="GF284" s="275"/>
      <c r="GG284" s="275"/>
      <c r="GH284" s="275"/>
      <c r="GI284" s="275"/>
      <c r="GJ284" s="275"/>
      <c r="GK284" s="275"/>
      <c r="GL284" s="275"/>
      <c r="GM284" s="275"/>
      <c r="GN284" s="275"/>
      <c r="GO284" s="275"/>
      <c r="GP284" s="275"/>
      <c r="GQ284" s="275"/>
      <c r="GR284" s="275"/>
      <c r="GS284" s="275"/>
      <c r="GT284" s="275"/>
      <c r="GU284" s="275"/>
      <c r="GV284" s="275"/>
      <c r="GW284" s="275"/>
      <c r="GX284" s="275"/>
      <c r="GY284" s="275"/>
      <c r="GZ284" s="275"/>
      <c r="HA284" s="275"/>
      <c r="HB284" s="275"/>
      <c r="HC284" s="275"/>
      <c r="HD284" s="275"/>
      <c r="HE284" s="275"/>
      <c r="HF284" s="275"/>
      <c r="HG284" s="275"/>
      <c r="HH284" s="275"/>
      <c r="HI284" s="275"/>
      <c r="HJ284" s="275"/>
      <c r="HK284" s="275"/>
      <c r="HL284" s="275"/>
      <c r="HM284" s="275"/>
      <c r="HN284" s="275"/>
      <c r="HO284" s="275"/>
      <c r="HP284" s="275"/>
      <c r="HQ284" s="275"/>
      <c r="HR284" s="275"/>
    </row>
    <row r="285" spans="1:226" s="297" customFormat="1">
      <c r="A285" s="275"/>
      <c r="B285" s="21"/>
      <c r="C285" s="21"/>
      <c r="D285" s="21"/>
      <c r="E285" s="21"/>
      <c r="F285" s="275"/>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J285" s="275"/>
      <c r="AK285" s="275"/>
      <c r="AL285" s="275"/>
      <c r="AM285" s="275"/>
      <c r="AN285" s="275"/>
      <c r="AO285" s="275"/>
      <c r="AQ285" s="275"/>
      <c r="AR285" s="275"/>
      <c r="AS285" s="275"/>
      <c r="AT285" s="275"/>
      <c r="AU285" s="275"/>
      <c r="AV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D285" s="275"/>
      <c r="EE285" s="275"/>
      <c r="EF285" s="275"/>
      <c r="EG285" s="275"/>
      <c r="EH285" s="275"/>
      <c r="EI285" s="275"/>
      <c r="EJ285" s="275"/>
      <c r="EK285" s="275"/>
      <c r="EL285" s="275"/>
      <c r="EM285" s="275"/>
      <c r="EN285" s="275"/>
      <c r="EO285" s="275"/>
      <c r="EP285" s="275"/>
      <c r="EQ285" s="275"/>
      <c r="ER285" s="275"/>
      <c r="ES285" s="275"/>
      <c r="ET285" s="275"/>
      <c r="EU285"/>
      <c r="EV285"/>
      <c r="EW285" s="275"/>
      <c r="EX285" s="275"/>
      <c r="EY285" s="275"/>
      <c r="EZ285" s="275"/>
      <c r="FA285" s="275"/>
      <c r="FB285" s="275"/>
      <c r="FC285" s="275"/>
      <c r="FD285" s="275"/>
      <c r="FE285" s="275"/>
      <c r="FF285" s="275"/>
      <c r="FG285" s="275"/>
      <c r="FH285" s="275"/>
      <c r="FI285" s="275"/>
      <c r="FJ285" s="275"/>
      <c r="FK285" s="275"/>
      <c r="FL285" s="275"/>
      <c r="FM285" s="275"/>
      <c r="FN285" s="275"/>
      <c r="FO285" s="275"/>
      <c r="FP285" s="275"/>
      <c r="FQ285" s="275"/>
      <c r="FR285" s="275"/>
      <c r="FS285" s="275"/>
      <c r="FT285" s="275"/>
      <c r="FU285" s="275"/>
      <c r="FV285" s="275"/>
      <c r="FW285" s="275"/>
      <c r="FX285" s="275"/>
      <c r="FY285" s="275"/>
      <c r="FZ285" s="275"/>
      <c r="GA285" s="275"/>
      <c r="GB285" s="275"/>
      <c r="GC285" s="275"/>
      <c r="GD285" s="275"/>
      <c r="GE285" s="275"/>
      <c r="GF285" s="275"/>
      <c r="GG285" s="275"/>
      <c r="GH285" s="275"/>
      <c r="GI285" s="275"/>
      <c r="GJ285" s="275"/>
      <c r="GK285" s="275"/>
      <c r="GL285" s="275"/>
      <c r="GM285" s="275"/>
      <c r="GN285" s="275"/>
      <c r="GO285" s="275"/>
      <c r="GP285" s="275"/>
      <c r="GQ285" s="275"/>
      <c r="GR285" s="275"/>
      <c r="GS285" s="275"/>
      <c r="GT285" s="275"/>
      <c r="GU285" s="275"/>
      <c r="GV285" s="275"/>
      <c r="GW285" s="275"/>
      <c r="GX285" s="275"/>
      <c r="GY285" s="275"/>
      <c r="GZ285" s="275"/>
      <c r="HA285" s="275"/>
      <c r="HB285" s="275"/>
      <c r="HC285" s="275"/>
      <c r="HD285" s="275"/>
      <c r="HE285" s="275"/>
      <c r="HF285" s="275"/>
      <c r="HG285" s="275"/>
      <c r="HH285" s="275"/>
      <c r="HI285" s="275"/>
      <c r="HJ285" s="275"/>
      <c r="HK285" s="275"/>
      <c r="HL285" s="275"/>
      <c r="HM285" s="275"/>
      <c r="HN285" s="275"/>
      <c r="HO285" s="275"/>
      <c r="HP285" s="275"/>
      <c r="HQ285" s="275"/>
      <c r="HR285" s="275"/>
    </row>
    <row r="286" spans="1:226" s="297" customFormat="1">
      <c r="A286" s="275"/>
      <c r="B286" s="21"/>
      <c r="C286" s="21"/>
      <c r="D286" s="21"/>
      <c r="E286" s="21"/>
      <c r="F286" s="275"/>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J286" s="275"/>
      <c r="AK286" s="275"/>
      <c r="AL286" s="275"/>
      <c r="AM286" s="275"/>
      <c r="AN286" s="275"/>
      <c r="AO286" s="275"/>
      <c r="AQ286" s="275"/>
      <c r="AR286" s="275"/>
      <c r="AS286" s="275"/>
      <c r="AT286" s="275"/>
      <c r="AU286" s="275"/>
      <c r="AV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D286" s="275"/>
      <c r="EE286" s="275"/>
      <c r="EF286" s="275"/>
      <c r="EG286" s="275"/>
      <c r="EH286" s="275"/>
      <c r="EI286" s="275"/>
      <c r="EJ286" s="275"/>
      <c r="EK286" s="275"/>
      <c r="EL286" s="275"/>
      <c r="EM286" s="275"/>
      <c r="EN286" s="275"/>
      <c r="EO286" s="275"/>
      <c r="EP286" s="275"/>
      <c r="EQ286" s="275"/>
      <c r="ER286" s="275"/>
      <c r="ES286" s="275"/>
      <c r="ET286" s="275"/>
      <c r="EU286"/>
      <c r="EV286"/>
      <c r="EW286" s="275"/>
      <c r="EX286" s="275"/>
      <c r="EY286" s="275"/>
      <c r="EZ286" s="275"/>
      <c r="FA286" s="275"/>
      <c r="FB286" s="275"/>
      <c r="FC286" s="275"/>
      <c r="FD286" s="275"/>
      <c r="FE286" s="275"/>
      <c r="FF286" s="275"/>
      <c r="FG286" s="275"/>
      <c r="FH286" s="275"/>
      <c r="FI286" s="275"/>
      <c r="FJ286" s="275"/>
      <c r="FK286" s="275"/>
      <c r="FL286" s="275"/>
      <c r="FM286" s="275"/>
      <c r="FN286" s="275"/>
      <c r="FO286" s="275"/>
      <c r="FP286" s="275"/>
      <c r="FQ286" s="275"/>
      <c r="FR286" s="275"/>
      <c r="FS286" s="275"/>
      <c r="FT286" s="275"/>
      <c r="FU286" s="275"/>
      <c r="FV286" s="275"/>
      <c r="FW286" s="275"/>
      <c r="FX286" s="275"/>
      <c r="FY286" s="275"/>
      <c r="FZ286" s="275"/>
      <c r="GA286" s="275"/>
      <c r="GB286" s="275"/>
      <c r="GC286" s="275"/>
      <c r="GD286" s="275"/>
      <c r="GE286" s="275"/>
      <c r="GF286" s="275"/>
      <c r="GG286" s="275"/>
      <c r="GH286" s="275"/>
      <c r="GI286" s="275"/>
      <c r="GJ286" s="275"/>
      <c r="GK286" s="275"/>
      <c r="GL286" s="275"/>
      <c r="GM286" s="275"/>
      <c r="GN286" s="275"/>
      <c r="GO286" s="275"/>
      <c r="GP286" s="275"/>
      <c r="GQ286" s="275"/>
      <c r="GR286" s="275"/>
      <c r="GS286" s="275"/>
      <c r="GT286" s="275"/>
      <c r="GU286" s="275"/>
      <c r="GV286" s="275"/>
      <c r="GW286" s="275"/>
      <c r="GX286" s="275"/>
      <c r="GY286" s="275"/>
      <c r="GZ286" s="275"/>
      <c r="HA286" s="275"/>
      <c r="HB286" s="275"/>
      <c r="HC286" s="275"/>
      <c r="HD286" s="275"/>
      <c r="HE286" s="275"/>
      <c r="HF286" s="275"/>
      <c r="HG286" s="275"/>
      <c r="HH286" s="275"/>
      <c r="HI286" s="275"/>
      <c r="HJ286" s="275"/>
      <c r="HK286" s="275"/>
      <c r="HL286" s="275"/>
      <c r="HM286" s="275"/>
      <c r="HN286" s="275"/>
      <c r="HO286" s="275"/>
      <c r="HP286" s="275"/>
      <c r="HQ286" s="275"/>
      <c r="HR286" s="275"/>
    </row>
    <row r="287" spans="1:226" s="297" customFormat="1">
      <c r="A287" s="275"/>
      <c r="B287" s="21"/>
      <c r="C287" s="21"/>
      <c r="D287" s="21"/>
      <c r="E287" s="21"/>
      <c r="F287" s="275"/>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J287" s="275"/>
      <c r="AK287" s="275"/>
      <c r="AL287" s="275"/>
      <c r="AM287" s="275"/>
      <c r="AN287" s="275"/>
      <c r="AO287" s="275"/>
      <c r="AQ287" s="275"/>
      <c r="AR287" s="275"/>
      <c r="AS287" s="275"/>
      <c r="AT287" s="275"/>
      <c r="AU287" s="275"/>
      <c r="AV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D287" s="275"/>
      <c r="EE287" s="275"/>
      <c r="EF287" s="275"/>
      <c r="EG287" s="275"/>
      <c r="EH287" s="275"/>
      <c r="EI287" s="275"/>
      <c r="EJ287" s="275"/>
      <c r="EK287" s="275"/>
      <c r="EL287" s="275"/>
      <c r="EM287" s="275"/>
      <c r="EN287" s="275"/>
      <c r="EO287" s="275"/>
      <c r="EP287" s="275"/>
      <c r="EQ287" s="275"/>
      <c r="ER287" s="275"/>
      <c r="ES287" s="275"/>
      <c r="ET287" s="275"/>
      <c r="EU287"/>
      <c r="EV287"/>
      <c r="EW287" s="275"/>
      <c r="EX287" s="275"/>
      <c r="EY287" s="275"/>
      <c r="EZ287" s="275"/>
      <c r="FA287" s="275"/>
      <c r="FB287" s="275"/>
      <c r="FC287" s="275"/>
      <c r="FD287" s="275"/>
      <c r="FE287" s="275"/>
      <c r="FF287" s="275"/>
      <c r="FG287" s="275"/>
      <c r="FH287" s="275"/>
      <c r="FI287" s="275"/>
      <c r="FJ287" s="275"/>
      <c r="FK287" s="275"/>
      <c r="FL287" s="275"/>
      <c r="FM287" s="275"/>
      <c r="FN287" s="275"/>
      <c r="FO287" s="275"/>
      <c r="FP287" s="275"/>
      <c r="FQ287" s="275"/>
      <c r="FR287" s="275"/>
      <c r="FS287" s="275"/>
      <c r="FT287" s="275"/>
      <c r="FU287" s="275"/>
      <c r="FV287" s="275"/>
      <c r="FW287" s="275"/>
      <c r="FX287" s="275"/>
      <c r="FY287" s="275"/>
      <c r="FZ287" s="275"/>
      <c r="GA287" s="275"/>
      <c r="GB287" s="275"/>
      <c r="GC287" s="275"/>
      <c r="GD287" s="275"/>
      <c r="GE287" s="275"/>
      <c r="GF287" s="275"/>
      <c r="GG287" s="275"/>
      <c r="GH287" s="275"/>
      <c r="GI287" s="275"/>
      <c r="GJ287" s="275"/>
      <c r="GK287" s="275"/>
      <c r="GL287" s="275"/>
      <c r="GM287" s="275"/>
      <c r="GN287" s="275"/>
      <c r="GO287" s="275"/>
      <c r="GP287" s="275"/>
      <c r="GQ287" s="275"/>
      <c r="GR287" s="275"/>
      <c r="GS287" s="275"/>
      <c r="GT287" s="275"/>
      <c r="GU287" s="275"/>
      <c r="GV287" s="275"/>
      <c r="GW287" s="275"/>
      <c r="GX287" s="275"/>
      <c r="GY287" s="275"/>
      <c r="GZ287" s="275"/>
      <c r="HA287" s="275"/>
      <c r="HB287" s="275"/>
      <c r="HC287" s="275"/>
      <c r="HD287" s="275"/>
      <c r="HE287" s="275"/>
      <c r="HF287" s="275"/>
      <c r="HG287" s="275"/>
      <c r="HH287" s="275"/>
      <c r="HI287" s="275"/>
      <c r="HJ287" s="275"/>
      <c r="HK287" s="275"/>
      <c r="HL287" s="275"/>
      <c r="HM287" s="275"/>
      <c r="HN287" s="275"/>
      <c r="HO287" s="275"/>
      <c r="HP287" s="275"/>
      <c r="HQ287" s="275"/>
      <c r="HR287" s="275"/>
    </row>
    <row r="288" spans="1:226" s="297" customFormat="1">
      <c r="A288" s="275"/>
      <c r="B288" s="21"/>
      <c r="C288" s="21"/>
      <c r="D288" s="21"/>
      <c r="E288" s="21"/>
      <c r="F288" s="275"/>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J288" s="275"/>
      <c r="AK288" s="275"/>
      <c r="AL288" s="275"/>
      <c r="AM288" s="275"/>
      <c r="AN288" s="275"/>
      <c r="AO288" s="275"/>
      <c r="AQ288" s="275"/>
      <c r="AR288" s="275"/>
      <c r="AS288" s="275"/>
      <c r="AT288" s="275"/>
      <c r="AU288" s="275"/>
      <c r="AV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D288" s="275"/>
      <c r="EE288" s="275"/>
      <c r="EF288" s="275"/>
      <c r="EG288" s="275"/>
      <c r="EH288" s="275"/>
      <c r="EI288" s="275"/>
      <c r="EJ288" s="275"/>
      <c r="EK288" s="275"/>
      <c r="EL288" s="275"/>
      <c r="EM288" s="275"/>
      <c r="EN288" s="275"/>
      <c r="EO288" s="275"/>
      <c r="EP288" s="275"/>
      <c r="EQ288" s="275"/>
      <c r="ER288" s="275"/>
      <c r="ES288" s="275"/>
      <c r="ET288" s="275"/>
      <c r="EU288"/>
      <c r="EV288"/>
      <c r="EW288" s="275"/>
      <c r="EX288" s="275"/>
      <c r="EY288" s="275"/>
      <c r="EZ288" s="275"/>
      <c r="FA288" s="275"/>
      <c r="FB288" s="275"/>
      <c r="FC288" s="275"/>
      <c r="FD288" s="275"/>
      <c r="FE288" s="275"/>
      <c r="FF288" s="275"/>
      <c r="FG288" s="275"/>
      <c r="FH288" s="275"/>
      <c r="FI288" s="275"/>
      <c r="FJ288" s="275"/>
      <c r="FK288" s="275"/>
      <c r="FL288" s="275"/>
      <c r="FM288" s="275"/>
      <c r="FN288" s="275"/>
      <c r="FO288" s="275"/>
      <c r="FP288" s="275"/>
      <c r="FQ288" s="275"/>
      <c r="FR288" s="275"/>
      <c r="FS288" s="275"/>
      <c r="FT288" s="275"/>
      <c r="FU288" s="275"/>
      <c r="FV288" s="275"/>
      <c r="FW288" s="275"/>
      <c r="FX288" s="275"/>
      <c r="FY288" s="275"/>
      <c r="FZ288" s="275"/>
      <c r="GA288" s="275"/>
      <c r="GB288" s="275"/>
      <c r="GC288" s="275"/>
      <c r="GD288" s="275"/>
      <c r="GE288" s="275"/>
      <c r="GF288" s="275"/>
      <c r="GG288" s="275"/>
      <c r="GH288" s="275"/>
      <c r="GI288" s="275"/>
      <c r="GJ288" s="275"/>
      <c r="GK288" s="275"/>
      <c r="GL288" s="275"/>
      <c r="GM288" s="275"/>
      <c r="GN288" s="275"/>
      <c r="GO288" s="275"/>
      <c r="GP288" s="275"/>
      <c r="GQ288" s="275"/>
      <c r="GR288" s="275"/>
      <c r="GS288" s="275"/>
      <c r="GT288" s="275"/>
      <c r="GU288" s="275"/>
      <c r="GV288" s="275"/>
      <c r="GW288" s="275"/>
      <c r="GX288" s="275"/>
      <c r="GY288" s="275"/>
      <c r="GZ288" s="275"/>
      <c r="HA288" s="275"/>
      <c r="HB288" s="275"/>
      <c r="HC288" s="275"/>
      <c r="HD288" s="275"/>
      <c r="HE288" s="275"/>
      <c r="HF288" s="275"/>
      <c r="HG288" s="275"/>
      <c r="HH288" s="275"/>
      <c r="HI288" s="275"/>
      <c r="HJ288" s="275"/>
      <c r="HK288" s="275"/>
      <c r="HL288" s="275"/>
      <c r="HM288" s="275"/>
      <c r="HN288" s="275"/>
      <c r="HO288" s="275"/>
      <c r="HP288" s="275"/>
      <c r="HQ288" s="275"/>
      <c r="HR288" s="275"/>
    </row>
    <row r="289" spans="1:226" s="297" customFormat="1">
      <c r="A289" s="275"/>
      <c r="B289" s="21"/>
      <c r="C289" s="21"/>
      <c r="D289" s="21"/>
      <c r="E289" s="21"/>
      <c r="F289" s="275"/>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J289" s="275"/>
      <c r="AK289" s="275"/>
      <c r="AL289" s="275"/>
      <c r="AM289" s="275"/>
      <c r="AN289" s="275"/>
      <c r="AO289" s="275"/>
      <c r="AQ289" s="275"/>
      <c r="AR289" s="275"/>
      <c r="AS289" s="275"/>
      <c r="AT289" s="275"/>
      <c r="AU289" s="275"/>
      <c r="AV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D289" s="275"/>
      <c r="EE289" s="275"/>
      <c r="EF289" s="275"/>
      <c r="EG289" s="275"/>
      <c r="EH289" s="275"/>
      <c r="EI289" s="275"/>
      <c r="EJ289" s="275"/>
      <c r="EK289" s="275"/>
      <c r="EL289" s="275"/>
      <c r="EM289" s="275"/>
      <c r="EN289" s="275"/>
      <c r="EO289" s="275"/>
      <c r="EP289" s="275"/>
      <c r="EQ289" s="275"/>
      <c r="ER289" s="275"/>
      <c r="ES289" s="275"/>
      <c r="ET289" s="275"/>
      <c r="EU289"/>
      <c r="EV289"/>
      <c r="EW289" s="275"/>
      <c r="EX289" s="275"/>
      <c r="EY289" s="275"/>
      <c r="EZ289" s="275"/>
      <c r="FA289" s="275"/>
      <c r="FB289" s="275"/>
      <c r="FC289" s="275"/>
      <c r="FD289" s="275"/>
      <c r="FE289" s="275"/>
      <c r="FF289" s="275"/>
      <c r="FG289" s="275"/>
      <c r="FH289" s="275"/>
      <c r="FI289" s="275"/>
      <c r="FJ289" s="275"/>
      <c r="FK289" s="275"/>
      <c r="FL289" s="275"/>
      <c r="FM289" s="275"/>
      <c r="FN289" s="275"/>
      <c r="FO289" s="275"/>
      <c r="FP289" s="275"/>
      <c r="FQ289" s="275"/>
      <c r="FR289" s="275"/>
      <c r="FS289" s="275"/>
      <c r="FT289" s="275"/>
      <c r="FU289" s="275"/>
      <c r="FV289" s="275"/>
      <c r="FW289" s="275"/>
      <c r="FX289" s="275"/>
      <c r="FY289" s="275"/>
      <c r="FZ289" s="275"/>
      <c r="GA289" s="275"/>
      <c r="GB289" s="275"/>
      <c r="GC289" s="275"/>
      <c r="GD289" s="275"/>
      <c r="GE289" s="275"/>
      <c r="GF289" s="275"/>
      <c r="GG289" s="275"/>
      <c r="GH289" s="275"/>
      <c r="GI289" s="275"/>
      <c r="GJ289" s="275"/>
      <c r="GK289" s="275"/>
      <c r="GL289" s="275"/>
      <c r="GM289" s="275"/>
      <c r="GN289" s="275"/>
      <c r="GO289" s="275"/>
      <c r="GP289" s="275"/>
      <c r="GQ289" s="275"/>
      <c r="GR289" s="275"/>
      <c r="GS289" s="275"/>
      <c r="GT289" s="275"/>
      <c r="GU289" s="275"/>
      <c r="GV289" s="275"/>
      <c r="GW289" s="275"/>
      <c r="GX289" s="275"/>
      <c r="GY289" s="275"/>
      <c r="GZ289" s="275"/>
      <c r="HA289" s="275"/>
      <c r="HB289" s="275"/>
      <c r="HC289" s="275"/>
      <c r="HD289" s="275"/>
      <c r="HE289" s="275"/>
      <c r="HF289" s="275"/>
      <c r="HG289" s="275"/>
      <c r="HH289" s="275"/>
      <c r="HI289" s="275"/>
      <c r="HJ289" s="275"/>
      <c r="HK289" s="275"/>
      <c r="HL289" s="275"/>
      <c r="HM289" s="275"/>
      <c r="HN289" s="275"/>
      <c r="HO289" s="275"/>
      <c r="HP289" s="275"/>
      <c r="HQ289" s="275"/>
      <c r="HR289" s="275"/>
    </row>
    <row r="290" spans="1:226" s="297" customFormat="1">
      <c r="A290" s="275"/>
      <c r="B290" s="21"/>
      <c r="C290" s="21"/>
      <c r="D290" s="21"/>
      <c r="E290" s="21"/>
      <c r="F290" s="275"/>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J290" s="275"/>
      <c r="AK290" s="275"/>
      <c r="AL290" s="275"/>
      <c r="AM290" s="275"/>
      <c r="AN290" s="275"/>
      <c r="AO290" s="275"/>
      <c r="AQ290" s="275"/>
      <c r="AR290" s="275"/>
      <c r="AS290" s="275"/>
      <c r="AT290" s="275"/>
      <c r="AU290" s="275"/>
      <c r="AV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D290" s="275"/>
      <c r="EE290" s="275"/>
      <c r="EF290" s="275"/>
      <c r="EG290" s="275"/>
      <c r="EH290" s="275"/>
      <c r="EI290" s="275"/>
      <c r="EJ290" s="275"/>
      <c r="EK290" s="275"/>
      <c r="EL290" s="275"/>
      <c r="EM290" s="275"/>
      <c r="EN290" s="275"/>
      <c r="EO290" s="275"/>
      <c r="EP290" s="275"/>
      <c r="EQ290" s="275"/>
      <c r="ER290" s="275"/>
      <c r="ES290" s="275"/>
      <c r="ET290" s="275"/>
      <c r="EU290"/>
      <c r="EV290"/>
      <c r="EW290" s="275"/>
      <c r="EX290" s="275"/>
      <c r="EY290" s="275"/>
      <c r="EZ290" s="275"/>
      <c r="FA290" s="275"/>
      <c r="FB290" s="275"/>
      <c r="FC290" s="275"/>
      <c r="FD290" s="275"/>
      <c r="FE290" s="275"/>
      <c r="FF290" s="275"/>
      <c r="FG290" s="275"/>
      <c r="FH290" s="275"/>
      <c r="FI290" s="275"/>
      <c r="FJ290" s="275"/>
      <c r="FK290" s="275"/>
      <c r="FL290" s="275"/>
      <c r="FM290" s="275"/>
      <c r="FN290" s="275"/>
      <c r="FO290" s="275"/>
      <c r="FP290" s="275"/>
      <c r="FQ290" s="275"/>
      <c r="FR290" s="275"/>
      <c r="FS290" s="275"/>
      <c r="FT290" s="275"/>
      <c r="FU290" s="275"/>
      <c r="FV290" s="275"/>
      <c r="FW290" s="275"/>
      <c r="FX290" s="275"/>
      <c r="FY290" s="275"/>
      <c r="FZ290" s="275"/>
      <c r="GA290" s="275"/>
      <c r="GB290" s="275"/>
      <c r="GC290" s="275"/>
      <c r="GD290" s="275"/>
      <c r="GE290" s="275"/>
      <c r="GF290" s="275"/>
      <c r="GG290" s="275"/>
      <c r="GH290" s="275"/>
      <c r="GI290" s="275"/>
      <c r="GJ290" s="275"/>
      <c r="GK290" s="275"/>
      <c r="GL290" s="275"/>
      <c r="GM290" s="275"/>
      <c r="GN290" s="275"/>
      <c r="GO290" s="275"/>
      <c r="GP290" s="275"/>
      <c r="GQ290" s="275"/>
      <c r="GR290" s="275"/>
      <c r="GS290" s="275"/>
      <c r="GT290" s="275"/>
      <c r="GU290" s="275"/>
      <c r="GV290" s="275"/>
      <c r="GW290" s="275"/>
      <c r="GX290" s="275"/>
      <c r="GY290" s="275"/>
      <c r="GZ290" s="275"/>
      <c r="HA290" s="275"/>
      <c r="HB290" s="275"/>
      <c r="HC290" s="275"/>
      <c r="HD290" s="275"/>
      <c r="HE290" s="275"/>
      <c r="HF290" s="275"/>
      <c r="HG290" s="275"/>
      <c r="HH290" s="275"/>
      <c r="HI290" s="275"/>
      <c r="HJ290" s="275"/>
      <c r="HK290" s="275"/>
      <c r="HL290" s="275"/>
      <c r="HM290" s="275"/>
      <c r="HN290" s="275"/>
      <c r="HO290" s="275"/>
      <c r="HP290" s="275"/>
      <c r="HQ290" s="275"/>
      <c r="HR290" s="275"/>
    </row>
    <row r="291" spans="1:226" s="297" customFormat="1">
      <c r="A291" s="275"/>
      <c r="B291" s="21"/>
      <c r="C291" s="21"/>
      <c r="D291" s="21"/>
      <c r="E291" s="21"/>
      <c r="F291" s="275"/>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J291" s="275"/>
      <c r="AK291" s="275"/>
      <c r="AL291" s="275"/>
      <c r="AM291" s="275"/>
      <c r="AN291" s="275"/>
      <c r="AO291" s="275"/>
      <c r="AQ291" s="275"/>
      <c r="AR291" s="275"/>
      <c r="AS291" s="275"/>
      <c r="AT291" s="275"/>
      <c r="AU291" s="275"/>
      <c r="AV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D291" s="275"/>
      <c r="EE291" s="275"/>
      <c r="EF291" s="275"/>
      <c r="EG291" s="275"/>
      <c r="EH291" s="275"/>
      <c r="EI291" s="275"/>
      <c r="EJ291" s="275"/>
      <c r="EK291" s="275"/>
      <c r="EL291" s="275"/>
      <c r="EM291" s="275"/>
      <c r="EN291" s="275"/>
      <c r="EO291" s="275"/>
      <c r="EP291" s="275"/>
      <c r="EQ291" s="275"/>
      <c r="ER291" s="275"/>
      <c r="ES291" s="275"/>
      <c r="ET291" s="275"/>
      <c r="EU291"/>
      <c r="EV291"/>
      <c r="EW291" s="275"/>
      <c r="EX291" s="275"/>
      <c r="EY291" s="275"/>
      <c r="EZ291" s="275"/>
      <c r="FA291" s="275"/>
      <c r="FB291" s="275"/>
      <c r="FC291" s="275"/>
      <c r="FD291" s="275"/>
      <c r="FE291" s="275"/>
      <c r="FF291" s="275"/>
      <c r="FG291" s="275"/>
      <c r="FH291" s="275"/>
      <c r="FI291" s="275"/>
      <c r="FJ291" s="275"/>
      <c r="FK291" s="275"/>
      <c r="FL291" s="275"/>
      <c r="FM291" s="275"/>
      <c r="FN291" s="275"/>
      <c r="FO291" s="275"/>
      <c r="FP291" s="275"/>
      <c r="FQ291" s="275"/>
      <c r="FR291" s="275"/>
      <c r="FS291" s="275"/>
      <c r="FT291" s="275"/>
      <c r="FU291" s="275"/>
      <c r="FV291" s="275"/>
      <c r="FW291" s="275"/>
      <c r="FX291" s="275"/>
      <c r="FY291" s="275"/>
      <c r="FZ291" s="275"/>
      <c r="GA291" s="275"/>
      <c r="GB291" s="275"/>
      <c r="GC291" s="275"/>
      <c r="GD291" s="275"/>
      <c r="GE291" s="275"/>
      <c r="GF291" s="275"/>
      <c r="GG291" s="275"/>
      <c r="GH291" s="275"/>
      <c r="GI291" s="275"/>
      <c r="GJ291" s="275"/>
      <c r="GK291" s="275"/>
      <c r="GL291" s="275"/>
      <c r="GM291" s="275"/>
      <c r="GN291" s="275"/>
      <c r="GO291" s="275"/>
      <c r="GP291" s="275"/>
      <c r="GQ291" s="275"/>
      <c r="GR291" s="275"/>
      <c r="GS291" s="275"/>
      <c r="GT291" s="275"/>
      <c r="GU291" s="275"/>
      <c r="GV291" s="275"/>
      <c r="GW291" s="275"/>
      <c r="GX291" s="275"/>
      <c r="GY291" s="275"/>
      <c r="GZ291" s="275"/>
      <c r="HA291" s="275"/>
      <c r="HB291" s="275"/>
      <c r="HC291" s="275"/>
      <c r="HD291" s="275"/>
      <c r="HE291" s="275"/>
      <c r="HF291" s="275"/>
      <c r="HG291" s="275"/>
      <c r="HH291" s="275"/>
      <c r="HI291" s="275"/>
      <c r="HJ291" s="275"/>
      <c r="HK291" s="275"/>
      <c r="HL291" s="275"/>
      <c r="HM291" s="275"/>
      <c r="HN291" s="275"/>
      <c r="HO291" s="275"/>
      <c r="HP291" s="275"/>
      <c r="HQ291" s="275"/>
      <c r="HR291" s="275"/>
    </row>
    <row r="292" spans="1:226" s="297" customFormat="1">
      <c r="A292" s="275"/>
      <c r="B292" s="21"/>
      <c r="C292" s="21"/>
      <c r="D292" s="21"/>
      <c r="E292" s="21"/>
      <c r="F292" s="275"/>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J292" s="275"/>
      <c r="AK292" s="275"/>
      <c r="AL292" s="275"/>
      <c r="AM292" s="275"/>
      <c r="AN292" s="275"/>
      <c r="AO292" s="275"/>
      <c r="AQ292" s="275"/>
      <c r="AR292" s="275"/>
      <c r="AS292" s="275"/>
      <c r="AT292" s="275"/>
      <c r="AU292" s="275"/>
      <c r="AV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D292" s="275"/>
      <c r="EE292" s="275"/>
      <c r="EF292" s="275"/>
      <c r="EG292" s="275"/>
      <c r="EH292" s="275"/>
      <c r="EI292" s="275"/>
      <c r="EJ292" s="275"/>
      <c r="EK292" s="275"/>
      <c r="EL292" s="275"/>
      <c r="EM292" s="275"/>
      <c r="EN292" s="275"/>
      <c r="EO292" s="275"/>
      <c r="EP292" s="275"/>
      <c r="EQ292" s="275"/>
      <c r="ER292" s="275"/>
      <c r="ES292" s="275"/>
      <c r="ET292" s="275"/>
      <c r="EU292"/>
      <c r="EV292"/>
      <c r="EW292" s="275"/>
      <c r="EX292" s="275"/>
      <c r="EY292" s="275"/>
      <c r="EZ292" s="275"/>
      <c r="FA292" s="275"/>
      <c r="FB292" s="275"/>
      <c r="FC292" s="275"/>
      <c r="FD292" s="275"/>
      <c r="FE292" s="275"/>
      <c r="FF292" s="275"/>
      <c r="FG292" s="275"/>
      <c r="FH292" s="275"/>
      <c r="FI292" s="275"/>
      <c r="FJ292" s="275"/>
      <c r="FK292" s="275"/>
      <c r="FL292" s="275"/>
      <c r="FM292" s="275"/>
      <c r="FN292" s="275"/>
      <c r="FO292" s="275"/>
      <c r="FP292" s="275"/>
      <c r="FQ292" s="275"/>
      <c r="FR292" s="275"/>
      <c r="FS292" s="275"/>
      <c r="FT292" s="275"/>
      <c r="FU292" s="275"/>
      <c r="FV292" s="275"/>
      <c r="FW292" s="275"/>
      <c r="FX292" s="275"/>
      <c r="FY292" s="275"/>
      <c r="FZ292" s="275"/>
      <c r="GA292" s="275"/>
      <c r="GB292" s="275"/>
      <c r="GC292" s="275"/>
      <c r="GD292" s="275"/>
      <c r="GE292" s="275"/>
      <c r="GF292" s="275"/>
      <c r="GG292" s="275"/>
      <c r="GH292" s="275"/>
      <c r="GI292" s="275"/>
      <c r="GJ292" s="275"/>
      <c r="GK292" s="275"/>
      <c r="GL292" s="275"/>
      <c r="GM292" s="275"/>
      <c r="GN292" s="275"/>
      <c r="GO292" s="275"/>
      <c r="GP292" s="275"/>
      <c r="GQ292" s="275"/>
      <c r="GR292" s="275"/>
      <c r="GS292" s="275"/>
      <c r="GT292" s="275"/>
      <c r="GU292" s="275"/>
      <c r="GV292" s="275"/>
      <c r="GW292" s="275"/>
      <c r="GX292" s="275"/>
      <c r="GY292" s="275"/>
      <c r="GZ292" s="275"/>
      <c r="HA292" s="275"/>
      <c r="HB292" s="275"/>
      <c r="HC292" s="275"/>
      <c r="HD292" s="275"/>
      <c r="HE292" s="275"/>
      <c r="HF292" s="275"/>
      <c r="HG292" s="275"/>
      <c r="HH292" s="275"/>
      <c r="HI292" s="275"/>
      <c r="HJ292" s="275"/>
      <c r="HK292" s="275"/>
      <c r="HL292" s="275"/>
      <c r="HM292" s="275"/>
      <c r="HN292" s="275"/>
      <c r="HO292" s="275"/>
      <c r="HP292" s="275"/>
      <c r="HQ292" s="275"/>
      <c r="HR292" s="275"/>
    </row>
    <row r="293" spans="1:226" s="297" customFormat="1">
      <c r="A293" s="275"/>
      <c r="B293" s="21"/>
      <c r="C293" s="21"/>
      <c r="D293" s="21"/>
      <c r="E293" s="21"/>
      <c r="F293" s="275"/>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J293" s="275"/>
      <c r="AK293" s="275"/>
      <c r="AL293" s="275"/>
      <c r="AM293" s="275"/>
      <c r="AN293" s="275"/>
      <c r="AO293" s="275"/>
      <c r="AQ293" s="275"/>
      <c r="AR293" s="275"/>
      <c r="AS293" s="275"/>
      <c r="AT293" s="275"/>
      <c r="AU293" s="275"/>
      <c r="AV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D293" s="275"/>
      <c r="EE293" s="275"/>
      <c r="EF293" s="275"/>
      <c r="EG293" s="275"/>
      <c r="EH293" s="275"/>
      <c r="EI293" s="275"/>
      <c r="EJ293" s="275"/>
      <c r="EK293" s="275"/>
      <c r="EL293" s="275"/>
      <c r="EM293" s="275"/>
      <c r="EN293" s="275"/>
      <c r="EO293" s="275"/>
      <c r="EP293" s="275"/>
      <c r="EQ293" s="275"/>
      <c r="ER293" s="275"/>
      <c r="ES293" s="275"/>
      <c r="ET293" s="275"/>
      <c r="EU293"/>
      <c r="EV293"/>
      <c r="EW293" s="275"/>
      <c r="EX293" s="275"/>
      <c r="EY293" s="275"/>
      <c r="EZ293" s="275"/>
      <c r="FA293" s="275"/>
      <c r="FB293" s="275"/>
      <c r="FC293" s="275"/>
      <c r="FD293" s="275"/>
      <c r="FE293" s="275"/>
      <c r="FF293" s="275"/>
      <c r="FG293" s="275"/>
      <c r="FH293" s="275"/>
      <c r="FI293" s="275"/>
      <c r="FJ293" s="275"/>
      <c r="FK293" s="275"/>
      <c r="FL293" s="275"/>
      <c r="FM293" s="275"/>
      <c r="FN293" s="275"/>
      <c r="FO293" s="275"/>
      <c r="FP293" s="275"/>
      <c r="FQ293" s="275"/>
      <c r="FR293" s="275"/>
      <c r="FS293" s="275"/>
      <c r="FT293" s="275"/>
      <c r="FU293" s="275"/>
      <c r="FV293" s="275"/>
      <c r="FW293" s="275"/>
      <c r="FX293" s="275"/>
      <c r="FY293" s="275"/>
      <c r="FZ293" s="275"/>
      <c r="GA293" s="275"/>
      <c r="GB293" s="275"/>
      <c r="GC293" s="275"/>
      <c r="GD293" s="275"/>
      <c r="GE293" s="275"/>
      <c r="GF293" s="275"/>
      <c r="GG293" s="275"/>
      <c r="GH293" s="275"/>
      <c r="GI293" s="275"/>
      <c r="GJ293" s="275"/>
      <c r="GK293" s="275"/>
      <c r="GL293" s="275"/>
      <c r="GM293" s="275"/>
      <c r="GN293" s="275"/>
      <c r="GO293" s="275"/>
      <c r="GP293" s="275"/>
      <c r="GQ293" s="275"/>
      <c r="GR293" s="275"/>
      <c r="GS293" s="275"/>
      <c r="GT293" s="275"/>
      <c r="GU293" s="275"/>
      <c r="GV293" s="275"/>
      <c r="GW293" s="275"/>
      <c r="GX293" s="275"/>
      <c r="GY293" s="275"/>
      <c r="GZ293" s="275"/>
      <c r="HA293" s="275"/>
      <c r="HB293" s="275"/>
      <c r="HC293" s="275"/>
      <c r="HD293" s="275"/>
      <c r="HE293" s="275"/>
      <c r="HF293" s="275"/>
      <c r="HG293" s="275"/>
      <c r="HH293" s="275"/>
      <c r="HI293" s="275"/>
      <c r="HJ293" s="275"/>
      <c r="HK293" s="275"/>
      <c r="HL293" s="275"/>
      <c r="HM293" s="275"/>
      <c r="HN293" s="275"/>
      <c r="HO293" s="275"/>
      <c r="HP293" s="275"/>
      <c r="HQ293" s="275"/>
      <c r="HR293" s="275"/>
    </row>
    <row r="294" spans="1:226" s="297" customFormat="1">
      <c r="A294" s="275"/>
      <c r="B294" s="21"/>
      <c r="C294" s="21"/>
      <c r="D294" s="21"/>
      <c r="E294" s="21"/>
      <c r="F294" s="275"/>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J294" s="275"/>
      <c r="AK294" s="275"/>
      <c r="AL294" s="275"/>
      <c r="AM294" s="275"/>
      <c r="AN294" s="275"/>
      <c r="AO294" s="275"/>
      <c r="AQ294" s="275"/>
      <c r="AR294" s="275"/>
      <c r="AS294" s="275"/>
      <c r="AT294" s="275"/>
      <c r="AU294" s="275"/>
      <c r="AV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D294" s="275"/>
      <c r="EE294" s="275"/>
      <c r="EF294" s="275"/>
      <c r="EG294" s="275"/>
      <c r="EH294" s="275"/>
      <c r="EI294" s="275"/>
      <c r="EJ294" s="275"/>
      <c r="EK294" s="275"/>
      <c r="EL294" s="275"/>
      <c r="EM294" s="275"/>
      <c r="EN294" s="275"/>
      <c r="EO294" s="275"/>
      <c r="EP294" s="275"/>
      <c r="EQ294" s="275"/>
      <c r="ER294" s="275"/>
      <c r="ES294" s="275"/>
      <c r="ET294" s="275"/>
      <c r="EU294"/>
      <c r="EV294"/>
      <c r="EW294" s="275"/>
      <c r="EX294" s="275"/>
      <c r="EY294" s="275"/>
      <c r="EZ294" s="275"/>
      <c r="FA294" s="275"/>
      <c r="FB294" s="275"/>
      <c r="FC294" s="275"/>
      <c r="FD294" s="275"/>
      <c r="FE294" s="275"/>
      <c r="FF294" s="275"/>
      <c r="FG294" s="275"/>
      <c r="FH294" s="275"/>
      <c r="FI294" s="275"/>
      <c r="FJ294" s="275"/>
      <c r="FK294" s="275"/>
      <c r="FL294" s="275"/>
      <c r="FM294" s="275"/>
      <c r="FN294" s="275"/>
      <c r="FO294" s="275"/>
      <c r="FP294" s="275"/>
      <c r="FQ294" s="275"/>
      <c r="FR294" s="275"/>
      <c r="FS294" s="275"/>
      <c r="FT294" s="275"/>
      <c r="FU294" s="275"/>
      <c r="FV294" s="275"/>
      <c r="FW294" s="275"/>
      <c r="FX294" s="275"/>
      <c r="FY294" s="275"/>
      <c r="FZ294" s="275"/>
      <c r="GA294" s="275"/>
      <c r="GB294" s="275"/>
      <c r="GC294" s="275"/>
      <c r="GD294" s="275"/>
      <c r="GE294" s="275"/>
      <c r="GF294" s="275"/>
      <c r="GG294" s="275"/>
      <c r="GH294" s="275"/>
      <c r="GI294" s="275"/>
      <c r="GJ294" s="275"/>
      <c r="GK294" s="275"/>
      <c r="GL294" s="275"/>
      <c r="GM294" s="275"/>
      <c r="GN294" s="275"/>
      <c r="GO294" s="275"/>
      <c r="GP294" s="275"/>
      <c r="GQ294" s="275"/>
      <c r="GR294" s="275"/>
      <c r="GS294" s="275"/>
      <c r="GT294" s="275"/>
      <c r="GU294" s="275"/>
      <c r="GV294" s="275"/>
      <c r="GW294" s="275"/>
      <c r="GX294" s="275"/>
      <c r="GY294" s="275"/>
      <c r="GZ294" s="275"/>
      <c r="HA294" s="275"/>
      <c r="HB294" s="275"/>
      <c r="HC294" s="275"/>
      <c r="HD294" s="275"/>
      <c r="HE294" s="275"/>
      <c r="HF294" s="275"/>
      <c r="HG294" s="275"/>
      <c r="HH294" s="275"/>
      <c r="HI294" s="275"/>
      <c r="HJ294" s="275"/>
      <c r="HK294" s="275"/>
      <c r="HL294" s="275"/>
      <c r="HM294" s="275"/>
      <c r="HN294" s="275"/>
      <c r="HO294" s="275"/>
      <c r="HP294" s="275"/>
      <c r="HQ294" s="275"/>
      <c r="HR294" s="275"/>
    </row>
    <row r="295" spans="1:226" s="297" customFormat="1">
      <c r="A295" s="275"/>
      <c r="B295" s="21"/>
      <c r="C295" s="21"/>
      <c r="D295" s="21"/>
      <c r="E295" s="21"/>
      <c r="F295" s="275"/>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J295" s="275"/>
      <c r="AK295" s="275"/>
      <c r="AL295" s="275"/>
      <c r="AM295" s="275"/>
      <c r="AN295" s="275"/>
      <c r="AO295" s="275"/>
      <c r="AQ295" s="275"/>
      <c r="AR295" s="275"/>
      <c r="AS295" s="275"/>
      <c r="AT295" s="275"/>
      <c r="AU295" s="275"/>
      <c r="AV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D295" s="275"/>
      <c r="EE295" s="275"/>
      <c r="EF295" s="275"/>
      <c r="EG295" s="275"/>
      <c r="EH295" s="275"/>
      <c r="EI295" s="275"/>
      <c r="EJ295" s="275"/>
      <c r="EK295" s="275"/>
      <c r="EL295" s="275"/>
      <c r="EM295" s="275"/>
      <c r="EN295" s="275"/>
      <c r="EO295" s="275"/>
      <c r="EP295" s="275"/>
      <c r="EQ295" s="275"/>
      <c r="ER295" s="275"/>
      <c r="ES295" s="275"/>
      <c r="ET295" s="275"/>
      <c r="EU295"/>
      <c r="EV295"/>
      <c r="EW295" s="275"/>
      <c r="EX295" s="275"/>
      <c r="EY295" s="275"/>
      <c r="EZ295" s="275"/>
      <c r="FA295" s="275"/>
      <c r="FB295" s="275"/>
      <c r="FC295" s="275"/>
      <c r="FD295" s="275"/>
      <c r="FE295" s="275"/>
      <c r="FF295" s="275"/>
      <c r="FG295" s="275"/>
      <c r="FH295" s="275"/>
      <c r="FI295" s="275"/>
      <c r="FJ295" s="275"/>
      <c r="FK295" s="275"/>
      <c r="FL295" s="275"/>
      <c r="FM295" s="275"/>
      <c r="FN295" s="275"/>
      <c r="FO295" s="275"/>
      <c r="FP295" s="275"/>
      <c r="FQ295" s="275"/>
      <c r="FR295" s="275"/>
      <c r="FS295" s="275"/>
      <c r="FT295" s="275"/>
      <c r="FU295" s="275"/>
      <c r="FV295" s="275"/>
      <c r="FW295" s="275"/>
      <c r="FX295" s="275"/>
      <c r="FY295" s="275"/>
      <c r="FZ295" s="275"/>
      <c r="GA295" s="275"/>
      <c r="GB295" s="275"/>
      <c r="GC295" s="275"/>
      <c r="GD295" s="275"/>
      <c r="GE295" s="275"/>
      <c r="GF295" s="275"/>
      <c r="GG295" s="275"/>
      <c r="GH295" s="275"/>
      <c r="GI295" s="275"/>
      <c r="GJ295" s="275"/>
      <c r="GK295" s="275"/>
      <c r="GL295" s="275"/>
      <c r="GM295" s="275"/>
      <c r="GN295" s="275"/>
      <c r="GO295" s="275"/>
      <c r="GP295" s="275"/>
      <c r="GQ295" s="275"/>
      <c r="GR295" s="275"/>
      <c r="GS295" s="275"/>
      <c r="GT295" s="275"/>
      <c r="GU295" s="275"/>
      <c r="GV295" s="275"/>
      <c r="GW295" s="275"/>
      <c r="GX295" s="275"/>
      <c r="GY295" s="275"/>
      <c r="GZ295" s="275"/>
      <c r="HA295" s="275"/>
      <c r="HB295" s="275"/>
      <c r="HC295" s="275"/>
      <c r="HD295" s="275"/>
      <c r="HE295" s="275"/>
      <c r="HF295" s="275"/>
      <c r="HG295" s="275"/>
      <c r="HH295" s="275"/>
      <c r="HI295" s="275"/>
      <c r="HJ295" s="275"/>
      <c r="HK295" s="275"/>
      <c r="HL295" s="275"/>
      <c r="HM295" s="275"/>
      <c r="HN295" s="275"/>
      <c r="HO295" s="275"/>
      <c r="HP295" s="275"/>
      <c r="HQ295" s="275"/>
      <c r="HR295" s="275"/>
    </row>
    <row r="296" spans="1:226" s="297" customFormat="1">
      <c r="A296" s="275"/>
      <c r="B296" s="21"/>
      <c r="C296" s="21"/>
      <c r="D296" s="21"/>
      <c r="E296" s="21"/>
      <c r="F296" s="275"/>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J296" s="275"/>
      <c r="AK296" s="275"/>
      <c r="AL296" s="275"/>
      <c r="AM296" s="275"/>
      <c r="AN296" s="275"/>
      <c r="AO296" s="275"/>
      <c r="AQ296" s="275"/>
      <c r="AR296" s="275"/>
      <c r="AS296" s="275"/>
      <c r="AT296" s="275"/>
      <c r="AU296" s="275"/>
      <c r="AV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D296" s="275"/>
      <c r="EE296" s="275"/>
      <c r="EF296" s="275"/>
      <c r="EG296" s="275"/>
      <c r="EH296" s="275"/>
      <c r="EI296" s="275"/>
      <c r="EJ296" s="275"/>
      <c r="EK296" s="275"/>
      <c r="EL296" s="275"/>
      <c r="EM296" s="275"/>
      <c r="EN296" s="275"/>
      <c r="EO296" s="275"/>
      <c r="EP296" s="275"/>
      <c r="EQ296" s="275"/>
      <c r="ER296" s="275"/>
      <c r="ES296" s="275"/>
      <c r="ET296" s="275"/>
      <c r="EU296"/>
      <c r="EV296"/>
      <c r="EW296" s="275"/>
      <c r="EX296" s="275"/>
      <c r="EY296" s="275"/>
      <c r="EZ296" s="275"/>
      <c r="FA296" s="275"/>
      <c r="FB296" s="275"/>
      <c r="FC296" s="275"/>
      <c r="FD296" s="275"/>
      <c r="FE296" s="275"/>
      <c r="FF296" s="275"/>
      <c r="FG296" s="275"/>
      <c r="FH296" s="275"/>
      <c r="FI296" s="275"/>
      <c r="FJ296" s="275"/>
      <c r="FK296" s="275"/>
      <c r="FL296" s="275"/>
      <c r="FM296" s="275"/>
      <c r="FN296" s="275"/>
      <c r="FO296" s="275"/>
      <c r="FP296" s="275"/>
      <c r="FQ296" s="275"/>
      <c r="FR296" s="275"/>
      <c r="FS296" s="275"/>
      <c r="FT296" s="275"/>
      <c r="FU296" s="275"/>
      <c r="FV296" s="275"/>
      <c r="FW296" s="275"/>
      <c r="FX296" s="275"/>
      <c r="FY296" s="275"/>
      <c r="FZ296" s="275"/>
      <c r="GA296" s="275"/>
      <c r="GB296" s="275"/>
      <c r="GC296" s="275"/>
      <c r="GD296" s="275"/>
      <c r="GE296" s="275"/>
      <c r="GF296" s="275"/>
      <c r="GG296" s="275"/>
      <c r="GH296" s="275"/>
      <c r="GI296" s="275"/>
      <c r="GJ296" s="275"/>
      <c r="GK296" s="275"/>
      <c r="GL296" s="275"/>
      <c r="GM296" s="275"/>
      <c r="GN296" s="275"/>
      <c r="GO296" s="275"/>
      <c r="GP296" s="275"/>
      <c r="GQ296" s="275"/>
      <c r="GR296" s="275"/>
      <c r="GS296" s="275"/>
      <c r="GT296" s="275"/>
      <c r="GU296" s="275"/>
      <c r="GV296" s="275"/>
      <c r="GW296" s="275"/>
      <c r="GX296" s="275"/>
      <c r="GY296" s="275"/>
      <c r="GZ296" s="275"/>
      <c r="HA296" s="275"/>
      <c r="HB296" s="275"/>
      <c r="HC296" s="275"/>
      <c r="HD296" s="275"/>
      <c r="HE296" s="275"/>
      <c r="HF296" s="275"/>
      <c r="HG296" s="275"/>
      <c r="HH296" s="275"/>
      <c r="HI296" s="275"/>
      <c r="HJ296" s="275"/>
      <c r="HK296" s="275"/>
      <c r="HL296" s="275"/>
      <c r="HM296" s="275"/>
      <c r="HN296" s="275"/>
      <c r="HO296" s="275"/>
      <c r="HP296" s="275"/>
      <c r="HQ296" s="275"/>
      <c r="HR296" s="275"/>
    </row>
    <row r="297" spans="1:226" s="297" customFormat="1">
      <c r="A297" s="275"/>
      <c r="B297" s="21"/>
      <c r="C297" s="21"/>
      <c r="D297" s="21"/>
      <c r="E297" s="21"/>
      <c r="F297" s="275"/>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J297" s="275"/>
      <c r="AK297" s="275"/>
      <c r="AL297" s="275"/>
      <c r="AM297" s="275"/>
      <c r="AN297" s="275"/>
      <c r="AO297" s="275"/>
      <c r="AQ297" s="275"/>
      <c r="AR297" s="275"/>
      <c r="AS297" s="275"/>
      <c r="AT297" s="275"/>
      <c r="AU297" s="275"/>
      <c r="AV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D297" s="275"/>
      <c r="EE297" s="275"/>
      <c r="EF297" s="275"/>
      <c r="EG297" s="275"/>
      <c r="EH297" s="275"/>
      <c r="EI297" s="275"/>
      <c r="EJ297" s="275"/>
      <c r="EK297" s="275"/>
      <c r="EL297" s="275"/>
      <c r="EM297" s="275"/>
      <c r="EN297" s="275"/>
      <c r="EO297" s="275"/>
      <c r="EP297" s="275"/>
      <c r="EQ297" s="275"/>
      <c r="ER297" s="275"/>
      <c r="ES297" s="275"/>
      <c r="ET297" s="275"/>
      <c r="EU297"/>
      <c r="EV297"/>
      <c r="EW297" s="275"/>
      <c r="EX297" s="275"/>
      <c r="EY297" s="275"/>
      <c r="EZ297" s="275"/>
      <c r="FA297" s="275"/>
      <c r="FB297" s="275"/>
      <c r="FC297" s="275"/>
      <c r="FD297" s="275"/>
      <c r="FE297" s="275"/>
      <c r="FF297" s="275"/>
      <c r="FG297" s="275"/>
      <c r="FH297" s="275"/>
      <c r="FI297" s="275"/>
      <c r="FJ297" s="275"/>
      <c r="FK297" s="275"/>
      <c r="FL297" s="275"/>
      <c r="FM297" s="275"/>
      <c r="FN297" s="275"/>
      <c r="FO297" s="275"/>
      <c r="FP297" s="275"/>
      <c r="FQ297" s="275"/>
      <c r="FR297" s="275"/>
      <c r="FS297" s="275"/>
      <c r="FT297" s="275"/>
      <c r="FU297" s="275"/>
      <c r="FV297" s="275"/>
      <c r="FW297" s="275"/>
      <c r="FX297" s="275"/>
      <c r="FY297" s="275"/>
      <c r="FZ297" s="275"/>
      <c r="GA297" s="275"/>
      <c r="GB297" s="275"/>
      <c r="GC297" s="275"/>
      <c r="GD297" s="275"/>
      <c r="GE297" s="275"/>
      <c r="GF297" s="275"/>
      <c r="GG297" s="275"/>
      <c r="GH297" s="275"/>
      <c r="GI297" s="275"/>
      <c r="GJ297" s="275"/>
      <c r="GK297" s="275"/>
      <c r="GL297" s="275"/>
      <c r="GM297" s="275"/>
      <c r="GN297" s="275"/>
      <c r="GO297" s="275"/>
      <c r="GP297" s="275"/>
      <c r="GQ297" s="275"/>
      <c r="GR297" s="275"/>
      <c r="GS297" s="275"/>
      <c r="GT297" s="275"/>
      <c r="GU297" s="275"/>
      <c r="GV297" s="275"/>
      <c r="GW297" s="275"/>
      <c r="GX297" s="275"/>
      <c r="GY297" s="275"/>
      <c r="GZ297" s="275"/>
      <c r="HA297" s="275"/>
      <c r="HB297" s="275"/>
      <c r="HC297" s="275"/>
      <c r="HD297" s="275"/>
      <c r="HE297" s="275"/>
      <c r="HF297" s="275"/>
      <c r="HG297" s="275"/>
      <c r="HH297" s="275"/>
      <c r="HI297" s="275"/>
      <c r="HJ297" s="275"/>
      <c r="HK297" s="275"/>
      <c r="HL297" s="275"/>
      <c r="HM297" s="275"/>
      <c r="HN297" s="275"/>
      <c r="HO297" s="275"/>
      <c r="HP297" s="275"/>
      <c r="HQ297" s="275"/>
      <c r="HR297" s="275"/>
    </row>
    <row r="298" spans="1:226" s="297" customFormat="1">
      <c r="A298" s="275"/>
      <c r="B298" s="21"/>
      <c r="C298" s="21"/>
      <c r="D298" s="21"/>
      <c r="E298" s="21"/>
      <c r="F298" s="275"/>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J298" s="275"/>
      <c r="AK298" s="275"/>
      <c r="AL298" s="275"/>
      <c r="AM298" s="275"/>
      <c r="AN298" s="275"/>
      <c r="AO298" s="275"/>
      <c r="AQ298" s="275"/>
      <c r="AR298" s="275"/>
      <c r="AS298" s="275"/>
      <c r="AT298" s="275"/>
      <c r="AU298" s="275"/>
      <c r="AV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D298" s="275"/>
      <c r="EE298" s="275"/>
      <c r="EF298" s="275"/>
      <c r="EG298" s="275"/>
      <c r="EH298" s="275"/>
      <c r="EI298" s="275"/>
      <c r="EJ298" s="275"/>
      <c r="EK298" s="275"/>
      <c r="EL298" s="275"/>
      <c r="EM298" s="275"/>
      <c r="EN298" s="275"/>
      <c r="EO298" s="275"/>
      <c r="EP298" s="275"/>
      <c r="EQ298" s="275"/>
      <c r="ER298" s="275"/>
      <c r="ES298" s="275"/>
      <c r="ET298" s="275"/>
      <c r="EU298"/>
      <c r="EV298"/>
      <c r="EW298" s="275"/>
      <c r="EX298" s="275"/>
      <c r="EY298" s="275"/>
      <c r="EZ298" s="275"/>
      <c r="FA298" s="275"/>
      <c r="FB298" s="275"/>
      <c r="FC298" s="275"/>
      <c r="FD298" s="275"/>
      <c r="FE298" s="275"/>
      <c r="FF298" s="275"/>
      <c r="FG298" s="275"/>
      <c r="FH298" s="275"/>
      <c r="FI298" s="275"/>
      <c r="FJ298" s="275"/>
      <c r="FK298" s="275"/>
      <c r="FL298" s="275"/>
      <c r="FM298" s="275"/>
      <c r="FN298" s="275"/>
      <c r="FO298" s="275"/>
      <c r="FP298" s="275"/>
      <c r="FQ298" s="275"/>
      <c r="FR298" s="275"/>
      <c r="FS298" s="275"/>
      <c r="FT298" s="275"/>
      <c r="FU298" s="275"/>
      <c r="FV298" s="275"/>
      <c r="FW298" s="275"/>
      <c r="FX298" s="275"/>
      <c r="FY298" s="275"/>
      <c r="FZ298" s="275"/>
      <c r="GA298" s="275"/>
      <c r="GB298" s="275"/>
      <c r="GC298" s="275"/>
      <c r="GD298" s="275"/>
      <c r="GE298" s="275"/>
      <c r="GF298" s="275"/>
      <c r="GG298" s="275"/>
      <c r="GH298" s="275"/>
      <c r="GI298" s="275"/>
      <c r="GJ298" s="275"/>
      <c r="GK298" s="275"/>
      <c r="GL298" s="275"/>
      <c r="GM298" s="275"/>
      <c r="GN298" s="275"/>
      <c r="GO298" s="275"/>
      <c r="GP298" s="275"/>
      <c r="GQ298" s="275"/>
      <c r="GR298" s="275"/>
      <c r="GS298" s="275"/>
      <c r="GT298" s="275"/>
      <c r="GU298" s="275"/>
      <c r="GV298" s="275"/>
      <c r="GW298" s="275"/>
      <c r="GX298" s="275"/>
      <c r="GY298" s="275"/>
      <c r="GZ298" s="275"/>
      <c r="HA298" s="275"/>
      <c r="HB298" s="275"/>
      <c r="HC298" s="275"/>
      <c r="HD298" s="275"/>
      <c r="HE298" s="275"/>
      <c r="HF298" s="275"/>
      <c r="HG298" s="275"/>
      <c r="HH298" s="275"/>
      <c r="HI298" s="275"/>
      <c r="HJ298" s="275"/>
      <c r="HK298" s="275"/>
      <c r="HL298" s="275"/>
      <c r="HM298" s="275"/>
      <c r="HN298" s="275"/>
      <c r="HO298" s="275"/>
      <c r="HP298" s="275"/>
      <c r="HQ298" s="275"/>
      <c r="HR298" s="275"/>
    </row>
    <row r="299" spans="1:226" s="297" customFormat="1">
      <c r="A299" s="275"/>
      <c r="B299" s="21"/>
      <c r="C299" s="21"/>
      <c r="D299" s="21"/>
      <c r="E299" s="21"/>
      <c r="F299" s="275"/>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J299" s="275"/>
      <c r="AK299" s="275"/>
      <c r="AL299" s="275"/>
      <c r="AM299" s="275"/>
      <c r="AN299" s="275"/>
      <c r="AO299" s="275"/>
      <c r="AQ299" s="275"/>
      <c r="AR299" s="275"/>
      <c r="AS299" s="275"/>
      <c r="AT299" s="275"/>
      <c r="AU299" s="275"/>
      <c r="AV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D299" s="275"/>
      <c r="EE299" s="275"/>
      <c r="EF299" s="275"/>
      <c r="EG299" s="275"/>
      <c r="EH299" s="275"/>
      <c r="EI299" s="275"/>
      <c r="EJ299" s="275"/>
      <c r="EK299" s="275"/>
      <c r="EL299" s="275"/>
      <c r="EM299" s="275"/>
      <c r="EN299" s="275"/>
      <c r="EO299" s="275"/>
      <c r="EP299" s="275"/>
      <c r="EQ299" s="275"/>
      <c r="ER299" s="275"/>
      <c r="ES299" s="275"/>
      <c r="ET299" s="275"/>
      <c r="EU299"/>
      <c r="EV299"/>
      <c r="EW299" s="275"/>
      <c r="EX299" s="275"/>
      <c r="EY299" s="275"/>
      <c r="EZ299" s="275"/>
      <c r="FA299" s="275"/>
      <c r="FB299" s="275"/>
      <c r="FC299" s="275"/>
      <c r="FD299" s="275"/>
      <c r="FE299" s="275"/>
      <c r="FF299" s="275"/>
      <c r="FG299" s="275"/>
      <c r="FH299" s="275"/>
      <c r="FI299" s="275"/>
      <c r="FJ299" s="275"/>
      <c r="FK299" s="275"/>
      <c r="FL299" s="275"/>
      <c r="FM299" s="275"/>
      <c r="FN299" s="275"/>
      <c r="FO299" s="275"/>
      <c r="FP299" s="275"/>
      <c r="FQ299" s="275"/>
      <c r="FR299" s="275"/>
      <c r="FS299" s="275"/>
      <c r="FT299" s="275"/>
      <c r="FU299" s="275"/>
      <c r="FV299" s="275"/>
      <c r="FW299" s="275"/>
      <c r="FX299" s="275"/>
      <c r="FY299" s="275"/>
      <c r="FZ299" s="275"/>
      <c r="GA299" s="275"/>
      <c r="GB299" s="275"/>
      <c r="GC299" s="275"/>
      <c r="GD299" s="275"/>
      <c r="GE299" s="275"/>
      <c r="GF299" s="275"/>
      <c r="GG299" s="275"/>
      <c r="GH299" s="275"/>
      <c r="GI299" s="275"/>
      <c r="GJ299" s="275"/>
      <c r="GK299" s="275"/>
      <c r="GL299" s="275"/>
      <c r="GM299" s="275"/>
      <c r="GN299" s="275"/>
      <c r="GO299" s="275"/>
      <c r="GP299" s="275"/>
      <c r="GQ299" s="275"/>
      <c r="GR299" s="275"/>
      <c r="GS299" s="275"/>
      <c r="GT299" s="275"/>
      <c r="GU299" s="275"/>
      <c r="GV299" s="275"/>
      <c r="GW299" s="275"/>
      <c r="GX299" s="275"/>
      <c r="GY299" s="275"/>
      <c r="GZ299" s="275"/>
      <c r="HA299" s="275"/>
      <c r="HB299" s="275"/>
      <c r="HC299" s="275"/>
      <c r="HD299" s="275"/>
      <c r="HE299" s="275"/>
      <c r="HF299" s="275"/>
      <c r="HG299" s="275"/>
      <c r="HH299" s="275"/>
      <c r="HI299" s="275"/>
      <c r="HJ299" s="275"/>
      <c r="HK299" s="275"/>
      <c r="HL299" s="275"/>
      <c r="HM299" s="275"/>
      <c r="HN299" s="275"/>
      <c r="HO299" s="275"/>
      <c r="HP299" s="275"/>
      <c r="HQ299" s="275"/>
      <c r="HR299" s="275"/>
    </row>
    <row r="300" spans="1:226" s="297" customFormat="1">
      <c r="A300" s="275"/>
      <c r="B300" s="21"/>
      <c r="C300" s="21"/>
      <c r="D300" s="21"/>
      <c r="E300" s="21"/>
      <c r="F300" s="275"/>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J300" s="275"/>
      <c r="AK300" s="275"/>
      <c r="AL300" s="275"/>
      <c r="AM300" s="275"/>
      <c r="AN300" s="275"/>
      <c r="AO300" s="275"/>
      <c r="AQ300" s="275"/>
      <c r="AR300" s="275"/>
      <c r="AS300" s="275"/>
      <c r="AT300" s="275"/>
      <c r="AU300" s="275"/>
      <c r="AV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D300" s="275"/>
      <c r="EE300" s="275"/>
      <c r="EF300" s="275"/>
      <c r="EG300" s="275"/>
      <c r="EH300" s="275"/>
      <c r="EI300" s="275"/>
      <c r="EJ300" s="275"/>
      <c r="EK300" s="275"/>
      <c r="EL300" s="275"/>
      <c r="EM300" s="275"/>
      <c r="EN300" s="275"/>
      <c r="EO300" s="275"/>
      <c r="EP300" s="275"/>
      <c r="EQ300" s="275"/>
      <c r="ER300" s="275"/>
      <c r="ES300" s="275"/>
      <c r="ET300" s="275"/>
      <c r="EU300"/>
      <c r="EV300"/>
      <c r="EW300" s="275"/>
      <c r="EX300" s="275"/>
      <c r="EY300" s="275"/>
      <c r="EZ300" s="275"/>
      <c r="FA300" s="275"/>
      <c r="FB300" s="275"/>
      <c r="FC300" s="275"/>
      <c r="FD300" s="275"/>
      <c r="FE300" s="275"/>
      <c r="FF300" s="275"/>
      <c r="FG300" s="275"/>
      <c r="FH300" s="275"/>
      <c r="FI300" s="275"/>
      <c r="FJ300" s="275"/>
      <c r="FK300" s="275"/>
      <c r="FL300" s="275"/>
      <c r="FM300" s="275"/>
      <c r="FN300" s="275"/>
      <c r="FO300" s="275"/>
      <c r="FP300" s="275"/>
      <c r="FQ300" s="275"/>
      <c r="FR300" s="275"/>
      <c r="FS300" s="275"/>
      <c r="FT300" s="275"/>
      <c r="FU300" s="275"/>
      <c r="FV300" s="275"/>
      <c r="FW300" s="275"/>
      <c r="FX300" s="275"/>
      <c r="FY300" s="275"/>
      <c r="FZ300" s="275"/>
      <c r="GA300" s="275"/>
      <c r="GB300" s="275"/>
      <c r="GC300" s="275"/>
      <c r="GD300" s="275"/>
      <c r="GE300" s="275"/>
      <c r="GF300" s="275"/>
      <c r="GG300" s="275"/>
      <c r="GH300" s="275"/>
      <c r="GI300" s="275"/>
      <c r="GJ300" s="275"/>
      <c r="GK300" s="275"/>
      <c r="GL300" s="275"/>
      <c r="GM300" s="275"/>
      <c r="GN300" s="275"/>
      <c r="GO300" s="275"/>
      <c r="GP300" s="275"/>
      <c r="GQ300" s="275"/>
      <c r="GR300" s="275"/>
      <c r="GS300" s="275"/>
      <c r="GT300" s="275"/>
      <c r="GU300" s="275"/>
      <c r="GV300" s="275"/>
      <c r="GW300" s="275"/>
      <c r="GX300" s="275"/>
      <c r="GY300" s="275"/>
      <c r="GZ300" s="275"/>
      <c r="HA300" s="275"/>
      <c r="HB300" s="275"/>
      <c r="HC300" s="275"/>
      <c r="HD300" s="275"/>
      <c r="HE300" s="275"/>
      <c r="HF300" s="275"/>
      <c r="HG300" s="275"/>
      <c r="HH300" s="275"/>
      <c r="HI300" s="275"/>
      <c r="HJ300" s="275"/>
      <c r="HK300" s="275"/>
      <c r="HL300" s="275"/>
      <c r="HM300" s="275"/>
      <c r="HN300" s="275"/>
      <c r="HO300" s="275"/>
      <c r="HP300" s="275"/>
      <c r="HQ300" s="275"/>
      <c r="HR300" s="275"/>
    </row>
    <row r="301" spans="1:226" s="297" customFormat="1">
      <c r="A301" s="275"/>
      <c r="B301" s="21"/>
      <c r="C301" s="21"/>
      <c r="D301" s="21"/>
      <c r="E301" s="21"/>
      <c r="F301" s="275"/>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J301" s="275"/>
      <c r="AK301" s="275"/>
      <c r="AL301" s="275"/>
      <c r="AM301" s="275"/>
      <c r="AN301" s="275"/>
      <c r="AO301" s="275"/>
      <c r="AQ301" s="275"/>
      <c r="AR301" s="275"/>
      <c r="AS301" s="275"/>
      <c r="AT301" s="275"/>
      <c r="AU301" s="275"/>
      <c r="AV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D301" s="275"/>
      <c r="EE301" s="275"/>
      <c r="EF301" s="275"/>
      <c r="EG301" s="275"/>
      <c r="EH301" s="275"/>
      <c r="EI301" s="275"/>
      <c r="EJ301" s="275"/>
      <c r="EK301" s="275"/>
      <c r="EL301" s="275"/>
      <c r="EM301" s="275"/>
      <c r="EN301" s="275"/>
      <c r="EO301" s="275"/>
      <c r="EP301" s="275"/>
      <c r="EQ301" s="275"/>
      <c r="ER301" s="275"/>
      <c r="ES301" s="275"/>
      <c r="ET301" s="275"/>
      <c r="EU301"/>
      <c r="EV301"/>
      <c r="EW301" s="275"/>
      <c r="EX301" s="275"/>
      <c r="EY301" s="275"/>
      <c r="EZ301" s="275"/>
      <c r="FA301" s="275"/>
      <c r="FB301" s="275"/>
      <c r="FC301" s="275"/>
      <c r="FD301" s="275"/>
      <c r="FE301" s="275"/>
      <c r="FF301" s="275"/>
      <c r="FG301" s="275"/>
      <c r="FH301" s="275"/>
      <c r="FI301" s="275"/>
      <c r="FJ301" s="275"/>
      <c r="FK301" s="275"/>
      <c r="FL301" s="275"/>
      <c r="FM301" s="275"/>
      <c r="FN301" s="275"/>
      <c r="FO301" s="275"/>
      <c r="FP301" s="275"/>
      <c r="FQ301" s="275"/>
      <c r="FR301" s="275"/>
      <c r="FS301" s="275"/>
      <c r="FT301" s="275"/>
      <c r="FU301" s="275"/>
      <c r="FV301" s="275"/>
      <c r="FW301" s="275"/>
      <c r="FX301" s="275"/>
      <c r="FY301" s="275"/>
      <c r="FZ301" s="275"/>
      <c r="GA301" s="275"/>
      <c r="GB301" s="275"/>
      <c r="GC301" s="275"/>
      <c r="GD301" s="275"/>
      <c r="GE301" s="275"/>
      <c r="GF301" s="275"/>
      <c r="GG301" s="275"/>
      <c r="GH301" s="275"/>
      <c r="GI301" s="275"/>
      <c r="GJ301" s="275"/>
      <c r="GK301" s="275"/>
      <c r="GL301" s="275"/>
      <c r="GM301" s="275"/>
      <c r="GN301" s="275"/>
      <c r="GO301" s="275"/>
      <c r="GP301" s="275"/>
      <c r="GQ301" s="275"/>
      <c r="GR301" s="275"/>
      <c r="GS301" s="275"/>
      <c r="GT301" s="275"/>
      <c r="GU301" s="275"/>
      <c r="GV301" s="275"/>
      <c r="GW301" s="275"/>
      <c r="GX301" s="275"/>
      <c r="GY301" s="275"/>
      <c r="GZ301" s="275"/>
      <c r="HA301" s="275"/>
      <c r="HB301" s="275"/>
      <c r="HC301" s="275"/>
      <c r="HD301" s="275"/>
      <c r="HE301" s="275"/>
      <c r="HF301" s="275"/>
      <c r="HG301" s="275"/>
      <c r="HH301" s="275"/>
      <c r="HI301" s="275"/>
      <c r="HJ301" s="275"/>
      <c r="HK301" s="275"/>
      <c r="HL301" s="275"/>
      <c r="HM301" s="275"/>
      <c r="HN301" s="275"/>
      <c r="HO301" s="275"/>
      <c r="HP301" s="275"/>
      <c r="HQ301" s="275"/>
      <c r="HR301" s="275"/>
    </row>
    <row r="302" spans="1:226" s="297" customFormat="1">
      <c r="A302" s="275"/>
      <c r="B302" s="21"/>
      <c r="C302" s="21"/>
      <c r="D302" s="21"/>
      <c r="E302" s="21"/>
      <c r="F302" s="275"/>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J302" s="275"/>
      <c r="AK302" s="275"/>
      <c r="AL302" s="275"/>
      <c r="AM302" s="275"/>
      <c r="AN302" s="275"/>
      <c r="AO302" s="275"/>
      <c r="AQ302" s="275"/>
      <c r="AR302" s="275"/>
      <c r="AS302" s="275"/>
      <c r="AT302" s="275"/>
      <c r="AU302" s="275"/>
      <c r="AV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D302" s="275"/>
      <c r="EE302" s="275"/>
      <c r="EF302" s="275"/>
      <c r="EG302" s="275"/>
      <c r="EH302" s="275"/>
      <c r="EI302" s="275"/>
      <c r="EJ302" s="275"/>
      <c r="EK302" s="275"/>
      <c r="EL302" s="275"/>
      <c r="EM302" s="275"/>
      <c r="EN302" s="275"/>
      <c r="EO302" s="275"/>
      <c r="EP302" s="275"/>
      <c r="EQ302" s="275"/>
      <c r="ER302" s="275"/>
      <c r="ES302" s="275"/>
      <c r="ET302" s="275"/>
      <c r="EU302"/>
      <c r="EV302"/>
      <c r="EW302" s="275"/>
      <c r="EX302" s="275"/>
      <c r="EY302" s="275"/>
      <c r="EZ302" s="275"/>
      <c r="FA302" s="275"/>
      <c r="FB302" s="275"/>
      <c r="FC302" s="275"/>
      <c r="FD302" s="275"/>
      <c r="FE302" s="275"/>
      <c r="FF302" s="275"/>
      <c r="FG302" s="275"/>
      <c r="FH302" s="275"/>
      <c r="FI302" s="275"/>
      <c r="FJ302" s="275"/>
      <c r="FK302" s="275"/>
      <c r="FL302" s="275"/>
      <c r="FM302" s="275"/>
      <c r="FN302" s="275"/>
      <c r="FO302" s="275"/>
      <c r="FP302" s="275"/>
      <c r="FQ302" s="275"/>
      <c r="FR302" s="275"/>
      <c r="FS302" s="275"/>
      <c r="FT302" s="275"/>
      <c r="FU302" s="275"/>
      <c r="FV302" s="275"/>
      <c r="FW302" s="275"/>
      <c r="FX302" s="275"/>
      <c r="FY302" s="275"/>
      <c r="FZ302" s="275"/>
      <c r="GA302" s="275"/>
      <c r="GB302" s="275"/>
      <c r="GC302" s="275"/>
      <c r="GD302" s="275"/>
      <c r="GE302" s="275"/>
      <c r="GF302" s="275"/>
      <c r="GG302" s="275"/>
      <c r="GH302" s="275"/>
      <c r="GI302" s="275"/>
      <c r="GJ302" s="275"/>
      <c r="GK302" s="275"/>
      <c r="GL302" s="275"/>
      <c r="GM302" s="275"/>
      <c r="GN302" s="275"/>
      <c r="GO302" s="275"/>
      <c r="GP302" s="275"/>
      <c r="GQ302" s="275"/>
      <c r="GR302" s="275"/>
      <c r="GS302" s="275"/>
      <c r="GT302" s="275"/>
      <c r="GU302" s="275"/>
      <c r="GV302" s="275"/>
      <c r="GW302" s="275"/>
      <c r="GX302" s="275"/>
      <c r="GY302" s="275"/>
      <c r="GZ302" s="275"/>
      <c r="HA302" s="275"/>
      <c r="HB302" s="275"/>
      <c r="HC302" s="275"/>
      <c r="HD302" s="275"/>
      <c r="HE302" s="275"/>
      <c r="HF302" s="275"/>
      <c r="HG302" s="275"/>
      <c r="HH302" s="275"/>
      <c r="HI302" s="275"/>
      <c r="HJ302" s="275"/>
      <c r="HK302" s="275"/>
      <c r="HL302" s="275"/>
      <c r="HM302" s="275"/>
      <c r="HN302" s="275"/>
      <c r="HO302" s="275"/>
      <c r="HP302" s="275"/>
      <c r="HQ302" s="275"/>
      <c r="HR302" s="275"/>
    </row>
    <row r="303" spans="1:226" s="297" customFormat="1">
      <c r="A303" s="275"/>
      <c r="B303" s="21"/>
      <c r="C303" s="21"/>
      <c r="D303" s="21"/>
      <c r="E303" s="21"/>
      <c r="F303" s="275"/>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J303" s="275"/>
      <c r="AK303" s="275"/>
      <c r="AL303" s="275"/>
      <c r="AM303" s="275"/>
      <c r="AN303" s="275"/>
      <c r="AO303" s="275"/>
      <c r="AQ303" s="275"/>
      <c r="AR303" s="275"/>
      <c r="AS303" s="275"/>
      <c r="AT303" s="275"/>
      <c r="AU303" s="275"/>
      <c r="AV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D303" s="275"/>
      <c r="EE303" s="275"/>
      <c r="EF303" s="275"/>
      <c r="EG303" s="275"/>
      <c r="EH303" s="275"/>
      <c r="EI303" s="275"/>
      <c r="EJ303" s="275"/>
      <c r="EK303" s="275"/>
      <c r="EL303" s="275"/>
      <c r="EM303" s="275"/>
      <c r="EN303" s="275"/>
      <c r="EO303" s="275"/>
      <c r="EP303" s="275"/>
      <c r="EQ303" s="275"/>
      <c r="ER303" s="275"/>
      <c r="ES303" s="275"/>
      <c r="ET303" s="275"/>
      <c r="EU303"/>
      <c r="EV303"/>
      <c r="EW303" s="275"/>
      <c r="EX303" s="275"/>
      <c r="EY303" s="275"/>
      <c r="EZ303" s="275"/>
      <c r="FA303" s="275"/>
      <c r="FB303" s="275"/>
      <c r="FC303" s="275"/>
      <c r="FD303" s="275"/>
      <c r="FE303" s="275"/>
      <c r="FF303" s="275"/>
      <c r="FG303" s="275"/>
      <c r="FH303" s="275"/>
      <c r="FI303" s="275"/>
      <c r="FJ303" s="275"/>
      <c r="FK303" s="275"/>
      <c r="FL303" s="275"/>
      <c r="FM303" s="275"/>
      <c r="FN303" s="275"/>
      <c r="FO303" s="275"/>
      <c r="FP303" s="275"/>
      <c r="FQ303" s="275"/>
      <c r="FR303" s="275"/>
      <c r="FS303" s="275"/>
      <c r="FT303" s="275"/>
      <c r="FU303" s="275"/>
      <c r="FV303" s="275"/>
      <c r="FW303" s="275"/>
      <c r="FX303" s="275"/>
      <c r="FY303" s="275"/>
      <c r="FZ303" s="275"/>
      <c r="GA303" s="275"/>
      <c r="GB303" s="275"/>
      <c r="GC303" s="275"/>
      <c r="GD303" s="275"/>
      <c r="GE303" s="275"/>
      <c r="GF303" s="275"/>
      <c r="GG303" s="275"/>
      <c r="GH303" s="275"/>
      <c r="GI303" s="275"/>
      <c r="GJ303" s="275"/>
      <c r="GK303" s="275"/>
      <c r="GL303" s="275"/>
      <c r="GM303" s="275"/>
      <c r="GN303" s="275"/>
      <c r="GO303" s="275"/>
      <c r="GP303" s="275"/>
      <c r="GQ303" s="275"/>
      <c r="GR303" s="275"/>
      <c r="GS303" s="275"/>
      <c r="GT303" s="275"/>
      <c r="GU303" s="275"/>
      <c r="GV303" s="275"/>
      <c r="GW303" s="275"/>
      <c r="GX303" s="275"/>
      <c r="GY303" s="275"/>
      <c r="GZ303" s="275"/>
      <c r="HA303" s="275"/>
      <c r="HB303" s="275"/>
      <c r="HC303" s="275"/>
      <c r="HD303" s="275"/>
      <c r="HE303" s="275"/>
      <c r="HF303" s="275"/>
      <c r="HG303" s="275"/>
      <c r="HH303" s="275"/>
      <c r="HI303" s="275"/>
      <c r="HJ303" s="275"/>
      <c r="HK303" s="275"/>
      <c r="HL303" s="275"/>
      <c r="HM303" s="275"/>
      <c r="HN303" s="275"/>
      <c r="HO303" s="275"/>
      <c r="HP303" s="275"/>
      <c r="HQ303" s="275"/>
      <c r="HR303" s="275"/>
    </row>
    <row r="304" spans="1:226" s="297" customFormat="1">
      <c r="A304" s="275"/>
      <c r="B304" s="21"/>
      <c r="C304" s="21"/>
      <c r="D304" s="21"/>
      <c r="E304" s="21"/>
      <c r="F304" s="275"/>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J304" s="275"/>
      <c r="AK304" s="275"/>
      <c r="AL304" s="275"/>
      <c r="AM304" s="275"/>
      <c r="AN304" s="275"/>
      <c r="AO304" s="275"/>
      <c r="AQ304" s="275"/>
      <c r="AR304" s="275"/>
      <c r="AS304" s="275"/>
      <c r="AT304" s="275"/>
      <c r="AU304" s="275"/>
      <c r="AV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D304" s="275"/>
      <c r="EE304" s="275"/>
      <c r="EF304" s="275"/>
      <c r="EG304" s="275"/>
      <c r="EH304" s="275"/>
      <c r="EI304" s="275"/>
      <c r="EJ304" s="275"/>
      <c r="EK304" s="275"/>
      <c r="EL304" s="275"/>
      <c r="EM304" s="275"/>
      <c r="EN304" s="275"/>
      <c r="EO304" s="275"/>
      <c r="EP304" s="275"/>
      <c r="EQ304" s="275"/>
      <c r="ER304" s="275"/>
      <c r="ES304" s="275"/>
      <c r="ET304" s="275"/>
      <c r="EU304"/>
      <c r="EV304"/>
      <c r="EW304" s="275"/>
      <c r="EX304" s="275"/>
      <c r="EY304" s="275"/>
      <c r="EZ304" s="275"/>
      <c r="FA304" s="275"/>
      <c r="FB304" s="275"/>
      <c r="FC304" s="275"/>
      <c r="FD304" s="275"/>
      <c r="FE304" s="275"/>
      <c r="FF304" s="275"/>
      <c r="FG304" s="275"/>
      <c r="FH304" s="275"/>
      <c r="FI304" s="275"/>
      <c r="FJ304" s="275"/>
      <c r="FK304" s="275"/>
      <c r="FL304" s="275"/>
      <c r="FM304" s="275"/>
      <c r="FN304" s="275"/>
      <c r="FO304" s="275"/>
      <c r="FP304" s="275"/>
      <c r="FQ304" s="275"/>
      <c r="FR304" s="275"/>
      <c r="FS304" s="275"/>
      <c r="FT304" s="275"/>
      <c r="FU304" s="275"/>
      <c r="FV304" s="275"/>
      <c r="FW304" s="275"/>
      <c r="FX304" s="275"/>
      <c r="FY304" s="275"/>
      <c r="FZ304" s="275"/>
      <c r="GA304" s="275"/>
      <c r="GB304" s="275"/>
      <c r="GC304" s="275"/>
      <c r="GD304" s="275"/>
      <c r="GE304" s="275"/>
      <c r="GF304" s="275"/>
      <c r="GG304" s="275"/>
      <c r="GH304" s="275"/>
      <c r="GI304" s="275"/>
      <c r="GJ304" s="275"/>
      <c r="GK304" s="275"/>
      <c r="GL304" s="275"/>
      <c r="GM304" s="275"/>
      <c r="GN304" s="275"/>
      <c r="GO304" s="275"/>
      <c r="GP304" s="275"/>
      <c r="GQ304" s="275"/>
      <c r="GR304" s="275"/>
      <c r="GS304" s="275"/>
      <c r="GT304" s="275"/>
      <c r="GU304" s="275"/>
      <c r="GV304" s="275"/>
      <c r="GW304" s="275"/>
      <c r="GX304" s="275"/>
      <c r="GY304" s="275"/>
      <c r="GZ304" s="275"/>
      <c r="HA304" s="275"/>
      <c r="HB304" s="275"/>
      <c r="HC304" s="275"/>
      <c r="HD304" s="275"/>
      <c r="HE304" s="275"/>
      <c r="HF304" s="275"/>
      <c r="HG304" s="275"/>
      <c r="HH304" s="275"/>
      <c r="HI304" s="275"/>
      <c r="HJ304" s="275"/>
      <c r="HK304" s="275"/>
      <c r="HL304" s="275"/>
      <c r="HM304" s="275"/>
      <c r="HN304" s="275"/>
      <c r="HO304" s="275"/>
      <c r="HP304" s="275"/>
      <c r="HQ304" s="275"/>
      <c r="HR304" s="275"/>
    </row>
    <row r="305" spans="1:226" s="297" customFormat="1">
      <c r="A305" s="275"/>
      <c r="B305" s="21"/>
      <c r="C305" s="21"/>
      <c r="D305" s="21"/>
      <c r="E305" s="21"/>
      <c r="F305" s="275"/>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J305" s="275"/>
      <c r="AK305" s="275"/>
      <c r="AL305" s="275"/>
      <c r="AM305" s="275"/>
      <c r="AN305" s="275"/>
      <c r="AO305" s="275"/>
      <c r="AQ305" s="275"/>
      <c r="AR305" s="275"/>
      <c r="AS305" s="275"/>
      <c r="AT305" s="275"/>
      <c r="AU305" s="275"/>
      <c r="AV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D305" s="275"/>
      <c r="EE305" s="275"/>
      <c r="EF305" s="275"/>
      <c r="EG305" s="275"/>
      <c r="EH305" s="275"/>
      <c r="EI305" s="275"/>
      <c r="EJ305" s="275"/>
      <c r="EK305" s="275"/>
      <c r="EL305" s="275"/>
      <c r="EM305" s="275"/>
      <c r="EN305" s="275"/>
      <c r="EO305" s="275"/>
      <c r="EP305" s="275"/>
      <c r="EQ305" s="275"/>
      <c r="ER305" s="275"/>
      <c r="ES305" s="275"/>
      <c r="ET305" s="275"/>
      <c r="EU305"/>
      <c r="EV305"/>
      <c r="EW305" s="275"/>
      <c r="EX305" s="275"/>
      <c r="EY305" s="275"/>
      <c r="EZ305" s="275"/>
      <c r="FA305" s="275"/>
      <c r="FB305" s="275"/>
      <c r="FC305" s="275"/>
      <c r="FD305" s="275"/>
      <c r="FE305" s="275"/>
      <c r="FF305" s="275"/>
      <c r="FG305" s="275"/>
      <c r="FH305" s="275"/>
      <c r="FI305" s="275"/>
      <c r="FJ305" s="275"/>
      <c r="FK305" s="275"/>
      <c r="FL305" s="275"/>
      <c r="FM305" s="275"/>
      <c r="FN305" s="275"/>
      <c r="FO305" s="275"/>
      <c r="FP305" s="275"/>
      <c r="FQ305" s="275"/>
      <c r="FR305" s="275"/>
      <c r="FS305" s="275"/>
      <c r="FT305" s="275"/>
      <c r="FU305" s="275"/>
      <c r="FV305" s="275"/>
      <c r="FW305" s="275"/>
      <c r="FX305" s="275"/>
      <c r="FY305" s="275"/>
      <c r="FZ305" s="275"/>
      <c r="GA305" s="275"/>
      <c r="GB305" s="275"/>
      <c r="GC305" s="275"/>
      <c r="GD305" s="275"/>
      <c r="GE305" s="275"/>
      <c r="GF305" s="275"/>
      <c r="GG305" s="275"/>
      <c r="GH305" s="275"/>
      <c r="GI305" s="275"/>
      <c r="GJ305" s="275"/>
      <c r="GK305" s="275"/>
      <c r="GL305" s="275"/>
      <c r="GM305" s="275"/>
      <c r="GN305" s="275"/>
      <c r="GO305" s="275"/>
      <c r="GP305" s="275"/>
      <c r="GQ305" s="275"/>
      <c r="GR305" s="275"/>
      <c r="GS305" s="275"/>
      <c r="GT305" s="275"/>
      <c r="GU305" s="275"/>
      <c r="GV305" s="275"/>
      <c r="GW305" s="275"/>
      <c r="GX305" s="275"/>
      <c r="GY305" s="275"/>
      <c r="GZ305" s="275"/>
      <c r="HA305" s="275"/>
      <c r="HB305" s="275"/>
      <c r="HC305" s="275"/>
      <c r="HD305" s="275"/>
      <c r="HE305" s="275"/>
      <c r="HF305" s="275"/>
      <c r="HG305" s="275"/>
      <c r="HH305" s="275"/>
      <c r="HI305" s="275"/>
      <c r="HJ305" s="275"/>
      <c r="HK305" s="275"/>
      <c r="HL305" s="275"/>
      <c r="HM305" s="275"/>
      <c r="HN305" s="275"/>
      <c r="HO305" s="275"/>
      <c r="HP305" s="275"/>
      <c r="HQ305" s="275"/>
      <c r="HR305" s="275"/>
    </row>
    <row r="306" spans="1:226" s="297" customFormat="1">
      <c r="A306" s="275"/>
      <c r="B306" s="21"/>
      <c r="C306" s="21"/>
      <c r="D306" s="21"/>
      <c r="E306" s="21"/>
      <c r="F306" s="275"/>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J306" s="275"/>
      <c r="AK306" s="275"/>
      <c r="AL306" s="275"/>
      <c r="AM306" s="275"/>
      <c r="AN306" s="275"/>
      <c r="AO306" s="275"/>
      <c r="AQ306" s="275"/>
      <c r="AR306" s="275"/>
      <c r="AS306" s="275"/>
      <c r="AT306" s="275"/>
      <c r="AU306" s="275"/>
      <c r="AV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D306" s="275"/>
      <c r="EE306" s="275"/>
      <c r="EF306" s="275"/>
      <c r="EG306" s="275"/>
      <c r="EH306" s="275"/>
      <c r="EI306" s="275"/>
      <c r="EJ306" s="275"/>
      <c r="EK306" s="275"/>
      <c r="EL306" s="275"/>
      <c r="EM306" s="275"/>
      <c r="EN306" s="275"/>
      <c r="EO306" s="275"/>
      <c r="EP306" s="275"/>
      <c r="EQ306" s="275"/>
      <c r="ER306" s="275"/>
      <c r="ES306" s="275"/>
      <c r="ET306" s="275"/>
      <c r="EU306"/>
      <c r="EV306"/>
      <c r="EW306" s="275"/>
      <c r="EX306" s="275"/>
      <c r="EY306" s="275"/>
      <c r="EZ306" s="275"/>
      <c r="FA306" s="275"/>
      <c r="FB306" s="275"/>
      <c r="FC306" s="275"/>
      <c r="FD306" s="275"/>
      <c r="FE306" s="275"/>
      <c r="FF306" s="275"/>
      <c r="FG306" s="275"/>
      <c r="FH306" s="275"/>
      <c r="FI306" s="275"/>
      <c r="FJ306" s="275"/>
      <c r="FK306" s="275"/>
      <c r="FL306" s="275"/>
      <c r="FM306" s="275"/>
      <c r="FN306" s="275"/>
      <c r="FO306" s="275"/>
      <c r="FP306" s="275"/>
      <c r="FQ306" s="275"/>
      <c r="FR306" s="275"/>
      <c r="FS306" s="275"/>
      <c r="FT306" s="275"/>
      <c r="FU306" s="275"/>
      <c r="FV306" s="275"/>
      <c r="FW306" s="275"/>
      <c r="FX306" s="275"/>
      <c r="FY306" s="275"/>
      <c r="FZ306" s="275"/>
      <c r="GA306" s="275"/>
      <c r="GB306" s="275"/>
      <c r="GC306" s="275"/>
      <c r="GD306" s="275"/>
      <c r="GE306" s="275"/>
      <c r="GF306" s="275"/>
      <c r="GG306" s="275"/>
      <c r="GH306" s="275"/>
      <c r="GI306" s="275"/>
      <c r="GJ306" s="275"/>
      <c r="GK306" s="275"/>
      <c r="GL306" s="275"/>
      <c r="GM306" s="275"/>
      <c r="GN306" s="275"/>
      <c r="GO306" s="275"/>
      <c r="GP306" s="275"/>
      <c r="GQ306" s="275"/>
      <c r="GR306" s="275"/>
      <c r="GS306" s="275"/>
      <c r="GT306" s="275"/>
      <c r="GU306" s="275"/>
      <c r="GV306" s="275"/>
      <c r="GW306" s="275"/>
      <c r="GX306" s="275"/>
      <c r="GY306" s="275"/>
      <c r="GZ306" s="275"/>
      <c r="HA306" s="275"/>
      <c r="HB306" s="275"/>
      <c r="HC306" s="275"/>
      <c r="HD306" s="275"/>
      <c r="HE306" s="275"/>
      <c r="HF306" s="275"/>
      <c r="HG306" s="275"/>
      <c r="HH306" s="275"/>
      <c r="HI306" s="275"/>
      <c r="HJ306" s="275"/>
      <c r="HK306" s="275"/>
      <c r="HL306" s="275"/>
      <c r="HM306" s="275"/>
      <c r="HN306" s="275"/>
      <c r="HO306" s="275"/>
      <c r="HP306" s="275"/>
      <c r="HQ306" s="275"/>
      <c r="HR306" s="275"/>
    </row>
    <row r="307" spans="1:226" s="297" customFormat="1">
      <c r="A307" s="275"/>
      <c r="B307" s="21"/>
      <c r="C307" s="21"/>
      <c r="D307" s="21"/>
      <c r="E307" s="21"/>
      <c r="F307" s="275"/>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J307" s="275"/>
      <c r="AK307" s="275"/>
      <c r="AL307" s="275"/>
      <c r="AM307" s="275"/>
      <c r="AN307" s="275"/>
      <c r="AO307" s="275"/>
      <c r="AQ307" s="275"/>
      <c r="AR307" s="275"/>
      <c r="AS307" s="275"/>
      <c r="AT307" s="275"/>
      <c r="AU307" s="275"/>
      <c r="AV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D307" s="275"/>
      <c r="EE307" s="275"/>
      <c r="EF307" s="275"/>
      <c r="EG307" s="275"/>
      <c r="EH307" s="275"/>
      <c r="EI307" s="275"/>
      <c r="EJ307" s="275"/>
      <c r="EK307" s="275"/>
      <c r="EL307" s="275"/>
      <c r="EM307" s="275"/>
      <c r="EN307" s="275"/>
      <c r="EO307" s="275"/>
      <c r="EP307" s="275"/>
      <c r="EQ307" s="275"/>
      <c r="ER307" s="275"/>
      <c r="ES307" s="275"/>
      <c r="ET307" s="275"/>
      <c r="EU307"/>
      <c r="EV307"/>
      <c r="EW307" s="275"/>
      <c r="EX307" s="275"/>
      <c r="EY307" s="275"/>
      <c r="EZ307" s="275"/>
      <c r="FA307" s="275"/>
      <c r="FB307" s="275"/>
      <c r="FC307" s="275"/>
      <c r="FD307" s="275"/>
      <c r="FE307" s="275"/>
      <c r="FF307" s="275"/>
      <c r="FG307" s="275"/>
      <c r="FH307" s="275"/>
      <c r="FI307" s="275"/>
      <c r="FJ307" s="275"/>
      <c r="FK307" s="275"/>
      <c r="FL307" s="275"/>
      <c r="FM307" s="275"/>
      <c r="FN307" s="275"/>
      <c r="FO307" s="275"/>
      <c r="FP307" s="275"/>
      <c r="FQ307" s="275"/>
      <c r="FR307" s="275"/>
      <c r="FS307" s="275"/>
      <c r="FT307" s="275"/>
      <c r="FU307" s="275"/>
      <c r="FV307" s="275"/>
      <c r="FW307" s="275"/>
      <c r="FX307" s="275"/>
      <c r="FY307" s="275"/>
      <c r="FZ307" s="275"/>
      <c r="GA307" s="275"/>
      <c r="GB307" s="275"/>
      <c r="GC307" s="275"/>
      <c r="GD307" s="275"/>
      <c r="GE307" s="275"/>
      <c r="GF307" s="275"/>
      <c r="GG307" s="275"/>
      <c r="GH307" s="275"/>
      <c r="GI307" s="275"/>
      <c r="GJ307" s="275"/>
      <c r="GK307" s="275"/>
      <c r="GL307" s="275"/>
      <c r="GM307" s="275"/>
      <c r="GN307" s="275"/>
      <c r="GO307" s="275"/>
      <c r="GP307" s="275"/>
      <c r="GQ307" s="275"/>
      <c r="GR307" s="275"/>
      <c r="GS307" s="275"/>
      <c r="GT307" s="275"/>
      <c r="GU307" s="275"/>
      <c r="GV307" s="275"/>
      <c r="GW307" s="275"/>
      <c r="GX307" s="275"/>
      <c r="GY307" s="275"/>
      <c r="GZ307" s="275"/>
      <c r="HA307" s="275"/>
      <c r="HB307" s="275"/>
      <c r="HC307" s="275"/>
      <c r="HD307" s="275"/>
      <c r="HE307" s="275"/>
      <c r="HF307" s="275"/>
      <c r="HG307" s="275"/>
      <c r="HH307" s="275"/>
      <c r="HI307" s="275"/>
      <c r="HJ307" s="275"/>
      <c r="HK307" s="275"/>
      <c r="HL307" s="275"/>
      <c r="HM307" s="275"/>
      <c r="HN307" s="275"/>
      <c r="HO307" s="275"/>
      <c r="HP307" s="275"/>
      <c r="HQ307" s="275"/>
      <c r="HR307" s="275"/>
    </row>
    <row r="308" spans="1:226" s="297" customFormat="1">
      <c r="A308" s="275"/>
      <c r="B308" s="21"/>
      <c r="C308" s="21"/>
      <c r="D308" s="21"/>
      <c r="E308" s="21"/>
      <c r="F308" s="275"/>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J308" s="275"/>
      <c r="AK308" s="275"/>
      <c r="AL308" s="275"/>
      <c r="AM308" s="275"/>
      <c r="AN308" s="275"/>
      <c r="AO308" s="275"/>
      <c r="AQ308" s="275"/>
      <c r="AR308" s="275"/>
      <c r="AS308" s="275"/>
      <c r="AT308" s="275"/>
      <c r="AU308" s="275"/>
      <c r="AV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D308" s="275"/>
      <c r="EE308" s="275"/>
      <c r="EF308" s="275"/>
      <c r="EG308" s="275"/>
      <c r="EH308" s="275"/>
      <c r="EI308" s="275"/>
      <c r="EJ308" s="275"/>
      <c r="EK308" s="275"/>
      <c r="EL308" s="275"/>
      <c r="EM308" s="275"/>
      <c r="EN308" s="275"/>
      <c r="EO308" s="275"/>
      <c r="EP308" s="275"/>
      <c r="EQ308" s="275"/>
      <c r="ER308" s="275"/>
      <c r="ES308" s="275"/>
      <c r="ET308" s="275"/>
      <c r="EU308"/>
      <c r="EV308"/>
      <c r="EW308" s="275"/>
      <c r="EX308" s="275"/>
      <c r="EY308" s="275"/>
      <c r="EZ308" s="275"/>
      <c r="FA308" s="275"/>
      <c r="FB308" s="275"/>
      <c r="FC308" s="275"/>
      <c r="FD308" s="275"/>
      <c r="FE308" s="275"/>
      <c r="FF308" s="275"/>
      <c r="FG308" s="275"/>
      <c r="FH308" s="275"/>
      <c r="FI308" s="275"/>
      <c r="FJ308" s="275"/>
      <c r="FK308" s="275"/>
      <c r="FL308" s="275"/>
      <c r="FM308" s="275"/>
      <c r="FN308" s="275"/>
      <c r="FO308" s="275"/>
      <c r="FP308" s="275"/>
      <c r="FQ308" s="275"/>
      <c r="FR308" s="275"/>
      <c r="FS308" s="275"/>
      <c r="FT308" s="275"/>
      <c r="FU308" s="275"/>
      <c r="FV308" s="275"/>
      <c r="FW308" s="275"/>
      <c r="FX308" s="275"/>
      <c r="FY308" s="275"/>
      <c r="FZ308" s="275"/>
      <c r="GA308" s="275"/>
      <c r="GB308" s="275"/>
      <c r="GC308" s="275"/>
      <c r="GD308" s="275"/>
      <c r="GE308" s="275"/>
      <c r="GF308" s="275"/>
      <c r="GG308" s="275"/>
      <c r="GH308" s="275"/>
      <c r="GI308" s="275"/>
      <c r="GJ308" s="275"/>
      <c r="GK308" s="275"/>
      <c r="GL308" s="275"/>
      <c r="GM308" s="275"/>
      <c r="GN308" s="275"/>
      <c r="GO308" s="275"/>
      <c r="GP308" s="275"/>
      <c r="GQ308" s="275"/>
      <c r="GR308" s="275"/>
      <c r="GS308" s="275"/>
      <c r="GT308" s="275"/>
      <c r="GU308" s="275"/>
      <c r="GV308" s="275"/>
      <c r="GW308" s="275"/>
      <c r="GX308" s="275"/>
      <c r="GY308" s="275"/>
      <c r="GZ308" s="275"/>
      <c r="HA308" s="275"/>
      <c r="HB308" s="275"/>
      <c r="HC308" s="275"/>
      <c r="HD308" s="275"/>
      <c r="HE308" s="275"/>
      <c r="HF308" s="275"/>
      <c r="HG308" s="275"/>
      <c r="HH308" s="275"/>
      <c r="HI308" s="275"/>
      <c r="HJ308" s="275"/>
      <c r="HK308" s="275"/>
      <c r="HL308" s="275"/>
      <c r="HM308" s="275"/>
      <c r="HN308" s="275"/>
      <c r="HO308" s="275"/>
      <c r="HP308" s="275"/>
      <c r="HQ308" s="275"/>
      <c r="HR308" s="275"/>
    </row>
    <row r="309" spans="1:226" s="297" customFormat="1">
      <c r="A309" s="275"/>
      <c r="B309" s="21"/>
      <c r="C309" s="21"/>
      <c r="D309" s="21"/>
      <c r="E309" s="21"/>
      <c r="F309" s="275"/>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J309" s="275"/>
      <c r="AK309" s="275"/>
      <c r="AL309" s="275"/>
      <c r="AM309" s="275"/>
      <c r="AN309" s="275"/>
      <c r="AO309" s="275"/>
      <c r="AQ309" s="275"/>
      <c r="AR309" s="275"/>
      <c r="AS309" s="275"/>
      <c r="AT309" s="275"/>
      <c r="AU309" s="275"/>
      <c r="AV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D309" s="275"/>
      <c r="EE309" s="275"/>
      <c r="EF309" s="275"/>
      <c r="EG309" s="275"/>
      <c r="EH309" s="275"/>
      <c r="EI309" s="275"/>
      <c r="EJ309" s="275"/>
      <c r="EK309" s="275"/>
      <c r="EL309" s="275"/>
      <c r="EM309" s="275"/>
      <c r="EN309" s="275"/>
      <c r="EO309" s="275"/>
      <c r="EP309" s="275"/>
      <c r="EQ309" s="275"/>
      <c r="ER309" s="275"/>
      <c r="ES309" s="275"/>
      <c r="ET309" s="275"/>
      <c r="EU309"/>
      <c r="EV309"/>
      <c r="EW309" s="275"/>
      <c r="EX309" s="275"/>
      <c r="EY309" s="275"/>
      <c r="EZ309" s="275"/>
      <c r="FA309" s="275"/>
      <c r="FB309" s="275"/>
      <c r="FC309" s="275"/>
      <c r="FD309" s="275"/>
      <c r="FE309" s="275"/>
      <c r="FF309" s="275"/>
      <c r="FG309" s="275"/>
      <c r="FH309" s="275"/>
      <c r="FI309" s="275"/>
      <c r="FJ309" s="275"/>
      <c r="FK309" s="275"/>
      <c r="FL309" s="275"/>
      <c r="FM309" s="275"/>
      <c r="FN309" s="275"/>
      <c r="FO309" s="275"/>
      <c r="FP309" s="275"/>
      <c r="FQ309" s="275"/>
      <c r="FR309" s="275"/>
      <c r="FS309" s="275"/>
      <c r="FT309" s="275"/>
      <c r="FU309" s="275"/>
      <c r="FV309" s="275"/>
      <c r="FW309" s="275"/>
      <c r="FX309" s="275"/>
      <c r="FY309" s="275"/>
      <c r="FZ309" s="275"/>
      <c r="GA309" s="275"/>
      <c r="GB309" s="275"/>
      <c r="GC309" s="275"/>
      <c r="GD309" s="275"/>
      <c r="GE309" s="275"/>
      <c r="GF309" s="275"/>
      <c r="GG309" s="275"/>
      <c r="GH309" s="275"/>
      <c r="GI309" s="275"/>
      <c r="GJ309" s="275"/>
      <c r="GK309" s="275"/>
      <c r="GL309" s="275"/>
      <c r="GM309" s="275"/>
      <c r="GN309" s="275"/>
      <c r="GO309" s="275"/>
      <c r="GP309" s="275"/>
      <c r="GQ309" s="275"/>
      <c r="GR309" s="275"/>
      <c r="GS309" s="275"/>
      <c r="GT309" s="275"/>
      <c r="GU309" s="275"/>
      <c r="GV309" s="275"/>
      <c r="GW309" s="275"/>
      <c r="GX309" s="275"/>
      <c r="GY309" s="275"/>
      <c r="GZ309" s="275"/>
      <c r="HA309" s="275"/>
      <c r="HB309" s="275"/>
      <c r="HC309" s="275"/>
      <c r="HD309" s="275"/>
      <c r="HE309" s="275"/>
      <c r="HF309" s="275"/>
      <c r="HG309" s="275"/>
      <c r="HH309" s="275"/>
      <c r="HI309" s="275"/>
      <c r="HJ309" s="275"/>
      <c r="HK309" s="275"/>
      <c r="HL309" s="275"/>
      <c r="HM309" s="275"/>
      <c r="HN309" s="275"/>
      <c r="HO309" s="275"/>
      <c r="HP309" s="275"/>
      <c r="HQ309" s="275"/>
      <c r="HR309" s="275"/>
    </row>
    <row r="310" spans="1:226" s="297" customFormat="1">
      <c r="A310" s="275"/>
      <c r="B310" s="21"/>
      <c r="C310" s="21"/>
      <c r="D310" s="21"/>
      <c r="E310" s="21"/>
      <c r="F310" s="275"/>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J310" s="275"/>
      <c r="AK310" s="275"/>
      <c r="AL310" s="275"/>
      <c r="AM310" s="275"/>
      <c r="AN310" s="275"/>
      <c r="AO310" s="275"/>
      <c r="AQ310" s="275"/>
      <c r="AR310" s="275"/>
      <c r="AS310" s="275"/>
      <c r="AT310" s="275"/>
      <c r="AU310" s="275"/>
      <c r="AV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D310" s="275"/>
      <c r="EE310" s="275"/>
      <c r="EF310" s="275"/>
      <c r="EG310" s="275"/>
      <c r="EH310" s="275"/>
      <c r="EI310" s="275"/>
      <c r="EJ310" s="275"/>
      <c r="EK310" s="275"/>
      <c r="EL310" s="275"/>
      <c r="EM310" s="275"/>
      <c r="EN310" s="275"/>
      <c r="EO310" s="275"/>
      <c r="EP310" s="275"/>
      <c r="EQ310" s="275"/>
      <c r="ER310" s="275"/>
      <c r="ES310" s="275"/>
      <c r="ET310" s="275"/>
      <c r="EU310"/>
      <c r="EV310"/>
      <c r="EW310" s="275"/>
      <c r="EX310" s="275"/>
      <c r="EY310" s="275"/>
      <c r="EZ310" s="275"/>
      <c r="FA310" s="275"/>
      <c r="FB310" s="275"/>
      <c r="FC310" s="275"/>
      <c r="FD310" s="275"/>
      <c r="FE310" s="275"/>
      <c r="FF310" s="275"/>
      <c r="FG310" s="275"/>
      <c r="FH310" s="275"/>
      <c r="FI310" s="275"/>
      <c r="FJ310" s="275"/>
      <c r="FK310" s="275"/>
      <c r="FL310" s="275"/>
      <c r="FM310" s="275"/>
      <c r="FN310" s="275"/>
      <c r="FO310" s="275"/>
      <c r="FP310" s="275"/>
      <c r="FQ310" s="275"/>
      <c r="FR310" s="275"/>
      <c r="FS310" s="275"/>
      <c r="FT310" s="275"/>
      <c r="FU310" s="275"/>
      <c r="FV310" s="275"/>
      <c r="FW310" s="275"/>
      <c r="FX310" s="275"/>
      <c r="FY310" s="275"/>
      <c r="FZ310" s="275"/>
      <c r="GA310" s="275"/>
      <c r="GB310" s="275"/>
      <c r="GC310" s="275"/>
      <c r="GD310" s="275"/>
      <c r="GE310" s="275"/>
      <c r="GF310" s="275"/>
      <c r="GG310" s="275"/>
      <c r="GH310" s="275"/>
      <c r="GI310" s="275"/>
      <c r="GJ310" s="275"/>
      <c r="GK310" s="275"/>
      <c r="GL310" s="275"/>
      <c r="GM310" s="275"/>
      <c r="GN310" s="275"/>
      <c r="GO310" s="275"/>
      <c r="GP310" s="275"/>
      <c r="GQ310" s="275"/>
      <c r="GR310" s="275"/>
      <c r="GS310" s="275"/>
      <c r="GT310" s="275"/>
      <c r="GU310" s="275"/>
      <c r="GV310" s="275"/>
      <c r="GW310" s="275"/>
      <c r="GX310" s="275"/>
      <c r="GY310" s="275"/>
      <c r="GZ310" s="275"/>
      <c r="HA310" s="275"/>
      <c r="HB310" s="275"/>
      <c r="HC310" s="275"/>
      <c r="HD310" s="275"/>
      <c r="HE310" s="275"/>
      <c r="HF310" s="275"/>
      <c r="HG310" s="275"/>
      <c r="HH310" s="275"/>
      <c r="HI310" s="275"/>
      <c r="HJ310" s="275"/>
      <c r="HK310" s="275"/>
      <c r="HL310" s="275"/>
      <c r="HM310" s="275"/>
      <c r="HN310" s="275"/>
      <c r="HO310" s="275"/>
      <c r="HP310" s="275"/>
      <c r="HQ310" s="275"/>
      <c r="HR310" s="275"/>
    </row>
    <row r="311" spans="1:226" s="297" customFormat="1">
      <c r="A311" s="275"/>
      <c r="B311" s="21"/>
      <c r="C311" s="21"/>
      <c r="D311" s="21"/>
      <c r="E311" s="21"/>
      <c r="F311" s="275"/>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J311" s="275"/>
      <c r="AK311" s="275"/>
      <c r="AL311" s="275"/>
      <c r="AM311" s="275"/>
      <c r="AN311" s="275"/>
      <c r="AO311" s="275"/>
      <c r="AQ311" s="275"/>
      <c r="AR311" s="275"/>
      <c r="AS311" s="275"/>
      <c r="AT311" s="275"/>
      <c r="AU311" s="275"/>
      <c r="AV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D311" s="275"/>
      <c r="EE311" s="275"/>
      <c r="EF311" s="275"/>
      <c r="EG311" s="275"/>
      <c r="EH311" s="275"/>
      <c r="EI311" s="275"/>
      <c r="EJ311" s="275"/>
      <c r="EK311" s="275"/>
      <c r="EL311" s="275"/>
      <c r="EM311" s="275"/>
      <c r="EN311" s="275"/>
      <c r="EO311" s="275"/>
      <c r="EP311" s="275"/>
      <c r="EQ311" s="275"/>
      <c r="ER311" s="275"/>
      <c r="ES311" s="275"/>
      <c r="ET311" s="275"/>
      <c r="EU311"/>
      <c r="EV311"/>
      <c r="EW311" s="275"/>
      <c r="EX311" s="275"/>
      <c r="EY311" s="275"/>
      <c r="EZ311" s="275"/>
      <c r="FA311" s="275"/>
      <c r="FB311" s="275"/>
      <c r="FC311" s="275"/>
      <c r="FD311" s="275"/>
      <c r="FE311" s="275"/>
      <c r="FF311" s="275"/>
      <c r="FG311" s="275"/>
      <c r="FH311" s="275"/>
      <c r="FI311" s="275"/>
      <c r="FJ311" s="275"/>
      <c r="FK311" s="275"/>
      <c r="FL311" s="275"/>
      <c r="FM311" s="275"/>
      <c r="FN311" s="275"/>
      <c r="FO311" s="275"/>
      <c r="FP311" s="275"/>
      <c r="FQ311" s="275"/>
      <c r="FR311" s="275"/>
      <c r="FS311" s="275"/>
      <c r="FT311" s="275"/>
      <c r="FU311" s="275"/>
      <c r="FV311" s="275"/>
      <c r="FW311" s="275"/>
      <c r="FX311" s="275"/>
      <c r="FY311" s="275"/>
      <c r="FZ311" s="275"/>
      <c r="GA311" s="275"/>
      <c r="GB311" s="275"/>
      <c r="GC311" s="275"/>
      <c r="GD311" s="275"/>
      <c r="GE311" s="275"/>
      <c r="GF311" s="275"/>
      <c r="GG311" s="275"/>
      <c r="GH311" s="275"/>
      <c r="GI311" s="275"/>
      <c r="GJ311" s="275"/>
      <c r="GK311" s="275"/>
      <c r="GL311" s="275"/>
      <c r="GM311" s="275"/>
      <c r="GN311" s="275"/>
      <c r="GO311" s="275"/>
      <c r="GP311" s="275"/>
      <c r="GQ311" s="275"/>
      <c r="GR311" s="275"/>
      <c r="GS311" s="275"/>
      <c r="GT311" s="275"/>
      <c r="GU311" s="275"/>
      <c r="GV311" s="275"/>
      <c r="GW311" s="275"/>
      <c r="GX311" s="275"/>
      <c r="GY311" s="275"/>
      <c r="GZ311" s="275"/>
      <c r="HA311" s="275"/>
      <c r="HB311" s="275"/>
      <c r="HC311" s="275"/>
      <c r="HD311" s="275"/>
      <c r="HE311" s="275"/>
      <c r="HF311" s="275"/>
      <c r="HG311" s="275"/>
      <c r="HH311" s="275"/>
      <c r="HI311" s="275"/>
      <c r="HJ311" s="275"/>
      <c r="HK311" s="275"/>
      <c r="HL311" s="275"/>
      <c r="HM311" s="275"/>
      <c r="HN311" s="275"/>
      <c r="HO311" s="275"/>
      <c r="HP311" s="275"/>
      <c r="HQ311" s="275"/>
      <c r="HR311" s="275"/>
    </row>
    <row r="312" spans="1:226" s="297" customFormat="1">
      <c r="A312" s="275"/>
      <c r="B312" s="21"/>
      <c r="C312" s="21"/>
      <c r="D312" s="21"/>
      <c r="E312" s="21"/>
      <c r="F312" s="275"/>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J312" s="275"/>
      <c r="AK312" s="275"/>
      <c r="AL312" s="275"/>
      <c r="AM312" s="275"/>
      <c r="AN312" s="275"/>
      <c r="AO312" s="275"/>
      <c r="AQ312" s="275"/>
      <c r="AR312" s="275"/>
      <c r="AS312" s="275"/>
      <c r="AT312" s="275"/>
      <c r="AU312" s="275"/>
      <c r="AV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D312" s="275"/>
      <c r="EE312" s="275"/>
      <c r="EF312" s="275"/>
      <c r="EG312" s="275"/>
      <c r="EH312" s="275"/>
      <c r="EI312" s="275"/>
      <c r="EJ312" s="275"/>
      <c r="EK312" s="275"/>
      <c r="EL312" s="275"/>
      <c r="EM312" s="275"/>
      <c r="EN312" s="275"/>
      <c r="EO312" s="275"/>
      <c r="EP312" s="275"/>
      <c r="EQ312" s="275"/>
      <c r="ER312" s="275"/>
      <c r="ES312" s="275"/>
      <c r="ET312" s="275"/>
      <c r="EU312"/>
      <c r="EV312"/>
      <c r="EW312" s="275"/>
      <c r="EX312" s="275"/>
      <c r="EY312" s="275"/>
      <c r="EZ312" s="275"/>
      <c r="FA312" s="275"/>
      <c r="FB312" s="275"/>
      <c r="FC312" s="275"/>
      <c r="FD312" s="275"/>
      <c r="FE312" s="275"/>
      <c r="FF312" s="275"/>
      <c r="FG312" s="275"/>
      <c r="FH312" s="275"/>
      <c r="FI312" s="275"/>
      <c r="FJ312" s="275"/>
      <c r="FK312" s="275"/>
      <c r="FL312" s="275"/>
      <c r="FM312" s="275"/>
      <c r="FN312" s="275"/>
      <c r="FO312" s="275"/>
      <c r="FP312" s="275"/>
      <c r="FQ312" s="275"/>
      <c r="FR312" s="275"/>
      <c r="FS312" s="275"/>
      <c r="FT312" s="275"/>
      <c r="FU312" s="275"/>
      <c r="FV312" s="275"/>
      <c r="FW312" s="275"/>
      <c r="FX312" s="275"/>
      <c r="FY312" s="275"/>
      <c r="FZ312" s="275"/>
      <c r="GA312" s="275"/>
      <c r="GB312" s="275"/>
      <c r="GC312" s="275"/>
      <c r="GD312" s="275"/>
      <c r="GE312" s="275"/>
      <c r="GF312" s="275"/>
      <c r="GG312" s="275"/>
      <c r="GH312" s="275"/>
      <c r="GI312" s="275"/>
      <c r="GJ312" s="275"/>
      <c r="GK312" s="275"/>
      <c r="GL312" s="275"/>
      <c r="GM312" s="275"/>
      <c r="GN312" s="275"/>
      <c r="GO312" s="275"/>
      <c r="GP312" s="275"/>
      <c r="GQ312" s="275"/>
      <c r="GR312" s="275"/>
      <c r="GS312" s="275"/>
      <c r="GT312" s="275"/>
      <c r="GU312" s="275"/>
      <c r="GV312" s="275"/>
      <c r="GW312" s="275"/>
      <c r="GX312" s="275"/>
      <c r="GY312" s="275"/>
      <c r="GZ312" s="275"/>
      <c r="HA312" s="275"/>
      <c r="HB312" s="275"/>
      <c r="HC312" s="275"/>
      <c r="HD312" s="275"/>
      <c r="HE312" s="275"/>
      <c r="HF312" s="275"/>
      <c r="HG312" s="275"/>
      <c r="HH312" s="275"/>
      <c r="HI312" s="275"/>
      <c r="HJ312" s="275"/>
      <c r="HK312" s="275"/>
      <c r="HL312" s="275"/>
      <c r="HM312" s="275"/>
      <c r="HN312" s="275"/>
      <c r="HO312" s="275"/>
      <c r="HP312" s="275"/>
      <c r="HQ312" s="275"/>
      <c r="HR312" s="275"/>
    </row>
    <row r="313" spans="1:226" s="297" customFormat="1">
      <c r="A313" s="275"/>
      <c r="B313" s="21"/>
      <c r="C313" s="21"/>
      <c r="D313" s="21"/>
      <c r="E313" s="21"/>
      <c r="F313" s="275"/>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J313" s="275"/>
      <c r="AK313" s="275"/>
      <c r="AL313" s="275"/>
      <c r="AM313" s="275"/>
      <c r="AN313" s="275"/>
      <c r="AO313" s="275"/>
      <c r="AQ313" s="275"/>
      <c r="AR313" s="275"/>
      <c r="AS313" s="275"/>
      <c r="AT313" s="275"/>
      <c r="AU313" s="275"/>
      <c r="AV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D313" s="275"/>
      <c r="EE313" s="275"/>
      <c r="EF313" s="275"/>
      <c r="EG313" s="275"/>
      <c r="EH313" s="275"/>
      <c r="EI313" s="275"/>
      <c r="EJ313" s="275"/>
      <c r="EK313" s="275"/>
      <c r="EL313" s="275"/>
      <c r="EM313" s="275"/>
      <c r="EN313" s="275"/>
      <c r="EO313" s="275"/>
      <c r="EP313" s="275"/>
      <c r="EQ313" s="275"/>
      <c r="ER313" s="275"/>
      <c r="ES313" s="275"/>
      <c r="ET313" s="275"/>
      <c r="EU313"/>
      <c r="EV313"/>
      <c r="EW313" s="275"/>
      <c r="EX313" s="275"/>
      <c r="EY313" s="275"/>
      <c r="EZ313" s="275"/>
      <c r="FA313" s="275"/>
      <c r="FB313" s="275"/>
      <c r="FC313" s="275"/>
      <c r="FD313" s="275"/>
      <c r="FE313" s="275"/>
      <c r="FF313" s="275"/>
      <c r="FG313" s="275"/>
      <c r="FH313" s="275"/>
      <c r="FI313" s="275"/>
      <c r="FJ313" s="275"/>
      <c r="FK313" s="275"/>
      <c r="FL313" s="275"/>
      <c r="FM313" s="275"/>
      <c r="FN313" s="275"/>
      <c r="FO313" s="275"/>
      <c r="FP313" s="275"/>
      <c r="FQ313" s="275"/>
      <c r="FR313" s="275"/>
      <c r="FS313" s="275"/>
      <c r="FT313" s="275"/>
      <c r="FU313" s="275"/>
      <c r="FV313" s="275"/>
      <c r="FW313" s="275"/>
      <c r="FX313" s="275"/>
      <c r="FY313" s="275"/>
      <c r="FZ313" s="275"/>
      <c r="GA313" s="275"/>
      <c r="GB313" s="275"/>
      <c r="GC313" s="275"/>
      <c r="GD313" s="275"/>
      <c r="GE313" s="275"/>
      <c r="GF313" s="275"/>
      <c r="GG313" s="275"/>
      <c r="GH313" s="275"/>
      <c r="GI313" s="275"/>
      <c r="GJ313" s="275"/>
      <c r="GK313" s="275"/>
      <c r="GL313" s="275"/>
      <c r="GM313" s="275"/>
      <c r="GN313" s="275"/>
      <c r="GO313" s="275"/>
      <c r="GP313" s="275"/>
      <c r="GQ313" s="275"/>
      <c r="GR313" s="275"/>
      <c r="GS313" s="275"/>
      <c r="GT313" s="275"/>
      <c r="GU313" s="275"/>
      <c r="GV313" s="275"/>
      <c r="GW313" s="275"/>
      <c r="GX313" s="275"/>
      <c r="GY313" s="275"/>
      <c r="GZ313" s="275"/>
      <c r="HA313" s="275"/>
      <c r="HB313" s="275"/>
      <c r="HC313" s="275"/>
      <c r="HD313" s="275"/>
      <c r="HE313" s="275"/>
      <c r="HF313" s="275"/>
      <c r="HG313" s="275"/>
      <c r="HH313" s="275"/>
      <c r="HI313" s="275"/>
      <c r="HJ313" s="275"/>
      <c r="HK313" s="275"/>
      <c r="HL313" s="275"/>
      <c r="HM313" s="275"/>
      <c r="HN313" s="275"/>
      <c r="HO313" s="275"/>
      <c r="HP313" s="275"/>
      <c r="HQ313" s="275"/>
      <c r="HR313" s="275"/>
    </row>
    <row r="314" spans="1:226" s="297" customFormat="1">
      <c r="A314" s="275"/>
      <c r="B314" s="21"/>
      <c r="C314" s="21"/>
      <c r="D314" s="21"/>
      <c r="E314" s="21"/>
      <c r="F314" s="275"/>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J314" s="275"/>
      <c r="AK314" s="275"/>
      <c r="AL314" s="275"/>
      <c r="AM314" s="275"/>
      <c r="AN314" s="275"/>
      <c r="AO314" s="275"/>
      <c r="AQ314" s="275"/>
      <c r="AR314" s="275"/>
      <c r="AS314" s="275"/>
      <c r="AT314" s="275"/>
      <c r="AU314" s="275"/>
      <c r="AV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D314" s="275"/>
      <c r="EE314" s="275"/>
      <c r="EF314" s="275"/>
      <c r="EG314" s="275"/>
      <c r="EH314" s="275"/>
      <c r="EI314" s="275"/>
      <c r="EJ314" s="275"/>
      <c r="EK314" s="275"/>
      <c r="EL314" s="275"/>
      <c r="EM314" s="275"/>
      <c r="EN314" s="275"/>
      <c r="EO314" s="275"/>
      <c r="EP314" s="275"/>
      <c r="EQ314" s="275"/>
      <c r="ER314" s="275"/>
      <c r="ES314" s="275"/>
      <c r="ET314" s="275"/>
      <c r="EU314"/>
      <c r="EV314"/>
      <c r="EW314" s="275"/>
      <c r="EX314" s="275"/>
      <c r="EY314" s="275"/>
      <c r="EZ314" s="275"/>
      <c r="FA314" s="275"/>
      <c r="FB314" s="275"/>
      <c r="FC314" s="275"/>
      <c r="FD314" s="275"/>
      <c r="FE314" s="275"/>
      <c r="FF314" s="275"/>
      <c r="FG314" s="275"/>
      <c r="FH314" s="275"/>
      <c r="FI314" s="275"/>
      <c r="FJ314" s="275"/>
      <c r="FK314" s="275"/>
      <c r="FL314" s="275"/>
      <c r="FM314" s="275"/>
      <c r="FN314" s="275"/>
      <c r="FO314" s="275"/>
      <c r="FP314" s="275"/>
      <c r="FQ314" s="275"/>
      <c r="FR314" s="275"/>
      <c r="FS314" s="275"/>
      <c r="FT314" s="275"/>
      <c r="FU314" s="275"/>
      <c r="FV314" s="275"/>
      <c r="FW314" s="275"/>
      <c r="FX314" s="275"/>
      <c r="FY314" s="275"/>
      <c r="FZ314" s="275"/>
      <c r="GA314" s="275"/>
      <c r="GB314" s="275"/>
      <c r="GC314" s="275"/>
      <c r="GD314" s="275"/>
      <c r="GE314" s="275"/>
      <c r="GF314" s="275"/>
      <c r="GG314" s="275"/>
      <c r="GH314" s="275"/>
      <c r="GI314" s="275"/>
      <c r="GJ314" s="275"/>
      <c r="GK314" s="275"/>
      <c r="GL314" s="275"/>
      <c r="GM314" s="275"/>
      <c r="GN314" s="275"/>
      <c r="GO314" s="275"/>
      <c r="GP314" s="275"/>
      <c r="GQ314" s="275"/>
      <c r="GR314" s="275"/>
      <c r="GS314" s="275"/>
      <c r="GT314" s="275"/>
      <c r="GU314" s="275"/>
      <c r="GV314" s="275"/>
      <c r="GW314" s="275"/>
      <c r="GX314" s="275"/>
      <c r="GY314" s="275"/>
      <c r="GZ314" s="275"/>
      <c r="HA314" s="275"/>
      <c r="HB314" s="275"/>
      <c r="HC314" s="275"/>
      <c r="HD314" s="275"/>
      <c r="HE314" s="275"/>
      <c r="HF314" s="275"/>
      <c r="HG314" s="275"/>
      <c r="HH314" s="275"/>
      <c r="HI314" s="275"/>
      <c r="HJ314" s="275"/>
      <c r="HK314" s="275"/>
      <c r="HL314" s="275"/>
      <c r="HM314" s="275"/>
      <c r="HN314" s="275"/>
      <c r="HO314" s="275"/>
      <c r="HP314" s="275"/>
      <c r="HQ314" s="275"/>
      <c r="HR314" s="275"/>
    </row>
    <row r="315" spans="1:226" s="297" customFormat="1">
      <c r="A315" s="275"/>
      <c r="B315" s="21"/>
      <c r="C315" s="21"/>
      <c r="D315" s="21"/>
      <c r="E315" s="21"/>
      <c r="F315" s="275"/>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J315" s="275"/>
      <c r="AK315" s="275"/>
      <c r="AL315" s="275"/>
      <c r="AM315" s="275"/>
      <c r="AN315" s="275"/>
      <c r="AO315" s="275"/>
      <c r="AQ315" s="275"/>
      <c r="AR315" s="275"/>
      <c r="AS315" s="275"/>
      <c r="AT315" s="275"/>
      <c r="AU315" s="275"/>
      <c r="AV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D315" s="275"/>
      <c r="EE315" s="275"/>
      <c r="EF315" s="275"/>
      <c r="EG315" s="275"/>
      <c r="EH315" s="275"/>
      <c r="EI315" s="275"/>
      <c r="EJ315" s="275"/>
      <c r="EK315" s="275"/>
      <c r="EL315" s="275"/>
      <c r="EM315" s="275"/>
      <c r="EN315" s="275"/>
      <c r="EO315" s="275"/>
      <c r="EP315" s="275"/>
      <c r="EQ315" s="275"/>
      <c r="ER315" s="275"/>
      <c r="ES315" s="275"/>
      <c r="ET315" s="275"/>
      <c r="EU315"/>
      <c r="EV315"/>
      <c r="EW315" s="275"/>
      <c r="EX315" s="275"/>
      <c r="EY315" s="275"/>
      <c r="EZ315" s="275"/>
      <c r="FA315" s="275"/>
      <c r="FB315" s="275"/>
      <c r="FC315" s="275"/>
      <c r="FD315" s="275"/>
      <c r="FE315" s="275"/>
      <c r="FF315" s="275"/>
      <c r="FG315" s="275"/>
      <c r="FH315" s="275"/>
      <c r="FI315" s="275"/>
      <c r="FJ315" s="275"/>
      <c r="FK315" s="275"/>
      <c r="FL315" s="275"/>
      <c r="FM315" s="275"/>
      <c r="FN315" s="275"/>
      <c r="FO315" s="275"/>
      <c r="FP315" s="275"/>
      <c r="FQ315" s="275"/>
      <c r="FR315" s="275"/>
      <c r="FS315" s="275"/>
      <c r="FT315" s="275"/>
      <c r="FU315" s="275"/>
      <c r="FV315" s="275"/>
      <c r="FW315" s="275"/>
      <c r="FX315" s="275"/>
      <c r="FY315" s="275"/>
      <c r="FZ315" s="275"/>
      <c r="GA315" s="275"/>
      <c r="GB315" s="275"/>
      <c r="GC315" s="275"/>
      <c r="GD315" s="275"/>
      <c r="GE315" s="275"/>
      <c r="GF315" s="275"/>
      <c r="GG315" s="275"/>
      <c r="GH315" s="275"/>
      <c r="GI315" s="275"/>
      <c r="GJ315" s="275"/>
      <c r="GK315" s="275"/>
      <c r="GL315" s="275"/>
      <c r="GM315" s="275"/>
      <c r="GN315" s="275"/>
      <c r="GO315" s="275"/>
      <c r="GP315" s="275"/>
      <c r="GQ315" s="275"/>
      <c r="GR315" s="275"/>
      <c r="GS315" s="275"/>
      <c r="GT315" s="275"/>
      <c r="GU315" s="275"/>
      <c r="GV315" s="275"/>
      <c r="GW315" s="275"/>
      <c r="GX315" s="275"/>
      <c r="GY315" s="275"/>
      <c r="GZ315" s="275"/>
      <c r="HA315" s="275"/>
      <c r="HB315" s="275"/>
      <c r="HC315" s="275"/>
      <c r="HD315" s="275"/>
      <c r="HE315" s="275"/>
      <c r="HF315" s="275"/>
      <c r="HG315" s="275"/>
      <c r="HH315" s="275"/>
      <c r="HI315" s="275"/>
      <c r="HJ315" s="275"/>
      <c r="HK315" s="275"/>
      <c r="HL315" s="275"/>
      <c r="HM315" s="275"/>
      <c r="HN315" s="275"/>
      <c r="HO315" s="275"/>
      <c r="HP315" s="275"/>
      <c r="HQ315" s="275"/>
      <c r="HR315" s="275"/>
    </row>
    <row r="316" spans="1:226" s="297" customFormat="1">
      <c r="A316" s="275"/>
      <c r="B316" s="21"/>
      <c r="C316" s="21"/>
      <c r="D316" s="21"/>
      <c r="E316" s="21"/>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J316" s="275"/>
      <c r="AK316" s="275"/>
      <c r="AL316" s="275"/>
      <c r="AM316" s="275"/>
      <c r="AN316" s="275"/>
      <c r="AO316" s="275"/>
      <c r="AQ316" s="275"/>
      <c r="AR316" s="275"/>
      <c r="AS316" s="275"/>
      <c r="AT316" s="275"/>
      <c r="AU316" s="275"/>
      <c r="AV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D316" s="275"/>
      <c r="EE316" s="275"/>
      <c r="EF316" s="275"/>
      <c r="EG316" s="275"/>
      <c r="EH316" s="275"/>
      <c r="EI316" s="275"/>
      <c r="EJ316" s="275"/>
      <c r="EK316" s="275"/>
      <c r="EL316" s="275"/>
      <c r="EM316" s="275"/>
      <c r="EN316" s="275"/>
      <c r="EO316" s="275"/>
      <c r="EP316" s="275"/>
      <c r="EQ316" s="275"/>
      <c r="ER316" s="275"/>
      <c r="ES316" s="275"/>
      <c r="ET316" s="275"/>
      <c r="EU316"/>
      <c r="EV316"/>
      <c r="EW316" s="275"/>
      <c r="EX316" s="275"/>
      <c r="EY316" s="275"/>
      <c r="EZ316" s="275"/>
      <c r="FA316" s="275"/>
      <c r="FB316" s="275"/>
      <c r="FC316" s="275"/>
      <c r="FD316" s="275"/>
      <c r="FE316" s="275"/>
      <c r="FF316" s="275"/>
      <c r="FG316" s="275"/>
      <c r="FH316" s="275"/>
      <c r="FI316" s="275"/>
      <c r="FJ316" s="275"/>
      <c r="FK316" s="275"/>
      <c r="FL316" s="275"/>
      <c r="FM316" s="275"/>
      <c r="FN316" s="275"/>
      <c r="FO316" s="275"/>
      <c r="FP316" s="275"/>
      <c r="FQ316" s="275"/>
      <c r="FR316" s="275"/>
      <c r="FS316" s="275"/>
      <c r="FT316" s="275"/>
      <c r="FU316" s="275"/>
      <c r="FV316" s="275"/>
      <c r="FW316" s="275"/>
      <c r="FX316" s="275"/>
      <c r="FY316" s="275"/>
      <c r="FZ316" s="275"/>
      <c r="GA316" s="275"/>
      <c r="GB316" s="275"/>
      <c r="GC316" s="275"/>
      <c r="GD316" s="275"/>
      <c r="GE316" s="275"/>
      <c r="GF316" s="275"/>
      <c r="GG316" s="275"/>
      <c r="GH316" s="275"/>
      <c r="GI316" s="275"/>
      <c r="GJ316" s="275"/>
      <c r="GK316" s="275"/>
      <c r="GL316" s="275"/>
      <c r="GM316" s="275"/>
      <c r="GN316" s="275"/>
      <c r="GO316" s="275"/>
      <c r="GP316" s="275"/>
      <c r="GQ316" s="275"/>
      <c r="GR316" s="275"/>
      <c r="GS316" s="275"/>
      <c r="GT316" s="275"/>
      <c r="GU316" s="275"/>
      <c r="GV316" s="275"/>
      <c r="GW316" s="275"/>
      <c r="GX316" s="275"/>
      <c r="GY316" s="275"/>
      <c r="GZ316" s="275"/>
      <c r="HA316" s="275"/>
      <c r="HB316" s="275"/>
      <c r="HC316" s="275"/>
      <c r="HD316" s="275"/>
      <c r="HE316" s="275"/>
      <c r="HF316" s="275"/>
      <c r="HG316" s="275"/>
      <c r="HH316" s="275"/>
      <c r="HI316" s="275"/>
      <c r="HJ316" s="275"/>
      <c r="HK316" s="275"/>
      <c r="HL316" s="275"/>
      <c r="HM316" s="275"/>
      <c r="HN316" s="275"/>
      <c r="HO316" s="275"/>
      <c r="HP316" s="275"/>
      <c r="HQ316" s="275"/>
      <c r="HR316" s="275"/>
    </row>
    <row r="317" spans="1:226" s="297" customFormat="1">
      <c r="A317" s="275"/>
      <c r="B317" s="21"/>
      <c r="C317" s="21"/>
      <c r="D317" s="21"/>
      <c r="E317" s="21"/>
      <c r="F317" s="275"/>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J317" s="275"/>
      <c r="AK317" s="275"/>
      <c r="AL317" s="275"/>
      <c r="AM317" s="275"/>
      <c r="AN317" s="275"/>
      <c r="AO317" s="275"/>
      <c r="AQ317" s="275"/>
      <c r="AR317" s="275"/>
      <c r="AS317" s="275"/>
      <c r="AT317" s="275"/>
      <c r="AU317" s="275"/>
      <c r="AV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D317" s="275"/>
      <c r="EE317" s="275"/>
      <c r="EF317" s="275"/>
      <c r="EG317" s="275"/>
      <c r="EH317" s="275"/>
      <c r="EI317" s="275"/>
      <c r="EJ317" s="275"/>
      <c r="EK317" s="275"/>
      <c r="EL317" s="275"/>
      <c r="EM317" s="275"/>
      <c r="EN317" s="275"/>
      <c r="EO317" s="275"/>
      <c r="EP317" s="275"/>
      <c r="EQ317" s="275"/>
      <c r="ER317" s="275"/>
      <c r="ES317" s="275"/>
      <c r="ET317" s="275"/>
      <c r="EU317"/>
      <c r="EV317"/>
      <c r="EW317" s="275"/>
      <c r="EX317" s="275"/>
      <c r="EY317" s="275"/>
      <c r="EZ317" s="275"/>
      <c r="FA317" s="275"/>
      <c r="FB317" s="275"/>
      <c r="FC317" s="275"/>
      <c r="FD317" s="275"/>
      <c r="FE317" s="275"/>
      <c r="FF317" s="275"/>
      <c r="FG317" s="275"/>
      <c r="FH317" s="275"/>
      <c r="FI317" s="275"/>
      <c r="FJ317" s="275"/>
      <c r="FK317" s="275"/>
      <c r="FL317" s="275"/>
      <c r="FM317" s="275"/>
      <c r="FN317" s="275"/>
      <c r="FO317" s="275"/>
      <c r="FP317" s="275"/>
      <c r="FQ317" s="275"/>
      <c r="FR317" s="275"/>
      <c r="FS317" s="275"/>
      <c r="FT317" s="275"/>
      <c r="FU317" s="275"/>
      <c r="FV317" s="275"/>
      <c r="FW317" s="275"/>
      <c r="FX317" s="275"/>
      <c r="FY317" s="275"/>
      <c r="FZ317" s="275"/>
      <c r="GA317" s="275"/>
      <c r="GB317" s="275"/>
      <c r="GC317" s="275"/>
      <c r="GD317" s="275"/>
      <c r="GE317" s="275"/>
      <c r="GF317" s="275"/>
      <c r="GG317" s="275"/>
      <c r="GH317" s="275"/>
      <c r="GI317" s="275"/>
      <c r="GJ317" s="275"/>
      <c r="GK317" s="275"/>
      <c r="GL317" s="275"/>
      <c r="GM317" s="275"/>
      <c r="GN317" s="275"/>
      <c r="GO317" s="275"/>
      <c r="GP317" s="275"/>
      <c r="GQ317" s="275"/>
      <c r="GR317" s="275"/>
      <c r="GS317" s="275"/>
      <c r="GT317" s="275"/>
      <c r="GU317" s="275"/>
      <c r="GV317" s="275"/>
      <c r="GW317" s="275"/>
      <c r="GX317" s="275"/>
      <c r="GY317" s="275"/>
      <c r="GZ317" s="275"/>
      <c r="HA317" s="275"/>
      <c r="HB317" s="275"/>
      <c r="HC317" s="275"/>
      <c r="HD317" s="275"/>
      <c r="HE317" s="275"/>
      <c r="HF317" s="275"/>
      <c r="HG317" s="275"/>
      <c r="HH317" s="275"/>
      <c r="HI317" s="275"/>
      <c r="HJ317" s="275"/>
      <c r="HK317" s="275"/>
      <c r="HL317" s="275"/>
      <c r="HM317" s="275"/>
      <c r="HN317" s="275"/>
      <c r="HO317" s="275"/>
      <c r="HP317" s="275"/>
      <c r="HQ317" s="275"/>
      <c r="HR317" s="275"/>
    </row>
    <row r="318" spans="1:226" s="297" customFormat="1">
      <c r="A318" s="275"/>
      <c r="B318" s="21"/>
      <c r="C318" s="21"/>
      <c r="D318" s="21"/>
      <c r="E318" s="21"/>
      <c r="F318" s="275"/>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J318" s="275"/>
      <c r="AK318" s="275"/>
      <c r="AL318" s="275"/>
      <c r="AM318" s="275"/>
      <c r="AN318" s="275"/>
      <c r="AO318" s="275"/>
      <c r="AQ318" s="275"/>
      <c r="AR318" s="275"/>
      <c r="AS318" s="275"/>
      <c r="AT318" s="275"/>
      <c r="AU318" s="275"/>
      <c r="AV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D318" s="275"/>
      <c r="EE318" s="275"/>
      <c r="EF318" s="275"/>
      <c r="EG318" s="275"/>
      <c r="EH318" s="275"/>
      <c r="EI318" s="275"/>
      <c r="EJ318" s="275"/>
      <c r="EK318" s="275"/>
      <c r="EL318" s="275"/>
      <c r="EM318" s="275"/>
      <c r="EN318" s="275"/>
      <c r="EO318" s="275"/>
      <c r="EP318" s="275"/>
      <c r="EQ318" s="275"/>
      <c r="ER318" s="275"/>
      <c r="ES318" s="275"/>
      <c r="ET318" s="275"/>
      <c r="EU318"/>
      <c r="EV318"/>
      <c r="EW318" s="275"/>
      <c r="EX318" s="275"/>
      <c r="EY318" s="275"/>
      <c r="EZ318" s="275"/>
      <c r="FA318" s="275"/>
      <c r="FB318" s="275"/>
      <c r="FC318" s="275"/>
      <c r="FD318" s="275"/>
      <c r="FE318" s="275"/>
      <c r="FF318" s="275"/>
      <c r="FG318" s="275"/>
      <c r="FH318" s="275"/>
      <c r="FI318" s="275"/>
      <c r="FJ318" s="275"/>
      <c r="FK318" s="275"/>
      <c r="FL318" s="275"/>
      <c r="FM318" s="275"/>
      <c r="FN318" s="275"/>
      <c r="FO318" s="275"/>
      <c r="FP318" s="275"/>
      <c r="FQ318" s="275"/>
      <c r="FR318" s="275"/>
      <c r="FS318" s="275"/>
      <c r="FT318" s="275"/>
      <c r="FU318" s="275"/>
      <c r="FV318" s="275"/>
      <c r="FW318" s="275"/>
      <c r="FX318" s="275"/>
      <c r="FY318" s="275"/>
      <c r="FZ318" s="275"/>
      <c r="GA318" s="275"/>
      <c r="GB318" s="275"/>
      <c r="GC318" s="275"/>
      <c r="GD318" s="275"/>
      <c r="GE318" s="275"/>
      <c r="GF318" s="275"/>
      <c r="GG318" s="275"/>
      <c r="GH318" s="275"/>
      <c r="GI318" s="275"/>
      <c r="GJ318" s="275"/>
      <c r="GK318" s="275"/>
      <c r="GL318" s="275"/>
      <c r="GM318" s="275"/>
      <c r="GN318" s="275"/>
      <c r="GO318" s="275"/>
      <c r="GP318" s="275"/>
      <c r="GQ318" s="275"/>
      <c r="GR318" s="275"/>
      <c r="GS318" s="275"/>
      <c r="GT318" s="275"/>
      <c r="GU318" s="275"/>
      <c r="GV318" s="275"/>
      <c r="GW318" s="275"/>
      <c r="GX318" s="275"/>
      <c r="GY318" s="275"/>
      <c r="GZ318" s="275"/>
      <c r="HA318" s="275"/>
      <c r="HB318" s="275"/>
      <c r="HC318" s="275"/>
      <c r="HD318" s="275"/>
      <c r="HE318" s="275"/>
      <c r="HF318" s="275"/>
      <c r="HG318" s="275"/>
      <c r="HH318" s="275"/>
      <c r="HI318" s="275"/>
      <c r="HJ318" s="275"/>
      <c r="HK318" s="275"/>
      <c r="HL318" s="275"/>
      <c r="HM318" s="275"/>
      <c r="HN318" s="275"/>
      <c r="HO318" s="275"/>
      <c r="HP318" s="275"/>
      <c r="HQ318" s="275"/>
      <c r="HR318" s="275"/>
    </row>
    <row r="319" spans="1:226" s="297" customFormat="1">
      <c r="A319" s="275"/>
      <c r="B319" s="21"/>
      <c r="C319" s="21"/>
      <c r="D319" s="21"/>
      <c r="E319" s="21"/>
      <c r="F319" s="275"/>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J319" s="275"/>
      <c r="AK319" s="275"/>
      <c r="AL319" s="275"/>
      <c r="AM319" s="275"/>
      <c r="AN319" s="275"/>
      <c r="AO319" s="275"/>
      <c r="AQ319" s="275"/>
      <c r="AR319" s="275"/>
      <c r="AS319" s="275"/>
      <c r="AT319" s="275"/>
      <c r="AU319" s="275"/>
      <c r="AV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D319" s="275"/>
      <c r="EE319" s="275"/>
      <c r="EF319" s="275"/>
      <c r="EG319" s="275"/>
      <c r="EH319" s="275"/>
      <c r="EI319" s="275"/>
      <c r="EJ319" s="275"/>
      <c r="EK319" s="275"/>
      <c r="EL319" s="275"/>
      <c r="EM319" s="275"/>
      <c r="EN319" s="275"/>
      <c r="EO319" s="275"/>
      <c r="EP319" s="275"/>
      <c r="EQ319" s="275"/>
      <c r="ER319" s="275"/>
      <c r="ES319" s="275"/>
      <c r="ET319" s="275"/>
      <c r="EU319"/>
      <c r="EV319"/>
      <c r="EW319" s="275"/>
      <c r="EX319" s="275"/>
      <c r="EY319" s="275"/>
      <c r="EZ319" s="275"/>
      <c r="FA319" s="275"/>
      <c r="FB319" s="275"/>
      <c r="FC319" s="275"/>
      <c r="FD319" s="275"/>
      <c r="FE319" s="275"/>
      <c r="FF319" s="275"/>
      <c r="FG319" s="275"/>
      <c r="FH319" s="275"/>
      <c r="FI319" s="275"/>
      <c r="FJ319" s="275"/>
      <c r="FK319" s="275"/>
      <c r="FL319" s="275"/>
      <c r="FM319" s="275"/>
      <c r="FN319" s="275"/>
      <c r="FO319" s="275"/>
      <c r="FP319" s="275"/>
      <c r="FQ319" s="275"/>
      <c r="FR319" s="275"/>
      <c r="FS319" s="275"/>
      <c r="FT319" s="275"/>
      <c r="FU319" s="275"/>
      <c r="FV319" s="275"/>
      <c r="FW319" s="275"/>
      <c r="FX319" s="275"/>
      <c r="FY319" s="275"/>
      <c r="FZ319" s="275"/>
      <c r="GA319" s="275"/>
      <c r="GB319" s="275"/>
      <c r="GC319" s="275"/>
      <c r="GD319" s="275"/>
      <c r="GE319" s="275"/>
      <c r="GF319" s="275"/>
      <c r="GG319" s="275"/>
      <c r="GH319" s="275"/>
      <c r="GI319" s="275"/>
      <c r="GJ319" s="275"/>
      <c r="GK319" s="275"/>
      <c r="GL319" s="275"/>
      <c r="GM319" s="275"/>
      <c r="GN319" s="275"/>
      <c r="GO319" s="275"/>
      <c r="GP319" s="275"/>
      <c r="GQ319" s="275"/>
      <c r="GR319" s="275"/>
      <c r="GS319" s="275"/>
      <c r="GT319" s="275"/>
      <c r="GU319" s="275"/>
      <c r="GV319" s="275"/>
      <c r="GW319" s="275"/>
      <c r="GX319" s="275"/>
      <c r="GY319" s="275"/>
      <c r="GZ319" s="275"/>
      <c r="HA319" s="275"/>
      <c r="HB319" s="275"/>
      <c r="HC319" s="275"/>
      <c r="HD319" s="275"/>
      <c r="HE319" s="275"/>
      <c r="HF319" s="275"/>
      <c r="HG319" s="275"/>
      <c r="HH319" s="275"/>
      <c r="HI319" s="275"/>
      <c r="HJ319" s="275"/>
      <c r="HK319" s="275"/>
      <c r="HL319" s="275"/>
      <c r="HM319" s="275"/>
      <c r="HN319" s="275"/>
      <c r="HO319" s="275"/>
      <c r="HP319" s="275"/>
      <c r="HQ319" s="275"/>
      <c r="HR319" s="275"/>
    </row>
    <row r="320" spans="1:226" s="297" customFormat="1">
      <c r="A320" s="275"/>
      <c r="B320" s="21"/>
      <c r="C320" s="21"/>
      <c r="D320" s="21"/>
      <c r="E320" s="21"/>
      <c r="F320" s="275"/>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J320" s="275"/>
      <c r="AK320" s="275"/>
      <c r="AL320" s="275"/>
      <c r="AM320" s="275"/>
      <c r="AN320" s="275"/>
      <c r="AO320" s="275"/>
      <c r="AQ320" s="275"/>
      <c r="AR320" s="275"/>
      <c r="AS320" s="275"/>
      <c r="AT320" s="275"/>
      <c r="AU320" s="275"/>
      <c r="AV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D320" s="275"/>
      <c r="EE320" s="275"/>
      <c r="EF320" s="275"/>
      <c r="EG320" s="275"/>
      <c r="EH320" s="275"/>
      <c r="EI320" s="275"/>
      <c r="EJ320" s="275"/>
      <c r="EK320" s="275"/>
      <c r="EL320" s="275"/>
      <c r="EM320" s="275"/>
      <c r="EN320" s="275"/>
      <c r="EO320" s="275"/>
      <c r="EP320" s="275"/>
      <c r="EQ320" s="275"/>
      <c r="ER320" s="275"/>
      <c r="ES320" s="275"/>
      <c r="ET320" s="275"/>
      <c r="EU320"/>
      <c r="EV320"/>
      <c r="EW320" s="275"/>
      <c r="EX320" s="275"/>
      <c r="EY320" s="275"/>
      <c r="EZ320" s="275"/>
      <c r="FA320" s="275"/>
      <c r="FB320" s="275"/>
      <c r="FC320" s="275"/>
      <c r="FD320" s="275"/>
      <c r="FE320" s="275"/>
      <c r="FF320" s="275"/>
      <c r="FG320" s="275"/>
      <c r="FH320" s="275"/>
      <c r="FI320" s="275"/>
      <c r="FJ320" s="275"/>
      <c r="FK320" s="275"/>
      <c r="FL320" s="275"/>
      <c r="FM320" s="275"/>
      <c r="FN320" s="275"/>
      <c r="FO320" s="275"/>
      <c r="FP320" s="275"/>
      <c r="FQ320" s="275"/>
      <c r="FR320" s="275"/>
      <c r="FS320" s="275"/>
      <c r="FT320" s="275"/>
      <c r="FU320" s="275"/>
      <c r="FV320" s="275"/>
      <c r="FW320" s="275"/>
      <c r="FX320" s="275"/>
      <c r="FY320" s="275"/>
      <c r="FZ320" s="275"/>
      <c r="GA320" s="275"/>
      <c r="GB320" s="275"/>
      <c r="GC320" s="275"/>
      <c r="GD320" s="275"/>
      <c r="GE320" s="275"/>
      <c r="GF320" s="275"/>
      <c r="GG320" s="275"/>
      <c r="GH320" s="275"/>
      <c r="GI320" s="275"/>
      <c r="GJ320" s="275"/>
      <c r="GK320" s="275"/>
      <c r="GL320" s="275"/>
      <c r="GM320" s="275"/>
      <c r="GN320" s="275"/>
      <c r="GO320" s="275"/>
      <c r="GP320" s="275"/>
      <c r="GQ320" s="275"/>
      <c r="GR320" s="275"/>
      <c r="GS320" s="275"/>
      <c r="GT320" s="275"/>
      <c r="GU320" s="275"/>
      <c r="GV320" s="275"/>
      <c r="GW320" s="275"/>
      <c r="GX320" s="275"/>
      <c r="GY320" s="275"/>
      <c r="GZ320" s="275"/>
      <c r="HA320" s="275"/>
      <c r="HB320" s="275"/>
      <c r="HC320" s="275"/>
      <c r="HD320" s="275"/>
      <c r="HE320" s="275"/>
      <c r="HF320" s="275"/>
      <c r="HG320" s="275"/>
      <c r="HH320" s="275"/>
      <c r="HI320" s="275"/>
      <c r="HJ320" s="275"/>
      <c r="HK320" s="275"/>
      <c r="HL320" s="275"/>
      <c r="HM320" s="275"/>
      <c r="HN320" s="275"/>
      <c r="HO320" s="275"/>
      <c r="HP320" s="275"/>
      <c r="HQ320" s="275"/>
      <c r="HR320" s="275"/>
    </row>
    <row r="321" spans="1:226" s="297" customFormat="1">
      <c r="A321" s="275"/>
      <c r="B321" s="21"/>
      <c r="C321" s="21"/>
      <c r="D321" s="21"/>
      <c r="E321" s="21"/>
      <c r="F321" s="275"/>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J321" s="275"/>
      <c r="AK321" s="275"/>
      <c r="AL321" s="275"/>
      <c r="AM321" s="275"/>
      <c r="AN321" s="275"/>
      <c r="AO321" s="275"/>
      <c r="AQ321" s="275"/>
      <c r="AR321" s="275"/>
      <c r="AS321" s="275"/>
      <c r="AT321" s="275"/>
      <c r="AU321" s="275"/>
      <c r="AV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D321" s="275"/>
      <c r="EE321" s="275"/>
      <c r="EF321" s="275"/>
      <c r="EG321" s="275"/>
      <c r="EH321" s="275"/>
      <c r="EI321" s="275"/>
      <c r="EJ321" s="275"/>
      <c r="EK321" s="275"/>
      <c r="EL321" s="275"/>
      <c r="EM321" s="275"/>
      <c r="EN321" s="275"/>
      <c r="EO321" s="275"/>
      <c r="EP321" s="275"/>
      <c r="EQ321" s="275"/>
      <c r="ER321" s="275"/>
      <c r="ES321" s="275"/>
      <c r="ET321" s="275"/>
      <c r="EU321"/>
      <c r="EV321"/>
      <c r="EW321" s="275"/>
      <c r="EX321" s="275"/>
      <c r="EY321" s="275"/>
      <c r="EZ321" s="275"/>
      <c r="FA321" s="275"/>
      <c r="FB321" s="275"/>
      <c r="FC321" s="275"/>
      <c r="FD321" s="275"/>
      <c r="FE321" s="275"/>
      <c r="FF321" s="275"/>
      <c r="FG321" s="275"/>
      <c r="FH321" s="275"/>
      <c r="FI321" s="275"/>
      <c r="FJ321" s="275"/>
      <c r="FK321" s="275"/>
      <c r="FL321" s="275"/>
      <c r="FM321" s="275"/>
      <c r="FN321" s="275"/>
      <c r="FO321" s="275"/>
      <c r="FP321" s="275"/>
      <c r="FQ321" s="275"/>
      <c r="FR321" s="275"/>
      <c r="FS321" s="275"/>
      <c r="FT321" s="275"/>
      <c r="FU321" s="275"/>
      <c r="FV321" s="275"/>
      <c r="FW321" s="275"/>
      <c r="FX321" s="275"/>
      <c r="FY321" s="275"/>
      <c r="FZ321" s="275"/>
      <c r="GA321" s="275"/>
      <c r="GB321" s="275"/>
      <c r="GC321" s="275"/>
      <c r="GD321" s="275"/>
      <c r="GE321" s="275"/>
      <c r="GF321" s="275"/>
      <c r="GG321" s="275"/>
      <c r="GH321" s="275"/>
      <c r="GI321" s="275"/>
      <c r="GJ321" s="275"/>
      <c r="GK321" s="275"/>
      <c r="GL321" s="275"/>
      <c r="GM321" s="275"/>
      <c r="GN321" s="275"/>
      <c r="GO321" s="275"/>
      <c r="GP321" s="275"/>
      <c r="GQ321" s="275"/>
      <c r="GR321" s="275"/>
      <c r="GS321" s="275"/>
      <c r="GT321" s="275"/>
      <c r="GU321" s="275"/>
      <c r="GV321" s="275"/>
      <c r="GW321" s="275"/>
      <c r="GX321" s="275"/>
      <c r="GY321" s="275"/>
      <c r="GZ321" s="275"/>
      <c r="HA321" s="275"/>
      <c r="HB321" s="275"/>
      <c r="HC321" s="275"/>
      <c r="HD321" s="275"/>
      <c r="HE321" s="275"/>
      <c r="HF321" s="275"/>
      <c r="HG321" s="275"/>
      <c r="HH321" s="275"/>
      <c r="HI321" s="275"/>
      <c r="HJ321" s="275"/>
      <c r="HK321" s="275"/>
      <c r="HL321" s="275"/>
      <c r="HM321" s="275"/>
      <c r="HN321" s="275"/>
      <c r="HO321" s="275"/>
      <c r="HP321" s="275"/>
      <c r="HQ321" s="275"/>
      <c r="HR321" s="275"/>
    </row>
    <row r="322" spans="1:226" s="297" customFormat="1">
      <c r="A322" s="275"/>
      <c r="B322" s="21"/>
      <c r="C322" s="21"/>
      <c r="D322" s="21"/>
      <c r="E322" s="21"/>
      <c r="F322" s="275"/>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J322" s="275"/>
      <c r="AK322" s="275"/>
      <c r="AL322" s="275"/>
      <c r="AM322" s="275"/>
      <c r="AN322" s="275"/>
      <c r="AO322" s="275"/>
      <c r="AQ322" s="275"/>
      <c r="AR322" s="275"/>
      <c r="AS322" s="275"/>
      <c r="AT322" s="275"/>
      <c r="AU322" s="275"/>
      <c r="AV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D322" s="275"/>
      <c r="EE322" s="275"/>
      <c r="EF322" s="275"/>
      <c r="EG322" s="275"/>
      <c r="EH322" s="275"/>
      <c r="EI322" s="275"/>
      <c r="EJ322" s="275"/>
      <c r="EK322" s="275"/>
      <c r="EL322" s="275"/>
      <c r="EM322" s="275"/>
      <c r="EN322" s="275"/>
      <c r="EO322" s="275"/>
      <c r="EP322" s="275"/>
      <c r="EQ322" s="275"/>
      <c r="ER322" s="275"/>
      <c r="ES322" s="275"/>
      <c r="ET322" s="275"/>
      <c r="EU322"/>
      <c r="EV322"/>
      <c r="EW322" s="275"/>
      <c r="EX322" s="275"/>
      <c r="EY322" s="275"/>
      <c r="EZ322" s="275"/>
      <c r="FA322" s="275"/>
      <c r="FB322" s="275"/>
      <c r="FC322" s="275"/>
      <c r="FD322" s="275"/>
      <c r="FE322" s="275"/>
      <c r="FF322" s="275"/>
      <c r="FG322" s="275"/>
      <c r="FH322" s="275"/>
      <c r="FI322" s="275"/>
      <c r="FJ322" s="275"/>
      <c r="FK322" s="275"/>
      <c r="FL322" s="275"/>
      <c r="FM322" s="275"/>
      <c r="FN322" s="275"/>
      <c r="FO322" s="275"/>
      <c r="FP322" s="275"/>
      <c r="FQ322" s="275"/>
      <c r="FR322" s="275"/>
      <c r="FS322" s="275"/>
      <c r="FT322" s="275"/>
      <c r="FU322" s="275"/>
      <c r="FV322" s="275"/>
      <c r="FW322" s="275"/>
      <c r="FX322" s="275"/>
      <c r="FY322" s="275"/>
      <c r="FZ322" s="275"/>
      <c r="GA322" s="275"/>
      <c r="GB322" s="275"/>
      <c r="GC322" s="275"/>
      <c r="GD322" s="275"/>
      <c r="GE322" s="275"/>
      <c r="GF322" s="275"/>
      <c r="GG322" s="275"/>
      <c r="GH322" s="275"/>
      <c r="GI322" s="275"/>
      <c r="GJ322" s="275"/>
      <c r="GK322" s="275"/>
      <c r="GL322" s="275"/>
      <c r="GM322" s="275"/>
      <c r="GN322" s="275"/>
      <c r="GO322" s="275"/>
      <c r="GP322" s="275"/>
      <c r="GQ322" s="275"/>
      <c r="GR322" s="275"/>
      <c r="GS322" s="275"/>
      <c r="GT322" s="275"/>
      <c r="GU322" s="275"/>
      <c r="GV322" s="275"/>
      <c r="GW322" s="275"/>
      <c r="GX322" s="275"/>
      <c r="GY322" s="275"/>
      <c r="GZ322" s="275"/>
      <c r="HA322" s="275"/>
      <c r="HB322" s="275"/>
      <c r="HC322" s="275"/>
      <c r="HD322" s="275"/>
      <c r="HE322" s="275"/>
      <c r="HF322" s="275"/>
      <c r="HG322" s="275"/>
      <c r="HH322" s="275"/>
      <c r="HI322" s="275"/>
      <c r="HJ322" s="275"/>
      <c r="HK322" s="275"/>
      <c r="HL322" s="275"/>
      <c r="HM322" s="275"/>
      <c r="HN322" s="275"/>
      <c r="HO322" s="275"/>
      <c r="HP322" s="275"/>
      <c r="HQ322" s="275"/>
      <c r="HR322" s="275"/>
    </row>
    <row r="323" spans="1:226" s="297" customFormat="1">
      <c r="A323" s="275"/>
      <c r="B323" s="21"/>
      <c r="C323" s="21"/>
      <c r="D323" s="21"/>
      <c r="E323" s="21"/>
      <c r="F323" s="275"/>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J323" s="275"/>
      <c r="AK323" s="275"/>
      <c r="AL323" s="275"/>
      <c r="AM323" s="275"/>
      <c r="AN323" s="275"/>
      <c r="AO323" s="275"/>
      <c r="AQ323" s="275"/>
      <c r="AR323" s="275"/>
      <c r="AS323" s="275"/>
      <c r="AT323" s="275"/>
      <c r="AU323" s="275"/>
      <c r="AV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D323" s="275"/>
      <c r="EE323" s="275"/>
      <c r="EF323" s="275"/>
      <c r="EG323" s="275"/>
      <c r="EH323" s="275"/>
      <c r="EI323" s="275"/>
      <c r="EJ323" s="275"/>
      <c r="EK323" s="275"/>
      <c r="EL323" s="275"/>
      <c r="EM323" s="275"/>
      <c r="EN323" s="275"/>
      <c r="EO323" s="275"/>
      <c r="EP323" s="275"/>
      <c r="EQ323" s="275"/>
      <c r="ER323" s="275"/>
      <c r="ES323" s="275"/>
      <c r="ET323" s="275"/>
      <c r="EU323"/>
      <c r="EV323"/>
      <c r="EW323" s="275"/>
      <c r="EX323" s="275"/>
      <c r="EY323" s="275"/>
      <c r="EZ323" s="275"/>
      <c r="FA323" s="275"/>
      <c r="FB323" s="275"/>
      <c r="FC323" s="275"/>
      <c r="FD323" s="275"/>
      <c r="FE323" s="275"/>
      <c r="FF323" s="275"/>
      <c r="FG323" s="275"/>
      <c r="FH323" s="275"/>
      <c r="FI323" s="275"/>
      <c r="FJ323" s="275"/>
      <c r="FK323" s="275"/>
      <c r="FL323" s="275"/>
      <c r="FM323" s="275"/>
      <c r="FN323" s="275"/>
      <c r="FO323" s="275"/>
      <c r="FP323" s="275"/>
      <c r="FQ323" s="275"/>
      <c r="FR323" s="275"/>
      <c r="FS323" s="275"/>
      <c r="FT323" s="275"/>
      <c r="FU323" s="275"/>
      <c r="FV323" s="275"/>
      <c r="FW323" s="275"/>
      <c r="FX323" s="275"/>
      <c r="FY323" s="275"/>
      <c r="FZ323" s="275"/>
      <c r="GA323" s="275"/>
      <c r="GB323" s="275"/>
      <c r="GC323" s="275"/>
      <c r="GD323" s="275"/>
      <c r="GE323" s="275"/>
      <c r="GF323" s="275"/>
      <c r="GG323" s="275"/>
      <c r="GH323" s="275"/>
      <c r="GI323" s="275"/>
      <c r="GJ323" s="275"/>
      <c r="GK323" s="275"/>
      <c r="GL323" s="275"/>
      <c r="GM323" s="275"/>
      <c r="GN323" s="275"/>
      <c r="GO323" s="275"/>
      <c r="GP323" s="275"/>
      <c r="GQ323" s="275"/>
      <c r="GR323" s="275"/>
      <c r="GS323" s="275"/>
      <c r="GT323" s="275"/>
      <c r="GU323" s="275"/>
      <c r="GV323" s="275"/>
      <c r="GW323" s="275"/>
      <c r="GX323" s="275"/>
      <c r="GY323" s="275"/>
      <c r="GZ323" s="275"/>
      <c r="HA323" s="275"/>
      <c r="HB323" s="275"/>
      <c r="HC323" s="275"/>
      <c r="HD323" s="275"/>
      <c r="HE323" s="275"/>
      <c r="HF323" s="275"/>
      <c r="HG323" s="275"/>
      <c r="HH323" s="275"/>
      <c r="HI323" s="275"/>
      <c r="HJ323" s="275"/>
      <c r="HK323" s="275"/>
      <c r="HL323" s="275"/>
      <c r="HM323" s="275"/>
      <c r="HN323" s="275"/>
      <c r="HO323" s="275"/>
      <c r="HP323" s="275"/>
      <c r="HQ323" s="275"/>
      <c r="HR323" s="275"/>
    </row>
    <row r="324" spans="1:226" s="297" customFormat="1">
      <c r="A324" s="275"/>
      <c r="B324" s="21"/>
      <c r="C324" s="21"/>
      <c r="D324" s="21"/>
      <c r="E324" s="21"/>
      <c r="F324" s="275"/>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J324" s="275"/>
      <c r="AK324" s="275"/>
      <c r="AL324" s="275"/>
      <c r="AM324" s="275"/>
      <c r="AN324" s="275"/>
      <c r="AO324" s="275"/>
      <c r="AQ324" s="275"/>
      <c r="AR324" s="275"/>
      <c r="AS324" s="275"/>
      <c r="AT324" s="275"/>
      <c r="AU324" s="275"/>
      <c r="AV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D324" s="275"/>
      <c r="EE324" s="275"/>
      <c r="EF324" s="275"/>
      <c r="EG324" s="275"/>
      <c r="EH324" s="275"/>
      <c r="EI324" s="275"/>
      <c r="EJ324" s="275"/>
      <c r="EK324" s="275"/>
      <c r="EL324" s="275"/>
      <c r="EM324" s="275"/>
      <c r="EN324" s="275"/>
      <c r="EO324" s="275"/>
      <c r="EP324" s="275"/>
      <c r="EQ324" s="275"/>
      <c r="ER324" s="275"/>
      <c r="ES324" s="275"/>
      <c r="ET324" s="275"/>
      <c r="EU324"/>
      <c r="EV324"/>
      <c r="EW324" s="275"/>
      <c r="EX324" s="275"/>
      <c r="EY324" s="275"/>
      <c r="EZ324" s="275"/>
      <c r="FA324" s="275"/>
      <c r="FB324" s="275"/>
      <c r="FC324" s="275"/>
      <c r="FD324" s="275"/>
      <c r="FE324" s="275"/>
      <c r="FF324" s="275"/>
      <c r="FG324" s="275"/>
      <c r="FH324" s="275"/>
      <c r="FI324" s="275"/>
      <c r="FJ324" s="275"/>
      <c r="FK324" s="275"/>
      <c r="FL324" s="275"/>
      <c r="FM324" s="275"/>
      <c r="FN324" s="275"/>
      <c r="FO324" s="275"/>
      <c r="FP324" s="275"/>
      <c r="FQ324" s="275"/>
      <c r="FR324" s="275"/>
      <c r="FS324" s="275"/>
      <c r="FT324" s="275"/>
      <c r="FU324" s="275"/>
      <c r="FV324" s="275"/>
      <c r="FW324" s="275"/>
      <c r="FX324" s="275"/>
      <c r="FY324" s="275"/>
      <c r="FZ324" s="275"/>
      <c r="GA324" s="275"/>
      <c r="GB324" s="275"/>
      <c r="GC324" s="275"/>
      <c r="GD324" s="275"/>
      <c r="GE324" s="275"/>
      <c r="GF324" s="275"/>
      <c r="GG324" s="275"/>
      <c r="GH324" s="275"/>
      <c r="GI324" s="275"/>
      <c r="GJ324" s="275"/>
      <c r="GK324" s="275"/>
      <c r="GL324" s="275"/>
      <c r="GM324" s="275"/>
      <c r="GN324" s="275"/>
      <c r="GO324" s="275"/>
      <c r="GP324" s="275"/>
      <c r="GQ324" s="275"/>
      <c r="GR324" s="275"/>
      <c r="GS324" s="275"/>
      <c r="GT324" s="275"/>
      <c r="GU324" s="275"/>
      <c r="GV324" s="275"/>
      <c r="GW324" s="275"/>
      <c r="GX324" s="275"/>
      <c r="GY324" s="275"/>
      <c r="GZ324" s="275"/>
      <c r="HA324" s="275"/>
      <c r="HB324" s="275"/>
      <c r="HC324" s="275"/>
      <c r="HD324" s="275"/>
      <c r="HE324" s="275"/>
      <c r="HF324" s="275"/>
      <c r="HG324" s="275"/>
      <c r="HH324" s="275"/>
      <c r="HI324" s="275"/>
      <c r="HJ324" s="275"/>
      <c r="HK324" s="275"/>
      <c r="HL324" s="275"/>
      <c r="HM324" s="275"/>
      <c r="HN324" s="275"/>
      <c r="HO324" s="275"/>
      <c r="HP324" s="275"/>
      <c r="HQ324" s="275"/>
      <c r="HR324" s="275"/>
    </row>
    <row r="325" spans="1:226" s="297" customFormat="1">
      <c r="A325" s="275"/>
      <c r="B325" s="21"/>
      <c r="C325" s="21"/>
      <c r="D325" s="21"/>
      <c r="E325" s="21"/>
      <c r="F325" s="275"/>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J325" s="275"/>
      <c r="AK325" s="275"/>
      <c r="AL325" s="275"/>
      <c r="AM325" s="275"/>
      <c r="AN325" s="275"/>
      <c r="AO325" s="275"/>
      <c r="AQ325" s="275"/>
      <c r="AR325" s="275"/>
      <c r="AS325" s="275"/>
      <c r="AT325" s="275"/>
      <c r="AU325" s="275"/>
      <c r="AV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D325" s="275"/>
      <c r="EE325" s="275"/>
      <c r="EF325" s="275"/>
      <c r="EG325" s="275"/>
      <c r="EH325" s="275"/>
      <c r="EI325" s="275"/>
      <c r="EJ325" s="275"/>
      <c r="EK325" s="275"/>
      <c r="EL325" s="275"/>
      <c r="EM325" s="275"/>
      <c r="EN325" s="275"/>
      <c r="EO325" s="275"/>
      <c r="EP325" s="275"/>
      <c r="EQ325" s="275"/>
      <c r="ER325" s="275"/>
      <c r="ES325" s="275"/>
      <c r="ET325" s="275"/>
      <c r="EU325"/>
      <c r="EV325"/>
      <c r="EW325" s="275"/>
      <c r="EX325" s="275"/>
      <c r="EY325" s="275"/>
      <c r="EZ325" s="275"/>
      <c r="FA325" s="275"/>
      <c r="FB325" s="275"/>
      <c r="FC325" s="275"/>
      <c r="FD325" s="275"/>
      <c r="FE325" s="275"/>
      <c r="FF325" s="275"/>
      <c r="FG325" s="275"/>
      <c r="FH325" s="275"/>
      <c r="FI325" s="275"/>
      <c r="FJ325" s="275"/>
      <c r="FK325" s="275"/>
      <c r="FL325" s="275"/>
      <c r="FM325" s="275"/>
      <c r="FN325" s="275"/>
      <c r="FO325" s="275"/>
      <c r="FP325" s="275"/>
      <c r="FQ325" s="275"/>
      <c r="FR325" s="275"/>
      <c r="FS325" s="275"/>
      <c r="FT325" s="275"/>
      <c r="FU325" s="275"/>
      <c r="FV325" s="275"/>
      <c r="FW325" s="275"/>
      <c r="FX325" s="275"/>
      <c r="FY325" s="275"/>
      <c r="FZ325" s="275"/>
      <c r="GA325" s="275"/>
      <c r="GB325" s="275"/>
      <c r="GC325" s="275"/>
      <c r="GD325" s="275"/>
      <c r="GE325" s="275"/>
      <c r="GF325" s="275"/>
      <c r="GG325" s="275"/>
      <c r="GH325" s="275"/>
      <c r="GI325" s="275"/>
      <c r="GJ325" s="275"/>
      <c r="GK325" s="275"/>
      <c r="GL325" s="275"/>
      <c r="GM325" s="275"/>
      <c r="GN325" s="275"/>
      <c r="GO325" s="275"/>
      <c r="GP325" s="275"/>
      <c r="GQ325" s="275"/>
      <c r="GR325" s="275"/>
      <c r="GS325" s="275"/>
      <c r="GT325" s="275"/>
      <c r="GU325" s="275"/>
      <c r="GV325" s="275"/>
      <c r="GW325" s="275"/>
      <c r="GX325" s="275"/>
      <c r="GY325" s="275"/>
      <c r="GZ325" s="275"/>
      <c r="HA325" s="275"/>
      <c r="HB325" s="275"/>
      <c r="HC325" s="275"/>
      <c r="HD325" s="275"/>
      <c r="HE325" s="275"/>
      <c r="HF325" s="275"/>
      <c r="HG325" s="275"/>
      <c r="HH325" s="275"/>
      <c r="HI325" s="275"/>
      <c r="HJ325" s="275"/>
      <c r="HK325" s="275"/>
      <c r="HL325" s="275"/>
      <c r="HM325" s="275"/>
      <c r="HN325" s="275"/>
      <c r="HO325" s="275"/>
      <c r="HP325" s="275"/>
      <c r="HQ325" s="275"/>
      <c r="HR325" s="275"/>
    </row>
    <row r="326" spans="1:226" s="297" customFormat="1">
      <c r="A326" s="275"/>
      <c r="B326" s="21"/>
      <c r="C326" s="21"/>
      <c r="D326" s="21"/>
      <c r="E326" s="21"/>
      <c r="F326" s="275"/>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J326" s="275"/>
      <c r="AK326" s="275"/>
      <c r="AL326" s="275"/>
      <c r="AM326" s="275"/>
      <c r="AN326" s="275"/>
      <c r="AO326" s="275"/>
      <c r="AQ326" s="275"/>
      <c r="AR326" s="275"/>
      <c r="AS326" s="275"/>
      <c r="AT326" s="275"/>
      <c r="AU326" s="275"/>
      <c r="AV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D326" s="275"/>
      <c r="EE326" s="275"/>
      <c r="EF326" s="275"/>
      <c r="EG326" s="275"/>
      <c r="EH326" s="275"/>
      <c r="EI326" s="275"/>
      <c r="EJ326" s="275"/>
      <c r="EK326" s="275"/>
      <c r="EL326" s="275"/>
      <c r="EM326" s="275"/>
      <c r="EN326" s="275"/>
      <c r="EO326" s="275"/>
      <c r="EP326" s="275"/>
      <c r="EQ326" s="275"/>
      <c r="ER326" s="275"/>
      <c r="ES326" s="275"/>
      <c r="ET326" s="275"/>
      <c r="EU326"/>
      <c r="EV326"/>
      <c r="EW326" s="275"/>
      <c r="EX326" s="275"/>
      <c r="EY326" s="275"/>
      <c r="EZ326" s="275"/>
      <c r="FA326" s="275"/>
      <c r="FB326" s="275"/>
      <c r="FC326" s="275"/>
      <c r="FD326" s="275"/>
      <c r="FE326" s="275"/>
      <c r="FF326" s="275"/>
      <c r="FG326" s="275"/>
      <c r="FH326" s="275"/>
      <c r="FI326" s="275"/>
      <c r="FJ326" s="275"/>
      <c r="FK326" s="275"/>
      <c r="FL326" s="275"/>
      <c r="FM326" s="275"/>
      <c r="FN326" s="275"/>
      <c r="FO326" s="275"/>
      <c r="FP326" s="275"/>
      <c r="FQ326" s="275"/>
      <c r="FR326" s="275"/>
      <c r="FS326" s="275"/>
      <c r="FT326" s="275"/>
      <c r="FU326" s="275"/>
      <c r="FV326" s="275"/>
      <c r="FW326" s="275"/>
      <c r="FX326" s="275"/>
      <c r="FY326" s="275"/>
      <c r="FZ326" s="275"/>
      <c r="GA326" s="275"/>
      <c r="GB326" s="275"/>
      <c r="GC326" s="275"/>
      <c r="GD326" s="275"/>
      <c r="GE326" s="275"/>
      <c r="GF326" s="275"/>
      <c r="GG326" s="275"/>
      <c r="GH326" s="275"/>
      <c r="GI326" s="275"/>
      <c r="GJ326" s="275"/>
      <c r="GK326" s="275"/>
      <c r="GL326" s="275"/>
      <c r="GM326" s="275"/>
      <c r="GN326" s="275"/>
      <c r="GO326" s="275"/>
      <c r="GP326" s="275"/>
      <c r="GQ326" s="275"/>
      <c r="GR326" s="275"/>
      <c r="GS326" s="275"/>
      <c r="GT326" s="275"/>
      <c r="GU326" s="275"/>
      <c r="GV326" s="275"/>
      <c r="GW326" s="275"/>
      <c r="GX326" s="275"/>
      <c r="GY326" s="275"/>
      <c r="GZ326" s="275"/>
      <c r="HA326" s="275"/>
      <c r="HB326" s="275"/>
      <c r="HC326" s="275"/>
      <c r="HD326" s="275"/>
      <c r="HE326" s="275"/>
      <c r="HF326" s="275"/>
      <c r="HG326" s="275"/>
      <c r="HH326" s="275"/>
      <c r="HI326" s="275"/>
      <c r="HJ326" s="275"/>
      <c r="HK326" s="275"/>
      <c r="HL326" s="275"/>
      <c r="HM326" s="275"/>
      <c r="HN326" s="275"/>
      <c r="HO326" s="275"/>
      <c r="HP326" s="275"/>
      <c r="HQ326" s="275"/>
      <c r="HR326" s="275"/>
    </row>
    <row r="327" spans="1:226" s="297" customFormat="1">
      <c r="A327" s="275"/>
      <c r="B327" s="21"/>
      <c r="C327" s="21"/>
      <c r="D327" s="21"/>
      <c r="E327" s="21"/>
      <c r="F327" s="275"/>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J327" s="275"/>
      <c r="AK327" s="275"/>
      <c r="AL327" s="275"/>
      <c r="AM327" s="275"/>
      <c r="AN327" s="275"/>
      <c r="AO327" s="275"/>
      <c r="AQ327" s="275"/>
      <c r="AR327" s="275"/>
      <c r="AS327" s="275"/>
      <c r="AT327" s="275"/>
      <c r="AU327" s="275"/>
      <c r="AV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D327" s="275"/>
      <c r="EE327" s="275"/>
      <c r="EF327" s="275"/>
      <c r="EG327" s="275"/>
      <c r="EH327" s="275"/>
      <c r="EI327" s="275"/>
      <c r="EJ327" s="275"/>
      <c r="EK327" s="275"/>
      <c r="EL327" s="275"/>
      <c r="EM327" s="275"/>
      <c r="EN327" s="275"/>
      <c r="EO327" s="275"/>
      <c r="EP327" s="275"/>
      <c r="EQ327" s="275"/>
      <c r="ER327" s="275"/>
      <c r="ES327" s="275"/>
      <c r="ET327" s="275"/>
      <c r="EU327"/>
      <c r="EV327"/>
      <c r="EW327" s="275"/>
      <c r="EX327" s="275"/>
      <c r="EY327" s="275"/>
      <c r="EZ327" s="275"/>
      <c r="FA327" s="275"/>
      <c r="FB327" s="275"/>
      <c r="FC327" s="275"/>
      <c r="FD327" s="275"/>
      <c r="FE327" s="275"/>
      <c r="FF327" s="275"/>
      <c r="FG327" s="275"/>
      <c r="FH327" s="275"/>
      <c r="FI327" s="275"/>
      <c r="FJ327" s="275"/>
      <c r="FK327" s="275"/>
      <c r="FL327" s="275"/>
      <c r="FM327" s="275"/>
      <c r="FN327" s="275"/>
      <c r="FO327" s="275"/>
      <c r="FP327" s="275"/>
      <c r="FQ327" s="275"/>
      <c r="FR327" s="275"/>
      <c r="FS327" s="275"/>
      <c r="FT327" s="275"/>
      <c r="FU327" s="275"/>
      <c r="FV327" s="275"/>
      <c r="FW327" s="275"/>
      <c r="FX327" s="275"/>
      <c r="FY327" s="275"/>
      <c r="FZ327" s="275"/>
      <c r="GA327" s="275"/>
      <c r="GB327" s="275"/>
      <c r="GC327" s="275"/>
      <c r="GD327" s="275"/>
      <c r="GE327" s="275"/>
      <c r="GF327" s="275"/>
      <c r="GG327" s="275"/>
      <c r="GH327" s="275"/>
      <c r="GI327" s="275"/>
      <c r="GJ327" s="275"/>
      <c r="GK327" s="275"/>
      <c r="GL327" s="275"/>
      <c r="GM327" s="275"/>
      <c r="GN327" s="275"/>
      <c r="GO327" s="275"/>
      <c r="GP327" s="275"/>
      <c r="GQ327" s="275"/>
      <c r="GR327" s="275"/>
      <c r="GS327" s="275"/>
      <c r="GT327" s="275"/>
      <c r="GU327" s="275"/>
      <c r="GV327" s="275"/>
      <c r="GW327" s="275"/>
      <c r="GX327" s="275"/>
      <c r="GY327" s="275"/>
      <c r="GZ327" s="275"/>
      <c r="HA327" s="275"/>
      <c r="HB327" s="275"/>
      <c r="HC327" s="275"/>
      <c r="HD327" s="275"/>
      <c r="HE327" s="275"/>
      <c r="HF327" s="275"/>
      <c r="HG327" s="275"/>
      <c r="HH327" s="275"/>
      <c r="HI327" s="275"/>
      <c r="HJ327" s="275"/>
      <c r="HK327" s="275"/>
      <c r="HL327" s="275"/>
      <c r="HM327" s="275"/>
      <c r="HN327" s="275"/>
      <c r="HO327" s="275"/>
      <c r="HP327" s="275"/>
      <c r="HQ327" s="275"/>
      <c r="HR327" s="275"/>
    </row>
    <row r="328" spans="1:226" s="297" customFormat="1">
      <c r="A328" s="275"/>
      <c r="B328" s="21"/>
      <c r="C328" s="21"/>
      <c r="D328" s="21"/>
      <c r="E328" s="21"/>
      <c r="F328" s="275"/>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J328" s="275"/>
      <c r="AK328" s="275"/>
      <c r="AL328" s="275"/>
      <c r="AM328" s="275"/>
      <c r="AN328" s="275"/>
      <c r="AO328" s="275"/>
      <c r="AQ328" s="275"/>
      <c r="AR328" s="275"/>
      <c r="AS328" s="275"/>
      <c r="AT328" s="275"/>
      <c r="AU328" s="275"/>
      <c r="AV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D328" s="275"/>
      <c r="EE328" s="275"/>
      <c r="EF328" s="275"/>
      <c r="EG328" s="275"/>
      <c r="EH328" s="275"/>
      <c r="EI328" s="275"/>
      <c r="EJ328" s="275"/>
      <c r="EK328" s="275"/>
      <c r="EL328" s="275"/>
      <c r="EM328" s="275"/>
      <c r="EN328" s="275"/>
      <c r="EO328" s="275"/>
      <c r="EP328" s="275"/>
      <c r="EQ328" s="275"/>
      <c r="ER328" s="275"/>
      <c r="ES328" s="275"/>
      <c r="ET328" s="275"/>
      <c r="EU328"/>
      <c r="EV328"/>
      <c r="EW328" s="275"/>
      <c r="EX328" s="275"/>
      <c r="EY328" s="275"/>
      <c r="EZ328" s="275"/>
      <c r="FA328" s="275"/>
      <c r="FB328" s="275"/>
      <c r="FC328" s="275"/>
      <c r="FD328" s="275"/>
      <c r="FE328" s="275"/>
      <c r="FF328" s="275"/>
      <c r="FG328" s="275"/>
      <c r="FH328" s="275"/>
      <c r="FI328" s="275"/>
      <c r="FJ328" s="275"/>
      <c r="FK328" s="275"/>
      <c r="FL328" s="275"/>
      <c r="FM328" s="275"/>
      <c r="FN328" s="275"/>
      <c r="FO328" s="275"/>
      <c r="FP328" s="275"/>
      <c r="FQ328" s="275"/>
      <c r="FR328" s="275"/>
      <c r="FS328" s="275"/>
      <c r="FT328" s="275"/>
      <c r="FU328" s="275"/>
      <c r="FV328" s="275"/>
      <c r="FW328" s="275"/>
      <c r="FX328" s="275"/>
      <c r="FY328" s="275"/>
      <c r="FZ328" s="275"/>
      <c r="GA328" s="275"/>
      <c r="GB328" s="275"/>
      <c r="GC328" s="275"/>
      <c r="GD328" s="275"/>
      <c r="GE328" s="275"/>
      <c r="GF328" s="275"/>
      <c r="GG328" s="275"/>
      <c r="GH328" s="275"/>
      <c r="GI328" s="275"/>
      <c r="GJ328" s="275"/>
      <c r="GK328" s="275"/>
      <c r="GL328" s="275"/>
      <c r="GM328" s="275"/>
      <c r="GN328" s="275"/>
      <c r="GO328" s="275"/>
      <c r="GP328" s="275"/>
      <c r="GQ328" s="275"/>
      <c r="GR328" s="275"/>
      <c r="GS328" s="275"/>
      <c r="GT328" s="275"/>
      <c r="GU328" s="275"/>
      <c r="GV328" s="275"/>
      <c r="GW328" s="275"/>
      <c r="GX328" s="275"/>
      <c r="GY328" s="275"/>
      <c r="GZ328" s="275"/>
      <c r="HA328" s="275"/>
      <c r="HB328" s="275"/>
      <c r="HC328" s="275"/>
      <c r="HD328" s="275"/>
      <c r="HE328" s="275"/>
      <c r="HF328" s="275"/>
      <c r="HG328" s="275"/>
      <c r="HH328" s="275"/>
      <c r="HI328" s="275"/>
      <c r="HJ328" s="275"/>
      <c r="HK328" s="275"/>
      <c r="HL328" s="275"/>
      <c r="HM328" s="275"/>
      <c r="HN328" s="275"/>
      <c r="HO328" s="275"/>
      <c r="HP328" s="275"/>
      <c r="HQ328" s="275"/>
      <c r="HR328" s="275"/>
    </row>
    <row r="329" spans="1:226" s="297" customFormat="1">
      <c r="A329" s="275"/>
      <c r="B329" s="21"/>
      <c r="C329" s="21"/>
      <c r="D329" s="21"/>
      <c r="E329" s="21"/>
      <c r="F329" s="275"/>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J329" s="275"/>
      <c r="AK329" s="275"/>
      <c r="AL329" s="275"/>
      <c r="AM329" s="275"/>
      <c r="AN329" s="275"/>
      <c r="AO329" s="275"/>
      <c r="AQ329" s="275"/>
      <c r="AR329" s="275"/>
      <c r="AS329" s="275"/>
      <c r="AT329" s="275"/>
      <c r="AU329" s="275"/>
      <c r="AV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D329" s="275"/>
      <c r="EE329" s="275"/>
      <c r="EF329" s="275"/>
      <c r="EG329" s="275"/>
      <c r="EH329" s="275"/>
      <c r="EI329" s="275"/>
      <c r="EJ329" s="275"/>
      <c r="EK329" s="275"/>
      <c r="EL329" s="275"/>
      <c r="EM329" s="275"/>
      <c r="EN329" s="275"/>
      <c r="EO329" s="275"/>
      <c r="EP329" s="275"/>
      <c r="EQ329" s="275"/>
      <c r="ER329" s="275"/>
      <c r="ES329" s="275"/>
      <c r="ET329" s="275"/>
      <c r="EU329"/>
      <c r="EV329"/>
      <c r="EW329" s="275"/>
      <c r="EX329" s="275"/>
      <c r="EY329" s="275"/>
      <c r="EZ329" s="275"/>
      <c r="FA329" s="275"/>
      <c r="FB329" s="275"/>
      <c r="FC329" s="275"/>
      <c r="FD329" s="275"/>
      <c r="FE329" s="275"/>
      <c r="FF329" s="275"/>
      <c r="FG329" s="275"/>
      <c r="FH329" s="275"/>
      <c r="FI329" s="275"/>
      <c r="FJ329" s="275"/>
      <c r="FK329" s="275"/>
      <c r="FL329" s="275"/>
      <c r="FM329" s="275"/>
      <c r="FN329" s="275"/>
      <c r="FO329" s="275"/>
      <c r="FP329" s="275"/>
      <c r="FQ329" s="275"/>
      <c r="FR329" s="275"/>
      <c r="FS329" s="275"/>
      <c r="FT329" s="275"/>
      <c r="FU329" s="275"/>
      <c r="FV329" s="275"/>
      <c r="FW329" s="275"/>
      <c r="FX329" s="275"/>
      <c r="FY329" s="275"/>
      <c r="FZ329" s="275"/>
      <c r="GA329" s="275"/>
      <c r="GB329" s="275"/>
      <c r="GC329" s="275"/>
      <c r="GD329" s="275"/>
      <c r="GE329" s="275"/>
      <c r="GF329" s="275"/>
      <c r="GG329" s="275"/>
      <c r="GH329" s="275"/>
      <c r="GI329" s="275"/>
      <c r="GJ329" s="275"/>
      <c r="GK329" s="275"/>
      <c r="GL329" s="275"/>
      <c r="GM329" s="275"/>
      <c r="GN329" s="275"/>
      <c r="GO329" s="275"/>
      <c r="GP329" s="275"/>
      <c r="GQ329" s="275"/>
      <c r="GR329" s="275"/>
      <c r="GS329" s="275"/>
      <c r="GT329" s="275"/>
      <c r="GU329" s="275"/>
      <c r="GV329" s="275"/>
      <c r="GW329" s="275"/>
      <c r="GX329" s="275"/>
      <c r="GY329" s="275"/>
      <c r="GZ329" s="275"/>
      <c r="HA329" s="275"/>
      <c r="HB329" s="275"/>
      <c r="HC329" s="275"/>
      <c r="HD329" s="275"/>
      <c r="HE329" s="275"/>
      <c r="HF329" s="275"/>
      <c r="HG329" s="275"/>
      <c r="HH329" s="275"/>
      <c r="HI329" s="275"/>
      <c r="HJ329" s="275"/>
      <c r="HK329" s="275"/>
      <c r="HL329" s="275"/>
      <c r="HM329" s="275"/>
      <c r="HN329" s="275"/>
      <c r="HO329" s="275"/>
      <c r="HP329" s="275"/>
      <c r="HQ329" s="275"/>
      <c r="HR329" s="275"/>
    </row>
    <row r="330" spans="1:226" s="297" customFormat="1">
      <c r="A330" s="275"/>
      <c r="B330" s="21"/>
      <c r="C330" s="21"/>
      <c r="D330" s="21"/>
      <c r="E330" s="21"/>
      <c r="F330" s="275"/>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J330" s="275"/>
      <c r="AK330" s="275"/>
      <c r="AL330" s="275"/>
      <c r="AM330" s="275"/>
      <c r="AN330" s="275"/>
      <c r="AO330" s="275"/>
      <c r="AQ330" s="275"/>
      <c r="AR330" s="275"/>
      <c r="AS330" s="275"/>
      <c r="AT330" s="275"/>
      <c r="AU330" s="275"/>
      <c r="AV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D330" s="275"/>
      <c r="EE330" s="275"/>
      <c r="EF330" s="275"/>
      <c r="EG330" s="275"/>
      <c r="EH330" s="275"/>
      <c r="EI330" s="275"/>
      <c r="EJ330" s="275"/>
      <c r="EK330" s="275"/>
      <c r="EL330" s="275"/>
      <c r="EM330" s="275"/>
      <c r="EN330" s="275"/>
      <c r="EO330" s="275"/>
      <c r="EP330" s="275"/>
      <c r="EQ330" s="275"/>
      <c r="ER330" s="275"/>
      <c r="ES330" s="275"/>
      <c r="ET330" s="275"/>
      <c r="EU330"/>
      <c r="EV330"/>
      <c r="EW330" s="275"/>
      <c r="EX330" s="275"/>
      <c r="EY330" s="275"/>
      <c r="EZ330" s="275"/>
      <c r="FA330" s="275"/>
      <c r="FB330" s="275"/>
      <c r="FC330" s="275"/>
      <c r="FD330" s="275"/>
      <c r="FE330" s="275"/>
      <c r="FF330" s="275"/>
      <c r="FG330" s="275"/>
      <c r="FH330" s="275"/>
      <c r="FI330" s="275"/>
      <c r="FJ330" s="275"/>
      <c r="FK330" s="275"/>
      <c r="FL330" s="275"/>
      <c r="FM330" s="275"/>
      <c r="FN330" s="275"/>
      <c r="FO330" s="275"/>
      <c r="FP330" s="275"/>
      <c r="FQ330" s="275"/>
      <c r="FR330" s="275"/>
      <c r="FS330" s="275"/>
      <c r="FT330" s="275"/>
      <c r="FU330" s="275"/>
      <c r="FV330" s="275"/>
      <c r="FW330" s="275"/>
      <c r="FX330" s="275"/>
      <c r="FY330" s="275"/>
      <c r="FZ330" s="275"/>
      <c r="GA330" s="275"/>
      <c r="GB330" s="275"/>
      <c r="GC330" s="275"/>
      <c r="GD330" s="275"/>
      <c r="GE330" s="275"/>
      <c r="GF330" s="275"/>
      <c r="GG330" s="275"/>
      <c r="GH330" s="275"/>
      <c r="GI330" s="275"/>
      <c r="GJ330" s="275"/>
      <c r="GK330" s="275"/>
      <c r="GL330" s="275"/>
      <c r="GM330" s="275"/>
      <c r="GN330" s="275"/>
      <c r="GO330" s="275"/>
      <c r="GP330" s="275"/>
      <c r="GQ330" s="275"/>
      <c r="GR330" s="275"/>
      <c r="GS330" s="275"/>
      <c r="GT330" s="275"/>
      <c r="GU330" s="275"/>
      <c r="GV330" s="275"/>
      <c r="GW330" s="275"/>
      <c r="GX330" s="275"/>
      <c r="GY330" s="275"/>
      <c r="GZ330" s="275"/>
      <c r="HA330" s="275"/>
      <c r="HB330" s="275"/>
      <c r="HC330" s="275"/>
      <c r="HD330" s="275"/>
      <c r="HE330" s="275"/>
      <c r="HF330" s="275"/>
      <c r="HG330" s="275"/>
      <c r="HH330" s="275"/>
      <c r="HI330" s="275"/>
      <c r="HJ330" s="275"/>
      <c r="HK330" s="275"/>
      <c r="HL330" s="275"/>
      <c r="HM330" s="275"/>
      <c r="HN330" s="275"/>
      <c r="HO330" s="275"/>
      <c r="HP330" s="275"/>
      <c r="HQ330" s="275"/>
      <c r="HR330" s="275"/>
    </row>
    <row r="331" spans="1:226" s="297" customFormat="1">
      <c r="A331" s="275"/>
      <c r="B331" s="21"/>
      <c r="C331" s="21"/>
      <c r="D331" s="21"/>
      <c r="E331" s="21"/>
      <c r="F331" s="275"/>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J331" s="275"/>
      <c r="AK331" s="275"/>
      <c r="AL331" s="275"/>
      <c r="AM331" s="275"/>
      <c r="AN331" s="275"/>
      <c r="AO331" s="275"/>
      <c r="AQ331" s="275"/>
      <c r="AR331" s="275"/>
      <c r="AS331" s="275"/>
      <c r="AT331" s="275"/>
      <c r="AU331" s="275"/>
      <c r="AV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D331" s="275"/>
      <c r="EE331" s="275"/>
      <c r="EF331" s="275"/>
      <c r="EG331" s="275"/>
      <c r="EH331" s="275"/>
      <c r="EI331" s="275"/>
      <c r="EJ331" s="275"/>
      <c r="EK331" s="275"/>
      <c r="EL331" s="275"/>
      <c r="EM331" s="275"/>
      <c r="EN331" s="275"/>
      <c r="EO331" s="275"/>
      <c r="EP331" s="275"/>
      <c r="EQ331" s="275"/>
      <c r="ER331" s="275"/>
      <c r="ES331" s="275"/>
      <c r="ET331" s="275"/>
      <c r="EU331"/>
      <c r="EV331"/>
      <c r="EW331" s="275"/>
      <c r="EX331" s="275"/>
      <c r="EY331" s="275"/>
      <c r="EZ331" s="275"/>
      <c r="FA331" s="275"/>
      <c r="FB331" s="275"/>
      <c r="FC331" s="275"/>
      <c r="FD331" s="275"/>
      <c r="FE331" s="275"/>
      <c r="FF331" s="275"/>
      <c r="FG331" s="275"/>
      <c r="FH331" s="275"/>
      <c r="FI331" s="275"/>
      <c r="FJ331" s="275"/>
      <c r="FK331" s="275"/>
      <c r="FL331" s="275"/>
      <c r="FM331" s="275"/>
      <c r="FN331" s="275"/>
      <c r="FO331" s="275"/>
      <c r="FP331" s="275"/>
      <c r="FQ331" s="275"/>
      <c r="FR331" s="275"/>
      <c r="FS331" s="275"/>
      <c r="FT331" s="275"/>
      <c r="FU331" s="275"/>
      <c r="FV331" s="275"/>
      <c r="FW331" s="275"/>
      <c r="FX331" s="275"/>
      <c r="FY331" s="275"/>
      <c r="FZ331" s="275"/>
      <c r="GA331" s="275"/>
      <c r="GB331" s="275"/>
      <c r="GC331" s="275"/>
      <c r="GD331" s="275"/>
      <c r="GE331" s="275"/>
      <c r="GF331" s="275"/>
      <c r="GG331" s="275"/>
      <c r="GH331" s="275"/>
      <c r="GI331" s="275"/>
      <c r="GJ331" s="275"/>
      <c r="GK331" s="275"/>
      <c r="GL331" s="275"/>
      <c r="GM331" s="275"/>
      <c r="GN331" s="275"/>
      <c r="GO331" s="275"/>
      <c r="GP331" s="275"/>
      <c r="GQ331" s="275"/>
      <c r="GR331" s="275"/>
      <c r="GS331" s="275"/>
      <c r="GT331" s="275"/>
      <c r="GU331" s="275"/>
      <c r="GV331" s="275"/>
      <c r="GW331" s="275"/>
      <c r="GX331" s="275"/>
      <c r="GY331" s="275"/>
      <c r="GZ331" s="275"/>
      <c r="HA331" s="275"/>
      <c r="HB331" s="275"/>
      <c r="HC331" s="275"/>
      <c r="HD331" s="275"/>
      <c r="HE331" s="275"/>
      <c r="HF331" s="275"/>
      <c r="HG331" s="275"/>
      <c r="HH331" s="275"/>
      <c r="HI331" s="275"/>
      <c r="HJ331" s="275"/>
      <c r="HK331" s="275"/>
      <c r="HL331" s="275"/>
      <c r="HM331" s="275"/>
      <c r="HN331" s="275"/>
      <c r="HO331" s="275"/>
      <c r="HP331" s="275"/>
      <c r="HQ331" s="275"/>
      <c r="HR331" s="275"/>
    </row>
    <row r="332" spans="1:226" s="297" customFormat="1">
      <c r="A332" s="275"/>
      <c r="B332" s="21"/>
      <c r="C332" s="21"/>
      <c r="D332" s="21"/>
      <c r="E332" s="21"/>
      <c r="F332" s="275"/>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J332" s="275"/>
      <c r="AK332" s="275"/>
      <c r="AL332" s="275"/>
      <c r="AM332" s="275"/>
      <c r="AN332" s="275"/>
      <c r="AO332" s="275"/>
      <c r="AQ332" s="275"/>
      <c r="AR332" s="275"/>
      <c r="AS332" s="275"/>
      <c r="AT332" s="275"/>
      <c r="AU332" s="275"/>
      <c r="AV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D332" s="275"/>
      <c r="EE332" s="275"/>
      <c r="EF332" s="275"/>
      <c r="EG332" s="275"/>
      <c r="EH332" s="275"/>
      <c r="EI332" s="275"/>
      <c r="EJ332" s="275"/>
      <c r="EK332" s="275"/>
      <c r="EL332" s="275"/>
      <c r="EM332" s="275"/>
      <c r="EN332" s="275"/>
      <c r="EO332" s="275"/>
      <c r="EP332" s="275"/>
      <c r="EQ332" s="275"/>
      <c r="ER332" s="275"/>
      <c r="ES332" s="275"/>
      <c r="ET332" s="275"/>
      <c r="EU332"/>
      <c r="EV332"/>
      <c r="EW332" s="275"/>
      <c r="EX332" s="275"/>
      <c r="EY332" s="275"/>
      <c r="EZ332" s="275"/>
      <c r="FA332" s="275"/>
      <c r="FB332" s="275"/>
      <c r="FC332" s="275"/>
      <c r="FD332" s="275"/>
      <c r="FE332" s="275"/>
      <c r="FF332" s="275"/>
      <c r="FG332" s="275"/>
      <c r="FH332" s="275"/>
      <c r="FI332" s="275"/>
      <c r="FJ332" s="275"/>
      <c r="FK332" s="275"/>
      <c r="FL332" s="275"/>
      <c r="FM332" s="275"/>
      <c r="FN332" s="275"/>
      <c r="FO332" s="275"/>
      <c r="FP332" s="275"/>
      <c r="FQ332" s="275"/>
      <c r="FR332" s="275"/>
      <c r="FS332" s="275"/>
      <c r="FT332" s="275"/>
      <c r="FU332" s="275"/>
      <c r="FV332" s="275"/>
      <c r="FW332" s="275"/>
      <c r="FX332" s="275"/>
      <c r="FY332" s="275"/>
      <c r="FZ332" s="275"/>
      <c r="GA332" s="275"/>
      <c r="GB332" s="275"/>
      <c r="GC332" s="275"/>
      <c r="GD332" s="275"/>
      <c r="GE332" s="275"/>
      <c r="GF332" s="275"/>
      <c r="GG332" s="275"/>
      <c r="GH332" s="275"/>
      <c r="GI332" s="275"/>
      <c r="GJ332" s="275"/>
      <c r="GK332" s="275"/>
      <c r="GL332" s="275"/>
      <c r="GM332" s="275"/>
      <c r="GN332" s="275"/>
      <c r="GO332" s="275"/>
      <c r="GP332" s="275"/>
      <c r="GQ332" s="275"/>
      <c r="GR332" s="275"/>
      <c r="GS332" s="275"/>
      <c r="GT332" s="275"/>
      <c r="GU332" s="275"/>
      <c r="GV332" s="275"/>
      <c r="GW332" s="275"/>
      <c r="GX332" s="275"/>
      <c r="GY332" s="275"/>
      <c r="GZ332" s="275"/>
      <c r="HA332" s="275"/>
      <c r="HB332" s="275"/>
      <c r="HC332" s="275"/>
      <c r="HD332" s="275"/>
      <c r="HE332" s="275"/>
      <c r="HF332" s="275"/>
      <c r="HG332" s="275"/>
      <c r="HH332" s="275"/>
      <c r="HI332" s="275"/>
      <c r="HJ332" s="275"/>
      <c r="HK332" s="275"/>
      <c r="HL332" s="275"/>
      <c r="HM332" s="275"/>
      <c r="HN332" s="275"/>
      <c r="HO332" s="275"/>
      <c r="HP332" s="275"/>
      <c r="HQ332" s="275"/>
      <c r="HR332" s="275"/>
    </row>
    <row r="333" spans="1:226" s="297" customFormat="1">
      <c r="A333" s="275"/>
      <c r="B333" s="21"/>
      <c r="C333" s="21"/>
      <c r="D333" s="21"/>
      <c r="E333" s="21"/>
      <c r="F333" s="275"/>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J333" s="275"/>
      <c r="AK333" s="275"/>
      <c r="AL333" s="275"/>
      <c r="AM333" s="275"/>
      <c r="AN333" s="275"/>
      <c r="AO333" s="275"/>
      <c r="AQ333" s="275"/>
      <c r="AR333" s="275"/>
      <c r="AS333" s="275"/>
      <c r="AT333" s="275"/>
      <c r="AU333" s="275"/>
      <c r="AV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D333" s="275"/>
      <c r="EE333" s="275"/>
      <c r="EF333" s="275"/>
      <c r="EG333" s="275"/>
      <c r="EH333" s="275"/>
      <c r="EI333" s="275"/>
      <c r="EJ333" s="275"/>
      <c r="EK333" s="275"/>
      <c r="EL333" s="275"/>
      <c r="EM333" s="275"/>
      <c r="EN333" s="275"/>
      <c r="EO333" s="275"/>
      <c r="EP333" s="275"/>
      <c r="EQ333" s="275"/>
      <c r="ER333" s="275"/>
      <c r="ES333" s="275"/>
      <c r="ET333" s="275"/>
      <c r="EU333"/>
      <c r="EV333"/>
      <c r="EW333" s="275"/>
      <c r="EX333" s="275"/>
      <c r="EY333" s="275"/>
      <c r="EZ333" s="275"/>
      <c r="FA333" s="275"/>
      <c r="FB333" s="275"/>
      <c r="FC333" s="275"/>
      <c r="FD333" s="275"/>
      <c r="FE333" s="275"/>
      <c r="FF333" s="275"/>
      <c r="FG333" s="275"/>
      <c r="FH333" s="275"/>
      <c r="FI333" s="275"/>
      <c r="FJ333" s="275"/>
      <c r="FK333" s="275"/>
      <c r="FL333" s="275"/>
      <c r="FM333" s="275"/>
      <c r="FN333" s="275"/>
      <c r="FO333" s="275"/>
      <c r="FP333" s="275"/>
      <c r="FQ333" s="275"/>
      <c r="FR333" s="275"/>
      <c r="FS333" s="275"/>
      <c r="FT333" s="275"/>
      <c r="FU333" s="275"/>
      <c r="FV333" s="275"/>
      <c r="FW333" s="275"/>
      <c r="FX333" s="275"/>
      <c r="FY333" s="275"/>
      <c r="FZ333" s="275"/>
      <c r="GA333" s="275"/>
      <c r="GB333" s="275"/>
      <c r="GC333" s="275"/>
      <c r="GD333" s="275"/>
      <c r="GE333" s="275"/>
      <c r="GF333" s="275"/>
      <c r="GG333" s="275"/>
      <c r="GH333" s="275"/>
      <c r="GI333" s="275"/>
      <c r="GJ333" s="275"/>
      <c r="GK333" s="275"/>
      <c r="GL333" s="275"/>
      <c r="GM333" s="275"/>
      <c r="GN333" s="275"/>
      <c r="GO333" s="275"/>
      <c r="GP333" s="275"/>
      <c r="GQ333" s="275"/>
      <c r="GR333" s="275"/>
      <c r="GS333" s="275"/>
      <c r="GT333" s="275"/>
      <c r="GU333" s="275"/>
      <c r="GV333" s="275"/>
      <c r="GW333" s="275"/>
      <c r="GX333" s="275"/>
      <c r="GY333" s="275"/>
      <c r="GZ333" s="275"/>
      <c r="HA333" s="275"/>
      <c r="HB333" s="275"/>
      <c r="HC333" s="275"/>
      <c r="HD333" s="275"/>
      <c r="HE333" s="275"/>
      <c r="HF333" s="275"/>
      <c r="HG333" s="275"/>
      <c r="HH333" s="275"/>
      <c r="HI333" s="275"/>
      <c r="HJ333" s="275"/>
      <c r="HK333" s="275"/>
      <c r="HL333" s="275"/>
      <c r="HM333" s="275"/>
      <c r="HN333" s="275"/>
      <c r="HO333" s="275"/>
      <c r="HP333" s="275"/>
      <c r="HQ333" s="275"/>
      <c r="HR333" s="275"/>
    </row>
    <row r="334" spans="1:226" s="297" customFormat="1">
      <c r="A334" s="275"/>
      <c r="B334" s="21"/>
      <c r="C334" s="21"/>
      <c r="D334" s="21"/>
      <c r="E334" s="21"/>
      <c r="F334" s="275"/>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J334" s="275"/>
      <c r="AK334" s="275"/>
      <c r="AL334" s="275"/>
      <c r="AM334" s="275"/>
      <c r="AN334" s="275"/>
      <c r="AO334" s="275"/>
      <c r="AQ334" s="275"/>
      <c r="AR334" s="275"/>
      <c r="AS334" s="275"/>
      <c r="AT334" s="275"/>
      <c r="AU334" s="275"/>
      <c r="AV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D334" s="275"/>
      <c r="EE334" s="275"/>
      <c r="EF334" s="275"/>
      <c r="EG334" s="275"/>
      <c r="EH334" s="275"/>
      <c r="EI334" s="275"/>
      <c r="EJ334" s="275"/>
      <c r="EK334" s="275"/>
      <c r="EL334" s="275"/>
      <c r="EM334" s="275"/>
      <c r="EN334" s="275"/>
      <c r="EO334" s="275"/>
      <c r="EP334" s="275"/>
      <c r="EQ334" s="275"/>
      <c r="ER334" s="275"/>
      <c r="ES334" s="275"/>
      <c r="ET334" s="275"/>
      <c r="EU334"/>
      <c r="EV334"/>
      <c r="EW334" s="275"/>
      <c r="EX334" s="275"/>
      <c r="EY334" s="275"/>
      <c r="EZ334" s="275"/>
      <c r="FA334" s="275"/>
      <c r="FB334" s="275"/>
      <c r="FC334" s="275"/>
      <c r="FD334" s="275"/>
      <c r="FE334" s="275"/>
      <c r="FF334" s="275"/>
      <c r="FG334" s="275"/>
      <c r="FH334" s="275"/>
      <c r="FI334" s="275"/>
      <c r="FJ334" s="275"/>
      <c r="FK334" s="275"/>
      <c r="FL334" s="275"/>
      <c r="FM334" s="275"/>
      <c r="FN334" s="275"/>
      <c r="FO334" s="275"/>
      <c r="FP334" s="275"/>
      <c r="FQ334" s="275"/>
      <c r="FR334" s="275"/>
      <c r="FS334" s="275"/>
      <c r="FT334" s="275"/>
      <c r="FU334" s="275"/>
      <c r="FV334" s="275"/>
      <c r="FW334" s="275"/>
      <c r="FX334" s="275"/>
      <c r="FY334" s="275"/>
      <c r="FZ334" s="275"/>
      <c r="GA334" s="275"/>
      <c r="GB334" s="275"/>
      <c r="GC334" s="275"/>
      <c r="GD334" s="275"/>
      <c r="GE334" s="275"/>
      <c r="GF334" s="275"/>
      <c r="GG334" s="275"/>
      <c r="GH334" s="275"/>
      <c r="GI334" s="275"/>
      <c r="GJ334" s="275"/>
      <c r="GK334" s="275"/>
      <c r="GL334" s="275"/>
      <c r="GM334" s="275"/>
      <c r="GN334" s="275"/>
      <c r="GO334" s="275"/>
      <c r="GP334" s="275"/>
      <c r="GQ334" s="275"/>
      <c r="GR334" s="275"/>
      <c r="GS334" s="275"/>
      <c r="GT334" s="275"/>
      <c r="GU334" s="275"/>
      <c r="GV334" s="275"/>
      <c r="GW334" s="275"/>
      <c r="GX334" s="275"/>
      <c r="GY334" s="275"/>
      <c r="GZ334" s="275"/>
      <c r="HA334" s="275"/>
      <c r="HB334" s="275"/>
      <c r="HC334" s="275"/>
      <c r="HD334" s="275"/>
      <c r="HE334" s="275"/>
      <c r="HF334" s="275"/>
      <c r="HG334" s="275"/>
      <c r="HH334" s="275"/>
      <c r="HI334" s="275"/>
      <c r="HJ334" s="275"/>
      <c r="HK334" s="275"/>
      <c r="HL334" s="275"/>
      <c r="HM334" s="275"/>
      <c r="HN334" s="275"/>
      <c r="HO334" s="275"/>
      <c r="HP334" s="275"/>
      <c r="HQ334" s="275"/>
      <c r="HR334" s="275"/>
    </row>
    <row r="335" spans="1:226" s="297" customFormat="1">
      <c r="A335" s="275"/>
      <c r="B335" s="21"/>
      <c r="C335" s="21"/>
      <c r="D335" s="21"/>
      <c r="E335" s="21"/>
      <c r="F335" s="275"/>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J335" s="275"/>
      <c r="AK335" s="275"/>
      <c r="AL335" s="275"/>
      <c r="AM335" s="275"/>
      <c r="AN335" s="275"/>
      <c r="AO335" s="275"/>
      <c r="AQ335" s="275"/>
      <c r="AR335" s="275"/>
      <c r="AS335" s="275"/>
      <c r="AT335" s="275"/>
      <c r="AU335" s="275"/>
      <c r="AV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D335" s="275"/>
      <c r="EE335" s="275"/>
      <c r="EF335" s="275"/>
      <c r="EG335" s="275"/>
      <c r="EH335" s="275"/>
      <c r="EI335" s="275"/>
      <c r="EJ335" s="275"/>
      <c r="EK335" s="275"/>
      <c r="EL335" s="275"/>
      <c r="EM335" s="275"/>
      <c r="EN335" s="275"/>
      <c r="EO335" s="275"/>
      <c r="EP335" s="275"/>
      <c r="EQ335" s="275"/>
      <c r="ER335" s="275"/>
      <c r="ES335" s="275"/>
      <c r="ET335" s="275"/>
      <c r="EU335"/>
      <c r="EV335"/>
      <c r="EW335" s="275"/>
      <c r="EX335" s="275"/>
      <c r="EY335" s="275"/>
      <c r="EZ335" s="275"/>
      <c r="FA335" s="275"/>
      <c r="FB335" s="275"/>
      <c r="FC335" s="275"/>
      <c r="FD335" s="275"/>
      <c r="FE335" s="275"/>
      <c r="FF335" s="275"/>
      <c r="FG335" s="275"/>
      <c r="FH335" s="275"/>
      <c r="FI335" s="275"/>
      <c r="FJ335" s="275"/>
      <c r="FK335" s="275"/>
      <c r="FL335" s="275"/>
      <c r="FM335" s="275"/>
      <c r="FN335" s="275"/>
      <c r="FO335" s="275"/>
      <c r="FP335" s="275"/>
      <c r="FQ335" s="275"/>
      <c r="FR335" s="275"/>
      <c r="FS335" s="275"/>
      <c r="FT335" s="275"/>
      <c r="FU335" s="275"/>
      <c r="FV335" s="275"/>
      <c r="FW335" s="275"/>
      <c r="FX335" s="275"/>
      <c r="FY335" s="275"/>
      <c r="FZ335" s="275"/>
      <c r="GA335" s="275"/>
      <c r="GB335" s="275"/>
      <c r="GC335" s="275"/>
      <c r="GD335" s="275"/>
      <c r="GE335" s="275"/>
      <c r="GF335" s="275"/>
      <c r="GG335" s="275"/>
      <c r="GH335" s="275"/>
      <c r="GI335" s="275"/>
      <c r="GJ335" s="275"/>
      <c r="GK335" s="275"/>
      <c r="GL335" s="275"/>
      <c r="GM335" s="275"/>
      <c r="GN335" s="275"/>
      <c r="GO335" s="275"/>
      <c r="GP335" s="275"/>
      <c r="GQ335" s="275"/>
      <c r="GR335" s="275"/>
      <c r="GS335" s="275"/>
      <c r="GT335" s="275"/>
      <c r="GU335" s="275"/>
      <c r="GV335" s="275"/>
      <c r="GW335" s="275"/>
      <c r="GX335" s="275"/>
      <c r="GY335" s="275"/>
      <c r="GZ335" s="275"/>
      <c r="HA335" s="275"/>
      <c r="HB335" s="275"/>
      <c r="HC335" s="275"/>
      <c r="HD335" s="275"/>
      <c r="HE335" s="275"/>
      <c r="HF335" s="275"/>
      <c r="HG335" s="275"/>
      <c r="HH335" s="275"/>
      <c r="HI335" s="275"/>
      <c r="HJ335" s="275"/>
      <c r="HK335" s="275"/>
      <c r="HL335" s="275"/>
      <c r="HM335" s="275"/>
      <c r="HN335" s="275"/>
      <c r="HO335" s="275"/>
      <c r="HP335" s="275"/>
      <c r="HQ335" s="275"/>
      <c r="HR335" s="275"/>
    </row>
    <row r="336" spans="1:226" s="297" customFormat="1">
      <c r="A336" s="275"/>
      <c r="B336" s="21"/>
      <c r="C336" s="21"/>
      <c r="D336" s="21"/>
      <c r="E336" s="21"/>
      <c r="F336" s="275"/>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J336" s="275"/>
      <c r="AK336" s="275"/>
      <c r="AL336" s="275"/>
      <c r="AM336" s="275"/>
      <c r="AN336" s="275"/>
      <c r="AO336" s="275"/>
      <c r="AQ336" s="275"/>
      <c r="AR336" s="275"/>
      <c r="AS336" s="275"/>
      <c r="AT336" s="275"/>
      <c r="AU336" s="275"/>
      <c r="AV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D336" s="275"/>
      <c r="EE336" s="275"/>
      <c r="EF336" s="275"/>
      <c r="EG336" s="275"/>
      <c r="EH336" s="275"/>
      <c r="EI336" s="275"/>
      <c r="EJ336" s="275"/>
      <c r="EK336" s="275"/>
      <c r="EL336" s="275"/>
      <c r="EM336" s="275"/>
      <c r="EN336" s="275"/>
      <c r="EO336" s="275"/>
      <c r="EP336" s="275"/>
      <c r="EQ336" s="275"/>
      <c r="ER336" s="275"/>
      <c r="ES336" s="275"/>
      <c r="ET336" s="275"/>
      <c r="EU336"/>
      <c r="EV336"/>
      <c r="EW336" s="275"/>
      <c r="EX336" s="275"/>
      <c r="EY336" s="275"/>
      <c r="EZ336" s="275"/>
      <c r="FA336" s="275"/>
      <c r="FB336" s="275"/>
      <c r="FC336" s="275"/>
      <c r="FD336" s="275"/>
      <c r="FE336" s="275"/>
      <c r="FF336" s="275"/>
      <c r="FG336" s="275"/>
      <c r="FH336" s="275"/>
      <c r="FI336" s="275"/>
      <c r="FJ336" s="275"/>
      <c r="FK336" s="275"/>
      <c r="FL336" s="275"/>
      <c r="FM336" s="275"/>
      <c r="FN336" s="275"/>
      <c r="FO336" s="275"/>
      <c r="FP336" s="275"/>
      <c r="FQ336" s="275"/>
      <c r="FR336" s="275"/>
      <c r="FS336" s="275"/>
      <c r="FT336" s="275"/>
      <c r="FU336" s="275"/>
      <c r="FV336" s="275"/>
      <c r="FW336" s="275"/>
      <c r="FX336" s="275"/>
      <c r="FY336" s="275"/>
      <c r="FZ336" s="275"/>
      <c r="GA336" s="275"/>
      <c r="GB336" s="275"/>
      <c r="GC336" s="275"/>
      <c r="GD336" s="275"/>
      <c r="GE336" s="275"/>
      <c r="GF336" s="275"/>
      <c r="GG336" s="275"/>
      <c r="GH336" s="275"/>
      <c r="GI336" s="275"/>
      <c r="GJ336" s="275"/>
      <c r="GK336" s="275"/>
      <c r="GL336" s="275"/>
      <c r="GM336" s="275"/>
      <c r="GN336" s="275"/>
      <c r="GO336" s="275"/>
      <c r="GP336" s="275"/>
      <c r="GQ336" s="275"/>
      <c r="GR336" s="275"/>
      <c r="GS336" s="275"/>
      <c r="GT336" s="275"/>
      <c r="GU336" s="275"/>
      <c r="GV336" s="275"/>
      <c r="GW336" s="275"/>
      <c r="GX336" s="275"/>
      <c r="GY336" s="275"/>
      <c r="GZ336" s="275"/>
      <c r="HA336" s="275"/>
      <c r="HB336" s="275"/>
      <c r="HC336" s="275"/>
      <c r="HD336" s="275"/>
      <c r="HE336" s="275"/>
      <c r="HF336" s="275"/>
      <c r="HG336" s="275"/>
      <c r="HH336" s="275"/>
      <c r="HI336" s="275"/>
      <c r="HJ336" s="275"/>
      <c r="HK336" s="275"/>
      <c r="HL336" s="275"/>
      <c r="HM336" s="275"/>
      <c r="HN336" s="275"/>
      <c r="HO336" s="275"/>
      <c r="HP336" s="275"/>
      <c r="HQ336" s="275"/>
      <c r="HR336" s="275"/>
    </row>
    <row r="337" spans="1:226" s="297" customFormat="1">
      <c r="A337" s="275"/>
      <c r="B337" s="21"/>
      <c r="C337" s="21"/>
      <c r="D337" s="21"/>
      <c r="E337" s="21"/>
      <c r="F337" s="275"/>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J337" s="275"/>
      <c r="AK337" s="275"/>
      <c r="AL337" s="275"/>
      <c r="AM337" s="275"/>
      <c r="AN337" s="275"/>
      <c r="AO337" s="275"/>
      <c r="AQ337" s="275"/>
      <c r="AR337" s="275"/>
      <c r="AS337" s="275"/>
      <c r="AT337" s="275"/>
      <c r="AU337" s="275"/>
      <c r="AV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D337" s="275"/>
      <c r="EE337" s="275"/>
      <c r="EF337" s="275"/>
      <c r="EG337" s="275"/>
      <c r="EH337" s="275"/>
      <c r="EI337" s="275"/>
      <c r="EJ337" s="275"/>
      <c r="EK337" s="275"/>
      <c r="EL337" s="275"/>
      <c r="EM337" s="275"/>
      <c r="EN337" s="275"/>
      <c r="EO337" s="275"/>
      <c r="EP337" s="275"/>
      <c r="EQ337" s="275"/>
      <c r="ER337" s="275"/>
      <c r="ES337" s="275"/>
      <c r="ET337" s="275"/>
      <c r="EU337"/>
      <c r="EV337"/>
      <c r="EW337" s="275"/>
      <c r="EX337" s="275"/>
      <c r="EY337" s="275"/>
      <c r="EZ337" s="275"/>
      <c r="FA337" s="275"/>
      <c r="FB337" s="275"/>
      <c r="FC337" s="275"/>
      <c r="FD337" s="275"/>
      <c r="FE337" s="275"/>
      <c r="FF337" s="275"/>
      <c r="FG337" s="275"/>
      <c r="FH337" s="275"/>
      <c r="FI337" s="275"/>
      <c r="FJ337" s="275"/>
      <c r="FK337" s="275"/>
      <c r="FL337" s="275"/>
      <c r="FM337" s="275"/>
      <c r="FN337" s="275"/>
      <c r="FO337" s="275"/>
      <c r="FP337" s="275"/>
      <c r="FQ337" s="275"/>
      <c r="FR337" s="275"/>
      <c r="FS337" s="275"/>
      <c r="FT337" s="275"/>
      <c r="FU337" s="275"/>
      <c r="FV337" s="275"/>
      <c r="FW337" s="275"/>
      <c r="FX337" s="275"/>
      <c r="FY337" s="275"/>
      <c r="FZ337" s="275"/>
      <c r="GA337" s="275"/>
      <c r="GB337" s="275"/>
      <c r="GC337" s="275"/>
      <c r="GD337" s="275"/>
      <c r="GE337" s="275"/>
      <c r="GF337" s="275"/>
      <c r="GG337" s="275"/>
      <c r="GH337" s="275"/>
      <c r="GI337" s="275"/>
      <c r="GJ337" s="275"/>
      <c r="GK337" s="275"/>
      <c r="GL337" s="275"/>
      <c r="GM337" s="275"/>
      <c r="GN337" s="275"/>
      <c r="GO337" s="275"/>
      <c r="GP337" s="275"/>
      <c r="GQ337" s="275"/>
      <c r="GR337" s="275"/>
      <c r="GS337" s="275"/>
      <c r="GT337" s="275"/>
      <c r="GU337" s="275"/>
      <c r="GV337" s="275"/>
      <c r="GW337" s="275"/>
      <c r="GX337" s="275"/>
      <c r="GY337" s="275"/>
      <c r="GZ337" s="275"/>
      <c r="HA337" s="275"/>
      <c r="HB337" s="275"/>
      <c r="HC337" s="275"/>
      <c r="HD337" s="275"/>
      <c r="HE337" s="275"/>
      <c r="HF337" s="275"/>
      <c r="HG337" s="275"/>
      <c r="HH337" s="275"/>
      <c r="HI337" s="275"/>
      <c r="HJ337" s="275"/>
      <c r="HK337" s="275"/>
      <c r="HL337" s="275"/>
      <c r="HM337" s="275"/>
      <c r="HN337" s="275"/>
      <c r="HO337" s="275"/>
      <c r="HP337" s="275"/>
      <c r="HQ337" s="275"/>
      <c r="HR337" s="275"/>
    </row>
    <row r="338" spans="1:226" s="297" customFormat="1">
      <c r="A338" s="275"/>
      <c r="B338" s="21"/>
      <c r="C338" s="21"/>
      <c r="D338" s="21"/>
      <c r="E338" s="21"/>
      <c r="F338" s="275"/>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J338" s="275"/>
      <c r="AK338" s="275"/>
      <c r="AL338" s="275"/>
      <c r="AM338" s="275"/>
      <c r="AN338" s="275"/>
      <c r="AO338" s="275"/>
      <c r="AQ338" s="275"/>
      <c r="AR338" s="275"/>
      <c r="AS338" s="275"/>
      <c r="AT338" s="275"/>
      <c r="AU338" s="275"/>
      <c r="AV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D338" s="275"/>
      <c r="EE338" s="275"/>
      <c r="EF338" s="275"/>
      <c r="EG338" s="275"/>
      <c r="EH338" s="275"/>
      <c r="EI338" s="275"/>
      <c r="EJ338" s="275"/>
      <c r="EK338" s="275"/>
      <c r="EL338" s="275"/>
      <c r="EM338" s="275"/>
      <c r="EN338" s="275"/>
      <c r="EO338" s="275"/>
      <c r="EP338" s="275"/>
      <c r="EQ338" s="275"/>
      <c r="ER338" s="275"/>
      <c r="ES338" s="275"/>
      <c r="ET338" s="275"/>
      <c r="EU338"/>
      <c r="EV338"/>
      <c r="EW338" s="275"/>
      <c r="EX338" s="275"/>
      <c r="EY338" s="275"/>
      <c r="EZ338" s="275"/>
      <c r="FA338" s="275"/>
      <c r="FB338" s="275"/>
      <c r="FC338" s="275"/>
      <c r="FD338" s="275"/>
      <c r="FE338" s="275"/>
      <c r="FF338" s="275"/>
      <c r="FG338" s="275"/>
      <c r="FH338" s="275"/>
      <c r="FI338" s="275"/>
      <c r="FJ338" s="275"/>
      <c r="FK338" s="275"/>
      <c r="FL338" s="275"/>
      <c r="FM338" s="275"/>
      <c r="FN338" s="275"/>
      <c r="FO338" s="275"/>
      <c r="FP338" s="275"/>
      <c r="FQ338" s="275"/>
      <c r="FR338" s="275"/>
      <c r="FS338" s="275"/>
      <c r="FT338" s="275"/>
      <c r="FU338" s="275"/>
      <c r="FV338" s="275"/>
      <c r="FW338" s="275"/>
      <c r="FX338" s="275"/>
      <c r="FY338" s="275"/>
      <c r="FZ338" s="275"/>
      <c r="GA338" s="275"/>
      <c r="GB338" s="275"/>
      <c r="GC338" s="275"/>
      <c r="GD338" s="275"/>
      <c r="GE338" s="275"/>
      <c r="GF338" s="275"/>
      <c r="GG338" s="275"/>
      <c r="GH338" s="275"/>
      <c r="GI338" s="275"/>
      <c r="GJ338" s="275"/>
      <c r="GK338" s="275"/>
      <c r="GL338" s="275"/>
      <c r="GM338" s="275"/>
      <c r="GN338" s="275"/>
      <c r="GO338" s="275"/>
      <c r="GP338" s="275"/>
      <c r="GQ338" s="275"/>
      <c r="GR338" s="275"/>
      <c r="GS338" s="275"/>
      <c r="GT338" s="275"/>
      <c r="GU338" s="275"/>
      <c r="GV338" s="275"/>
      <c r="GW338" s="275"/>
      <c r="GX338" s="275"/>
      <c r="GY338" s="275"/>
      <c r="GZ338" s="275"/>
      <c r="HA338" s="275"/>
      <c r="HB338" s="275"/>
      <c r="HC338" s="275"/>
      <c r="HD338" s="275"/>
      <c r="HE338" s="275"/>
      <c r="HF338" s="275"/>
      <c r="HG338" s="275"/>
      <c r="HH338" s="275"/>
      <c r="HI338" s="275"/>
      <c r="HJ338" s="275"/>
      <c r="HK338" s="275"/>
      <c r="HL338" s="275"/>
      <c r="HM338" s="275"/>
      <c r="HN338" s="275"/>
      <c r="HO338" s="275"/>
      <c r="HP338" s="275"/>
      <c r="HQ338" s="275"/>
      <c r="HR338" s="275"/>
    </row>
    <row r="339" spans="1:226" s="297" customFormat="1">
      <c r="A339" s="275"/>
      <c r="B339" s="21"/>
      <c r="C339" s="21"/>
      <c r="D339" s="21"/>
      <c r="E339" s="21"/>
      <c r="F339" s="275"/>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J339" s="275"/>
      <c r="AK339" s="275"/>
      <c r="AL339" s="275"/>
      <c r="AM339" s="275"/>
      <c r="AN339" s="275"/>
      <c r="AO339" s="275"/>
      <c r="AQ339" s="275"/>
      <c r="AR339" s="275"/>
      <c r="AS339" s="275"/>
      <c r="AT339" s="275"/>
      <c r="AU339" s="275"/>
      <c r="AV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D339" s="275"/>
      <c r="EE339" s="275"/>
      <c r="EF339" s="275"/>
      <c r="EG339" s="275"/>
      <c r="EH339" s="275"/>
      <c r="EI339" s="275"/>
      <c r="EJ339" s="275"/>
      <c r="EK339" s="275"/>
      <c r="EL339" s="275"/>
      <c r="EM339" s="275"/>
      <c r="EN339" s="275"/>
      <c r="EO339" s="275"/>
      <c r="EP339" s="275"/>
      <c r="EQ339" s="275"/>
      <c r="ER339" s="275"/>
      <c r="ES339" s="275"/>
      <c r="ET339" s="275"/>
      <c r="EU339"/>
      <c r="EV339"/>
      <c r="EW339" s="275"/>
      <c r="EX339" s="275"/>
      <c r="EY339" s="275"/>
      <c r="EZ339" s="275"/>
      <c r="FA339" s="275"/>
      <c r="FB339" s="275"/>
      <c r="FC339" s="275"/>
      <c r="FD339" s="275"/>
      <c r="FE339" s="275"/>
      <c r="FF339" s="275"/>
      <c r="FG339" s="275"/>
      <c r="FH339" s="275"/>
      <c r="FI339" s="275"/>
      <c r="FJ339" s="275"/>
      <c r="FK339" s="275"/>
      <c r="FL339" s="275"/>
      <c r="FM339" s="275"/>
      <c r="FN339" s="275"/>
      <c r="FO339" s="275"/>
      <c r="FP339" s="275"/>
      <c r="FQ339" s="275"/>
      <c r="FR339" s="275"/>
      <c r="FS339" s="275"/>
      <c r="FT339" s="275"/>
      <c r="FU339" s="275"/>
      <c r="FV339" s="275"/>
      <c r="FW339" s="275"/>
      <c r="FX339" s="275"/>
      <c r="FY339" s="275"/>
      <c r="FZ339" s="275"/>
      <c r="GA339" s="275"/>
      <c r="GB339" s="275"/>
      <c r="GC339" s="275"/>
      <c r="GD339" s="275"/>
      <c r="GE339" s="275"/>
      <c r="GF339" s="275"/>
      <c r="GG339" s="275"/>
      <c r="GH339" s="275"/>
      <c r="GI339" s="275"/>
      <c r="GJ339" s="275"/>
      <c r="GK339" s="275"/>
      <c r="GL339" s="275"/>
      <c r="GM339" s="275"/>
      <c r="GN339" s="275"/>
      <c r="GO339" s="275"/>
      <c r="GP339" s="275"/>
      <c r="GQ339" s="275"/>
      <c r="GR339" s="275"/>
      <c r="GS339" s="275"/>
      <c r="GT339" s="275"/>
      <c r="GU339" s="275"/>
      <c r="GV339" s="275"/>
      <c r="GW339" s="275"/>
      <c r="GX339" s="275"/>
      <c r="GY339" s="275"/>
      <c r="GZ339" s="275"/>
      <c r="HA339" s="275"/>
      <c r="HB339" s="275"/>
      <c r="HC339" s="275"/>
      <c r="HD339" s="275"/>
      <c r="HE339" s="275"/>
      <c r="HF339" s="275"/>
      <c r="HG339" s="275"/>
      <c r="HH339" s="275"/>
      <c r="HI339" s="275"/>
      <c r="HJ339" s="275"/>
      <c r="HK339" s="275"/>
      <c r="HL339" s="275"/>
      <c r="HM339" s="275"/>
      <c r="HN339" s="275"/>
      <c r="HO339" s="275"/>
      <c r="HP339" s="275"/>
      <c r="HQ339" s="275"/>
      <c r="HR339" s="275"/>
    </row>
    <row r="340" spans="1:226" s="297" customFormat="1">
      <c r="A340" s="275"/>
      <c r="B340" s="21"/>
      <c r="C340" s="21"/>
      <c r="D340" s="21"/>
      <c r="E340" s="21"/>
      <c r="F340" s="275"/>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J340" s="275"/>
      <c r="AK340" s="275"/>
      <c r="AL340" s="275"/>
      <c r="AM340" s="275"/>
      <c r="AN340" s="275"/>
      <c r="AO340" s="275"/>
      <c r="AQ340" s="275"/>
      <c r="AR340" s="275"/>
      <c r="AS340" s="275"/>
      <c r="AT340" s="275"/>
      <c r="AU340" s="275"/>
      <c r="AV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D340" s="275"/>
      <c r="EE340" s="275"/>
      <c r="EF340" s="275"/>
      <c r="EG340" s="275"/>
      <c r="EH340" s="275"/>
      <c r="EI340" s="275"/>
      <c r="EJ340" s="275"/>
      <c r="EK340" s="275"/>
      <c r="EL340" s="275"/>
      <c r="EM340" s="275"/>
      <c r="EN340" s="275"/>
      <c r="EO340" s="275"/>
      <c r="EP340" s="275"/>
      <c r="EQ340" s="275"/>
      <c r="ER340" s="275"/>
      <c r="ES340" s="275"/>
      <c r="ET340" s="275"/>
      <c r="EU340"/>
      <c r="EV340"/>
      <c r="EW340" s="275"/>
      <c r="EX340" s="275"/>
      <c r="EY340" s="275"/>
      <c r="EZ340" s="275"/>
      <c r="FA340" s="275"/>
      <c r="FB340" s="275"/>
      <c r="FC340" s="275"/>
      <c r="FD340" s="275"/>
      <c r="FE340" s="275"/>
      <c r="FF340" s="275"/>
      <c r="FG340" s="275"/>
      <c r="FH340" s="275"/>
      <c r="FI340" s="275"/>
      <c r="FJ340" s="275"/>
      <c r="FK340" s="275"/>
      <c r="FL340" s="275"/>
      <c r="FM340" s="275"/>
      <c r="FN340" s="275"/>
      <c r="FO340" s="275"/>
      <c r="FP340" s="275"/>
      <c r="FQ340" s="275"/>
      <c r="FR340" s="275"/>
      <c r="FS340" s="275"/>
      <c r="FT340" s="275"/>
      <c r="FU340" s="275"/>
      <c r="FV340" s="275"/>
      <c r="FW340" s="275"/>
      <c r="FX340" s="275"/>
      <c r="FY340" s="275"/>
      <c r="FZ340" s="275"/>
      <c r="GA340" s="275"/>
      <c r="GB340" s="275"/>
      <c r="GC340" s="275"/>
      <c r="GD340" s="275"/>
      <c r="GE340" s="275"/>
      <c r="GF340" s="275"/>
      <c r="GG340" s="275"/>
      <c r="GH340" s="275"/>
      <c r="GI340" s="275"/>
      <c r="GJ340" s="275"/>
      <c r="GK340" s="275"/>
      <c r="GL340" s="275"/>
      <c r="GM340" s="275"/>
      <c r="GN340" s="275"/>
      <c r="GO340" s="275"/>
      <c r="GP340" s="275"/>
      <c r="GQ340" s="275"/>
      <c r="GR340" s="275"/>
      <c r="GS340" s="275"/>
      <c r="GT340" s="275"/>
      <c r="GU340" s="275"/>
      <c r="GV340" s="275"/>
      <c r="GW340" s="275"/>
      <c r="GX340" s="275"/>
      <c r="GY340" s="275"/>
      <c r="GZ340" s="275"/>
      <c r="HA340" s="275"/>
      <c r="HB340" s="275"/>
      <c r="HC340" s="275"/>
      <c r="HD340" s="275"/>
      <c r="HE340" s="275"/>
      <c r="HF340" s="275"/>
      <c r="HG340" s="275"/>
      <c r="HH340" s="275"/>
      <c r="HI340" s="275"/>
      <c r="HJ340" s="275"/>
      <c r="HK340" s="275"/>
      <c r="HL340" s="275"/>
      <c r="HM340" s="275"/>
      <c r="HN340" s="275"/>
      <c r="HO340" s="275"/>
      <c r="HP340" s="275"/>
      <c r="HQ340" s="275"/>
      <c r="HR340" s="275"/>
    </row>
    <row r="341" spans="1:226" s="297" customFormat="1">
      <c r="A341" s="275"/>
      <c r="B341" s="21"/>
      <c r="C341" s="21"/>
      <c r="D341" s="21"/>
      <c r="E341" s="21"/>
      <c r="F341" s="275"/>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J341" s="275"/>
      <c r="AK341" s="275"/>
      <c r="AL341" s="275"/>
      <c r="AM341" s="275"/>
      <c r="AN341" s="275"/>
      <c r="AO341" s="275"/>
      <c r="AQ341" s="275"/>
      <c r="AR341" s="275"/>
      <c r="AS341" s="275"/>
      <c r="AT341" s="275"/>
      <c r="AU341" s="275"/>
      <c r="AV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D341" s="275"/>
      <c r="EE341" s="275"/>
      <c r="EF341" s="275"/>
      <c r="EG341" s="275"/>
      <c r="EH341" s="275"/>
      <c r="EI341" s="275"/>
      <c r="EJ341" s="275"/>
      <c r="EK341" s="275"/>
      <c r="EL341" s="275"/>
      <c r="EM341" s="275"/>
      <c r="EN341" s="275"/>
      <c r="EO341" s="275"/>
      <c r="EP341" s="275"/>
      <c r="EQ341" s="275"/>
      <c r="ER341" s="275"/>
      <c r="ES341" s="275"/>
      <c r="ET341" s="275"/>
      <c r="EU341"/>
      <c r="EV341"/>
      <c r="EW341" s="275"/>
      <c r="EX341" s="275"/>
      <c r="EY341" s="275"/>
      <c r="EZ341" s="275"/>
      <c r="FA341" s="275"/>
      <c r="FB341" s="275"/>
      <c r="FC341" s="275"/>
      <c r="FD341" s="275"/>
      <c r="FE341" s="275"/>
      <c r="FF341" s="275"/>
      <c r="FG341" s="275"/>
      <c r="FH341" s="275"/>
      <c r="FI341" s="275"/>
      <c r="FJ341" s="275"/>
      <c r="FK341" s="275"/>
      <c r="FL341" s="275"/>
      <c r="FM341" s="275"/>
      <c r="FN341" s="275"/>
      <c r="FO341" s="275"/>
      <c r="FP341" s="275"/>
      <c r="FQ341" s="275"/>
      <c r="FR341" s="275"/>
      <c r="FS341" s="275"/>
      <c r="FT341" s="275"/>
      <c r="FU341" s="275"/>
      <c r="FV341" s="275"/>
      <c r="FW341" s="275"/>
      <c r="FX341" s="275"/>
      <c r="FY341" s="275"/>
      <c r="FZ341" s="275"/>
      <c r="GA341" s="275"/>
      <c r="GB341" s="275"/>
      <c r="GC341" s="275"/>
      <c r="GD341" s="275"/>
      <c r="GE341" s="275"/>
      <c r="GF341" s="275"/>
      <c r="GG341" s="275"/>
      <c r="GH341" s="275"/>
      <c r="GI341" s="275"/>
      <c r="GJ341" s="275"/>
      <c r="GK341" s="275"/>
      <c r="GL341" s="275"/>
      <c r="GM341" s="275"/>
      <c r="GN341" s="275"/>
      <c r="GO341" s="275"/>
      <c r="GP341" s="275"/>
      <c r="GQ341" s="275"/>
      <c r="GR341" s="275"/>
      <c r="GS341" s="275"/>
      <c r="GT341" s="275"/>
      <c r="GU341" s="275"/>
      <c r="GV341" s="275"/>
      <c r="GW341" s="275"/>
      <c r="GX341" s="275"/>
      <c r="GY341" s="275"/>
      <c r="GZ341" s="275"/>
      <c r="HA341" s="275"/>
      <c r="HB341" s="275"/>
      <c r="HC341" s="275"/>
      <c r="HD341" s="275"/>
      <c r="HE341" s="275"/>
      <c r="HF341" s="275"/>
      <c r="HG341" s="275"/>
      <c r="HH341" s="275"/>
      <c r="HI341" s="275"/>
      <c r="HJ341" s="275"/>
      <c r="HK341" s="275"/>
      <c r="HL341" s="275"/>
      <c r="HM341" s="275"/>
      <c r="HN341" s="275"/>
      <c r="HO341" s="275"/>
      <c r="HP341" s="275"/>
      <c r="HQ341" s="275"/>
      <c r="HR341" s="275"/>
    </row>
    <row r="342" spans="1:226" s="297" customFormat="1">
      <c r="A342" s="275"/>
      <c r="B342" s="21"/>
      <c r="C342" s="21"/>
      <c r="D342" s="21"/>
      <c r="E342" s="21"/>
      <c r="F342" s="275"/>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J342" s="275"/>
      <c r="AK342" s="275"/>
      <c r="AL342" s="275"/>
      <c r="AM342" s="275"/>
      <c r="AN342" s="275"/>
      <c r="AO342" s="275"/>
      <c r="AQ342" s="275"/>
      <c r="AR342" s="275"/>
      <c r="AS342" s="275"/>
      <c r="AT342" s="275"/>
      <c r="AU342" s="275"/>
      <c r="AV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D342" s="275"/>
      <c r="EE342" s="275"/>
      <c r="EF342" s="275"/>
      <c r="EG342" s="275"/>
      <c r="EH342" s="275"/>
      <c r="EI342" s="275"/>
      <c r="EJ342" s="275"/>
      <c r="EK342" s="275"/>
      <c r="EL342" s="275"/>
      <c r="EM342" s="275"/>
      <c r="EN342" s="275"/>
      <c r="EO342" s="275"/>
      <c r="EP342" s="275"/>
      <c r="EQ342" s="275"/>
      <c r="ER342" s="275"/>
      <c r="ES342" s="275"/>
      <c r="ET342" s="275"/>
      <c r="EU342"/>
      <c r="EV342"/>
      <c r="EW342" s="275"/>
      <c r="EX342" s="275"/>
      <c r="EY342" s="275"/>
      <c r="EZ342" s="275"/>
      <c r="FA342" s="275"/>
      <c r="FB342" s="275"/>
      <c r="FC342" s="275"/>
      <c r="FD342" s="275"/>
      <c r="FE342" s="275"/>
      <c r="FF342" s="275"/>
      <c r="FG342" s="275"/>
      <c r="FH342" s="275"/>
      <c r="FI342" s="275"/>
      <c r="FJ342" s="275"/>
      <c r="FK342" s="275"/>
      <c r="FL342" s="275"/>
      <c r="FM342" s="275"/>
      <c r="FN342" s="275"/>
      <c r="FO342" s="275"/>
      <c r="FP342" s="275"/>
      <c r="FQ342" s="275"/>
      <c r="FR342" s="275"/>
      <c r="FS342" s="275"/>
      <c r="FT342" s="275"/>
      <c r="FU342" s="275"/>
      <c r="FV342" s="275"/>
      <c r="FW342" s="275"/>
      <c r="FX342" s="275"/>
      <c r="FY342" s="275"/>
      <c r="FZ342" s="275"/>
      <c r="GA342" s="275"/>
      <c r="GB342" s="275"/>
      <c r="GC342" s="275"/>
      <c r="GD342" s="275"/>
      <c r="GE342" s="275"/>
      <c r="GF342" s="275"/>
      <c r="GG342" s="275"/>
      <c r="GH342" s="275"/>
      <c r="GI342" s="275"/>
      <c r="GJ342" s="275"/>
      <c r="GK342" s="275"/>
      <c r="GL342" s="275"/>
      <c r="GM342" s="275"/>
      <c r="GN342" s="275"/>
      <c r="GO342" s="275"/>
      <c r="GP342" s="275"/>
      <c r="GQ342" s="275"/>
      <c r="GR342" s="275"/>
      <c r="GS342" s="275"/>
      <c r="GT342" s="275"/>
      <c r="GU342" s="275"/>
      <c r="GV342" s="275"/>
      <c r="GW342" s="275"/>
      <c r="GX342" s="275"/>
      <c r="GY342" s="275"/>
      <c r="GZ342" s="275"/>
      <c r="HA342" s="275"/>
      <c r="HB342" s="275"/>
      <c r="HC342" s="275"/>
      <c r="HD342" s="275"/>
      <c r="HE342" s="275"/>
      <c r="HF342" s="275"/>
      <c r="HG342" s="275"/>
      <c r="HH342" s="275"/>
      <c r="HI342" s="275"/>
      <c r="HJ342" s="275"/>
      <c r="HK342" s="275"/>
      <c r="HL342" s="275"/>
      <c r="HM342" s="275"/>
      <c r="HN342" s="275"/>
      <c r="HO342" s="275"/>
      <c r="HP342" s="275"/>
      <c r="HQ342" s="275"/>
      <c r="HR342" s="275"/>
    </row>
    <row r="343" spans="1:226" s="297" customFormat="1">
      <c r="A343" s="275"/>
      <c r="B343" s="21"/>
      <c r="C343" s="21"/>
      <c r="D343" s="21"/>
      <c r="E343" s="21"/>
      <c r="F343" s="275"/>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J343" s="275"/>
      <c r="AK343" s="275"/>
      <c r="AL343" s="275"/>
      <c r="AM343" s="275"/>
      <c r="AN343" s="275"/>
      <c r="AO343" s="275"/>
      <c r="AQ343" s="275"/>
      <c r="AR343" s="275"/>
      <c r="AS343" s="275"/>
      <c r="AT343" s="275"/>
      <c r="AU343" s="275"/>
      <c r="AV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D343" s="275"/>
      <c r="EE343" s="275"/>
      <c r="EF343" s="275"/>
      <c r="EG343" s="275"/>
      <c r="EH343" s="275"/>
      <c r="EI343" s="275"/>
      <c r="EJ343" s="275"/>
      <c r="EK343" s="275"/>
      <c r="EL343" s="275"/>
      <c r="EM343" s="275"/>
      <c r="EN343" s="275"/>
      <c r="EO343" s="275"/>
      <c r="EP343" s="275"/>
      <c r="EQ343" s="275"/>
      <c r="ER343" s="275"/>
      <c r="ES343" s="275"/>
      <c r="ET343" s="275"/>
      <c r="EU343"/>
      <c r="EV343"/>
      <c r="EW343" s="275"/>
      <c r="EX343" s="275"/>
      <c r="EY343" s="275"/>
      <c r="EZ343" s="275"/>
      <c r="FA343" s="275"/>
      <c r="FB343" s="275"/>
      <c r="FC343" s="275"/>
      <c r="FD343" s="275"/>
      <c r="FE343" s="275"/>
      <c r="FF343" s="275"/>
      <c r="FG343" s="275"/>
      <c r="FH343" s="275"/>
      <c r="FI343" s="275"/>
      <c r="FJ343" s="275"/>
      <c r="FK343" s="275"/>
      <c r="FL343" s="275"/>
      <c r="FM343" s="275"/>
      <c r="FN343" s="275"/>
      <c r="FO343" s="275"/>
      <c r="FP343" s="275"/>
      <c r="FQ343" s="275"/>
      <c r="FR343" s="275"/>
      <c r="FS343" s="275"/>
      <c r="FT343" s="275"/>
      <c r="FU343" s="275"/>
      <c r="FV343" s="275"/>
      <c r="FW343" s="275"/>
      <c r="FX343" s="275"/>
      <c r="FY343" s="275"/>
      <c r="FZ343" s="275"/>
      <c r="GA343" s="275"/>
      <c r="GB343" s="275"/>
      <c r="GC343" s="275"/>
      <c r="GD343" s="275"/>
      <c r="GE343" s="275"/>
      <c r="GF343" s="275"/>
      <c r="GG343" s="275"/>
      <c r="GH343" s="275"/>
      <c r="GI343" s="275"/>
      <c r="GJ343" s="275"/>
      <c r="GK343" s="275"/>
      <c r="GL343" s="275"/>
      <c r="GM343" s="275"/>
      <c r="GN343" s="275"/>
      <c r="GO343" s="275"/>
      <c r="GP343" s="275"/>
      <c r="GQ343" s="275"/>
      <c r="GR343" s="275"/>
      <c r="GS343" s="275"/>
      <c r="GT343" s="275"/>
      <c r="GU343" s="275"/>
      <c r="GV343" s="275"/>
      <c r="GW343" s="275"/>
      <c r="GX343" s="275"/>
      <c r="GY343" s="275"/>
      <c r="GZ343" s="275"/>
      <c r="HA343" s="275"/>
      <c r="HB343" s="275"/>
      <c r="HC343" s="275"/>
      <c r="HD343" s="275"/>
      <c r="HE343" s="275"/>
      <c r="HF343" s="275"/>
      <c r="HG343" s="275"/>
      <c r="HH343" s="275"/>
      <c r="HI343" s="275"/>
      <c r="HJ343" s="275"/>
      <c r="HK343" s="275"/>
      <c r="HL343" s="275"/>
      <c r="HM343" s="275"/>
      <c r="HN343" s="275"/>
      <c r="HO343" s="275"/>
      <c r="HP343" s="275"/>
      <c r="HQ343" s="275"/>
      <c r="HR343" s="275"/>
    </row>
    <row r="344" spans="1:226" s="297" customFormat="1">
      <c r="A344" s="275"/>
      <c r="B344" s="21"/>
      <c r="C344" s="21"/>
      <c r="D344" s="21"/>
      <c r="E344" s="21"/>
      <c r="F344" s="275"/>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J344" s="275"/>
      <c r="AK344" s="275"/>
      <c r="AL344" s="275"/>
      <c r="AM344" s="275"/>
      <c r="AN344" s="275"/>
      <c r="AO344" s="275"/>
      <c r="AQ344" s="275"/>
      <c r="AR344" s="275"/>
      <c r="AS344" s="275"/>
      <c r="AT344" s="275"/>
      <c r="AU344" s="275"/>
      <c r="AV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D344" s="275"/>
      <c r="EE344" s="275"/>
      <c r="EF344" s="275"/>
      <c r="EG344" s="275"/>
      <c r="EH344" s="275"/>
      <c r="EI344" s="275"/>
      <c r="EJ344" s="275"/>
      <c r="EK344" s="275"/>
      <c r="EL344" s="275"/>
      <c r="EM344" s="275"/>
      <c r="EN344" s="275"/>
      <c r="EO344" s="275"/>
      <c r="EP344" s="275"/>
      <c r="EQ344" s="275"/>
      <c r="ER344" s="275"/>
      <c r="ES344" s="275"/>
      <c r="ET344" s="275"/>
      <c r="EU344"/>
      <c r="EV344"/>
      <c r="EW344" s="275"/>
      <c r="EX344" s="275"/>
      <c r="EY344" s="275"/>
      <c r="EZ344" s="275"/>
      <c r="FA344" s="275"/>
      <c r="FB344" s="275"/>
      <c r="FC344" s="275"/>
      <c r="FD344" s="275"/>
      <c r="FE344" s="275"/>
      <c r="FF344" s="275"/>
      <c r="FG344" s="275"/>
      <c r="FH344" s="275"/>
      <c r="FI344" s="275"/>
      <c r="FJ344" s="275"/>
      <c r="FK344" s="275"/>
      <c r="FL344" s="275"/>
      <c r="FM344" s="275"/>
      <c r="FN344" s="275"/>
      <c r="FO344" s="275"/>
      <c r="FP344" s="275"/>
      <c r="FQ344" s="275"/>
      <c r="FR344" s="275"/>
      <c r="FS344" s="275"/>
      <c r="FT344" s="275"/>
      <c r="FU344" s="275"/>
      <c r="FV344" s="275"/>
      <c r="FW344" s="275"/>
      <c r="FX344" s="275"/>
      <c r="FY344" s="275"/>
      <c r="FZ344" s="275"/>
      <c r="GA344" s="275"/>
      <c r="GB344" s="275"/>
      <c r="GC344" s="275"/>
      <c r="GD344" s="275"/>
      <c r="GE344" s="275"/>
      <c r="GF344" s="275"/>
      <c r="GG344" s="275"/>
      <c r="GH344" s="275"/>
      <c r="GI344" s="275"/>
      <c r="GJ344" s="275"/>
      <c r="GK344" s="275"/>
      <c r="GL344" s="275"/>
      <c r="GM344" s="275"/>
      <c r="GN344" s="275"/>
      <c r="GO344" s="275"/>
      <c r="GP344" s="275"/>
      <c r="GQ344" s="275"/>
      <c r="GR344" s="275"/>
      <c r="GS344" s="275"/>
      <c r="GT344" s="275"/>
      <c r="GU344" s="275"/>
      <c r="GV344" s="275"/>
      <c r="GW344" s="275"/>
      <c r="GX344" s="275"/>
      <c r="GY344" s="275"/>
      <c r="GZ344" s="275"/>
      <c r="HA344" s="275"/>
      <c r="HB344" s="275"/>
      <c r="HC344" s="275"/>
      <c r="HD344" s="275"/>
      <c r="HE344" s="275"/>
      <c r="HF344" s="275"/>
      <c r="HG344" s="275"/>
      <c r="HH344" s="275"/>
      <c r="HI344" s="275"/>
      <c r="HJ344" s="275"/>
      <c r="HK344" s="275"/>
      <c r="HL344" s="275"/>
      <c r="HM344" s="275"/>
      <c r="HN344" s="275"/>
      <c r="HO344" s="275"/>
      <c r="HP344" s="275"/>
      <c r="HQ344" s="275"/>
      <c r="HR344" s="275"/>
    </row>
    <row r="345" spans="1:226" s="297" customFormat="1">
      <c r="A345" s="275"/>
      <c r="B345" s="21"/>
      <c r="C345" s="21"/>
      <c r="D345" s="21"/>
      <c r="E345" s="21"/>
      <c r="F345" s="275"/>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J345" s="275"/>
      <c r="AK345" s="275"/>
      <c r="AL345" s="275"/>
      <c r="AM345" s="275"/>
      <c r="AN345" s="275"/>
      <c r="AO345" s="275"/>
      <c r="AQ345" s="275"/>
      <c r="AR345" s="275"/>
      <c r="AS345" s="275"/>
      <c r="AT345" s="275"/>
      <c r="AU345" s="275"/>
      <c r="AV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D345" s="275"/>
      <c r="EE345" s="275"/>
      <c r="EF345" s="275"/>
      <c r="EG345" s="275"/>
      <c r="EH345" s="275"/>
      <c r="EI345" s="275"/>
      <c r="EJ345" s="275"/>
      <c r="EK345" s="275"/>
      <c r="EL345" s="275"/>
      <c r="EM345" s="275"/>
      <c r="EN345" s="275"/>
      <c r="EO345" s="275"/>
      <c r="EP345" s="275"/>
      <c r="EQ345" s="275"/>
      <c r="ER345" s="275"/>
      <c r="ES345" s="275"/>
      <c r="ET345" s="275"/>
      <c r="EU345"/>
      <c r="EV345"/>
      <c r="EW345" s="275"/>
      <c r="EX345" s="275"/>
      <c r="EY345" s="275"/>
      <c r="EZ345" s="275"/>
      <c r="FA345" s="275"/>
      <c r="FB345" s="275"/>
      <c r="FC345" s="275"/>
      <c r="FD345" s="275"/>
      <c r="FE345" s="275"/>
      <c r="FF345" s="275"/>
      <c r="FG345" s="275"/>
      <c r="FH345" s="275"/>
      <c r="FI345" s="275"/>
      <c r="FJ345" s="275"/>
      <c r="FK345" s="275"/>
      <c r="FL345" s="275"/>
      <c r="FM345" s="275"/>
      <c r="FN345" s="275"/>
      <c r="FO345" s="275"/>
      <c r="FP345" s="275"/>
      <c r="FQ345" s="275"/>
      <c r="FR345" s="275"/>
      <c r="FS345" s="275"/>
      <c r="FT345" s="275"/>
      <c r="FU345" s="275"/>
      <c r="FV345" s="275"/>
      <c r="FW345" s="275"/>
      <c r="FX345" s="275"/>
      <c r="FY345" s="275"/>
      <c r="FZ345" s="275"/>
      <c r="GA345" s="275"/>
      <c r="GB345" s="275"/>
      <c r="GC345" s="275"/>
      <c r="GD345" s="275"/>
      <c r="GE345" s="275"/>
      <c r="GF345" s="275"/>
      <c r="GG345" s="275"/>
      <c r="GH345" s="275"/>
      <c r="GI345" s="275"/>
      <c r="GJ345" s="275"/>
      <c r="GK345" s="275"/>
      <c r="GL345" s="275"/>
      <c r="GM345" s="275"/>
      <c r="GN345" s="275"/>
      <c r="GO345" s="275"/>
      <c r="GP345" s="275"/>
      <c r="GQ345" s="275"/>
      <c r="GR345" s="275"/>
      <c r="GS345" s="275"/>
      <c r="GT345" s="275"/>
      <c r="GU345" s="275"/>
      <c r="GV345" s="275"/>
      <c r="GW345" s="275"/>
      <c r="GX345" s="275"/>
      <c r="GY345" s="275"/>
      <c r="GZ345" s="275"/>
      <c r="HA345" s="275"/>
      <c r="HB345" s="275"/>
      <c r="HC345" s="275"/>
      <c r="HD345" s="275"/>
      <c r="HE345" s="275"/>
      <c r="HF345" s="275"/>
      <c r="HG345" s="275"/>
      <c r="HH345" s="275"/>
      <c r="HI345" s="275"/>
      <c r="HJ345" s="275"/>
      <c r="HK345" s="275"/>
      <c r="HL345" s="275"/>
      <c r="HM345" s="275"/>
      <c r="HN345" s="275"/>
      <c r="HO345" s="275"/>
      <c r="HP345" s="275"/>
      <c r="HQ345" s="275"/>
      <c r="HR345" s="275"/>
    </row>
    <row r="346" spans="1:226" s="297" customFormat="1">
      <c r="A346" s="275"/>
      <c r="B346" s="21"/>
      <c r="C346" s="21"/>
      <c r="D346" s="21"/>
      <c r="E346" s="21"/>
      <c r="F346" s="275"/>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J346" s="275"/>
      <c r="AK346" s="275"/>
      <c r="AL346" s="275"/>
      <c r="AM346" s="275"/>
      <c r="AN346" s="275"/>
      <c r="AO346" s="275"/>
      <c r="AQ346" s="275"/>
      <c r="AR346" s="275"/>
      <c r="AS346" s="275"/>
      <c r="AT346" s="275"/>
      <c r="AU346" s="275"/>
      <c r="AV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D346" s="275"/>
      <c r="EE346" s="275"/>
      <c r="EF346" s="275"/>
      <c r="EG346" s="275"/>
      <c r="EH346" s="275"/>
      <c r="EI346" s="275"/>
      <c r="EJ346" s="275"/>
      <c r="EK346" s="275"/>
      <c r="EL346" s="275"/>
      <c r="EM346" s="275"/>
      <c r="EN346" s="275"/>
      <c r="EO346" s="275"/>
      <c r="EP346" s="275"/>
      <c r="EQ346" s="275"/>
      <c r="ER346" s="275"/>
      <c r="ES346" s="275"/>
      <c r="ET346" s="275"/>
      <c r="EU346"/>
      <c r="EV346"/>
      <c r="EW346" s="275"/>
      <c r="EX346" s="275"/>
      <c r="EY346" s="275"/>
      <c r="EZ346" s="275"/>
      <c r="FA346" s="275"/>
      <c r="FB346" s="275"/>
      <c r="FC346" s="275"/>
      <c r="FD346" s="275"/>
      <c r="FE346" s="275"/>
      <c r="FF346" s="275"/>
      <c r="FG346" s="275"/>
      <c r="FH346" s="275"/>
      <c r="FI346" s="275"/>
      <c r="FJ346" s="275"/>
      <c r="FK346" s="275"/>
      <c r="FL346" s="275"/>
      <c r="FM346" s="275"/>
      <c r="FN346" s="275"/>
      <c r="FO346" s="275"/>
      <c r="FP346" s="275"/>
      <c r="FQ346" s="275"/>
      <c r="FR346" s="275"/>
      <c r="FS346" s="275"/>
      <c r="FT346" s="275"/>
      <c r="FU346" s="275"/>
      <c r="FV346" s="275"/>
      <c r="FW346" s="275"/>
      <c r="FX346" s="275"/>
      <c r="FY346" s="275"/>
      <c r="FZ346" s="275"/>
      <c r="GA346" s="275"/>
      <c r="GB346" s="275"/>
      <c r="GC346" s="275"/>
      <c r="GD346" s="275"/>
      <c r="GE346" s="275"/>
      <c r="GF346" s="275"/>
      <c r="GG346" s="275"/>
      <c r="GH346" s="275"/>
      <c r="GI346" s="275"/>
      <c r="GJ346" s="275"/>
      <c r="GK346" s="275"/>
      <c r="GL346" s="275"/>
      <c r="GM346" s="275"/>
      <c r="GN346" s="275"/>
      <c r="GO346" s="275"/>
      <c r="GP346" s="275"/>
      <c r="GQ346" s="275"/>
      <c r="GR346" s="275"/>
      <c r="GS346" s="275"/>
      <c r="GT346" s="275"/>
      <c r="GU346" s="275"/>
      <c r="GV346" s="275"/>
      <c r="GW346" s="275"/>
      <c r="GX346" s="275"/>
      <c r="GY346" s="275"/>
      <c r="GZ346" s="275"/>
      <c r="HA346" s="275"/>
      <c r="HB346" s="275"/>
      <c r="HC346" s="275"/>
      <c r="HD346" s="275"/>
      <c r="HE346" s="275"/>
      <c r="HF346" s="275"/>
      <c r="HG346" s="275"/>
      <c r="HH346" s="275"/>
      <c r="HI346" s="275"/>
      <c r="HJ346" s="275"/>
      <c r="HK346" s="275"/>
      <c r="HL346" s="275"/>
      <c r="HM346" s="275"/>
      <c r="HN346" s="275"/>
      <c r="HO346" s="275"/>
      <c r="HP346" s="275"/>
      <c r="HQ346" s="275"/>
      <c r="HR346" s="275"/>
    </row>
    <row r="347" spans="1:226" s="297" customFormat="1">
      <c r="A347" s="275"/>
      <c r="B347" s="21"/>
      <c r="C347" s="21"/>
      <c r="D347" s="21"/>
      <c r="E347" s="21"/>
      <c r="F347" s="275"/>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J347" s="275"/>
      <c r="AK347" s="275"/>
      <c r="AL347" s="275"/>
      <c r="AM347" s="275"/>
      <c r="AN347" s="275"/>
      <c r="AO347" s="275"/>
      <c r="AQ347" s="275"/>
      <c r="AR347" s="275"/>
      <c r="AS347" s="275"/>
      <c r="AT347" s="275"/>
      <c r="AU347" s="275"/>
      <c r="AV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D347" s="275"/>
      <c r="EE347" s="275"/>
      <c r="EF347" s="275"/>
      <c r="EG347" s="275"/>
      <c r="EH347" s="275"/>
      <c r="EI347" s="275"/>
      <c r="EJ347" s="275"/>
      <c r="EK347" s="275"/>
      <c r="EL347" s="275"/>
      <c r="EM347" s="275"/>
      <c r="EN347" s="275"/>
      <c r="EO347" s="275"/>
      <c r="EP347" s="275"/>
      <c r="EQ347" s="275"/>
      <c r="ER347" s="275"/>
      <c r="ES347" s="275"/>
      <c r="ET347" s="275"/>
      <c r="EU347"/>
      <c r="EV347"/>
      <c r="EW347" s="275"/>
      <c r="EX347" s="275"/>
      <c r="EY347" s="275"/>
      <c r="EZ347" s="275"/>
      <c r="FA347" s="275"/>
      <c r="FB347" s="275"/>
      <c r="FC347" s="275"/>
      <c r="FD347" s="275"/>
      <c r="FE347" s="275"/>
      <c r="FF347" s="275"/>
      <c r="FG347" s="275"/>
      <c r="FH347" s="275"/>
      <c r="FI347" s="275"/>
      <c r="FJ347" s="275"/>
      <c r="FK347" s="275"/>
      <c r="FL347" s="275"/>
      <c r="FM347" s="275"/>
      <c r="FN347" s="275"/>
      <c r="FO347" s="275"/>
      <c r="FP347" s="275"/>
      <c r="FQ347" s="275"/>
      <c r="FR347" s="275"/>
      <c r="FS347" s="275"/>
      <c r="FT347" s="275"/>
      <c r="FU347" s="275"/>
      <c r="FV347" s="275"/>
      <c r="FW347" s="275"/>
      <c r="FX347" s="275"/>
      <c r="FY347" s="275"/>
      <c r="FZ347" s="275"/>
      <c r="GA347" s="275"/>
      <c r="GB347" s="275"/>
      <c r="GC347" s="275"/>
      <c r="GD347" s="275"/>
      <c r="GE347" s="275"/>
      <c r="GF347" s="275"/>
      <c r="GG347" s="275"/>
      <c r="GH347" s="275"/>
      <c r="GI347" s="275"/>
      <c r="GJ347" s="275"/>
      <c r="GK347" s="275"/>
      <c r="GL347" s="275"/>
      <c r="GM347" s="275"/>
      <c r="GN347" s="275"/>
      <c r="GO347" s="275"/>
      <c r="GP347" s="275"/>
      <c r="GQ347" s="275"/>
      <c r="GR347" s="275"/>
      <c r="GS347" s="275"/>
      <c r="GT347" s="275"/>
      <c r="GU347" s="275"/>
      <c r="GV347" s="275"/>
      <c r="GW347" s="275"/>
      <c r="GX347" s="275"/>
      <c r="GY347" s="275"/>
      <c r="GZ347" s="275"/>
      <c r="HA347" s="275"/>
      <c r="HB347" s="275"/>
      <c r="HC347" s="275"/>
      <c r="HD347" s="275"/>
      <c r="HE347" s="275"/>
      <c r="HF347" s="275"/>
      <c r="HG347" s="275"/>
      <c r="HH347" s="275"/>
      <c r="HI347" s="275"/>
      <c r="HJ347" s="275"/>
      <c r="HK347" s="275"/>
      <c r="HL347" s="275"/>
      <c r="HM347" s="275"/>
      <c r="HN347" s="275"/>
      <c r="HO347" s="275"/>
      <c r="HP347" s="275"/>
      <c r="HQ347" s="275"/>
      <c r="HR347" s="275"/>
    </row>
    <row r="348" spans="1:226" s="297" customFormat="1">
      <c r="A348" s="275"/>
      <c r="B348" s="21"/>
      <c r="C348" s="21"/>
      <c r="D348" s="21"/>
      <c r="E348" s="21"/>
      <c r="F348" s="275"/>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J348" s="275"/>
      <c r="AK348" s="275"/>
      <c r="AL348" s="275"/>
      <c r="AM348" s="275"/>
      <c r="AN348" s="275"/>
      <c r="AO348" s="275"/>
      <c r="AQ348" s="275"/>
      <c r="AR348" s="275"/>
      <c r="AS348" s="275"/>
      <c r="AT348" s="275"/>
      <c r="AU348" s="275"/>
      <c r="AV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D348" s="275"/>
      <c r="EE348" s="275"/>
      <c r="EF348" s="275"/>
      <c r="EG348" s="275"/>
      <c r="EH348" s="275"/>
      <c r="EI348" s="275"/>
      <c r="EJ348" s="275"/>
      <c r="EK348" s="275"/>
      <c r="EL348" s="275"/>
      <c r="EM348" s="275"/>
      <c r="EN348" s="275"/>
      <c r="EO348" s="275"/>
      <c r="EP348" s="275"/>
      <c r="EQ348" s="275"/>
      <c r="ER348" s="275"/>
      <c r="ES348" s="275"/>
      <c r="ET348" s="275"/>
      <c r="EU348"/>
      <c r="EV348"/>
      <c r="EW348" s="275"/>
      <c r="EX348" s="275"/>
      <c r="EY348" s="275"/>
      <c r="EZ348" s="275"/>
      <c r="FA348" s="275"/>
      <c r="FB348" s="275"/>
      <c r="FC348" s="275"/>
      <c r="FD348" s="275"/>
      <c r="FE348" s="275"/>
      <c r="FF348" s="275"/>
      <c r="FG348" s="275"/>
      <c r="FH348" s="275"/>
      <c r="FI348" s="275"/>
      <c r="FJ348" s="275"/>
      <c r="FK348" s="275"/>
      <c r="FL348" s="275"/>
      <c r="FM348" s="275"/>
      <c r="FN348" s="275"/>
      <c r="FO348" s="275"/>
      <c r="FP348" s="275"/>
      <c r="FQ348" s="275"/>
      <c r="FR348" s="275"/>
      <c r="FS348" s="275"/>
      <c r="FT348" s="275"/>
      <c r="FU348" s="275"/>
      <c r="FV348" s="275"/>
      <c r="FW348" s="275"/>
      <c r="FX348" s="275"/>
      <c r="FY348" s="275"/>
      <c r="FZ348" s="275"/>
      <c r="GA348" s="275"/>
      <c r="GB348" s="275"/>
      <c r="GC348" s="275"/>
      <c r="GD348" s="275"/>
      <c r="GE348" s="275"/>
      <c r="GF348" s="275"/>
      <c r="GG348" s="275"/>
      <c r="GH348" s="275"/>
      <c r="GI348" s="275"/>
      <c r="GJ348" s="275"/>
      <c r="GK348" s="275"/>
      <c r="GL348" s="275"/>
      <c r="GM348" s="275"/>
      <c r="GN348" s="275"/>
      <c r="GO348" s="275"/>
      <c r="GP348" s="275"/>
      <c r="GQ348" s="275"/>
      <c r="GR348" s="275"/>
      <c r="GS348" s="275"/>
      <c r="GT348" s="275"/>
      <c r="GU348" s="275"/>
      <c r="GV348" s="275"/>
      <c r="GW348" s="275"/>
      <c r="GX348" s="275"/>
      <c r="GY348" s="275"/>
      <c r="GZ348" s="275"/>
      <c r="HA348" s="275"/>
      <c r="HB348" s="275"/>
      <c r="HC348" s="275"/>
      <c r="HD348" s="275"/>
      <c r="HE348" s="275"/>
      <c r="HF348" s="275"/>
      <c r="HG348" s="275"/>
      <c r="HH348" s="275"/>
      <c r="HI348" s="275"/>
      <c r="HJ348" s="275"/>
      <c r="HK348" s="275"/>
      <c r="HL348" s="275"/>
      <c r="HM348" s="275"/>
      <c r="HN348" s="275"/>
      <c r="HO348" s="275"/>
      <c r="HP348" s="275"/>
      <c r="HQ348" s="275"/>
      <c r="HR348" s="275"/>
    </row>
    <row r="349" spans="1:226" s="297" customFormat="1">
      <c r="A349" s="275"/>
      <c r="B349" s="21"/>
      <c r="C349" s="21"/>
      <c r="D349" s="21"/>
      <c r="E349" s="21"/>
      <c r="F349" s="275"/>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J349" s="275"/>
      <c r="AK349" s="275"/>
      <c r="AL349" s="275"/>
      <c r="AM349" s="275"/>
      <c r="AN349" s="275"/>
      <c r="AO349" s="275"/>
      <c r="AQ349" s="275"/>
      <c r="AR349" s="275"/>
      <c r="AS349" s="275"/>
      <c r="AT349" s="275"/>
      <c r="AU349" s="275"/>
      <c r="AV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D349" s="275"/>
      <c r="EE349" s="275"/>
      <c r="EF349" s="275"/>
      <c r="EG349" s="275"/>
      <c r="EH349" s="275"/>
      <c r="EI349" s="275"/>
      <c r="EJ349" s="275"/>
      <c r="EK349" s="275"/>
      <c r="EL349" s="275"/>
      <c r="EM349" s="275"/>
      <c r="EN349" s="275"/>
      <c r="EO349" s="275"/>
      <c r="EP349" s="275"/>
      <c r="EQ349" s="275"/>
      <c r="ER349" s="275"/>
      <c r="ES349" s="275"/>
      <c r="ET349" s="275"/>
      <c r="EU349"/>
      <c r="EV349"/>
      <c r="EW349" s="275"/>
      <c r="EX349" s="275"/>
      <c r="EY349" s="275"/>
      <c r="EZ349" s="275"/>
      <c r="FA349" s="275"/>
      <c r="FB349" s="275"/>
      <c r="FC349" s="275"/>
      <c r="FD349" s="275"/>
      <c r="FE349" s="275"/>
      <c r="FF349" s="275"/>
      <c r="FG349" s="275"/>
      <c r="FH349" s="275"/>
      <c r="FI349" s="275"/>
      <c r="FJ349" s="275"/>
      <c r="FK349" s="275"/>
      <c r="FL349" s="275"/>
      <c r="FM349" s="275"/>
      <c r="FN349" s="275"/>
      <c r="FO349" s="275"/>
      <c r="FP349" s="275"/>
      <c r="FQ349" s="275"/>
      <c r="FR349" s="275"/>
      <c r="FS349" s="275"/>
      <c r="FT349" s="275"/>
      <c r="FU349" s="275"/>
      <c r="FV349" s="275"/>
      <c r="FW349" s="275"/>
      <c r="FX349" s="275"/>
      <c r="FY349" s="275"/>
      <c r="FZ349" s="275"/>
      <c r="GA349" s="275"/>
      <c r="GB349" s="275"/>
      <c r="GC349" s="275"/>
      <c r="GD349" s="275"/>
      <c r="GE349" s="275"/>
      <c r="GF349" s="275"/>
      <c r="GG349" s="275"/>
      <c r="GH349" s="275"/>
      <c r="GI349" s="275"/>
      <c r="GJ349" s="275"/>
      <c r="GK349" s="275"/>
      <c r="GL349" s="275"/>
      <c r="GM349" s="275"/>
      <c r="GN349" s="275"/>
      <c r="GO349" s="275"/>
      <c r="GP349" s="275"/>
      <c r="GQ349" s="275"/>
      <c r="GR349" s="275"/>
      <c r="GS349" s="275"/>
      <c r="GT349" s="275"/>
      <c r="GU349" s="275"/>
      <c r="GV349" s="275"/>
      <c r="GW349" s="275"/>
      <c r="GX349" s="275"/>
      <c r="GY349" s="275"/>
      <c r="GZ349" s="275"/>
      <c r="HA349" s="275"/>
      <c r="HB349" s="275"/>
      <c r="HC349" s="275"/>
      <c r="HD349" s="275"/>
      <c r="HE349" s="275"/>
      <c r="HF349" s="275"/>
      <c r="HG349" s="275"/>
      <c r="HH349" s="275"/>
      <c r="HI349" s="275"/>
      <c r="HJ349" s="275"/>
      <c r="HK349" s="275"/>
      <c r="HL349" s="275"/>
      <c r="HM349" s="275"/>
      <c r="HN349" s="275"/>
      <c r="HO349" s="275"/>
      <c r="HP349" s="275"/>
      <c r="HQ349" s="275"/>
      <c r="HR349" s="275"/>
    </row>
    <row r="350" spans="1:226" s="297" customFormat="1">
      <c r="A350" s="275"/>
      <c r="B350" s="21"/>
      <c r="C350" s="21"/>
      <c r="D350" s="21"/>
      <c r="E350" s="21"/>
      <c r="F350" s="275"/>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J350" s="275"/>
      <c r="AK350" s="275"/>
      <c r="AL350" s="275"/>
      <c r="AM350" s="275"/>
      <c r="AN350" s="275"/>
      <c r="AO350" s="275"/>
      <c r="AQ350" s="275"/>
      <c r="AR350" s="275"/>
      <c r="AS350" s="275"/>
      <c r="AT350" s="275"/>
      <c r="AU350" s="275"/>
      <c r="AV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D350" s="275"/>
      <c r="EE350" s="275"/>
      <c r="EF350" s="275"/>
      <c r="EG350" s="275"/>
      <c r="EH350" s="275"/>
      <c r="EI350" s="275"/>
      <c r="EJ350" s="275"/>
      <c r="EK350" s="275"/>
      <c r="EL350" s="275"/>
      <c r="EM350" s="275"/>
      <c r="EN350" s="275"/>
      <c r="EO350" s="275"/>
      <c r="EP350" s="275"/>
      <c r="EQ350" s="275"/>
      <c r="ER350" s="275"/>
      <c r="ES350" s="275"/>
      <c r="ET350" s="275"/>
      <c r="EU350"/>
      <c r="EV350"/>
      <c r="EW350" s="275"/>
      <c r="EX350" s="275"/>
      <c r="EY350" s="275"/>
      <c r="EZ350" s="275"/>
      <c r="FA350" s="275"/>
      <c r="FB350" s="275"/>
      <c r="FC350" s="275"/>
      <c r="FD350" s="275"/>
      <c r="FE350" s="275"/>
      <c r="FF350" s="275"/>
      <c r="FG350" s="275"/>
      <c r="FH350" s="275"/>
      <c r="FI350" s="275"/>
      <c r="FJ350" s="275"/>
      <c r="FK350" s="275"/>
      <c r="FL350" s="275"/>
      <c r="FM350" s="275"/>
      <c r="FN350" s="275"/>
      <c r="FO350" s="275"/>
      <c r="FP350" s="275"/>
      <c r="FQ350" s="275"/>
      <c r="FR350" s="275"/>
      <c r="FS350" s="275"/>
      <c r="FT350" s="275"/>
      <c r="FU350" s="275"/>
      <c r="FV350" s="275"/>
      <c r="FW350" s="275"/>
      <c r="FX350" s="275"/>
      <c r="FY350" s="275"/>
      <c r="FZ350" s="275"/>
      <c r="GA350" s="275"/>
      <c r="GB350" s="275"/>
      <c r="GC350" s="275"/>
      <c r="GD350" s="275"/>
      <c r="GE350" s="275"/>
      <c r="GF350" s="275"/>
      <c r="GG350" s="275"/>
      <c r="GH350" s="275"/>
      <c r="GI350" s="275"/>
      <c r="GJ350" s="275"/>
      <c r="GK350" s="275"/>
      <c r="GL350" s="275"/>
      <c r="GM350" s="275"/>
      <c r="GN350" s="275"/>
      <c r="GO350" s="275"/>
      <c r="GP350" s="275"/>
      <c r="GQ350" s="275"/>
      <c r="GR350" s="275"/>
      <c r="GS350" s="275"/>
      <c r="GT350" s="275"/>
      <c r="GU350" s="275"/>
      <c r="GV350" s="275"/>
      <c r="GW350" s="275"/>
      <c r="GX350" s="275"/>
      <c r="GY350" s="275"/>
      <c r="GZ350" s="275"/>
      <c r="HA350" s="275"/>
      <c r="HB350" s="275"/>
      <c r="HC350" s="275"/>
      <c r="HD350" s="275"/>
      <c r="HE350" s="275"/>
      <c r="HF350" s="275"/>
      <c r="HG350" s="275"/>
      <c r="HH350" s="275"/>
      <c r="HI350" s="275"/>
      <c r="HJ350" s="275"/>
      <c r="HK350" s="275"/>
      <c r="HL350" s="275"/>
      <c r="HM350" s="275"/>
      <c r="HN350" s="275"/>
      <c r="HO350" s="275"/>
      <c r="HP350" s="275"/>
      <c r="HQ350" s="275"/>
      <c r="HR350" s="275"/>
    </row>
    <row r="351" spans="1:226" s="297" customFormat="1">
      <c r="A351" s="275"/>
      <c r="B351" s="21"/>
      <c r="C351" s="21"/>
      <c r="D351" s="21"/>
      <c r="E351" s="21"/>
      <c r="F351" s="275"/>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J351" s="275"/>
      <c r="AK351" s="275"/>
      <c r="AL351" s="275"/>
      <c r="AM351" s="275"/>
      <c r="AN351" s="275"/>
      <c r="AO351" s="275"/>
      <c r="AQ351" s="275"/>
      <c r="AR351" s="275"/>
      <c r="AS351" s="275"/>
      <c r="AT351" s="275"/>
      <c r="AU351" s="275"/>
      <c r="AV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D351" s="275"/>
      <c r="EE351" s="275"/>
      <c r="EF351" s="275"/>
      <c r="EG351" s="275"/>
      <c r="EH351" s="275"/>
      <c r="EI351" s="275"/>
      <c r="EJ351" s="275"/>
      <c r="EK351" s="275"/>
      <c r="EL351" s="275"/>
      <c r="EM351" s="275"/>
      <c r="EN351" s="275"/>
      <c r="EO351" s="275"/>
      <c r="EP351" s="275"/>
      <c r="EQ351" s="275"/>
      <c r="ER351" s="275"/>
      <c r="ES351" s="275"/>
      <c r="ET351" s="275"/>
      <c r="EU351"/>
      <c r="EV351"/>
      <c r="EW351" s="275"/>
      <c r="EX351" s="275"/>
      <c r="EY351" s="275"/>
      <c r="EZ351" s="275"/>
      <c r="FA351" s="275"/>
      <c r="FB351" s="275"/>
      <c r="FC351" s="275"/>
      <c r="FD351" s="275"/>
      <c r="FE351" s="275"/>
      <c r="FF351" s="275"/>
      <c r="FG351" s="275"/>
      <c r="FH351" s="275"/>
      <c r="FI351" s="275"/>
      <c r="FJ351" s="275"/>
      <c r="FK351" s="275"/>
      <c r="FL351" s="275"/>
      <c r="FM351" s="275"/>
      <c r="FN351" s="275"/>
      <c r="FO351" s="275"/>
      <c r="FP351" s="275"/>
      <c r="FQ351" s="275"/>
      <c r="FR351" s="275"/>
      <c r="FS351" s="275"/>
      <c r="FT351" s="275"/>
      <c r="FU351" s="275"/>
      <c r="FV351" s="275"/>
      <c r="FW351" s="275"/>
      <c r="FX351" s="275"/>
      <c r="FY351" s="275"/>
      <c r="FZ351" s="275"/>
      <c r="GA351" s="275"/>
      <c r="GB351" s="275"/>
      <c r="GC351" s="275"/>
      <c r="GD351" s="275"/>
      <c r="GE351" s="275"/>
      <c r="GF351" s="275"/>
      <c r="GG351" s="275"/>
      <c r="GH351" s="275"/>
      <c r="GI351" s="275"/>
      <c r="GJ351" s="275"/>
      <c r="GK351" s="275"/>
      <c r="GL351" s="275"/>
      <c r="GM351" s="275"/>
      <c r="GN351" s="275"/>
      <c r="GO351" s="275"/>
      <c r="GP351" s="275"/>
      <c r="GQ351" s="275"/>
      <c r="GR351" s="275"/>
      <c r="GS351" s="275"/>
      <c r="GT351" s="275"/>
      <c r="GU351" s="275"/>
      <c r="GV351" s="275"/>
      <c r="GW351" s="275"/>
      <c r="GX351" s="275"/>
      <c r="GY351" s="275"/>
      <c r="GZ351" s="275"/>
      <c r="HA351" s="275"/>
      <c r="HB351" s="275"/>
      <c r="HC351" s="275"/>
      <c r="HD351" s="275"/>
      <c r="HE351" s="275"/>
      <c r="HF351" s="275"/>
      <c r="HG351" s="275"/>
      <c r="HH351" s="275"/>
      <c r="HI351" s="275"/>
      <c r="HJ351" s="275"/>
      <c r="HK351" s="275"/>
      <c r="HL351" s="275"/>
      <c r="HM351" s="275"/>
      <c r="HN351" s="275"/>
      <c r="HO351" s="275"/>
      <c r="HP351" s="275"/>
      <c r="HQ351" s="275"/>
      <c r="HR351" s="275"/>
    </row>
    <row r="352" spans="1:226" s="297" customFormat="1">
      <c r="A352" s="275"/>
      <c r="B352" s="21"/>
      <c r="C352" s="21"/>
      <c r="D352" s="21"/>
      <c r="E352" s="21"/>
      <c r="F352" s="275"/>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J352" s="275"/>
      <c r="AK352" s="275"/>
      <c r="AL352" s="275"/>
      <c r="AM352" s="275"/>
      <c r="AN352" s="275"/>
      <c r="AO352" s="275"/>
      <c r="AQ352" s="275"/>
      <c r="AR352" s="275"/>
      <c r="AS352" s="275"/>
      <c r="AT352" s="275"/>
      <c r="AU352" s="275"/>
      <c r="AV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D352" s="275"/>
      <c r="EE352" s="275"/>
      <c r="EF352" s="275"/>
      <c r="EG352" s="275"/>
      <c r="EH352" s="275"/>
      <c r="EI352" s="275"/>
      <c r="EJ352" s="275"/>
      <c r="EK352" s="275"/>
      <c r="EL352" s="275"/>
      <c r="EM352" s="275"/>
      <c r="EN352" s="275"/>
      <c r="EO352" s="275"/>
      <c r="EP352" s="275"/>
      <c r="EQ352" s="275"/>
      <c r="ER352" s="275"/>
      <c r="ES352" s="275"/>
      <c r="ET352" s="275"/>
      <c r="EU352"/>
      <c r="EV352"/>
      <c r="EW352" s="275"/>
      <c r="EX352" s="275"/>
      <c r="EY352" s="275"/>
      <c r="EZ352" s="275"/>
      <c r="FA352" s="275"/>
      <c r="FB352" s="275"/>
      <c r="FC352" s="275"/>
      <c r="FD352" s="275"/>
      <c r="FE352" s="275"/>
      <c r="FF352" s="275"/>
      <c r="FG352" s="275"/>
      <c r="FH352" s="275"/>
      <c r="FI352" s="275"/>
      <c r="FJ352" s="275"/>
      <c r="FK352" s="275"/>
      <c r="FL352" s="275"/>
      <c r="FM352" s="275"/>
      <c r="FN352" s="275"/>
      <c r="FO352" s="275"/>
      <c r="FP352" s="275"/>
      <c r="FQ352" s="275"/>
      <c r="FR352" s="275"/>
      <c r="FS352" s="275"/>
      <c r="FT352" s="275"/>
      <c r="FU352" s="275"/>
      <c r="FV352" s="275"/>
      <c r="FW352" s="275"/>
      <c r="FX352" s="275"/>
      <c r="FY352" s="275"/>
      <c r="FZ352" s="275"/>
      <c r="GA352" s="275"/>
      <c r="GB352" s="275"/>
      <c r="GC352" s="275"/>
      <c r="GD352" s="275"/>
      <c r="GE352" s="275"/>
      <c r="GF352" s="275"/>
      <c r="GG352" s="275"/>
      <c r="GH352" s="275"/>
      <c r="GI352" s="275"/>
      <c r="GJ352" s="275"/>
      <c r="GK352" s="275"/>
      <c r="GL352" s="275"/>
      <c r="GM352" s="275"/>
      <c r="GN352" s="275"/>
      <c r="GO352" s="275"/>
      <c r="GP352" s="275"/>
      <c r="GQ352" s="275"/>
      <c r="GR352" s="275"/>
      <c r="GS352" s="275"/>
      <c r="GT352" s="275"/>
      <c r="GU352" s="275"/>
      <c r="GV352" s="275"/>
      <c r="GW352" s="275"/>
      <c r="GX352" s="275"/>
      <c r="GY352" s="275"/>
      <c r="GZ352" s="275"/>
      <c r="HA352" s="275"/>
      <c r="HB352" s="275"/>
      <c r="HC352" s="275"/>
      <c r="HD352" s="275"/>
      <c r="HE352" s="275"/>
      <c r="HF352" s="275"/>
      <c r="HG352" s="275"/>
      <c r="HH352" s="275"/>
      <c r="HI352" s="275"/>
      <c r="HJ352" s="275"/>
      <c r="HK352" s="275"/>
      <c r="HL352" s="275"/>
      <c r="HM352" s="275"/>
      <c r="HN352" s="275"/>
      <c r="HO352" s="275"/>
      <c r="HP352" s="275"/>
      <c r="HQ352" s="275"/>
      <c r="HR352" s="275"/>
    </row>
    <row r="353" spans="1:226" s="297" customFormat="1">
      <c r="A353" s="275"/>
      <c r="B353" s="21"/>
      <c r="C353" s="21"/>
      <c r="D353" s="21"/>
      <c r="E353" s="21"/>
      <c r="F353" s="275"/>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J353" s="275"/>
      <c r="AK353" s="275"/>
      <c r="AL353" s="275"/>
      <c r="AM353" s="275"/>
      <c r="AN353" s="275"/>
      <c r="AO353" s="275"/>
      <c r="AQ353" s="275"/>
      <c r="AR353" s="275"/>
      <c r="AS353" s="275"/>
      <c r="AT353" s="275"/>
      <c r="AU353" s="275"/>
      <c r="AV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D353" s="275"/>
      <c r="EE353" s="275"/>
      <c r="EF353" s="275"/>
      <c r="EG353" s="275"/>
      <c r="EH353" s="275"/>
      <c r="EI353" s="275"/>
      <c r="EJ353" s="275"/>
      <c r="EK353" s="275"/>
      <c r="EL353" s="275"/>
      <c r="EM353" s="275"/>
      <c r="EN353" s="275"/>
      <c r="EO353" s="275"/>
      <c r="EP353" s="275"/>
      <c r="EQ353" s="275"/>
      <c r="ER353" s="275"/>
      <c r="ES353" s="275"/>
      <c r="ET353" s="275"/>
      <c r="EU353"/>
      <c r="EV353"/>
      <c r="EW353" s="275"/>
      <c r="EX353" s="275"/>
      <c r="EY353" s="275"/>
      <c r="EZ353" s="275"/>
      <c r="FA353" s="275"/>
      <c r="FB353" s="275"/>
      <c r="FC353" s="275"/>
      <c r="FD353" s="275"/>
      <c r="FE353" s="275"/>
      <c r="FF353" s="275"/>
      <c r="FG353" s="275"/>
      <c r="FH353" s="275"/>
      <c r="FI353" s="275"/>
      <c r="FJ353" s="275"/>
      <c r="FK353" s="275"/>
      <c r="FL353" s="275"/>
      <c r="FM353" s="275"/>
      <c r="FN353" s="275"/>
      <c r="FO353" s="275"/>
      <c r="FP353" s="275"/>
      <c r="FQ353" s="275"/>
      <c r="FR353" s="275"/>
      <c r="FS353" s="275"/>
      <c r="FT353" s="275"/>
      <c r="FU353" s="275"/>
      <c r="FV353" s="275"/>
      <c r="FW353" s="275"/>
      <c r="FX353" s="275"/>
      <c r="FY353" s="275"/>
      <c r="FZ353" s="275"/>
      <c r="GA353" s="275"/>
      <c r="GB353" s="275"/>
      <c r="GC353" s="275"/>
      <c r="GD353" s="275"/>
      <c r="GE353" s="275"/>
      <c r="GF353" s="275"/>
      <c r="GG353" s="275"/>
      <c r="GH353" s="275"/>
      <c r="GI353" s="275"/>
      <c r="GJ353" s="275"/>
      <c r="GK353" s="275"/>
      <c r="GL353" s="275"/>
      <c r="GM353" s="275"/>
      <c r="GN353" s="275"/>
      <c r="GO353" s="275"/>
      <c r="GP353" s="275"/>
      <c r="GQ353" s="275"/>
      <c r="GR353" s="275"/>
      <c r="GS353" s="275"/>
      <c r="GT353" s="275"/>
      <c r="GU353" s="275"/>
      <c r="GV353" s="275"/>
      <c r="GW353" s="275"/>
      <c r="GX353" s="275"/>
      <c r="GY353" s="275"/>
      <c r="GZ353" s="275"/>
      <c r="HA353" s="275"/>
      <c r="HB353" s="275"/>
      <c r="HC353" s="275"/>
      <c r="HD353" s="275"/>
      <c r="HE353" s="275"/>
      <c r="HF353" s="275"/>
      <c r="HG353" s="275"/>
      <c r="HH353" s="275"/>
      <c r="HI353" s="275"/>
      <c r="HJ353" s="275"/>
      <c r="HK353" s="275"/>
      <c r="HL353" s="275"/>
      <c r="HM353" s="275"/>
      <c r="HN353" s="275"/>
      <c r="HO353" s="275"/>
      <c r="HP353" s="275"/>
      <c r="HQ353" s="275"/>
      <c r="HR353" s="275"/>
    </row>
    <row r="354" spans="1:226" s="297" customFormat="1">
      <c r="A354" s="275"/>
      <c r="B354" s="21"/>
      <c r="C354" s="21"/>
      <c r="D354" s="21"/>
      <c r="E354" s="21"/>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J354" s="275"/>
      <c r="AK354" s="275"/>
      <c r="AL354" s="275"/>
      <c r="AM354" s="275"/>
      <c r="AN354" s="275"/>
      <c r="AO354" s="275"/>
      <c r="AQ354" s="275"/>
      <c r="AR354" s="275"/>
      <c r="AS354" s="275"/>
      <c r="AT354" s="275"/>
      <c r="AU354" s="275"/>
      <c r="AV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D354" s="275"/>
      <c r="EE354" s="275"/>
      <c r="EF354" s="275"/>
      <c r="EG354" s="275"/>
      <c r="EH354" s="275"/>
      <c r="EI354" s="275"/>
      <c r="EJ354" s="275"/>
      <c r="EK354" s="275"/>
      <c r="EL354" s="275"/>
      <c r="EM354" s="275"/>
      <c r="EN354" s="275"/>
      <c r="EO354" s="275"/>
      <c r="EP354" s="275"/>
      <c r="EQ354" s="275"/>
      <c r="ER354" s="275"/>
      <c r="ES354" s="275"/>
      <c r="ET354" s="275"/>
      <c r="EU354"/>
      <c r="EV354"/>
      <c r="EW354" s="275"/>
      <c r="EX354" s="275"/>
      <c r="EY354" s="275"/>
      <c r="EZ354" s="275"/>
      <c r="FA354" s="275"/>
      <c r="FB354" s="275"/>
      <c r="FC354" s="275"/>
      <c r="FD354" s="275"/>
      <c r="FE354" s="275"/>
      <c r="FF354" s="275"/>
      <c r="FG354" s="275"/>
      <c r="FH354" s="275"/>
      <c r="FI354" s="275"/>
      <c r="FJ354" s="275"/>
      <c r="FK354" s="275"/>
      <c r="FL354" s="275"/>
      <c r="FM354" s="275"/>
      <c r="FN354" s="275"/>
      <c r="FO354" s="275"/>
      <c r="FP354" s="275"/>
      <c r="FQ354" s="275"/>
      <c r="FR354" s="275"/>
      <c r="FS354" s="275"/>
      <c r="FT354" s="275"/>
      <c r="FU354" s="275"/>
      <c r="FV354" s="275"/>
      <c r="FW354" s="275"/>
      <c r="FX354" s="275"/>
      <c r="FY354" s="275"/>
      <c r="FZ354" s="275"/>
      <c r="GA354" s="275"/>
      <c r="GB354" s="275"/>
      <c r="GC354" s="275"/>
      <c r="GD354" s="275"/>
      <c r="GE354" s="275"/>
      <c r="GF354" s="275"/>
      <c r="GG354" s="275"/>
      <c r="GH354" s="275"/>
      <c r="GI354" s="275"/>
      <c r="GJ354" s="275"/>
      <c r="GK354" s="275"/>
      <c r="GL354" s="275"/>
      <c r="GM354" s="275"/>
      <c r="GN354" s="275"/>
      <c r="GO354" s="275"/>
      <c r="GP354" s="275"/>
      <c r="GQ354" s="275"/>
      <c r="GR354" s="275"/>
      <c r="GS354" s="275"/>
      <c r="GT354" s="275"/>
      <c r="GU354" s="275"/>
      <c r="GV354" s="275"/>
      <c r="GW354" s="275"/>
      <c r="GX354" s="275"/>
      <c r="GY354" s="275"/>
      <c r="GZ354" s="275"/>
      <c r="HA354" s="275"/>
      <c r="HB354" s="275"/>
      <c r="HC354" s="275"/>
      <c r="HD354" s="275"/>
      <c r="HE354" s="275"/>
      <c r="HF354" s="275"/>
      <c r="HG354" s="275"/>
      <c r="HH354" s="275"/>
      <c r="HI354" s="275"/>
      <c r="HJ354" s="275"/>
      <c r="HK354" s="275"/>
      <c r="HL354" s="275"/>
      <c r="HM354" s="275"/>
      <c r="HN354" s="275"/>
      <c r="HO354" s="275"/>
      <c r="HP354" s="275"/>
      <c r="HQ354" s="275"/>
      <c r="HR354" s="275"/>
    </row>
    <row r="355" spans="1:226" s="297" customFormat="1">
      <c r="A355" s="275"/>
      <c r="B355" s="21"/>
      <c r="C355" s="21"/>
      <c r="D355" s="21"/>
      <c r="E355" s="21"/>
      <c r="F355" s="275"/>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J355" s="275"/>
      <c r="AK355" s="275"/>
      <c r="AL355" s="275"/>
      <c r="AM355" s="275"/>
      <c r="AN355" s="275"/>
      <c r="AO355" s="275"/>
      <c r="AQ355" s="275"/>
      <c r="AR355" s="275"/>
      <c r="AS355" s="275"/>
      <c r="AT355" s="275"/>
      <c r="AU355" s="275"/>
      <c r="AV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D355" s="275"/>
      <c r="EE355" s="275"/>
      <c r="EF355" s="275"/>
      <c r="EG355" s="275"/>
      <c r="EH355" s="275"/>
      <c r="EI355" s="275"/>
      <c r="EJ355" s="275"/>
      <c r="EK355" s="275"/>
      <c r="EL355" s="275"/>
      <c r="EM355" s="275"/>
      <c r="EN355" s="275"/>
      <c r="EO355" s="275"/>
      <c r="EP355" s="275"/>
      <c r="EQ355" s="275"/>
      <c r="ER355" s="275"/>
      <c r="ES355" s="275"/>
      <c r="ET355" s="275"/>
      <c r="EU355"/>
      <c r="EV355"/>
      <c r="EW355" s="275"/>
      <c r="EX355" s="275"/>
      <c r="EY355" s="275"/>
      <c r="EZ355" s="275"/>
      <c r="FA355" s="275"/>
      <c r="FB355" s="275"/>
      <c r="FC355" s="275"/>
      <c r="FD355" s="275"/>
      <c r="FE355" s="275"/>
      <c r="FF355" s="275"/>
      <c r="FG355" s="275"/>
      <c r="FH355" s="275"/>
      <c r="FI355" s="275"/>
      <c r="FJ355" s="275"/>
      <c r="FK355" s="275"/>
      <c r="FL355" s="275"/>
      <c r="FM355" s="275"/>
      <c r="FN355" s="275"/>
      <c r="FO355" s="275"/>
      <c r="FP355" s="275"/>
      <c r="FQ355" s="275"/>
      <c r="FR355" s="275"/>
      <c r="FS355" s="275"/>
      <c r="FT355" s="275"/>
      <c r="FU355" s="275"/>
      <c r="FV355" s="275"/>
      <c r="FW355" s="275"/>
      <c r="FX355" s="275"/>
      <c r="FY355" s="275"/>
      <c r="FZ355" s="275"/>
      <c r="GA355" s="275"/>
      <c r="GB355" s="275"/>
      <c r="GC355" s="275"/>
      <c r="GD355" s="275"/>
      <c r="GE355" s="275"/>
      <c r="GF355" s="275"/>
      <c r="GG355" s="275"/>
      <c r="GH355" s="275"/>
      <c r="GI355" s="275"/>
      <c r="GJ355" s="275"/>
      <c r="GK355" s="275"/>
      <c r="GL355" s="275"/>
      <c r="GM355" s="275"/>
      <c r="GN355" s="275"/>
      <c r="GO355" s="275"/>
      <c r="GP355" s="275"/>
      <c r="GQ355" s="275"/>
      <c r="GR355" s="275"/>
      <c r="GS355" s="275"/>
      <c r="GT355" s="275"/>
      <c r="GU355" s="275"/>
      <c r="GV355" s="275"/>
      <c r="GW355" s="275"/>
      <c r="GX355" s="275"/>
      <c r="GY355" s="275"/>
      <c r="GZ355" s="275"/>
      <c r="HA355" s="275"/>
      <c r="HB355" s="275"/>
      <c r="HC355" s="275"/>
      <c r="HD355" s="275"/>
      <c r="HE355" s="275"/>
      <c r="HF355" s="275"/>
      <c r="HG355" s="275"/>
      <c r="HH355" s="275"/>
      <c r="HI355" s="275"/>
      <c r="HJ355" s="275"/>
      <c r="HK355" s="275"/>
      <c r="HL355" s="275"/>
      <c r="HM355" s="275"/>
      <c r="HN355" s="275"/>
      <c r="HO355" s="275"/>
      <c r="HP355" s="275"/>
      <c r="HQ355" s="275"/>
      <c r="HR355" s="275"/>
    </row>
    <row r="356" spans="1:226" s="297" customFormat="1">
      <c r="A356" s="275"/>
      <c r="B356" s="21"/>
      <c r="C356" s="21"/>
      <c r="D356" s="21"/>
      <c r="E356" s="21"/>
      <c r="F356" s="275"/>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J356" s="275"/>
      <c r="AK356" s="275"/>
      <c r="AL356" s="275"/>
      <c r="AM356" s="275"/>
      <c r="AN356" s="275"/>
      <c r="AO356" s="275"/>
      <c r="AQ356" s="275"/>
      <c r="AR356" s="275"/>
      <c r="AS356" s="275"/>
      <c r="AT356" s="275"/>
      <c r="AU356" s="275"/>
      <c r="AV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D356" s="275"/>
      <c r="EE356" s="275"/>
      <c r="EF356" s="275"/>
      <c r="EG356" s="275"/>
      <c r="EH356" s="275"/>
      <c r="EI356" s="275"/>
      <c r="EJ356" s="275"/>
      <c r="EK356" s="275"/>
      <c r="EL356" s="275"/>
      <c r="EM356" s="275"/>
      <c r="EN356" s="275"/>
      <c r="EO356" s="275"/>
      <c r="EP356" s="275"/>
      <c r="EQ356" s="275"/>
      <c r="ER356" s="275"/>
      <c r="ES356" s="275"/>
      <c r="ET356" s="275"/>
      <c r="EU356"/>
      <c r="EV356"/>
      <c r="EW356" s="275"/>
      <c r="EX356" s="275"/>
      <c r="EY356" s="275"/>
      <c r="EZ356" s="275"/>
      <c r="FA356" s="275"/>
      <c r="FB356" s="275"/>
      <c r="FC356" s="275"/>
      <c r="FD356" s="275"/>
      <c r="FE356" s="275"/>
      <c r="FF356" s="275"/>
      <c r="FG356" s="275"/>
      <c r="FH356" s="275"/>
      <c r="FI356" s="275"/>
      <c r="FJ356" s="275"/>
      <c r="FK356" s="275"/>
      <c r="FL356" s="275"/>
      <c r="FM356" s="275"/>
      <c r="FN356" s="275"/>
      <c r="FO356" s="275"/>
      <c r="FP356" s="275"/>
      <c r="FQ356" s="275"/>
      <c r="FR356" s="275"/>
      <c r="FS356" s="275"/>
      <c r="FT356" s="275"/>
      <c r="FU356" s="275"/>
      <c r="FV356" s="275"/>
      <c r="FW356" s="275"/>
      <c r="FX356" s="275"/>
      <c r="FY356" s="275"/>
      <c r="FZ356" s="275"/>
      <c r="GA356" s="275"/>
      <c r="GB356" s="275"/>
      <c r="GC356" s="275"/>
      <c r="GD356" s="275"/>
      <c r="GE356" s="275"/>
      <c r="GF356" s="275"/>
      <c r="GG356" s="275"/>
      <c r="GH356" s="275"/>
      <c r="GI356" s="275"/>
      <c r="GJ356" s="275"/>
      <c r="GK356" s="275"/>
      <c r="GL356" s="275"/>
      <c r="GM356" s="275"/>
      <c r="GN356" s="275"/>
      <c r="GO356" s="275"/>
      <c r="GP356" s="275"/>
      <c r="GQ356" s="275"/>
      <c r="GR356" s="275"/>
      <c r="GS356" s="275"/>
      <c r="GT356" s="275"/>
      <c r="GU356" s="275"/>
      <c r="GV356" s="275"/>
      <c r="GW356" s="275"/>
      <c r="GX356" s="275"/>
      <c r="GY356" s="275"/>
      <c r="GZ356" s="275"/>
      <c r="HA356" s="275"/>
      <c r="HB356" s="275"/>
      <c r="HC356" s="275"/>
      <c r="HD356" s="275"/>
      <c r="HE356" s="275"/>
      <c r="HF356" s="275"/>
      <c r="HG356" s="275"/>
      <c r="HH356" s="275"/>
      <c r="HI356" s="275"/>
      <c r="HJ356" s="275"/>
      <c r="HK356" s="275"/>
      <c r="HL356" s="275"/>
      <c r="HM356" s="275"/>
      <c r="HN356" s="275"/>
      <c r="HO356" s="275"/>
      <c r="HP356" s="275"/>
      <c r="HQ356" s="275"/>
      <c r="HR356" s="275"/>
    </row>
    <row r="357" spans="1:226" s="297" customFormat="1">
      <c r="A357" s="275"/>
      <c r="B357" s="21"/>
      <c r="C357" s="21"/>
      <c r="D357" s="21"/>
      <c r="E357" s="21"/>
      <c r="F357" s="275"/>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J357" s="275"/>
      <c r="AK357" s="275"/>
      <c r="AL357" s="275"/>
      <c r="AM357" s="275"/>
      <c r="AN357" s="275"/>
      <c r="AO357" s="275"/>
      <c r="AQ357" s="275"/>
      <c r="AR357" s="275"/>
      <c r="AS357" s="275"/>
      <c r="AT357" s="275"/>
      <c r="AU357" s="275"/>
      <c r="AV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D357" s="275"/>
      <c r="EE357" s="275"/>
      <c r="EF357" s="275"/>
      <c r="EG357" s="275"/>
      <c r="EH357" s="275"/>
      <c r="EI357" s="275"/>
      <c r="EJ357" s="275"/>
      <c r="EK357" s="275"/>
      <c r="EL357" s="275"/>
      <c r="EM357" s="275"/>
      <c r="EN357" s="275"/>
      <c r="EO357" s="275"/>
      <c r="EP357" s="275"/>
      <c r="EQ357" s="275"/>
      <c r="ER357" s="275"/>
      <c r="ES357" s="275"/>
      <c r="ET357" s="275"/>
      <c r="EU357"/>
      <c r="EV357"/>
      <c r="EW357" s="275"/>
      <c r="EX357" s="275"/>
      <c r="EY357" s="275"/>
      <c r="EZ357" s="275"/>
      <c r="FA357" s="275"/>
      <c r="FB357" s="275"/>
      <c r="FC357" s="275"/>
      <c r="FD357" s="275"/>
      <c r="FE357" s="275"/>
      <c r="FF357" s="275"/>
      <c r="FG357" s="275"/>
      <c r="FH357" s="275"/>
      <c r="FI357" s="275"/>
      <c r="FJ357" s="275"/>
      <c r="FK357" s="275"/>
      <c r="FL357" s="275"/>
      <c r="FM357" s="275"/>
      <c r="FN357" s="275"/>
      <c r="FO357" s="275"/>
      <c r="FP357" s="275"/>
      <c r="FQ357" s="275"/>
      <c r="FR357" s="275"/>
      <c r="FS357" s="275"/>
      <c r="FT357" s="275"/>
      <c r="FU357" s="275"/>
      <c r="FV357" s="275"/>
      <c r="FW357" s="275"/>
      <c r="FX357" s="275"/>
      <c r="FY357" s="275"/>
      <c r="FZ357" s="275"/>
      <c r="GA357" s="275"/>
      <c r="GB357" s="275"/>
      <c r="GC357" s="275"/>
      <c r="GD357" s="275"/>
      <c r="GE357" s="275"/>
      <c r="GF357" s="275"/>
      <c r="GG357" s="275"/>
      <c r="GH357" s="275"/>
      <c r="GI357" s="275"/>
      <c r="GJ357" s="275"/>
      <c r="GK357" s="275"/>
      <c r="GL357" s="275"/>
      <c r="GM357" s="275"/>
      <c r="GN357" s="275"/>
      <c r="GO357" s="275"/>
      <c r="GP357" s="275"/>
      <c r="GQ357" s="275"/>
      <c r="GR357" s="275"/>
      <c r="GS357" s="275"/>
      <c r="GT357" s="275"/>
      <c r="GU357" s="275"/>
      <c r="GV357" s="275"/>
      <c r="GW357" s="275"/>
      <c r="GX357" s="275"/>
      <c r="GY357" s="275"/>
      <c r="GZ357" s="275"/>
      <c r="HA357" s="275"/>
      <c r="HB357" s="275"/>
      <c r="HC357" s="275"/>
      <c r="HD357" s="275"/>
      <c r="HE357" s="275"/>
      <c r="HF357" s="275"/>
      <c r="HG357" s="275"/>
      <c r="HH357" s="275"/>
      <c r="HI357" s="275"/>
      <c r="HJ357" s="275"/>
      <c r="HK357" s="275"/>
      <c r="HL357" s="275"/>
      <c r="HM357" s="275"/>
      <c r="HN357" s="275"/>
      <c r="HO357" s="275"/>
      <c r="HP357" s="275"/>
      <c r="HQ357" s="275"/>
      <c r="HR357" s="275"/>
    </row>
    <row r="358" spans="1:226" s="297" customFormat="1">
      <c r="A358" s="275"/>
      <c r="B358" s="21"/>
      <c r="C358" s="21"/>
      <c r="D358" s="21"/>
      <c r="E358" s="21"/>
      <c r="F358" s="275"/>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J358" s="275"/>
      <c r="AK358" s="275"/>
      <c r="AL358" s="275"/>
      <c r="AM358" s="275"/>
      <c r="AN358" s="275"/>
      <c r="AO358" s="275"/>
      <c r="AQ358" s="275"/>
      <c r="AR358" s="275"/>
      <c r="AS358" s="275"/>
      <c r="AT358" s="275"/>
      <c r="AU358" s="275"/>
      <c r="AV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D358" s="275"/>
      <c r="EE358" s="275"/>
      <c r="EF358" s="275"/>
      <c r="EG358" s="275"/>
      <c r="EH358" s="275"/>
      <c r="EI358" s="275"/>
      <c r="EJ358" s="275"/>
      <c r="EK358" s="275"/>
      <c r="EL358" s="275"/>
      <c r="EM358" s="275"/>
      <c r="EN358" s="275"/>
      <c r="EO358" s="275"/>
      <c r="EP358" s="275"/>
      <c r="EQ358" s="275"/>
      <c r="ER358" s="275"/>
      <c r="ES358" s="275"/>
      <c r="ET358" s="275"/>
      <c r="EU358"/>
      <c r="EV358"/>
      <c r="EW358" s="275"/>
      <c r="EX358" s="275"/>
      <c r="EY358" s="275"/>
      <c r="EZ358" s="275"/>
      <c r="FA358" s="275"/>
      <c r="FB358" s="275"/>
      <c r="FC358" s="275"/>
      <c r="FD358" s="275"/>
      <c r="FE358" s="275"/>
      <c r="FF358" s="275"/>
      <c r="FG358" s="275"/>
      <c r="FH358" s="275"/>
      <c r="FI358" s="275"/>
      <c r="FJ358" s="275"/>
      <c r="FK358" s="275"/>
      <c r="FL358" s="275"/>
      <c r="FM358" s="275"/>
      <c r="FN358" s="275"/>
      <c r="FO358" s="275"/>
      <c r="FP358" s="275"/>
      <c r="FQ358" s="275"/>
      <c r="FR358" s="275"/>
      <c r="FS358" s="275"/>
      <c r="FT358" s="275"/>
      <c r="FU358" s="275"/>
      <c r="FV358" s="275"/>
      <c r="FW358" s="275"/>
      <c r="FX358" s="275"/>
      <c r="FY358" s="275"/>
      <c r="FZ358" s="275"/>
      <c r="GA358" s="275"/>
      <c r="GB358" s="275"/>
      <c r="GC358" s="275"/>
      <c r="GD358" s="275"/>
      <c r="GE358" s="275"/>
      <c r="GF358" s="275"/>
      <c r="GG358" s="275"/>
      <c r="GH358" s="275"/>
      <c r="GI358" s="275"/>
      <c r="GJ358" s="275"/>
      <c r="GK358" s="275"/>
      <c r="GL358" s="275"/>
      <c r="GM358" s="275"/>
      <c r="GN358" s="275"/>
      <c r="GO358" s="275"/>
      <c r="GP358" s="275"/>
      <c r="GQ358" s="275"/>
      <c r="GR358" s="275"/>
      <c r="GS358" s="275"/>
      <c r="GT358" s="275"/>
      <c r="GU358" s="275"/>
      <c r="GV358" s="275"/>
      <c r="GW358" s="275"/>
      <c r="GX358" s="275"/>
      <c r="GY358" s="275"/>
      <c r="GZ358" s="275"/>
      <c r="HA358" s="275"/>
      <c r="HB358" s="275"/>
      <c r="HC358" s="275"/>
      <c r="HD358" s="275"/>
      <c r="HE358" s="275"/>
      <c r="HF358" s="275"/>
      <c r="HG358" s="275"/>
      <c r="HH358" s="275"/>
      <c r="HI358" s="275"/>
      <c r="HJ358" s="275"/>
      <c r="HK358" s="275"/>
      <c r="HL358" s="275"/>
      <c r="HM358" s="275"/>
      <c r="HN358" s="275"/>
      <c r="HO358" s="275"/>
      <c r="HP358" s="275"/>
      <c r="HQ358" s="275"/>
      <c r="HR358" s="275"/>
    </row>
    <row r="359" spans="1:226" s="297" customFormat="1">
      <c r="A359" s="275"/>
      <c r="B359" s="21"/>
      <c r="C359" s="21"/>
      <c r="D359" s="21"/>
      <c r="E359" s="21"/>
      <c r="F359" s="275"/>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J359" s="275"/>
      <c r="AK359" s="275"/>
      <c r="AL359" s="275"/>
      <c r="AM359" s="275"/>
      <c r="AN359" s="275"/>
      <c r="AO359" s="275"/>
      <c r="AQ359" s="275"/>
      <c r="AR359" s="275"/>
      <c r="AS359" s="275"/>
      <c r="AT359" s="275"/>
      <c r="AU359" s="275"/>
      <c r="AV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D359" s="275"/>
      <c r="EE359" s="275"/>
      <c r="EF359" s="275"/>
      <c r="EG359" s="275"/>
      <c r="EH359" s="275"/>
      <c r="EI359" s="275"/>
      <c r="EJ359" s="275"/>
      <c r="EK359" s="275"/>
      <c r="EL359" s="275"/>
      <c r="EM359" s="275"/>
      <c r="EN359" s="275"/>
      <c r="EO359" s="275"/>
      <c r="EP359" s="275"/>
      <c r="EQ359" s="275"/>
      <c r="ER359" s="275"/>
      <c r="ES359" s="275"/>
      <c r="ET359" s="275"/>
      <c r="EU359"/>
      <c r="EV359"/>
      <c r="EW359" s="275"/>
      <c r="EX359" s="275"/>
      <c r="EY359" s="275"/>
      <c r="EZ359" s="275"/>
      <c r="FA359" s="275"/>
      <c r="FB359" s="275"/>
      <c r="FC359" s="275"/>
      <c r="FD359" s="275"/>
      <c r="FE359" s="275"/>
      <c r="FF359" s="275"/>
      <c r="FG359" s="275"/>
      <c r="FH359" s="275"/>
      <c r="FI359" s="275"/>
      <c r="FJ359" s="275"/>
      <c r="FK359" s="275"/>
      <c r="FL359" s="275"/>
      <c r="FM359" s="275"/>
      <c r="FN359" s="275"/>
      <c r="FO359" s="275"/>
      <c r="FP359" s="275"/>
      <c r="FQ359" s="275"/>
      <c r="FR359" s="275"/>
      <c r="FS359" s="275"/>
      <c r="FT359" s="275"/>
      <c r="FU359" s="275"/>
      <c r="FV359" s="275"/>
      <c r="FW359" s="275"/>
      <c r="FX359" s="275"/>
      <c r="FY359" s="275"/>
      <c r="FZ359" s="275"/>
      <c r="GA359" s="275"/>
      <c r="GB359" s="275"/>
      <c r="GC359" s="275"/>
      <c r="GD359" s="275"/>
      <c r="GE359" s="275"/>
      <c r="GF359" s="275"/>
      <c r="GG359" s="275"/>
      <c r="GH359" s="275"/>
      <c r="GI359" s="275"/>
      <c r="GJ359" s="275"/>
      <c r="GK359" s="275"/>
      <c r="GL359" s="275"/>
      <c r="GM359" s="275"/>
      <c r="GN359" s="275"/>
      <c r="GO359" s="275"/>
      <c r="GP359" s="275"/>
      <c r="GQ359" s="275"/>
      <c r="GR359" s="275"/>
      <c r="GS359" s="275"/>
      <c r="GT359" s="275"/>
      <c r="GU359" s="275"/>
      <c r="GV359" s="275"/>
      <c r="GW359" s="275"/>
      <c r="GX359" s="275"/>
      <c r="GY359" s="275"/>
      <c r="GZ359" s="275"/>
      <c r="HA359" s="275"/>
      <c r="HB359" s="275"/>
      <c r="HC359" s="275"/>
      <c r="HD359" s="275"/>
      <c r="HE359" s="275"/>
      <c r="HF359" s="275"/>
      <c r="HG359" s="275"/>
      <c r="HH359" s="275"/>
      <c r="HI359" s="275"/>
      <c r="HJ359" s="275"/>
      <c r="HK359" s="275"/>
      <c r="HL359" s="275"/>
      <c r="HM359" s="275"/>
      <c r="HN359" s="275"/>
      <c r="HO359" s="275"/>
      <c r="HP359" s="275"/>
      <c r="HQ359" s="275"/>
      <c r="HR359" s="275"/>
    </row>
    <row r="360" spans="1:226" s="297" customFormat="1">
      <c r="A360" s="275"/>
      <c r="B360" s="21"/>
      <c r="C360" s="21"/>
      <c r="D360" s="21"/>
      <c r="E360" s="21"/>
      <c r="F360" s="275"/>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J360" s="275"/>
      <c r="AK360" s="275"/>
      <c r="AL360" s="275"/>
      <c r="AM360" s="275"/>
      <c r="AN360" s="275"/>
      <c r="AO360" s="275"/>
      <c r="AQ360" s="275"/>
      <c r="AR360" s="275"/>
      <c r="AS360" s="275"/>
      <c r="AT360" s="275"/>
      <c r="AU360" s="275"/>
      <c r="AV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D360" s="275"/>
      <c r="EE360" s="275"/>
      <c r="EF360" s="275"/>
      <c r="EG360" s="275"/>
      <c r="EH360" s="275"/>
      <c r="EI360" s="275"/>
      <c r="EJ360" s="275"/>
      <c r="EK360" s="275"/>
      <c r="EL360" s="275"/>
      <c r="EM360" s="275"/>
      <c r="EN360" s="275"/>
      <c r="EO360" s="275"/>
      <c r="EP360" s="275"/>
      <c r="EQ360" s="275"/>
      <c r="ER360" s="275"/>
      <c r="ES360" s="275"/>
      <c r="ET360" s="275"/>
      <c r="EU360"/>
      <c r="EV360"/>
      <c r="EW360" s="275"/>
      <c r="EX360" s="275"/>
      <c r="EY360" s="275"/>
      <c r="EZ360" s="275"/>
      <c r="FA360" s="275"/>
      <c r="FB360" s="275"/>
      <c r="FC360" s="275"/>
      <c r="FD360" s="275"/>
      <c r="FE360" s="275"/>
      <c r="FF360" s="275"/>
      <c r="FG360" s="275"/>
      <c r="FH360" s="275"/>
      <c r="FI360" s="275"/>
      <c r="FJ360" s="275"/>
      <c r="FK360" s="275"/>
      <c r="FL360" s="275"/>
      <c r="FM360" s="275"/>
      <c r="FN360" s="275"/>
      <c r="FO360" s="275"/>
      <c r="FP360" s="275"/>
      <c r="FQ360" s="275"/>
      <c r="FR360" s="275"/>
      <c r="FS360" s="275"/>
      <c r="FT360" s="275"/>
      <c r="FU360" s="275"/>
      <c r="FV360" s="275"/>
      <c r="FW360" s="275"/>
      <c r="FX360" s="275"/>
      <c r="FY360" s="275"/>
      <c r="FZ360" s="275"/>
      <c r="GA360" s="275"/>
      <c r="GB360" s="275"/>
      <c r="GC360" s="275"/>
      <c r="GD360" s="275"/>
      <c r="GE360" s="275"/>
      <c r="GF360" s="275"/>
      <c r="GG360" s="275"/>
      <c r="GH360" s="275"/>
      <c r="GI360" s="275"/>
      <c r="GJ360" s="275"/>
      <c r="GK360" s="275"/>
      <c r="GL360" s="275"/>
      <c r="GM360" s="275"/>
      <c r="GN360" s="275"/>
      <c r="GO360" s="275"/>
      <c r="GP360" s="275"/>
      <c r="GQ360" s="275"/>
      <c r="GR360" s="275"/>
      <c r="GS360" s="275"/>
      <c r="GT360" s="275"/>
      <c r="GU360" s="275"/>
      <c r="GV360" s="275"/>
      <c r="GW360" s="275"/>
      <c r="GX360" s="275"/>
      <c r="GY360" s="275"/>
      <c r="GZ360" s="275"/>
      <c r="HA360" s="275"/>
      <c r="HB360" s="275"/>
      <c r="HC360" s="275"/>
      <c r="HD360" s="275"/>
      <c r="HE360" s="275"/>
      <c r="HF360" s="275"/>
      <c r="HG360" s="275"/>
      <c r="HH360" s="275"/>
      <c r="HI360" s="275"/>
      <c r="HJ360" s="275"/>
      <c r="HK360" s="275"/>
      <c r="HL360" s="275"/>
      <c r="HM360" s="275"/>
      <c r="HN360" s="275"/>
      <c r="HO360" s="275"/>
      <c r="HP360" s="275"/>
      <c r="HQ360" s="275"/>
      <c r="HR360" s="275"/>
    </row>
    <row r="361" spans="1:226" s="297" customFormat="1">
      <c r="A361" s="275"/>
      <c r="B361" s="21"/>
      <c r="C361" s="21"/>
      <c r="D361" s="21"/>
      <c r="E361" s="21"/>
      <c r="F361" s="275"/>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J361" s="275"/>
      <c r="AK361" s="275"/>
      <c r="AL361" s="275"/>
      <c r="AM361" s="275"/>
      <c r="AN361" s="275"/>
      <c r="AO361" s="275"/>
      <c r="AQ361" s="275"/>
      <c r="AR361" s="275"/>
      <c r="AS361" s="275"/>
      <c r="AT361" s="275"/>
      <c r="AU361" s="275"/>
      <c r="AV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D361" s="275"/>
      <c r="EE361" s="275"/>
      <c r="EF361" s="275"/>
      <c r="EG361" s="275"/>
      <c r="EH361" s="275"/>
      <c r="EI361" s="275"/>
      <c r="EJ361" s="275"/>
      <c r="EK361" s="275"/>
      <c r="EL361" s="275"/>
      <c r="EM361" s="275"/>
      <c r="EN361" s="275"/>
      <c r="EO361" s="275"/>
      <c r="EP361" s="275"/>
      <c r="EQ361" s="275"/>
      <c r="ER361" s="275"/>
      <c r="ES361" s="275"/>
      <c r="ET361" s="275"/>
      <c r="EU361"/>
      <c r="EV361"/>
      <c r="EW361" s="275"/>
      <c r="EX361" s="275"/>
      <c r="EY361" s="275"/>
      <c r="EZ361" s="275"/>
      <c r="FA361" s="275"/>
      <c r="FB361" s="275"/>
      <c r="FC361" s="275"/>
      <c r="FD361" s="275"/>
      <c r="FE361" s="275"/>
      <c r="FF361" s="275"/>
      <c r="FG361" s="275"/>
      <c r="FH361" s="275"/>
      <c r="FI361" s="275"/>
      <c r="FJ361" s="275"/>
      <c r="FK361" s="275"/>
      <c r="FL361" s="275"/>
      <c r="FM361" s="275"/>
      <c r="FN361" s="275"/>
      <c r="FO361" s="275"/>
      <c r="FP361" s="275"/>
      <c r="FQ361" s="275"/>
      <c r="FR361" s="275"/>
      <c r="FS361" s="275"/>
      <c r="FT361" s="275"/>
      <c r="FU361" s="275"/>
      <c r="FV361" s="275"/>
      <c r="FW361" s="275"/>
      <c r="FX361" s="275"/>
      <c r="FY361" s="275"/>
      <c r="FZ361" s="275"/>
      <c r="GA361" s="275"/>
      <c r="GB361" s="275"/>
      <c r="GC361" s="275"/>
      <c r="GD361" s="275"/>
      <c r="GE361" s="275"/>
      <c r="GF361" s="275"/>
      <c r="GG361" s="275"/>
      <c r="GH361" s="275"/>
      <c r="GI361" s="275"/>
      <c r="GJ361" s="275"/>
      <c r="GK361" s="275"/>
      <c r="GL361" s="275"/>
      <c r="GM361" s="275"/>
      <c r="GN361" s="275"/>
      <c r="GO361" s="275"/>
      <c r="GP361" s="275"/>
      <c r="GQ361" s="275"/>
      <c r="GR361" s="275"/>
      <c r="GS361" s="275"/>
      <c r="GT361" s="275"/>
      <c r="GU361" s="275"/>
      <c r="GV361" s="275"/>
      <c r="GW361" s="275"/>
      <c r="GX361" s="275"/>
      <c r="GY361" s="275"/>
      <c r="GZ361" s="275"/>
      <c r="HA361" s="275"/>
      <c r="HB361" s="275"/>
      <c r="HC361" s="275"/>
      <c r="HD361" s="275"/>
      <c r="HE361" s="275"/>
      <c r="HF361" s="275"/>
      <c r="HG361" s="275"/>
      <c r="HH361" s="275"/>
      <c r="HI361" s="275"/>
      <c r="HJ361" s="275"/>
      <c r="HK361" s="275"/>
      <c r="HL361" s="275"/>
      <c r="HM361" s="275"/>
      <c r="HN361" s="275"/>
      <c r="HO361" s="275"/>
      <c r="HP361" s="275"/>
      <c r="HQ361" s="275"/>
      <c r="HR361" s="275"/>
    </row>
    <row r="362" spans="1:226" s="297" customFormat="1">
      <c r="A362" s="275"/>
      <c r="B362" s="21"/>
      <c r="C362" s="21"/>
      <c r="D362" s="21"/>
      <c r="E362" s="21"/>
      <c r="F362" s="275"/>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J362" s="275"/>
      <c r="AK362" s="275"/>
      <c r="AL362" s="275"/>
      <c r="AM362" s="275"/>
      <c r="AN362" s="275"/>
      <c r="AO362" s="275"/>
      <c r="AQ362" s="275"/>
      <c r="AR362" s="275"/>
      <c r="AS362" s="275"/>
      <c r="AT362" s="275"/>
      <c r="AU362" s="275"/>
      <c r="AV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D362" s="275"/>
      <c r="EE362" s="275"/>
      <c r="EF362" s="275"/>
      <c r="EG362" s="275"/>
      <c r="EH362" s="275"/>
      <c r="EI362" s="275"/>
      <c r="EJ362" s="275"/>
      <c r="EK362" s="275"/>
      <c r="EL362" s="275"/>
      <c r="EM362" s="275"/>
      <c r="EN362" s="275"/>
      <c r="EO362" s="275"/>
      <c r="EP362" s="275"/>
      <c r="EQ362" s="275"/>
      <c r="ER362" s="275"/>
      <c r="ES362" s="275"/>
      <c r="ET362" s="275"/>
      <c r="EU362"/>
      <c r="EV362"/>
      <c r="EW362" s="275"/>
      <c r="EX362" s="275"/>
      <c r="EY362" s="275"/>
      <c r="EZ362" s="275"/>
      <c r="FA362" s="275"/>
      <c r="FB362" s="275"/>
      <c r="FC362" s="275"/>
      <c r="FD362" s="275"/>
      <c r="FE362" s="275"/>
      <c r="FF362" s="275"/>
      <c r="FG362" s="275"/>
      <c r="FH362" s="275"/>
      <c r="FI362" s="275"/>
      <c r="FJ362" s="275"/>
      <c r="FK362" s="275"/>
      <c r="FL362" s="275"/>
      <c r="FM362" s="275"/>
      <c r="FN362" s="275"/>
      <c r="FO362" s="275"/>
      <c r="FP362" s="275"/>
      <c r="FQ362" s="275"/>
      <c r="FR362" s="275"/>
      <c r="FS362" s="275"/>
      <c r="FT362" s="275"/>
      <c r="FU362" s="275"/>
      <c r="FV362" s="275"/>
      <c r="FW362" s="275"/>
      <c r="FX362" s="275"/>
      <c r="FY362" s="275"/>
      <c r="FZ362" s="275"/>
      <c r="GA362" s="275"/>
      <c r="GB362" s="275"/>
      <c r="GC362" s="275"/>
      <c r="GD362" s="275"/>
      <c r="GE362" s="275"/>
      <c r="GF362" s="275"/>
      <c r="GG362" s="275"/>
      <c r="GH362" s="275"/>
      <c r="GI362" s="275"/>
      <c r="GJ362" s="275"/>
      <c r="GK362" s="275"/>
      <c r="GL362" s="275"/>
      <c r="GM362" s="275"/>
      <c r="GN362" s="275"/>
      <c r="GO362" s="275"/>
      <c r="GP362" s="275"/>
      <c r="GQ362" s="275"/>
      <c r="GR362" s="275"/>
      <c r="GS362" s="275"/>
      <c r="GT362" s="275"/>
      <c r="GU362" s="275"/>
      <c r="GV362" s="275"/>
      <c r="GW362" s="275"/>
      <c r="GX362" s="275"/>
      <c r="GY362" s="275"/>
      <c r="GZ362" s="275"/>
      <c r="HA362" s="275"/>
      <c r="HB362" s="275"/>
      <c r="HC362" s="275"/>
      <c r="HD362" s="275"/>
      <c r="HE362" s="275"/>
      <c r="HF362" s="275"/>
      <c r="HG362" s="275"/>
      <c r="HH362" s="275"/>
      <c r="HI362" s="275"/>
      <c r="HJ362" s="275"/>
      <c r="HK362" s="275"/>
      <c r="HL362" s="275"/>
      <c r="HM362" s="275"/>
      <c r="HN362" s="275"/>
      <c r="HO362" s="275"/>
      <c r="HP362" s="275"/>
      <c r="HQ362" s="275"/>
      <c r="HR362" s="275"/>
    </row>
    <row r="363" spans="1:226" s="297" customFormat="1">
      <c r="A363" s="275"/>
      <c r="B363" s="21"/>
      <c r="C363" s="21"/>
      <c r="D363" s="21"/>
      <c r="E363" s="21"/>
      <c r="F363" s="275"/>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J363" s="275"/>
      <c r="AK363" s="275"/>
      <c r="AL363" s="275"/>
      <c r="AM363" s="275"/>
      <c r="AN363" s="275"/>
      <c r="AO363" s="275"/>
      <c r="AQ363" s="275"/>
      <c r="AR363" s="275"/>
      <c r="AS363" s="275"/>
      <c r="AT363" s="275"/>
      <c r="AU363" s="275"/>
      <c r="AV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D363" s="275"/>
      <c r="EE363" s="275"/>
      <c r="EF363" s="275"/>
      <c r="EG363" s="275"/>
      <c r="EH363" s="275"/>
      <c r="EI363" s="275"/>
      <c r="EJ363" s="275"/>
      <c r="EK363" s="275"/>
      <c r="EL363" s="275"/>
      <c r="EM363" s="275"/>
      <c r="EN363" s="275"/>
      <c r="EO363" s="275"/>
      <c r="EP363" s="275"/>
      <c r="EQ363" s="275"/>
      <c r="ER363" s="275"/>
      <c r="ES363" s="275"/>
      <c r="ET363" s="275"/>
      <c r="EU363"/>
      <c r="EV363"/>
      <c r="EW363" s="275"/>
      <c r="EX363" s="275"/>
      <c r="EY363" s="275"/>
      <c r="EZ363" s="275"/>
      <c r="FA363" s="275"/>
      <c r="FB363" s="275"/>
      <c r="FC363" s="275"/>
      <c r="FD363" s="275"/>
      <c r="FE363" s="275"/>
      <c r="FF363" s="275"/>
      <c r="FG363" s="275"/>
      <c r="FH363" s="275"/>
      <c r="FI363" s="275"/>
      <c r="FJ363" s="275"/>
      <c r="FK363" s="275"/>
      <c r="FL363" s="275"/>
      <c r="FM363" s="275"/>
      <c r="FN363" s="275"/>
      <c r="FO363" s="275"/>
      <c r="FP363" s="275"/>
      <c r="FQ363" s="275"/>
      <c r="FR363" s="275"/>
      <c r="FS363" s="275"/>
      <c r="FT363" s="275"/>
      <c r="FU363" s="275"/>
      <c r="FV363" s="275"/>
      <c r="FW363" s="275"/>
      <c r="FX363" s="275"/>
      <c r="FY363" s="275"/>
      <c r="FZ363" s="275"/>
      <c r="GA363" s="275"/>
      <c r="GB363" s="275"/>
      <c r="GC363" s="275"/>
      <c r="GD363" s="275"/>
      <c r="GE363" s="275"/>
      <c r="GF363" s="275"/>
      <c r="GG363" s="275"/>
      <c r="GH363" s="275"/>
      <c r="GI363" s="275"/>
      <c r="GJ363" s="275"/>
      <c r="GK363" s="275"/>
      <c r="GL363" s="275"/>
      <c r="GM363" s="275"/>
      <c r="GN363" s="275"/>
      <c r="GO363" s="275"/>
      <c r="GP363" s="275"/>
      <c r="GQ363" s="275"/>
      <c r="GR363" s="275"/>
      <c r="GS363" s="275"/>
      <c r="GT363" s="275"/>
      <c r="GU363" s="275"/>
      <c r="GV363" s="275"/>
      <c r="GW363" s="275"/>
      <c r="GX363" s="275"/>
      <c r="GY363" s="275"/>
      <c r="GZ363" s="275"/>
      <c r="HA363" s="275"/>
      <c r="HB363" s="275"/>
      <c r="HC363" s="275"/>
      <c r="HD363" s="275"/>
      <c r="HE363" s="275"/>
      <c r="HF363" s="275"/>
      <c r="HG363" s="275"/>
      <c r="HH363" s="275"/>
      <c r="HI363" s="275"/>
      <c r="HJ363" s="275"/>
      <c r="HK363" s="275"/>
      <c r="HL363" s="275"/>
      <c r="HM363" s="275"/>
      <c r="HN363" s="275"/>
      <c r="HO363" s="275"/>
      <c r="HP363" s="275"/>
      <c r="HQ363" s="275"/>
      <c r="HR363" s="275"/>
    </row>
    <row r="364" spans="1:226" s="297" customFormat="1">
      <c r="A364" s="275"/>
      <c r="B364" s="21"/>
      <c r="C364" s="21"/>
      <c r="D364" s="21"/>
      <c r="E364" s="21"/>
      <c r="F364" s="275"/>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J364" s="275"/>
      <c r="AK364" s="275"/>
      <c r="AL364" s="275"/>
      <c r="AM364" s="275"/>
      <c r="AN364" s="275"/>
      <c r="AO364" s="275"/>
      <c r="AQ364" s="275"/>
      <c r="AR364" s="275"/>
      <c r="AS364" s="275"/>
      <c r="AT364" s="275"/>
      <c r="AU364" s="275"/>
      <c r="AV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D364" s="275"/>
      <c r="EE364" s="275"/>
      <c r="EF364" s="275"/>
      <c r="EG364" s="275"/>
      <c r="EH364" s="275"/>
      <c r="EI364" s="275"/>
      <c r="EJ364" s="275"/>
      <c r="EK364" s="275"/>
      <c r="EL364" s="275"/>
      <c r="EM364" s="275"/>
      <c r="EN364" s="275"/>
      <c r="EO364" s="275"/>
      <c r="EP364" s="275"/>
      <c r="EQ364" s="275"/>
      <c r="ER364" s="275"/>
      <c r="ES364" s="275"/>
      <c r="ET364" s="275"/>
      <c r="EU364"/>
      <c r="EV364"/>
      <c r="EW364" s="275"/>
      <c r="EX364" s="275"/>
      <c r="EY364" s="275"/>
      <c r="EZ364" s="275"/>
      <c r="FA364" s="275"/>
      <c r="FB364" s="275"/>
      <c r="FC364" s="275"/>
      <c r="FD364" s="275"/>
      <c r="FE364" s="275"/>
      <c r="FF364" s="275"/>
      <c r="FG364" s="275"/>
      <c r="FH364" s="275"/>
      <c r="FI364" s="275"/>
      <c r="FJ364" s="275"/>
      <c r="FK364" s="275"/>
      <c r="FL364" s="275"/>
      <c r="FM364" s="275"/>
      <c r="FN364" s="275"/>
      <c r="FO364" s="275"/>
      <c r="FP364" s="275"/>
      <c r="FQ364" s="275"/>
      <c r="FR364" s="275"/>
      <c r="FS364" s="275"/>
      <c r="FT364" s="275"/>
      <c r="FU364" s="275"/>
      <c r="FV364" s="275"/>
      <c r="FW364" s="275"/>
      <c r="FX364" s="275"/>
      <c r="FY364" s="275"/>
      <c r="FZ364" s="275"/>
      <c r="GA364" s="275"/>
      <c r="GB364" s="275"/>
      <c r="GC364" s="275"/>
      <c r="GD364" s="275"/>
      <c r="GE364" s="275"/>
      <c r="GF364" s="275"/>
      <c r="GG364" s="275"/>
      <c r="GH364" s="275"/>
      <c r="GI364" s="275"/>
      <c r="GJ364" s="275"/>
      <c r="GK364" s="275"/>
      <c r="GL364" s="275"/>
      <c r="GM364" s="275"/>
      <c r="GN364" s="275"/>
      <c r="GO364" s="275"/>
      <c r="GP364" s="275"/>
      <c r="GQ364" s="275"/>
      <c r="GR364" s="275"/>
      <c r="GS364" s="275"/>
      <c r="GT364" s="275"/>
      <c r="GU364" s="275"/>
      <c r="GV364" s="275"/>
      <c r="GW364" s="275"/>
      <c r="GX364" s="275"/>
      <c r="GY364" s="275"/>
      <c r="GZ364" s="275"/>
      <c r="HA364" s="275"/>
      <c r="HB364" s="275"/>
      <c r="HC364" s="275"/>
      <c r="HD364" s="275"/>
      <c r="HE364" s="275"/>
      <c r="HF364" s="275"/>
      <c r="HG364" s="275"/>
      <c r="HH364" s="275"/>
      <c r="HI364" s="275"/>
      <c r="HJ364" s="275"/>
      <c r="HK364" s="275"/>
      <c r="HL364" s="275"/>
      <c r="HM364" s="275"/>
      <c r="HN364" s="275"/>
      <c r="HO364" s="275"/>
      <c r="HP364" s="275"/>
      <c r="HQ364" s="275"/>
      <c r="HR364" s="275"/>
    </row>
    <row r="365" spans="1:226" s="297" customFormat="1">
      <c r="A365" s="275"/>
      <c r="B365" s="21"/>
      <c r="C365" s="21"/>
      <c r="D365" s="21"/>
      <c r="E365" s="21"/>
      <c r="F365" s="275"/>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J365" s="275"/>
      <c r="AK365" s="275"/>
      <c r="AL365" s="275"/>
      <c r="AM365" s="275"/>
      <c r="AN365" s="275"/>
      <c r="AO365" s="275"/>
      <c r="AQ365" s="275"/>
      <c r="AR365" s="275"/>
      <c r="AS365" s="275"/>
      <c r="AT365" s="275"/>
      <c r="AU365" s="275"/>
      <c r="AV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D365" s="275"/>
      <c r="EE365" s="275"/>
      <c r="EF365" s="275"/>
      <c r="EG365" s="275"/>
      <c r="EH365" s="275"/>
      <c r="EI365" s="275"/>
      <c r="EJ365" s="275"/>
      <c r="EK365" s="275"/>
      <c r="EL365" s="275"/>
      <c r="EM365" s="275"/>
      <c r="EN365" s="275"/>
      <c r="EO365" s="275"/>
      <c r="EP365" s="275"/>
      <c r="EQ365" s="275"/>
      <c r="ER365" s="275"/>
      <c r="ES365" s="275"/>
      <c r="ET365" s="275"/>
      <c r="EU365"/>
      <c r="EV365"/>
      <c r="EW365" s="275"/>
      <c r="EX365" s="275"/>
      <c r="EY365" s="275"/>
      <c r="EZ365" s="275"/>
      <c r="FA365" s="275"/>
      <c r="FB365" s="275"/>
      <c r="FC365" s="275"/>
      <c r="FD365" s="275"/>
      <c r="FE365" s="275"/>
      <c r="FF365" s="275"/>
      <c r="FG365" s="275"/>
      <c r="FH365" s="275"/>
      <c r="FI365" s="275"/>
      <c r="FJ365" s="275"/>
      <c r="FK365" s="275"/>
      <c r="FL365" s="275"/>
      <c r="FM365" s="275"/>
      <c r="FN365" s="275"/>
      <c r="FO365" s="275"/>
      <c r="FP365" s="275"/>
      <c r="FQ365" s="275"/>
      <c r="FR365" s="275"/>
      <c r="FS365" s="275"/>
      <c r="FT365" s="275"/>
      <c r="FU365" s="275"/>
      <c r="FV365" s="275"/>
      <c r="FW365" s="275"/>
      <c r="FX365" s="275"/>
      <c r="FY365" s="275"/>
      <c r="FZ365" s="275"/>
      <c r="GA365" s="275"/>
      <c r="GB365" s="275"/>
      <c r="GC365" s="275"/>
      <c r="GD365" s="275"/>
      <c r="GE365" s="275"/>
      <c r="GF365" s="275"/>
      <c r="GG365" s="275"/>
      <c r="GH365" s="275"/>
      <c r="GI365" s="275"/>
      <c r="GJ365" s="275"/>
      <c r="GK365" s="275"/>
      <c r="GL365" s="275"/>
      <c r="GM365" s="275"/>
      <c r="GN365" s="275"/>
      <c r="GO365" s="275"/>
      <c r="GP365" s="275"/>
      <c r="GQ365" s="275"/>
      <c r="GR365" s="275"/>
      <c r="GS365" s="275"/>
      <c r="GT365" s="275"/>
      <c r="GU365" s="275"/>
      <c r="GV365" s="275"/>
      <c r="GW365" s="275"/>
      <c r="GX365" s="275"/>
      <c r="GY365" s="275"/>
      <c r="GZ365" s="275"/>
      <c r="HA365" s="275"/>
      <c r="HB365" s="275"/>
      <c r="HC365" s="275"/>
      <c r="HD365" s="275"/>
      <c r="HE365" s="275"/>
      <c r="HF365" s="275"/>
      <c r="HG365" s="275"/>
      <c r="HH365" s="275"/>
      <c r="HI365" s="275"/>
      <c r="HJ365" s="275"/>
      <c r="HK365" s="275"/>
      <c r="HL365" s="275"/>
      <c r="HM365" s="275"/>
      <c r="HN365" s="275"/>
      <c r="HO365" s="275"/>
      <c r="HP365" s="275"/>
      <c r="HQ365" s="275"/>
      <c r="HR365" s="275"/>
    </row>
    <row r="366" spans="1:226" s="297" customFormat="1">
      <c r="A366" s="275"/>
      <c r="B366" s="21"/>
      <c r="C366" s="21"/>
      <c r="D366" s="21"/>
      <c r="E366" s="21"/>
      <c r="F366" s="275"/>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J366" s="275"/>
      <c r="AK366" s="275"/>
      <c r="AL366" s="275"/>
      <c r="AM366" s="275"/>
      <c r="AN366" s="275"/>
      <c r="AO366" s="275"/>
      <c r="AQ366" s="275"/>
      <c r="AR366" s="275"/>
      <c r="AS366" s="275"/>
      <c r="AT366" s="275"/>
      <c r="AU366" s="275"/>
      <c r="AV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D366" s="275"/>
      <c r="EE366" s="275"/>
      <c r="EF366" s="275"/>
      <c r="EG366" s="275"/>
      <c r="EH366" s="275"/>
      <c r="EI366" s="275"/>
      <c r="EJ366" s="275"/>
      <c r="EK366" s="275"/>
      <c r="EL366" s="275"/>
      <c r="EM366" s="275"/>
      <c r="EN366" s="275"/>
      <c r="EO366" s="275"/>
      <c r="EP366" s="275"/>
      <c r="EQ366" s="275"/>
      <c r="ER366" s="275"/>
      <c r="ES366" s="275"/>
      <c r="ET366" s="275"/>
      <c r="EU366"/>
      <c r="EV366"/>
      <c r="EW366" s="275"/>
      <c r="EX366" s="275"/>
      <c r="EY366" s="275"/>
      <c r="EZ366" s="275"/>
      <c r="FA366" s="275"/>
      <c r="FB366" s="275"/>
      <c r="FC366" s="275"/>
      <c r="FD366" s="275"/>
      <c r="FE366" s="275"/>
      <c r="FF366" s="275"/>
      <c r="FG366" s="275"/>
      <c r="FH366" s="275"/>
      <c r="FI366" s="275"/>
      <c r="FJ366" s="275"/>
      <c r="FK366" s="275"/>
      <c r="FL366" s="275"/>
      <c r="FM366" s="275"/>
      <c r="FN366" s="275"/>
      <c r="FO366" s="275"/>
      <c r="FP366" s="275"/>
      <c r="FQ366" s="275"/>
      <c r="FR366" s="275"/>
      <c r="FS366" s="275"/>
      <c r="FT366" s="275"/>
      <c r="FU366" s="275"/>
      <c r="FV366" s="275"/>
      <c r="FW366" s="275"/>
      <c r="FX366" s="275"/>
      <c r="FY366" s="275"/>
      <c r="FZ366" s="275"/>
      <c r="GA366" s="275"/>
      <c r="GB366" s="275"/>
      <c r="GC366" s="275"/>
      <c r="GD366" s="275"/>
      <c r="GE366" s="275"/>
      <c r="GF366" s="275"/>
      <c r="GG366" s="275"/>
      <c r="GH366" s="275"/>
      <c r="GI366" s="275"/>
      <c r="GJ366" s="275"/>
      <c r="GK366" s="275"/>
      <c r="GL366" s="275"/>
      <c r="GM366" s="275"/>
      <c r="GN366" s="275"/>
      <c r="GO366" s="275"/>
      <c r="GP366" s="275"/>
      <c r="GQ366" s="275"/>
      <c r="GR366" s="275"/>
      <c r="GS366" s="275"/>
      <c r="GT366" s="275"/>
      <c r="GU366" s="275"/>
      <c r="GV366" s="275"/>
      <c r="GW366" s="275"/>
      <c r="GX366" s="275"/>
      <c r="GY366" s="275"/>
      <c r="GZ366" s="275"/>
      <c r="HA366" s="275"/>
      <c r="HB366" s="275"/>
      <c r="HC366" s="275"/>
      <c r="HD366" s="275"/>
      <c r="HE366" s="275"/>
      <c r="HF366" s="275"/>
      <c r="HG366" s="275"/>
      <c r="HH366" s="275"/>
      <c r="HI366" s="275"/>
      <c r="HJ366" s="275"/>
      <c r="HK366" s="275"/>
      <c r="HL366" s="275"/>
      <c r="HM366" s="275"/>
      <c r="HN366" s="275"/>
      <c r="HO366" s="275"/>
      <c r="HP366" s="275"/>
      <c r="HQ366" s="275"/>
      <c r="HR366" s="275"/>
    </row>
    <row r="367" spans="1:226" s="297" customFormat="1">
      <c r="A367" s="275"/>
      <c r="B367" s="21"/>
      <c r="C367" s="21"/>
      <c r="D367" s="21"/>
      <c r="E367" s="21"/>
      <c r="F367" s="275"/>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J367" s="275"/>
      <c r="AK367" s="275"/>
      <c r="AL367" s="275"/>
      <c r="AM367" s="275"/>
      <c r="AN367" s="275"/>
      <c r="AO367" s="275"/>
      <c r="AQ367" s="275"/>
      <c r="AR367" s="275"/>
      <c r="AS367" s="275"/>
      <c r="AT367" s="275"/>
      <c r="AU367" s="275"/>
      <c r="AV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D367" s="275"/>
      <c r="EE367" s="275"/>
      <c r="EF367" s="275"/>
      <c r="EG367" s="275"/>
      <c r="EH367" s="275"/>
      <c r="EI367" s="275"/>
      <c r="EJ367" s="275"/>
      <c r="EK367" s="275"/>
      <c r="EL367" s="275"/>
      <c r="EM367" s="275"/>
      <c r="EN367" s="275"/>
      <c r="EO367" s="275"/>
      <c r="EP367" s="275"/>
      <c r="EQ367" s="275"/>
      <c r="ER367" s="275"/>
      <c r="ES367" s="275"/>
      <c r="ET367" s="275"/>
      <c r="EU367"/>
      <c r="EV367"/>
      <c r="EW367" s="275"/>
      <c r="EX367" s="275"/>
      <c r="EY367" s="275"/>
      <c r="EZ367" s="275"/>
      <c r="FA367" s="275"/>
      <c r="FB367" s="275"/>
      <c r="FC367" s="275"/>
      <c r="FD367" s="275"/>
      <c r="FE367" s="275"/>
      <c r="FF367" s="275"/>
      <c r="FG367" s="275"/>
      <c r="FH367" s="275"/>
      <c r="FI367" s="275"/>
      <c r="FJ367" s="275"/>
      <c r="FK367" s="275"/>
      <c r="FL367" s="275"/>
      <c r="FM367" s="275"/>
      <c r="FN367" s="275"/>
      <c r="FO367" s="275"/>
      <c r="FP367" s="275"/>
      <c r="FQ367" s="275"/>
      <c r="FR367" s="275"/>
      <c r="FS367" s="275"/>
      <c r="FT367" s="275"/>
      <c r="FU367" s="275"/>
      <c r="FV367" s="275"/>
      <c r="FW367" s="275"/>
      <c r="FX367" s="275"/>
      <c r="FY367" s="275"/>
      <c r="FZ367" s="275"/>
      <c r="GA367" s="275"/>
      <c r="GB367" s="275"/>
      <c r="GC367" s="275"/>
      <c r="GD367" s="275"/>
      <c r="GE367" s="275"/>
      <c r="GF367" s="275"/>
      <c r="GG367" s="275"/>
      <c r="GH367" s="275"/>
      <c r="GI367" s="275"/>
      <c r="GJ367" s="275"/>
      <c r="GK367" s="275"/>
      <c r="GL367" s="275"/>
      <c r="GM367" s="275"/>
      <c r="GN367" s="275"/>
      <c r="GO367" s="275"/>
      <c r="GP367" s="275"/>
      <c r="GQ367" s="275"/>
      <c r="GR367" s="275"/>
      <c r="GS367" s="275"/>
      <c r="GT367" s="275"/>
      <c r="GU367" s="275"/>
      <c r="GV367" s="275"/>
      <c r="GW367" s="275"/>
      <c r="GX367" s="275"/>
      <c r="GY367" s="275"/>
      <c r="GZ367" s="275"/>
      <c r="HA367" s="275"/>
      <c r="HB367" s="275"/>
      <c r="HC367" s="275"/>
      <c r="HD367" s="275"/>
      <c r="HE367" s="275"/>
      <c r="HF367" s="275"/>
      <c r="HG367" s="275"/>
      <c r="HH367" s="275"/>
      <c r="HI367" s="275"/>
      <c r="HJ367" s="275"/>
      <c r="HK367" s="275"/>
      <c r="HL367" s="275"/>
      <c r="HM367" s="275"/>
      <c r="HN367" s="275"/>
      <c r="HO367" s="275"/>
      <c r="HP367" s="275"/>
      <c r="HQ367" s="275"/>
      <c r="HR367" s="275"/>
    </row>
    <row r="368" spans="1:226" s="297" customFormat="1">
      <c r="A368" s="275"/>
      <c r="B368" s="21"/>
      <c r="C368" s="21"/>
      <c r="D368" s="21"/>
      <c r="E368" s="21"/>
      <c r="F368" s="275"/>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J368" s="275"/>
      <c r="AK368" s="275"/>
      <c r="AL368" s="275"/>
      <c r="AM368" s="275"/>
      <c r="AN368" s="275"/>
      <c r="AO368" s="275"/>
      <c r="AQ368" s="275"/>
      <c r="AR368" s="275"/>
      <c r="AS368" s="275"/>
      <c r="AT368" s="275"/>
      <c r="AU368" s="275"/>
      <c r="AV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D368" s="275"/>
      <c r="EE368" s="275"/>
      <c r="EF368" s="275"/>
      <c r="EG368" s="275"/>
      <c r="EH368" s="275"/>
      <c r="EI368" s="275"/>
      <c r="EJ368" s="275"/>
      <c r="EK368" s="275"/>
      <c r="EL368" s="275"/>
      <c r="EM368" s="275"/>
      <c r="EN368" s="275"/>
      <c r="EO368" s="275"/>
      <c r="EP368" s="275"/>
      <c r="EQ368" s="275"/>
      <c r="ER368" s="275"/>
      <c r="ES368" s="275"/>
      <c r="ET368" s="275"/>
      <c r="EU368"/>
      <c r="EV368"/>
      <c r="EW368" s="275"/>
      <c r="EX368" s="275"/>
      <c r="EY368" s="275"/>
      <c r="EZ368" s="275"/>
      <c r="FA368" s="275"/>
      <c r="FB368" s="275"/>
      <c r="FC368" s="275"/>
      <c r="FD368" s="275"/>
      <c r="FE368" s="275"/>
      <c r="FF368" s="275"/>
      <c r="FG368" s="275"/>
      <c r="FH368" s="275"/>
      <c r="FI368" s="275"/>
      <c r="FJ368" s="275"/>
      <c r="FK368" s="275"/>
      <c r="FL368" s="275"/>
      <c r="FM368" s="275"/>
      <c r="FN368" s="275"/>
      <c r="FO368" s="275"/>
      <c r="FP368" s="275"/>
      <c r="FQ368" s="275"/>
      <c r="FR368" s="275"/>
      <c r="FS368" s="275"/>
      <c r="FT368" s="275"/>
      <c r="FU368" s="275"/>
      <c r="FV368" s="275"/>
      <c r="FW368" s="275"/>
      <c r="FX368" s="275"/>
      <c r="FY368" s="275"/>
      <c r="FZ368" s="275"/>
      <c r="GA368" s="275"/>
      <c r="GB368" s="275"/>
      <c r="GC368" s="275"/>
      <c r="GD368" s="275"/>
      <c r="GE368" s="275"/>
      <c r="GF368" s="275"/>
      <c r="GG368" s="275"/>
      <c r="GH368" s="275"/>
      <c r="GI368" s="275"/>
      <c r="GJ368" s="275"/>
      <c r="GK368" s="275"/>
      <c r="GL368" s="275"/>
      <c r="GM368" s="275"/>
      <c r="GN368" s="275"/>
      <c r="GO368" s="275"/>
      <c r="GP368" s="275"/>
      <c r="GQ368" s="275"/>
      <c r="GR368" s="275"/>
      <c r="GS368" s="275"/>
      <c r="GT368" s="275"/>
      <c r="GU368" s="275"/>
      <c r="GV368" s="275"/>
      <c r="GW368" s="275"/>
      <c r="GX368" s="275"/>
      <c r="GY368" s="275"/>
      <c r="GZ368" s="275"/>
      <c r="HA368" s="275"/>
      <c r="HB368" s="275"/>
      <c r="HC368" s="275"/>
      <c r="HD368" s="275"/>
      <c r="HE368" s="275"/>
      <c r="HF368" s="275"/>
      <c r="HG368" s="275"/>
      <c r="HH368" s="275"/>
      <c r="HI368" s="275"/>
      <c r="HJ368" s="275"/>
      <c r="HK368" s="275"/>
      <c r="HL368" s="275"/>
      <c r="HM368" s="275"/>
      <c r="HN368" s="275"/>
      <c r="HO368" s="275"/>
      <c r="HP368" s="275"/>
      <c r="HQ368" s="275"/>
      <c r="HR368" s="275"/>
    </row>
    <row r="369" spans="1:226" s="297" customFormat="1">
      <c r="A369" s="275"/>
      <c r="B369" s="21"/>
      <c r="C369" s="21"/>
      <c r="D369" s="21"/>
      <c r="E369" s="21"/>
      <c r="F369" s="275"/>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J369" s="275"/>
      <c r="AK369" s="275"/>
      <c r="AL369" s="275"/>
      <c r="AM369" s="275"/>
      <c r="AN369" s="275"/>
      <c r="AO369" s="275"/>
      <c r="AQ369" s="275"/>
      <c r="AR369" s="275"/>
      <c r="AS369" s="275"/>
      <c r="AT369" s="275"/>
      <c r="AU369" s="275"/>
      <c r="AV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D369" s="275"/>
      <c r="EE369" s="275"/>
      <c r="EF369" s="275"/>
      <c r="EG369" s="275"/>
      <c r="EH369" s="275"/>
      <c r="EI369" s="275"/>
      <c r="EJ369" s="275"/>
      <c r="EK369" s="275"/>
      <c r="EL369" s="275"/>
      <c r="EM369" s="275"/>
      <c r="EN369" s="275"/>
      <c r="EO369" s="275"/>
      <c r="EP369" s="275"/>
      <c r="EQ369" s="275"/>
      <c r="ER369" s="275"/>
      <c r="ES369" s="275"/>
      <c r="ET369" s="275"/>
      <c r="EU369"/>
      <c r="EV369"/>
      <c r="EW369" s="275"/>
      <c r="EX369" s="275"/>
      <c r="EY369" s="275"/>
      <c r="EZ369" s="275"/>
      <c r="FA369" s="275"/>
      <c r="FB369" s="275"/>
      <c r="FC369" s="275"/>
      <c r="FD369" s="275"/>
      <c r="FE369" s="275"/>
      <c r="FF369" s="275"/>
      <c r="FG369" s="275"/>
      <c r="FH369" s="275"/>
      <c r="FI369" s="275"/>
      <c r="FJ369" s="275"/>
      <c r="FK369" s="275"/>
      <c r="FL369" s="275"/>
      <c r="FM369" s="275"/>
      <c r="FN369" s="275"/>
      <c r="FO369" s="275"/>
      <c r="FP369" s="275"/>
      <c r="FQ369" s="275"/>
      <c r="FR369" s="275"/>
      <c r="FS369" s="275"/>
      <c r="FT369" s="275"/>
      <c r="FU369" s="275"/>
      <c r="FV369" s="275"/>
      <c r="FW369" s="275"/>
      <c r="FX369" s="275"/>
      <c r="FY369" s="275"/>
      <c r="FZ369" s="275"/>
      <c r="GA369" s="275"/>
      <c r="GB369" s="275"/>
      <c r="GC369" s="275"/>
      <c r="GD369" s="275"/>
      <c r="GE369" s="275"/>
      <c r="GF369" s="275"/>
      <c r="GG369" s="275"/>
      <c r="GH369" s="275"/>
      <c r="GI369" s="275"/>
      <c r="GJ369" s="275"/>
      <c r="GK369" s="275"/>
      <c r="GL369" s="275"/>
      <c r="GM369" s="275"/>
      <c r="GN369" s="275"/>
      <c r="GO369" s="275"/>
      <c r="GP369" s="275"/>
      <c r="GQ369" s="275"/>
      <c r="GR369" s="275"/>
      <c r="GS369" s="275"/>
      <c r="GT369" s="275"/>
      <c r="GU369" s="275"/>
      <c r="GV369" s="275"/>
      <c r="GW369" s="275"/>
      <c r="GX369" s="275"/>
      <c r="GY369" s="275"/>
      <c r="GZ369" s="275"/>
      <c r="HA369" s="275"/>
      <c r="HB369" s="275"/>
      <c r="HC369" s="275"/>
      <c r="HD369" s="275"/>
      <c r="HE369" s="275"/>
      <c r="HF369" s="275"/>
      <c r="HG369" s="275"/>
      <c r="HH369" s="275"/>
      <c r="HI369" s="275"/>
      <c r="HJ369" s="275"/>
      <c r="HK369" s="275"/>
      <c r="HL369" s="275"/>
      <c r="HM369" s="275"/>
      <c r="HN369" s="275"/>
      <c r="HO369" s="275"/>
      <c r="HP369" s="275"/>
      <c r="HQ369" s="275"/>
      <c r="HR369" s="275"/>
    </row>
    <row r="370" spans="1:226" s="297" customFormat="1">
      <c r="A370" s="275"/>
      <c r="B370" s="21"/>
      <c r="C370" s="21"/>
      <c r="D370" s="21"/>
      <c r="E370" s="21"/>
      <c r="F370" s="275"/>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J370" s="275"/>
      <c r="AK370" s="275"/>
      <c r="AL370" s="275"/>
      <c r="AM370" s="275"/>
      <c r="AN370" s="275"/>
      <c r="AO370" s="275"/>
      <c r="AQ370" s="275"/>
      <c r="AR370" s="275"/>
      <c r="AS370" s="275"/>
      <c r="AT370" s="275"/>
      <c r="AU370" s="275"/>
      <c r="AV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D370" s="275"/>
      <c r="EE370" s="275"/>
      <c r="EF370" s="275"/>
      <c r="EG370" s="275"/>
      <c r="EH370" s="275"/>
      <c r="EI370" s="275"/>
      <c r="EJ370" s="275"/>
      <c r="EK370" s="275"/>
      <c r="EL370" s="275"/>
      <c r="EM370" s="275"/>
      <c r="EN370" s="275"/>
      <c r="EO370" s="275"/>
      <c r="EP370" s="275"/>
      <c r="EQ370" s="275"/>
      <c r="ER370" s="275"/>
      <c r="ES370" s="275"/>
      <c r="ET370" s="275"/>
      <c r="EU370"/>
      <c r="EV370"/>
      <c r="EW370" s="275"/>
      <c r="EX370" s="275"/>
      <c r="EY370" s="275"/>
      <c r="EZ370" s="275"/>
      <c r="FA370" s="275"/>
      <c r="FB370" s="275"/>
      <c r="FC370" s="275"/>
      <c r="FD370" s="275"/>
      <c r="FE370" s="275"/>
      <c r="FF370" s="275"/>
      <c r="FG370" s="275"/>
      <c r="FH370" s="275"/>
      <c r="FI370" s="275"/>
      <c r="FJ370" s="275"/>
      <c r="FK370" s="275"/>
      <c r="FL370" s="275"/>
      <c r="FM370" s="275"/>
      <c r="FN370" s="275"/>
      <c r="FO370" s="275"/>
      <c r="FP370" s="275"/>
      <c r="FQ370" s="275"/>
      <c r="FR370" s="275"/>
      <c r="FS370" s="275"/>
      <c r="FT370" s="275"/>
      <c r="FU370" s="275"/>
      <c r="FV370" s="275"/>
      <c r="FW370" s="275"/>
      <c r="FX370" s="275"/>
      <c r="FY370" s="275"/>
      <c r="FZ370" s="275"/>
      <c r="GA370" s="275"/>
      <c r="GB370" s="275"/>
      <c r="GC370" s="275"/>
      <c r="GD370" s="275"/>
      <c r="GE370" s="275"/>
      <c r="GF370" s="275"/>
      <c r="GG370" s="275"/>
      <c r="GH370" s="275"/>
      <c r="GI370" s="275"/>
      <c r="GJ370" s="275"/>
      <c r="GK370" s="275"/>
      <c r="GL370" s="275"/>
      <c r="GM370" s="275"/>
      <c r="GN370" s="275"/>
      <c r="GO370" s="275"/>
      <c r="GP370" s="275"/>
      <c r="GQ370" s="275"/>
      <c r="GR370" s="275"/>
      <c r="GS370" s="275"/>
      <c r="GT370" s="275"/>
      <c r="GU370" s="275"/>
      <c r="GV370" s="275"/>
      <c r="GW370" s="275"/>
      <c r="GX370" s="275"/>
      <c r="GY370" s="275"/>
      <c r="GZ370" s="275"/>
      <c r="HA370" s="275"/>
      <c r="HB370" s="275"/>
      <c r="HC370" s="275"/>
      <c r="HD370" s="275"/>
      <c r="HE370" s="275"/>
      <c r="HF370" s="275"/>
      <c r="HG370" s="275"/>
      <c r="HH370" s="275"/>
      <c r="HI370" s="275"/>
      <c r="HJ370" s="275"/>
      <c r="HK370" s="275"/>
      <c r="HL370" s="275"/>
      <c r="HM370" s="275"/>
      <c r="HN370" s="275"/>
      <c r="HO370" s="275"/>
      <c r="HP370" s="275"/>
      <c r="HQ370" s="275"/>
      <c r="HR370" s="275"/>
    </row>
    <row r="371" spans="1:226" s="297" customFormat="1">
      <c r="A371" s="275"/>
      <c r="B371" s="21"/>
      <c r="C371" s="21"/>
      <c r="D371" s="21"/>
      <c r="E371" s="21"/>
      <c r="F371" s="275"/>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J371" s="275"/>
      <c r="AK371" s="275"/>
      <c r="AL371" s="275"/>
      <c r="AM371" s="275"/>
      <c r="AN371" s="275"/>
      <c r="AO371" s="275"/>
      <c r="AQ371" s="275"/>
      <c r="AR371" s="275"/>
      <c r="AS371" s="275"/>
      <c r="AT371" s="275"/>
      <c r="AU371" s="275"/>
      <c r="AV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D371" s="275"/>
      <c r="EE371" s="275"/>
      <c r="EF371" s="275"/>
      <c r="EG371" s="275"/>
      <c r="EH371" s="275"/>
      <c r="EI371" s="275"/>
      <c r="EJ371" s="275"/>
      <c r="EK371" s="275"/>
      <c r="EL371" s="275"/>
      <c r="EM371" s="275"/>
      <c r="EN371" s="275"/>
      <c r="EO371" s="275"/>
      <c r="EP371" s="275"/>
      <c r="EQ371" s="275"/>
      <c r="ER371" s="275"/>
      <c r="ES371" s="275"/>
      <c r="ET371" s="275"/>
      <c r="EU371"/>
      <c r="EV371"/>
      <c r="EW371" s="275"/>
      <c r="EX371" s="275"/>
      <c r="EY371" s="275"/>
      <c r="EZ371" s="275"/>
      <c r="FA371" s="275"/>
      <c r="FB371" s="275"/>
      <c r="FC371" s="275"/>
      <c r="FD371" s="275"/>
      <c r="FE371" s="275"/>
      <c r="FF371" s="275"/>
      <c r="FG371" s="275"/>
      <c r="FH371" s="275"/>
      <c r="FI371" s="275"/>
      <c r="FJ371" s="275"/>
      <c r="FK371" s="275"/>
      <c r="FL371" s="275"/>
      <c r="FM371" s="275"/>
      <c r="FN371" s="275"/>
      <c r="FO371" s="275"/>
      <c r="FP371" s="275"/>
      <c r="FQ371" s="275"/>
      <c r="FR371" s="275"/>
      <c r="FS371" s="275"/>
      <c r="FT371" s="275"/>
      <c r="FU371" s="275"/>
      <c r="FV371" s="275"/>
      <c r="FW371" s="275"/>
      <c r="FX371" s="275"/>
      <c r="FY371" s="275"/>
      <c r="FZ371" s="275"/>
      <c r="GA371" s="275"/>
      <c r="GB371" s="275"/>
      <c r="GC371" s="275"/>
      <c r="GD371" s="275"/>
      <c r="GE371" s="275"/>
      <c r="GF371" s="275"/>
      <c r="GG371" s="275"/>
      <c r="GH371" s="275"/>
      <c r="GI371" s="275"/>
      <c r="GJ371" s="275"/>
      <c r="GK371" s="275"/>
      <c r="GL371" s="275"/>
      <c r="GM371" s="275"/>
      <c r="GN371" s="275"/>
      <c r="GO371" s="275"/>
      <c r="GP371" s="275"/>
      <c r="GQ371" s="275"/>
      <c r="GR371" s="275"/>
      <c r="GS371" s="275"/>
      <c r="GT371" s="275"/>
      <c r="GU371" s="275"/>
      <c r="GV371" s="275"/>
      <c r="GW371" s="275"/>
      <c r="GX371" s="275"/>
      <c r="GY371" s="275"/>
      <c r="GZ371" s="275"/>
      <c r="HA371" s="275"/>
      <c r="HB371" s="275"/>
      <c r="HC371" s="275"/>
      <c r="HD371" s="275"/>
      <c r="HE371" s="275"/>
      <c r="HF371" s="275"/>
      <c r="HG371" s="275"/>
      <c r="HH371" s="275"/>
      <c r="HI371" s="275"/>
      <c r="HJ371" s="275"/>
      <c r="HK371" s="275"/>
      <c r="HL371" s="275"/>
      <c r="HM371" s="275"/>
      <c r="HN371" s="275"/>
      <c r="HO371" s="275"/>
      <c r="HP371" s="275"/>
      <c r="HQ371" s="275"/>
      <c r="HR371" s="275"/>
    </row>
    <row r="372" spans="1:226" s="297" customFormat="1">
      <c r="A372" s="275"/>
      <c r="B372" s="21"/>
      <c r="C372" s="21"/>
      <c r="D372" s="21"/>
      <c r="E372" s="21"/>
      <c r="F372" s="275"/>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J372" s="275"/>
      <c r="AK372" s="275"/>
      <c r="AL372" s="275"/>
      <c r="AM372" s="275"/>
      <c r="AN372" s="275"/>
      <c r="AO372" s="275"/>
      <c r="AQ372" s="275"/>
      <c r="AR372" s="275"/>
      <c r="AS372" s="275"/>
      <c r="AT372" s="275"/>
      <c r="AU372" s="275"/>
      <c r="AV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D372" s="275"/>
      <c r="EE372" s="275"/>
      <c r="EF372" s="275"/>
      <c r="EG372" s="275"/>
      <c r="EH372" s="275"/>
      <c r="EI372" s="275"/>
      <c r="EJ372" s="275"/>
      <c r="EK372" s="275"/>
      <c r="EL372" s="275"/>
      <c r="EM372" s="275"/>
      <c r="EN372" s="275"/>
      <c r="EO372" s="275"/>
      <c r="EP372" s="275"/>
      <c r="EQ372" s="275"/>
      <c r="ER372" s="275"/>
      <c r="ES372" s="275"/>
      <c r="ET372" s="275"/>
      <c r="EU372"/>
      <c r="EV372"/>
      <c r="EW372" s="275"/>
      <c r="EX372" s="275"/>
      <c r="EY372" s="275"/>
      <c r="EZ372" s="275"/>
      <c r="FA372" s="275"/>
      <c r="FB372" s="275"/>
      <c r="FC372" s="275"/>
      <c r="FD372" s="275"/>
      <c r="FE372" s="275"/>
      <c r="FF372" s="275"/>
      <c r="FG372" s="275"/>
      <c r="FH372" s="275"/>
      <c r="FI372" s="275"/>
      <c r="FJ372" s="275"/>
      <c r="FK372" s="275"/>
      <c r="FL372" s="275"/>
      <c r="FM372" s="275"/>
      <c r="FN372" s="275"/>
      <c r="FO372" s="275"/>
      <c r="FP372" s="275"/>
      <c r="FQ372" s="275"/>
      <c r="FR372" s="275"/>
      <c r="FS372" s="275"/>
      <c r="FT372" s="275"/>
      <c r="FU372" s="275"/>
      <c r="FV372" s="275"/>
      <c r="FW372" s="275"/>
      <c r="FX372" s="275"/>
      <c r="FY372" s="275"/>
      <c r="FZ372" s="275"/>
      <c r="GA372" s="275"/>
      <c r="GB372" s="275"/>
      <c r="GC372" s="275"/>
      <c r="GD372" s="275"/>
      <c r="GE372" s="275"/>
      <c r="GF372" s="275"/>
      <c r="GG372" s="275"/>
      <c r="GH372" s="275"/>
      <c r="GI372" s="275"/>
      <c r="GJ372" s="275"/>
      <c r="GK372" s="275"/>
      <c r="GL372" s="275"/>
      <c r="GM372" s="275"/>
      <c r="GN372" s="275"/>
      <c r="GO372" s="275"/>
      <c r="GP372" s="275"/>
      <c r="GQ372" s="275"/>
      <c r="GR372" s="275"/>
      <c r="GS372" s="275"/>
      <c r="GT372" s="275"/>
      <c r="GU372" s="275"/>
      <c r="GV372" s="275"/>
      <c r="GW372" s="275"/>
      <c r="GX372" s="275"/>
      <c r="GY372" s="275"/>
      <c r="GZ372" s="275"/>
      <c r="HA372" s="275"/>
      <c r="HB372" s="275"/>
      <c r="HC372" s="275"/>
      <c r="HD372" s="275"/>
      <c r="HE372" s="275"/>
      <c r="HF372" s="275"/>
      <c r="HG372" s="275"/>
      <c r="HH372" s="275"/>
      <c r="HI372" s="275"/>
      <c r="HJ372" s="275"/>
      <c r="HK372" s="275"/>
      <c r="HL372" s="275"/>
      <c r="HM372" s="275"/>
      <c r="HN372" s="275"/>
      <c r="HO372" s="275"/>
      <c r="HP372" s="275"/>
      <c r="HQ372" s="275"/>
      <c r="HR372" s="275"/>
    </row>
    <row r="373" spans="1:226" s="297" customFormat="1">
      <c r="A373" s="275"/>
      <c r="B373" s="21"/>
      <c r="C373" s="21"/>
      <c r="D373" s="21"/>
      <c r="E373" s="21"/>
      <c r="F373" s="275"/>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J373" s="275"/>
      <c r="AK373" s="275"/>
      <c r="AL373" s="275"/>
      <c r="AM373" s="275"/>
      <c r="AN373" s="275"/>
      <c r="AO373" s="275"/>
      <c r="AQ373" s="275"/>
      <c r="AR373" s="275"/>
      <c r="AS373" s="275"/>
      <c r="AT373" s="275"/>
      <c r="AU373" s="275"/>
      <c r="AV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D373" s="275"/>
      <c r="EE373" s="275"/>
      <c r="EF373" s="275"/>
      <c r="EG373" s="275"/>
      <c r="EH373" s="275"/>
      <c r="EI373" s="275"/>
      <c r="EJ373" s="275"/>
      <c r="EK373" s="275"/>
      <c r="EL373" s="275"/>
      <c r="EM373" s="275"/>
      <c r="EN373" s="275"/>
      <c r="EO373" s="275"/>
      <c r="EP373" s="275"/>
      <c r="EQ373" s="275"/>
      <c r="ER373" s="275"/>
      <c r="ES373" s="275"/>
      <c r="ET373" s="275"/>
      <c r="EU373"/>
      <c r="EV373"/>
      <c r="EW373" s="275"/>
      <c r="EX373" s="275"/>
      <c r="EY373" s="275"/>
      <c r="EZ373" s="275"/>
      <c r="FA373" s="275"/>
      <c r="FB373" s="275"/>
      <c r="FC373" s="275"/>
      <c r="FD373" s="275"/>
      <c r="FE373" s="275"/>
      <c r="FF373" s="275"/>
      <c r="FG373" s="275"/>
      <c r="FH373" s="275"/>
      <c r="FI373" s="275"/>
      <c r="FJ373" s="275"/>
      <c r="FK373" s="275"/>
      <c r="FL373" s="275"/>
      <c r="FM373" s="275"/>
      <c r="FN373" s="275"/>
      <c r="FO373" s="275"/>
      <c r="FP373" s="275"/>
      <c r="FQ373" s="275"/>
      <c r="FR373" s="275"/>
      <c r="FS373" s="275"/>
      <c r="FT373" s="275"/>
      <c r="FU373" s="275"/>
      <c r="FV373" s="275"/>
      <c r="FW373" s="275"/>
      <c r="FX373" s="275"/>
      <c r="FY373" s="275"/>
      <c r="FZ373" s="275"/>
      <c r="GA373" s="275"/>
      <c r="GB373" s="275"/>
      <c r="GC373" s="275"/>
      <c r="GD373" s="275"/>
      <c r="GE373" s="275"/>
      <c r="GF373" s="275"/>
      <c r="GG373" s="275"/>
      <c r="GH373" s="275"/>
      <c r="GI373" s="275"/>
      <c r="GJ373" s="275"/>
      <c r="GK373" s="275"/>
      <c r="GL373" s="275"/>
      <c r="GM373" s="275"/>
      <c r="GN373" s="275"/>
      <c r="GO373" s="275"/>
      <c r="GP373" s="275"/>
      <c r="GQ373" s="275"/>
      <c r="GR373" s="275"/>
      <c r="GS373" s="275"/>
      <c r="GT373" s="275"/>
      <c r="GU373" s="275"/>
      <c r="GV373" s="275"/>
      <c r="GW373" s="275"/>
      <c r="GX373" s="275"/>
      <c r="GY373" s="275"/>
      <c r="GZ373" s="275"/>
      <c r="HA373" s="275"/>
      <c r="HB373" s="275"/>
      <c r="HC373" s="275"/>
      <c r="HD373" s="275"/>
      <c r="HE373" s="275"/>
      <c r="HF373" s="275"/>
      <c r="HG373" s="275"/>
      <c r="HH373" s="275"/>
      <c r="HI373" s="275"/>
      <c r="HJ373" s="275"/>
      <c r="HK373" s="275"/>
      <c r="HL373" s="275"/>
      <c r="HM373" s="275"/>
      <c r="HN373" s="275"/>
      <c r="HO373" s="275"/>
      <c r="HP373" s="275"/>
      <c r="HQ373" s="275"/>
      <c r="HR373" s="275"/>
    </row>
    <row r="374" spans="1:226" s="297" customFormat="1">
      <c r="A374" s="275"/>
      <c r="B374" s="21"/>
      <c r="C374" s="21"/>
      <c r="D374" s="21"/>
      <c r="E374" s="21"/>
      <c r="F374" s="275"/>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J374" s="275"/>
      <c r="AK374" s="275"/>
      <c r="AL374" s="275"/>
      <c r="AM374" s="275"/>
      <c r="AN374" s="275"/>
      <c r="AO374" s="275"/>
      <c r="AQ374" s="275"/>
      <c r="AR374" s="275"/>
      <c r="AS374" s="275"/>
      <c r="AT374" s="275"/>
      <c r="AU374" s="275"/>
      <c r="AV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D374" s="275"/>
      <c r="EE374" s="275"/>
      <c r="EF374" s="275"/>
      <c r="EG374" s="275"/>
      <c r="EH374" s="275"/>
      <c r="EI374" s="275"/>
      <c r="EJ374" s="275"/>
      <c r="EK374" s="275"/>
      <c r="EL374" s="275"/>
      <c r="EM374" s="275"/>
      <c r="EN374" s="275"/>
      <c r="EO374" s="275"/>
      <c r="EP374" s="275"/>
      <c r="EQ374" s="275"/>
      <c r="ER374" s="275"/>
      <c r="ES374" s="275"/>
      <c r="ET374" s="275"/>
      <c r="EU374"/>
      <c r="EV374"/>
      <c r="EW374" s="275"/>
      <c r="EX374" s="275"/>
      <c r="EY374" s="275"/>
      <c r="EZ374" s="275"/>
      <c r="FA374" s="275"/>
      <c r="FB374" s="275"/>
      <c r="FC374" s="275"/>
      <c r="FD374" s="275"/>
      <c r="FE374" s="275"/>
      <c r="FF374" s="275"/>
      <c r="FG374" s="275"/>
      <c r="FH374" s="275"/>
      <c r="FI374" s="275"/>
      <c r="FJ374" s="275"/>
      <c r="FK374" s="275"/>
      <c r="FL374" s="275"/>
      <c r="FM374" s="275"/>
      <c r="FN374" s="275"/>
      <c r="FO374" s="275"/>
      <c r="FP374" s="275"/>
      <c r="FQ374" s="275"/>
      <c r="FR374" s="275"/>
      <c r="FS374" s="275"/>
      <c r="FT374" s="275"/>
      <c r="FU374" s="275"/>
      <c r="FV374" s="275"/>
      <c r="FW374" s="275"/>
      <c r="FX374" s="275"/>
      <c r="FY374" s="275"/>
      <c r="FZ374" s="275"/>
      <c r="GA374" s="275"/>
      <c r="GB374" s="275"/>
      <c r="GC374" s="275"/>
      <c r="GD374" s="275"/>
      <c r="GE374" s="275"/>
      <c r="GF374" s="275"/>
      <c r="GG374" s="275"/>
      <c r="GH374" s="275"/>
      <c r="GI374" s="275"/>
      <c r="GJ374" s="275"/>
      <c r="GK374" s="275"/>
      <c r="GL374" s="275"/>
      <c r="GM374" s="275"/>
      <c r="GN374" s="275"/>
      <c r="GO374" s="275"/>
      <c r="GP374" s="275"/>
      <c r="GQ374" s="275"/>
      <c r="GR374" s="275"/>
      <c r="GS374" s="275"/>
      <c r="GT374" s="275"/>
      <c r="GU374" s="275"/>
      <c r="GV374" s="275"/>
      <c r="GW374" s="275"/>
      <c r="GX374" s="275"/>
      <c r="GY374" s="275"/>
      <c r="GZ374" s="275"/>
      <c r="HA374" s="275"/>
      <c r="HB374" s="275"/>
      <c r="HC374" s="275"/>
      <c r="HD374" s="275"/>
      <c r="HE374" s="275"/>
      <c r="HF374" s="275"/>
      <c r="HG374" s="275"/>
      <c r="HH374" s="275"/>
      <c r="HI374" s="275"/>
      <c r="HJ374" s="275"/>
      <c r="HK374" s="275"/>
      <c r="HL374" s="275"/>
      <c r="HM374" s="275"/>
      <c r="HN374" s="275"/>
      <c r="HO374" s="275"/>
      <c r="HP374" s="275"/>
      <c r="HQ374" s="275"/>
      <c r="HR374" s="275"/>
    </row>
    <row r="375" spans="1:226" s="297" customFormat="1">
      <c r="A375" s="275"/>
      <c r="B375" s="21"/>
      <c r="C375" s="21"/>
      <c r="D375" s="21"/>
      <c r="E375" s="21"/>
      <c r="F375" s="275"/>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J375" s="275"/>
      <c r="AK375" s="275"/>
      <c r="AL375" s="275"/>
      <c r="AM375" s="275"/>
      <c r="AN375" s="275"/>
      <c r="AO375" s="275"/>
      <c r="AQ375" s="275"/>
      <c r="AR375" s="275"/>
      <c r="AS375" s="275"/>
      <c r="AT375" s="275"/>
      <c r="AU375" s="275"/>
      <c r="AV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D375" s="275"/>
      <c r="EE375" s="275"/>
      <c r="EF375" s="275"/>
      <c r="EG375" s="275"/>
      <c r="EH375" s="275"/>
      <c r="EI375" s="275"/>
      <c r="EJ375" s="275"/>
      <c r="EK375" s="275"/>
      <c r="EL375" s="275"/>
      <c r="EM375" s="275"/>
      <c r="EN375" s="275"/>
      <c r="EO375" s="275"/>
      <c r="EP375" s="275"/>
      <c r="EQ375" s="275"/>
      <c r="ER375" s="275"/>
      <c r="ES375" s="275"/>
      <c r="ET375" s="275"/>
      <c r="EU375"/>
      <c r="EV375"/>
      <c r="EW375" s="275"/>
      <c r="EX375" s="275"/>
      <c r="EY375" s="275"/>
      <c r="EZ375" s="275"/>
      <c r="FA375" s="275"/>
      <c r="FB375" s="275"/>
      <c r="FC375" s="275"/>
      <c r="FD375" s="275"/>
      <c r="FE375" s="275"/>
      <c r="FF375" s="275"/>
      <c r="FG375" s="275"/>
      <c r="FH375" s="275"/>
      <c r="FI375" s="275"/>
      <c r="FJ375" s="275"/>
      <c r="FK375" s="275"/>
      <c r="FL375" s="275"/>
      <c r="FM375" s="275"/>
      <c r="FN375" s="275"/>
      <c r="FO375" s="275"/>
      <c r="FP375" s="275"/>
      <c r="FQ375" s="275"/>
      <c r="FR375" s="275"/>
      <c r="FS375" s="275"/>
      <c r="FT375" s="275"/>
      <c r="FU375" s="275"/>
      <c r="FV375" s="275"/>
      <c r="FW375" s="275"/>
      <c r="FX375" s="275"/>
      <c r="FY375" s="275"/>
      <c r="FZ375" s="275"/>
      <c r="GA375" s="275"/>
      <c r="GB375" s="275"/>
      <c r="GC375" s="275"/>
      <c r="GD375" s="275"/>
      <c r="GE375" s="275"/>
      <c r="GF375" s="275"/>
      <c r="GG375" s="275"/>
      <c r="GH375" s="275"/>
      <c r="GI375" s="275"/>
      <c r="GJ375" s="275"/>
      <c r="GK375" s="275"/>
      <c r="GL375" s="275"/>
      <c r="GM375" s="275"/>
      <c r="GN375" s="275"/>
      <c r="GO375" s="275"/>
      <c r="GP375" s="275"/>
      <c r="GQ375" s="275"/>
      <c r="GR375" s="275"/>
      <c r="GS375" s="275"/>
      <c r="GT375" s="275"/>
      <c r="GU375" s="275"/>
      <c r="GV375" s="275"/>
      <c r="GW375" s="275"/>
      <c r="GX375" s="275"/>
      <c r="GY375" s="275"/>
      <c r="GZ375" s="275"/>
      <c r="HA375" s="275"/>
      <c r="HB375" s="275"/>
      <c r="HC375" s="275"/>
      <c r="HD375" s="275"/>
      <c r="HE375" s="275"/>
      <c r="HF375" s="275"/>
      <c r="HG375" s="275"/>
      <c r="HH375" s="275"/>
      <c r="HI375" s="275"/>
      <c r="HJ375" s="275"/>
      <c r="HK375" s="275"/>
      <c r="HL375" s="275"/>
      <c r="HM375" s="275"/>
      <c r="HN375" s="275"/>
      <c r="HO375" s="275"/>
      <c r="HP375" s="275"/>
      <c r="HQ375" s="275"/>
      <c r="HR375" s="275"/>
    </row>
    <row r="376" spans="1:226" s="297" customFormat="1">
      <c r="A376" s="275"/>
      <c r="B376" s="21"/>
      <c r="C376" s="21"/>
      <c r="D376" s="21"/>
      <c r="E376" s="21"/>
      <c r="F376" s="275"/>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J376" s="275"/>
      <c r="AK376" s="275"/>
      <c r="AL376" s="275"/>
      <c r="AM376" s="275"/>
      <c r="AN376" s="275"/>
      <c r="AO376" s="275"/>
      <c r="AQ376" s="275"/>
      <c r="AR376" s="275"/>
      <c r="AS376" s="275"/>
      <c r="AT376" s="275"/>
      <c r="AU376" s="275"/>
      <c r="AV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D376" s="275"/>
      <c r="EE376" s="275"/>
      <c r="EF376" s="275"/>
      <c r="EG376" s="275"/>
      <c r="EH376" s="275"/>
      <c r="EI376" s="275"/>
      <c r="EJ376" s="275"/>
      <c r="EK376" s="275"/>
      <c r="EL376" s="275"/>
      <c r="EM376" s="275"/>
      <c r="EN376" s="275"/>
      <c r="EO376" s="275"/>
      <c r="EP376" s="275"/>
      <c r="EQ376" s="275"/>
      <c r="ER376" s="275"/>
      <c r="ES376" s="275"/>
      <c r="ET376" s="275"/>
      <c r="EU376"/>
      <c r="EV376"/>
      <c r="EW376" s="275"/>
      <c r="EX376" s="275"/>
      <c r="EY376" s="275"/>
      <c r="EZ376" s="275"/>
      <c r="FA376" s="275"/>
      <c r="FB376" s="275"/>
      <c r="FC376" s="275"/>
      <c r="FD376" s="275"/>
      <c r="FE376" s="275"/>
      <c r="FF376" s="275"/>
      <c r="FG376" s="275"/>
      <c r="FH376" s="275"/>
      <c r="FI376" s="275"/>
      <c r="FJ376" s="275"/>
      <c r="FK376" s="275"/>
      <c r="FL376" s="275"/>
      <c r="FM376" s="275"/>
      <c r="FN376" s="275"/>
      <c r="FO376" s="275"/>
      <c r="FP376" s="275"/>
      <c r="FQ376" s="275"/>
      <c r="FR376" s="275"/>
      <c r="FS376" s="275"/>
      <c r="FT376" s="275"/>
      <c r="FU376" s="275"/>
      <c r="FV376" s="275"/>
      <c r="FW376" s="275"/>
      <c r="FX376" s="275"/>
      <c r="FY376" s="275"/>
      <c r="FZ376" s="275"/>
      <c r="GA376" s="275"/>
      <c r="GB376" s="275"/>
      <c r="GC376" s="275"/>
      <c r="GD376" s="275"/>
      <c r="GE376" s="275"/>
      <c r="GF376" s="275"/>
      <c r="GG376" s="275"/>
      <c r="GH376" s="275"/>
      <c r="GI376" s="275"/>
      <c r="GJ376" s="275"/>
      <c r="GK376" s="275"/>
      <c r="GL376" s="275"/>
      <c r="GM376" s="275"/>
      <c r="GN376" s="275"/>
      <c r="GO376" s="275"/>
      <c r="GP376" s="275"/>
      <c r="GQ376" s="275"/>
      <c r="GR376" s="275"/>
      <c r="GS376" s="275"/>
      <c r="GT376" s="275"/>
      <c r="GU376" s="275"/>
      <c r="GV376" s="275"/>
      <c r="GW376" s="275"/>
      <c r="GX376" s="275"/>
      <c r="GY376" s="275"/>
      <c r="GZ376" s="275"/>
      <c r="HA376" s="275"/>
      <c r="HB376" s="275"/>
      <c r="HC376" s="275"/>
      <c r="HD376" s="275"/>
      <c r="HE376" s="275"/>
      <c r="HF376" s="275"/>
      <c r="HG376" s="275"/>
      <c r="HH376" s="275"/>
      <c r="HI376" s="275"/>
      <c r="HJ376" s="275"/>
      <c r="HK376" s="275"/>
      <c r="HL376" s="275"/>
      <c r="HM376" s="275"/>
      <c r="HN376" s="275"/>
      <c r="HO376" s="275"/>
      <c r="HP376" s="275"/>
      <c r="HQ376" s="275"/>
      <c r="HR376" s="275"/>
    </row>
    <row r="377" spans="1:226" s="297" customFormat="1">
      <c r="A377" s="275"/>
      <c r="B377" s="21"/>
      <c r="C377" s="21"/>
      <c r="D377" s="21"/>
      <c r="E377" s="21"/>
      <c r="F377" s="275"/>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J377" s="275"/>
      <c r="AK377" s="275"/>
      <c r="AL377" s="275"/>
      <c r="AM377" s="275"/>
      <c r="AN377" s="275"/>
      <c r="AO377" s="275"/>
      <c r="AQ377" s="275"/>
      <c r="AR377" s="275"/>
      <c r="AS377" s="275"/>
      <c r="AT377" s="275"/>
      <c r="AU377" s="275"/>
      <c r="AV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D377" s="275"/>
      <c r="EE377" s="275"/>
      <c r="EF377" s="275"/>
      <c r="EG377" s="275"/>
      <c r="EH377" s="275"/>
      <c r="EI377" s="275"/>
      <c r="EJ377" s="275"/>
      <c r="EK377" s="275"/>
      <c r="EL377" s="275"/>
      <c r="EM377" s="275"/>
      <c r="EN377" s="275"/>
      <c r="EO377" s="275"/>
      <c r="EP377" s="275"/>
      <c r="EQ377" s="275"/>
      <c r="ER377" s="275"/>
      <c r="ES377" s="275"/>
      <c r="ET377" s="275"/>
      <c r="EU377"/>
      <c r="EV377"/>
      <c r="EW377" s="275"/>
      <c r="EX377" s="275"/>
      <c r="EY377" s="275"/>
      <c r="EZ377" s="275"/>
      <c r="FA377" s="275"/>
      <c r="FB377" s="275"/>
      <c r="FC377" s="275"/>
      <c r="FD377" s="275"/>
      <c r="FE377" s="275"/>
      <c r="FF377" s="275"/>
      <c r="FG377" s="275"/>
      <c r="FH377" s="275"/>
      <c r="FI377" s="275"/>
      <c r="FJ377" s="275"/>
      <c r="FK377" s="275"/>
      <c r="FL377" s="275"/>
      <c r="FM377" s="275"/>
      <c r="FN377" s="275"/>
      <c r="FO377" s="275"/>
      <c r="FP377" s="275"/>
      <c r="FQ377" s="275"/>
      <c r="FR377" s="275"/>
      <c r="FS377" s="275"/>
      <c r="FT377" s="275"/>
      <c r="FU377" s="275"/>
      <c r="FV377" s="275"/>
      <c r="FW377" s="275"/>
      <c r="FX377" s="275"/>
      <c r="FY377" s="275"/>
      <c r="FZ377" s="275"/>
      <c r="GA377" s="275"/>
      <c r="GB377" s="275"/>
      <c r="GC377" s="275"/>
      <c r="GD377" s="275"/>
      <c r="GE377" s="275"/>
      <c r="GF377" s="275"/>
      <c r="GG377" s="275"/>
      <c r="GH377" s="275"/>
      <c r="GI377" s="275"/>
      <c r="GJ377" s="275"/>
      <c r="GK377" s="275"/>
      <c r="GL377" s="275"/>
      <c r="GM377" s="275"/>
      <c r="GN377" s="275"/>
      <c r="GO377" s="275"/>
      <c r="GP377" s="275"/>
      <c r="GQ377" s="275"/>
      <c r="GR377" s="275"/>
      <c r="GS377" s="275"/>
      <c r="GT377" s="275"/>
      <c r="GU377" s="275"/>
      <c r="GV377" s="275"/>
      <c r="GW377" s="275"/>
      <c r="GX377" s="275"/>
      <c r="GY377" s="275"/>
      <c r="GZ377" s="275"/>
      <c r="HA377" s="275"/>
      <c r="HB377" s="275"/>
      <c r="HC377" s="275"/>
      <c r="HD377" s="275"/>
      <c r="HE377" s="275"/>
      <c r="HF377" s="275"/>
      <c r="HG377" s="275"/>
      <c r="HH377" s="275"/>
      <c r="HI377" s="275"/>
      <c r="HJ377" s="275"/>
      <c r="HK377" s="275"/>
      <c r="HL377" s="275"/>
      <c r="HM377" s="275"/>
      <c r="HN377" s="275"/>
      <c r="HO377" s="275"/>
      <c r="HP377" s="275"/>
      <c r="HQ377" s="275"/>
      <c r="HR377" s="275"/>
    </row>
    <row r="378" spans="1:226" s="297" customFormat="1">
      <c r="A378" s="275"/>
      <c r="B378" s="21"/>
      <c r="C378" s="21"/>
      <c r="D378" s="21"/>
      <c r="E378" s="21"/>
      <c r="F378" s="275"/>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J378" s="275"/>
      <c r="AK378" s="275"/>
      <c r="AL378" s="275"/>
      <c r="AM378" s="275"/>
      <c r="AN378" s="275"/>
      <c r="AO378" s="275"/>
      <c r="AQ378" s="275"/>
      <c r="AR378" s="275"/>
      <c r="AS378" s="275"/>
      <c r="AT378" s="275"/>
      <c r="AU378" s="275"/>
      <c r="AV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D378" s="275"/>
      <c r="EE378" s="275"/>
      <c r="EF378" s="275"/>
      <c r="EG378" s="275"/>
      <c r="EH378" s="275"/>
      <c r="EI378" s="275"/>
      <c r="EJ378" s="275"/>
      <c r="EK378" s="275"/>
      <c r="EL378" s="275"/>
      <c r="EM378" s="275"/>
      <c r="EN378" s="275"/>
      <c r="EO378" s="275"/>
      <c r="EP378" s="275"/>
      <c r="EQ378" s="275"/>
      <c r="ER378" s="275"/>
      <c r="ES378" s="275"/>
      <c r="ET378" s="275"/>
      <c r="EU378"/>
      <c r="EV378"/>
      <c r="EW378" s="275"/>
      <c r="EX378" s="275"/>
      <c r="EY378" s="275"/>
      <c r="EZ378" s="275"/>
      <c r="FA378" s="275"/>
      <c r="FB378" s="275"/>
      <c r="FC378" s="275"/>
      <c r="FD378" s="275"/>
      <c r="FE378" s="275"/>
      <c r="FF378" s="275"/>
      <c r="FG378" s="275"/>
      <c r="FH378" s="275"/>
      <c r="FI378" s="275"/>
      <c r="FJ378" s="275"/>
      <c r="FK378" s="275"/>
      <c r="FL378" s="275"/>
      <c r="FM378" s="275"/>
      <c r="FN378" s="275"/>
      <c r="FO378" s="275"/>
      <c r="FP378" s="275"/>
      <c r="FQ378" s="275"/>
      <c r="FR378" s="275"/>
      <c r="FS378" s="275"/>
      <c r="FT378" s="275"/>
      <c r="FU378" s="275"/>
      <c r="FV378" s="275"/>
      <c r="FW378" s="275"/>
      <c r="FX378" s="275"/>
      <c r="FY378" s="275"/>
      <c r="FZ378" s="275"/>
      <c r="GA378" s="275"/>
      <c r="GB378" s="275"/>
      <c r="GC378" s="275"/>
      <c r="GD378" s="275"/>
      <c r="GE378" s="275"/>
      <c r="GF378" s="275"/>
      <c r="GG378" s="275"/>
      <c r="GH378" s="275"/>
      <c r="GI378" s="275"/>
      <c r="GJ378" s="275"/>
      <c r="GK378" s="275"/>
      <c r="GL378" s="275"/>
      <c r="GM378" s="275"/>
      <c r="GN378" s="275"/>
      <c r="GO378" s="275"/>
      <c r="GP378" s="275"/>
      <c r="GQ378" s="275"/>
      <c r="GR378" s="275"/>
      <c r="GS378" s="275"/>
      <c r="GT378" s="275"/>
      <c r="GU378" s="275"/>
      <c r="GV378" s="275"/>
      <c r="GW378" s="275"/>
      <c r="GX378" s="275"/>
      <c r="GY378" s="275"/>
      <c r="GZ378" s="275"/>
      <c r="HA378" s="275"/>
      <c r="HB378" s="275"/>
      <c r="HC378" s="275"/>
      <c r="HD378" s="275"/>
      <c r="HE378" s="275"/>
      <c r="HF378" s="275"/>
      <c r="HG378" s="275"/>
      <c r="HH378" s="275"/>
      <c r="HI378" s="275"/>
      <c r="HJ378" s="275"/>
      <c r="HK378" s="275"/>
      <c r="HL378" s="275"/>
      <c r="HM378" s="275"/>
      <c r="HN378" s="275"/>
      <c r="HO378" s="275"/>
      <c r="HP378" s="275"/>
      <c r="HQ378" s="275"/>
      <c r="HR378" s="275"/>
    </row>
    <row r="379" spans="1:226" s="297" customFormat="1">
      <c r="A379" s="275"/>
      <c r="B379" s="21"/>
      <c r="C379" s="21"/>
      <c r="D379" s="21"/>
      <c r="E379" s="21"/>
      <c r="F379" s="275"/>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J379" s="275"/>
      <c r="AK379" s="275"/>
      <c r="AL379" s="275"/>
      <c r="AM379" s="275"/>
      <c r="AN379" s="275"/>
      <c r="AO379" s="275"/>
      <c r="AQ379" s="275"/>
      <c r="AR379" s="275"/>
      <c r="AS379" s="275"/>
      <c r="AT379" s="275"/>
      <c r="AU379" s="275"/>
      <c r="AV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D379" s="275"/>
      <c r="EE379" s="275"/>
      <c r="EF379" s="275"/>
      <c r="EG379" s="275"/>
      <c r="EH379" s="275"/>
      <c r="EI379" s="275"/>
      <c r="EJ379" s="275"/>
      <c r="EK379" s="275"/>
      <c r="EL379" s="275"/>
      <c r="EM379" s="275"/>
      <c r="EN379" s="275"/>
      <c r="EO379" s="275"/>
      <c r="EP379" s="275"/>
      <c r="EQ379" s="275"/>
      <c r="ER379" s="275"/>
      <c r="ES379" s="275"/>
      <c r="ET379" s="275"/>
      <c r="EU379"/>
      <c r="EV379"/>
      <c r="EW379" s="275"/>
      <c r="EX379" s="275"/>
      <c r="EY379" s="275"/>
      <c r="EZ379" s="275"/>
      <c r="FA379" s="275"/>
      <c r="FB379" s="275"/>
      <c r="FC379" s="275"/>
      <c r="FD379" s="275"/>
      <c r="FE379" s="275"/>
      <c r="FF379" s="275"/>
      <c r="FG379" s="275"/>
      <c r="FH379" s="275"/>
      <c r="FI379" s="275"/>
      <c r="FJ379" s="275"/>
      <c r="FK379" s="275"/>
      <c r="FL379" s="275"/>
      <c r="FM379" s="275"/>
      <c r="FN379" s="275"/>
      <c r="FO379" s="275"/>
      <c r="FP379" s="275"/>
      <c r="FQ379" s="275"/>
      <c r="FR379" s="275"/>
      <c r="FS379" s="275"/>
      <c r="FT379" s="275"/>
      <c r="FU379" s="275"/>
      <c r="FV379" s="275"/>
      <c r="FW379" s="275"/>
      <c r="FX379" s="275"/>
      <c r="FY379" s="275"/>
      <c r="FZ379" s="275"/>
      <c r="GA379" s="275"/>
      <c r="GB379" s="275"/>
      <c r="GC379" s="275"/>
      <c r="GD379" s="275"/>
      <c r="GE379" s="275"/>
      <c r="GF379" s="275"/>
      <c r="GG379" s="275"/>
      <c r="GH379" s="275"/>
      <c r="GI379" s="275"/>
      <c r="GJ379" s="275"/>
      <c r="GK379" s="275"/>
      <c r="GL379" s="275"/>
      <c r="GM379" s="275"/>
      <c r="GN379" s="275"/>
      <c r="GO379" s="275"/>
      <c r="GP379" s="275"/>
      <c r="GQ379" s="275"/>
      <c r="GR379" s="275"/>
      <c r="GS379" s="275"/>
      <c r="GT379" s="275"/>
      <c r="GU379" s="275"/>
      <c r="GV379" s="275"/>
      <c r="GW379" s="275"/>
      <c r="GX379" s="275"/>
      <c r="GY379" s="275"/>
      <c r="GZ379" s="275"/>
      <c r="HA379" s="275"/>
      <c r="HB379" s="275"/>
      <c r="HC379" s="275"/>
      <c r="HD379" s="275"/>
      <c r="HE379" s="275"/>
      <c r="HF379" s="275"/>
      <c r="HG379" s="275"/>
      <c r="HH379" s="275"/>
      <c r="HI379" s="275"/>
      <c r="HJ379" s="275"/>
      <c r="HK379" s="275"/>
      <c r="HL379" s="275"/>
      <c r="HM379" s="275"/>
      <c r="HN379" s="275"/>
      <c r="HO379" s="275"/>
      <c r="HP379" s="275"/>
      <c r="HQ379" s="275"/>
      <c r="HR379" s="275"/>
    </row>
    <row r="380" spans="1:226" s="297" customFormat="1">
      <c r="A380" s="275"/>
      <c r="B380" s="21"/>
      <c r="C380" s="21"/>
      <c r="D380" s="21"/>
      <c r="E380" s="21"/>
      <c r="F380" s="275"/>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J380" s="275"/>
      <c r="AK380" s="275"/>
      <c r="AL380" s="275"/>
      <c r="AM380" s="275"/>
      <c r="AN380" s="275"/>
      <c r="AO380" s="275"/>
      <c r="AQ380" s="275"/>
      <c r="AR380" s="275"/>
      <c r="AS380" s="275"/>
      <c r="AT380" s="275"/>
      <c r="AU380" s="275"/>
      <c r="AV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D380" s="275"/>
      <c r="EE380" s="275"/>
      <c r="EF380" s="275"/>
      <c r="EG380" s="275"/>
      <c r="EH380" s="275"/>
      <c r="EI380" s="275"/>
      <c r="EJ380" s="275"/>
      <c r="EK380" s="275"/>
      <c r="EL380" s="275"/>
      <c r="EM380" s="275"/>
      <c r="EN380" s="275"/>
      <c r="EO380" s="275"/>
      <c r="EP380" s="275"/>
      <c r="EQ380" s="275"/>
      <c r="ER380" s="275"/>
      <c r="ES380" s="275"/>
      <c r="ET380" s="275"/>
      <c r="EU380"/>
      <c r="EV380"/>
      <c r="EW380" s="275"/>
      <c r="EX380" s="275"/>
      <c r="EY380" s="275"/>
      <c r="EZ380" s="275"/>
      <c r="FA380" s="275"/>
      <c r="FB380" s="275"/>
      <c r="FC380" s="275"/>
      <c r="FD380" s="275"/>
      <c r="FE380" s="275"/>
      <c r="FF380" s="275"/>
      <c r="FG380" s="275"/>
      <c r="FH380" s="275"/>
      <c r="FI380" s="275"/>
      <c r="FJ380" s="275"/>
      <c r="FK380" s="275"/>
      <c r="FL380" s="275"/>
      <c r="FM380" s="275"/>
      <c r="FN380" s="275"/>
      <c r="FO380" s="275"/>
      <c r="FP380" s="275"/>
      <c r="FQ380" s="275"/>
      <c r="FR380" s="275"/>
      <c r="FS380" s="275"/>
      <c r="FT380" s="275"/>
      <c r="FU380" s="275"/>
      <c r="FV380" s="275"/>
      <c r="FW380" s="275"/>
      <c r="FX380" s="275"/>
      <c r="FY380" s="275"/>
      <c r="FZ380" s="275"/>
      <c r="GA380" s="275"/>
      <c r="GB380" s="275"/>
      <c r="GC380" s="275"/>
      <c r="GD380" s="275"/>
      <c r="GE380" s="275"/>
      <c r="GF380" s="275"/>
      <c r="GG380" s="275"/>
      <c r="GH380" s="275"/>
      <c r="GI380" s="275"/>
      <c r="GJ380" s="275"/>
      <c r="GK380" s="275"/>
      <c r="GL380" s="275"/>
      <c r="GM380" s="275"/>
      <c r="GN380" s="275"/>
      <c r="GO380" s="275"/>
      <c r="GP380" s="275"/>
      <c r="GQ380" s="275"/>
      <c r="GR380" s="275"/>
      <c r="GS380" s="275"/>
      <c r="GT380" s="275"/>
      <c r="GU380" s="275"/>
      <c r="GV380" s="275"/>
      <c r="GW380" s="275"/>
      <c r="GX380" s="275"/>
      <c r="GY380" s="275"/>
      <c r="GZ380" s="275"/>
      <c r="HA380" s="275"/>
      <c r="HB380" s="275"/>
      <c r="HC380" s="275"/>
      <c r="HD380" s="275"/>
      <c r="HE380" s="275"/>
      <c r="HF380" s="275"/>
      <c r="HG380" s="275"/>
      <c r="HH380" s="275"/>
      <c r="HI380" s="275"/>
      <c r="HJ380" s="275"/>
      <c r="HK380" s="275"/>
      <c r="HL380" s="275"/>
      <c r="HM380" s="275"/>
      <c r="HN380" s="275"/>
      <c r="HO380" s="275"/>
      <c r="HP380" s="275"/>
      <c r="HQ380" s="275"/>
      <c r="HR380" s="275"/>
    </row>
    <row r="381" spans="1:226" s="297" customFormat="1">
      <c r="A381" s="275"/>
      <c r="B381" s="21"/>
      <c r="C381" s="21"/>
      <c r="D381" s="21"/>
      <c r="E381" s="21"/>
      <c r="F381" s="275"/>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J381" s="275"/>
      <c r="AK381" s="275"/>
      <c r="AL381" s="275"/>
      <c r="AM381" s="275"/>
      <c r="AN381" s="275"/>
      <c r="AO381" s="275"/>
      <c r="AQ381" s="275"/>
      <c r="AR381" s="275"/>
      <c r="AS381" s="275"/>
      <c r="AT381" s="275"/>
      <c r="AU381" s="275"/>
      <c r="AV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D381" s="275"/>
      <c r="EE381" s="275"/>
      <c r="EF381" s="275"/>
      <c r="EG381" s="275"/>
      <c r="EH381" s="275"/>
      <c r="EI381" s="275"/>
      <c r="EJ381" s="275"/>
      <c r="EK381" s="275"/>
      <c r="EL381" s="275"/>
      <c r="EM381" s="275"/>
      <c r="EN381" s="275"/>
      <c r="EO381" s="275"/>
      <c r="EP381" s="275"/>
      <c r="EQ381" s="275"/>
      <c r="ER381" s="275"/>
      <c r="ES381" s="275"/>
      <c r="ET381" s="275"/>
      <c r="EU381"/>
      <c r="EV381"/>
      <c r="EW381" s="275"/>
      <c r="EX381" s="275"/>
      <c r="EY381" s="275"/>
      <c r="EZ381" s="275"/>
      <c r="FA381" s="275"/>
      <c r="FB381" s="275"/>
      <c r="FC381" s="275"/>
      <c r="FD381" s="275"/>
      <c r="FE381" s="275"/>
      <c r="FF381" s="275"/>
      <c r="FG381" s="275"/>
      <c r="FH381" s="275"/>
      <c r="FI381" s="275"/>
      <c r="FJ381" s="275"/>
      <c r="FK381" s="275"/>
      <c r="FL381" s="275"/>
      <c r="FM381" s="275"/>
      <c r="FN381" s="275"/>
      <c r="FO381" s="275"/>
      <c r="FP381" s="275"/>
      <c r="FQ381" s="275"/>
      <c r="FR381" s="275"/>
      <c r="FS381" s="275"/>
      <c r="FT381" s="275"/>
      <c r="FU381" s="275"/>
      <c r="FV381" s="275"/>
      <c r="FW381" s="275"/>
      <c r="FX381" s="275"/>
      <c r="FY381" s="275"/>
      <c r="FZ381" s="275"/>
      <c r="GA381" s="275"/>
      <c r="GB381" s="275"/>
      <c r="GC381" s="275"/>
      <c r="GD381" s="275"/>
      <c r="GE381" s="275"/>
      <c r="GF381" s="275"/>
      <c r="GG381" s="275"/>
      <c r="GH381" s="275"/>
      <c r="GI381" s="275"/>
      <c r="GJ381" s="275"/>
      <c r="GK381" s="275"/>
      <c r="GL381" s="275"/>
      <c r="GM381" s="275"/>
      <c r="GN381" s="275"/>
      <c r="GO381" s="275"/>
      <c r="GP381" s="275"/>
      <c r="GQ381" s="275"/>
      <c r="GR381" s="275"/>
      <c r="GS381" s="275"/>
      <c r="GT381" s="275"/>
      <c r="GU381" s="275"/>
      <c r="GV381" s="275"/>
      <c r="GW381" s="275"/>
      <c r="GX381" s="275"/>
      <c r="GY381" s="275"/>
      <c r="GZ381" s="275"/>
      <c r="HA381" s="275"/>
      <c r="HB381" s="275"/>
      <c r="HC381" s="275"/>
      <c r="HD381" s="275"/>
      <c r="HE381" s="275"/>
      <c r="HF381" s="275"/>
      <c r="HG381" s="275"/>
      <c r="HH381" s="275"/>
      <c r="HI381" s="275"/>
      <c r="HJ381" s="275"/>
      <c r="HK381" s="275"/>
      <c r="HL381" s="275"/>
      <c r="HM381" s="275"/>
      <c r="HN381" s="275"/>
      <c r="HO381" s="275"/>
      <c r="HP381" s="275"/>
      <c r="HQ381" s="275"/>
      <c r="HR381" s="275"/>
    </row>
    <row r="382" spans="1:226" s="297" customFormat="1">
      <c r="A382" s="275"/>
      <c r="B382" s="21"/>
      <c r="C382" s="21"/>
      <c r="D382" s="21"/>
      <c r="E382" s="21"/>
      <c r="F382" s="275"/>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J382" s="275"/>
      <c r="AK382" s="275"/>
      <c r="AL382" s="275"/>
      <c r="AM382" s="275"/>
      <c r="AN382" s="275"/>
      <c r="AO382" s="275"/>
      <c r="AQ382" s="275"/>
      <c r="AR382" s="275"/>
      <c r="AS382" s="275"/>
      <c r="AT382" s="275"/>
      <c r="AU382" s="275"/>
      <c r="AV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D382" s="275"/>
      <c r="EE382" s="275"/>
      <c r="EF382" s="275"/>
      <c r="EG382" s="275"/>
      <c r="EH382" s="275"/>
      <c r="EI382" s="275"/>
      <c r="EJ382" s="275"/>
      <c r="EK382" s="275"/>
      <c r="EL382" s="275"/>
      <c r="EM382" s="275"/>
      <c r="EN382" s="275"/>
      <c r="EO382" s="275"/>
      <c r="EP382" s="275"/>
      <c r="EQ382" s="275"/>
      <c r="ER382" s="275"/>
      <c r="ES382" s="275"/>
      <c r="ET382" s="275"/>
      <c r="EU382"/>
      <c r="EV382"/>
      <c r="EW382" s="275"/>
      <c r="EX382" s="275"/>
      <c r="EY382" s="275"/>
      <c r="EZ382" s="275"/>
      <c r="FA382" s="275"/>
      <c r="FB382" s="275"/>
      <c r="FC382" s="275"/>
      <c r="FD382" s="275"/>
      <c r="FE382" s="275"/>
      <c r="FF382" s="275"/>
      <c r="FG382" s="275"/>
      <c r="FH382" s="275"/>
      <c r="FI382" s="275"/>
      <c r="FJ382" s="275"/>
      <c r="FK382" s="275"/>
      <c r="FL382" s="275"/>
      <c r="FM382" s="275"/>
      <c r="FN382" s="275"/>
      <c r="FO382" s="275"/>
      <c r="FP382" s="275"/>
      <c r="FQ382" s="275"/>
      <c r="FR382" s="275"/>
      <c r="FS382" s="275"/>
      <c r="FT382" s="275"/>
      <c r="FU382" s="275"/>
      <c r="FV382" s="275"/>
      <c r="FW382" s="275"/>
      <c r="FX382" s="275"/>
      <c r="FY382" s="275"/>
      <c r="FZ382" s="275"/>
      <c r="GA382" s="275"/>
      <c r="GB382" s="275"/>
      <c r="GC382" s="275"/>
      <c r="GD382" s="275"/>
      <c r="GE382" s="275"/>
      <c r="GF382" s="275"/>
      <c r="GG382" s="275"/>
      <c r="GH382" s="275"/>
      <c r="GI382" s="275"/>
      <c r="GJ382" s="275"/>
      <c r="GK382" s="275"/>
      <c r="GL382" s="275"/>
      <c r="GM382" s="275"/>
      <c r="GN382" s="275"/>
      <c r="GO382" s="275"/>
      <c r="GP382" s="275"/>
      <c r="GQ382" s="275"/>
      <c r="GR382" s="275"/>
      <c r="GS382" s="275"/>
      <c r="GT382" s="275"/>
      <c r="GU382" s="275"/>
      <c r="GV382" s="275"/>
      <c r="GW382" s="275"/>
      <c r="GX382" s="275"/>
      <c r="GY382" s="275"/>
      <c r="GZ382" s="275"/>
      <c r="HA382" s="275"/>
      <c r="HB382" s="275"/>
      <c r="HC382" s="275"/>
      <c r="HD382" s="275"/>
      <c r="HE382" s="275"/>
      <c r="HF382" s="275"/>
      <c r="HG382" s="275"/>
      <c r="HH382" s="275"/>
      <c r="HI382" s="275"/>
      <c r="HJ382" s="275"/>
      <c r="HK382" s="275"/>
      <c r="HL382" s="275"/>
      <c r="HM382" s="275"/>
      <c r="HN382" s="275"/>
      <c r="HO382" s="275"/>
      <c r="HP382" s="275"/>
      <c r="HQ382" s="275"/>
      <c r="HR382" s="275"/>
    </row>
    <row r="383" spans="1:226" s="297" customFormat="1">
      <c r="A383" s="275"/>
      <c r="B383" s="21"/>
      <c r="C383" s="21"/>
      <c r="D383" s="21"/>
      <c r="E383" s="21"/>
      <c r="F383" s="275"/>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J383" s="275"/>
      <c r="AK383" s="275"/>
      <c r="AL383" s="275"/>
      <c r="AM383" s="275"/>
      <c r="AN383" s="275"/>
      <c r="AO383" s="275"/>
      <c r="AQ383" s="275"/>
      <c r="AR383" s="275"/>
      <c r="AS383" s="275"/>
      <c r="AT383" s="275"/>
      <c r="AU383" s="275"/>
      <c r="AV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D383" s="275"/>
      <c r="EE383" s="275"/>
      <c r="EF383" s="275"/>
      <c r="EG383" s="275"/>
      <c r="EH383" s="275"/>
      <c r="EI383" s="275"/>
      <c r="EJ383" s="275"/>
      <c r="EK383" s="275"/>
      <c r="EL383" s="275"/>
      <c r="EM383" s="275"/>
      <c r="EN383" s="275"/>
      <c r="EO383" s="275"/>
      <c r="EP383" s="275"/>
      <c r="EQ383" s="275"/>
      <c r="ER383" s="275"/>
      <c r="ES383" s="275"/>
      <c r="ET383" s="275"/>
      <c r="EU383"/>
      <c r="EV383"/>
      <c r="EW383" s="275"/>
      <c r="EX383" s="275"/>
      <c r="EY383" s="275"/>
      <c r="EZ383" s="275"/>
      <c r="FA383" s="275"/>
      <c r="FB383" s="275"/>
      <c r="FC383" s="275"/>
      <c r="FD383" s="275"/>
      <c r="FE383" s="275"/>
      <c r="FF383" s="275"/>
      <c r="FG383" s="275"/>
      <c r="FH383" s="275"/>
      <c r="FI383" s="275"/>
      <c r="FJ383" s="275"/>
      <c r="FK383" s="275"/>
      <c r="FL383" s="275"/>
      <c r="FM383" s="275"/>
      <c r="FN383" s="275"/>
      <c r="FO383" s="275"/>
      <c r="FP383" s="275"/>
      <c r="FQ383" s="275"/>
      <c r="FR383" s="275"/>
      <c r="FS383" s="275"/>
      <c r="FT383" s="275"/>
      <c r="FU383" s="275"/>
      <c r="FV383" s="275"/>
      <c r="FW383" s="275"/>
      <c r="FX383" s="275"/>
      <c r="FY383" s="275"/>
      <c r="FZ383" s="275"/>
      <c r="GA383" s="275"/>
      <c r="GB383" s="275"/>
      <c r="GC383" s="275"/>
      <c r="GD383" s="275"/>
      <c r="GE383" s="275"/>
      <c r="GF383" s="275"/>
      <c r="GG383" s="275"/>
      <c r="GH383" s="275"/>
      <c r="GI383" s="275"/>
      <c r="GJ383" s="275"/>
      <c r="GK383" s="275"/>
      <c r="GL383" s="275"/>
      <c r="GM383" s="275"/>
      <c r="GN383" s="275"/>
      <c r="GO383" s="275"/>
      <c r="GP383" s="275"/>
      <c r="GQ383" s="275"/>
      <c r="GR383" s="275"/>
      <c r="GS383" s="275"/>
      <c r="GT383" s="275"/>
      <c r="GU383" s="275"/>
      <c r="GV383" s="275"/>
      <c r="GW383" s="275"/>
      <c r="GX383" s="275"/>
      <c r="GY383" s="275"/>
      <c r="GZ383" s="275"/>
      <c r="HA383" s="275"/>
      <c r="HB383" s="275"/>
      <c r="HC383" s="275"/>
      <c r="HD383" s="275"/>
      <c r="HE383" s="275"/>
      <c r="HF383" s="275"/>
      <c r="HG383" s="275"/>
      <c r="HH383" s="275"/>
      <c r="HI383" s="275"/>
      <c r="HJ383" s="275"/>
      <c r="HK383" s="275"/>
      <c r="HL383" s="275"/>
      <c r="HM383" s="275"/>
      <c r="HN383" s="275"/>
      <c r="HO383" s="275"/>
      <c r="HP383" s="275"/>
      <c r="HQ383" s="275"/>
      <c r="HR383" s="275"/>
    </row>
    <row r="384" spans="1:226" s="297" customFormat="1">
      <c r="A384" s="275"/>
      <c r="B384" s="21"/>
      <c r="C384" s="21"/>
      <c r="D384" s="21"/>
      <c r="E384" s="21"/>
      <c r="F384" s="275"/>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J384" s="275"/>
      <c r="AK384" s="275"/>
      <c r="AL384" s="275"/>
      <c r="AM384" s="275"/>
      <c r="AN384" s="275"/>
      <c r="AO384" s="275"/>
      <c r="AQ384" s="275"/>
      <c r="AR384" s="275"/>
      <c r="AS384" s="275"/>
      <c r="AT384" s="275"/>
      <c r="AU384" s="275"/>
      <c r="AV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D384" s="275"/>
      <c r="EE384" s="275"/>
      <c r="EF384" s="275"/>
      <c r="EG384" s="275"/>
      <c r="EH384" s="275"/>
      <c r="EI384" s="275"/>
      <c r="EJ384" s="275"/>
      <c r="EK384" s="275"/>
      <c r="EL384" s="275"/>
      <c r="EM384" s="275"/>
      <c r="EN384" s="275"/>
      <c r="EO384" s="275"/>
      <c r="EP384" s="275"/>
      <c r="EQ384" s="275"/>
      <c r="ER384" s="275"/>
      <c r="ES384" s="275"/>
      <c r="ET384" s="275"/>
      <c r="EU384"/>
      <c r="EV384"/>
      <c r="EW384" s="275"/>
      <c r="EX384" s="275"/>
      <c r="EY384" s="275"/>
      <c r="EZ384" s="275"/>
      <c r="FA384" s="275"/>
      <c r="FB384" s="275"/>
      <c r="FC384" s="275"/>
      <c r="FD384" s="275"/>
      <c r="FE384" s="275"/>
      <c r="FF384" s="275"/>
      <c r="FG384" s="275"/>
      <c r="FH384" s="275"/>
      <c r="FI384" s="275"/>
      <c r="FJ384" s="275"/>
      <c r="FK384" s="275"/>
      <c r="FL384" s="275"/>
      <c r="FM384" s="275"/>
      <c r="FN384" s="275"/>
      <c r="FO384" s="275"/>
      <c r="FP384" s="275"/>
      <c r="FQ384" s="275"/>
      <c r="FR384" s="275"/>
      <c r="FS384" s="275"/>
      <c r="FT384" s="275"/>
      <c r="FU384" s="275"/>
      <c r="FV384" s="275"/>
      <c r="FW384" s="275"/>
      <c r="FX384" s="275"/>
      <c r="FY384" s="275"/>
      <c r="FZ384" s="275"/>
      <c r="GA384" s="275"/>
      <c r="GB384" s="275"/>
      <c r="GC384" s="275"/>
      <c r="GD384" s="275"/>
      <c r="GE384" s="275"/>
      <c r="GF384" s="275"/>
      <c r="GG384" s="275"/>
      <c r="GH384" s="275"/>
      <c r="GI384" s="275"/>
      <c r="GJ384" s="275"/>
      <c r="GK384" s="275"/>
      <c r="GL384" s="275"/>
      <c r="GM384" s="275"/>
      <c r="GN384" s="275"/>
      <c r="GO384" s="275"/>
      <c r="GP384" s="275"/>
      <c r="GQ384" s="275"/>
      <c r="GR384" s="275"/>
      <c r="GS384" s="275"/>
      <c r="GT384" s="275"/>
      <c r="GU384" s="275"/>
      <c r="GV384" s="275"/>
      <c r="GW384" s="275"/>
      <c r="GX384" s="275"/>
      <c r="GY384" s="275"/>
      <c r="GZ384" s="275"/>
      <c r="HA384" s="275"/>
      <c r="HB384" s="275"/>
      <c r="HC384" s="275"/>
      <c r="HD384" s="275"/>
      <c r="HE384" s="275"/>
      <c r="HF384" s="275"/>
      <c r="HG384" s="275"/>
      <c r="HH384" s="275"/>
      <c r="HI384" s="275"/>
      <c r="HJ384" s="275"/>
      <c r="HK384" s="275"/>
      <c r="HL384" s="275"/>
      <c r="HM384" s="275"/>
      <c r="HN384" s="275"/>
      <c r="HO384" s="275"/>
      <c r="HP384" s="275"/>
      <c r="HQ384" s="275"/>
      <c r="HR384" s="275"/>
    </row>
    <row r="385" spans="1:226" s="297" customFormat="1">
      <c r="A385" s="275"/>
      <c r="B385" s="21"/>
      <c r="C385" s="21"/>
      <c r="D385" s="21"/>
      <c r="E385" s="21"/>
      <c r="F385" s="275"/>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J385" s="275"/>
      <c r="AK385" s="275"/>
      <c r="AL385" s="275"/>
      <c r="AM385" s="275"/>
      <c r="AN385" s="275"/>
      <c r="AO385" s="275"/>
      <c r="AQ385" s="275"/>
      <c r="AR385" s="275"/>
      <c r="AS385" s="275"/>
      <c r="AT385" s="275"/>
      <c r="AU385" s="275"/>
      <c r="AV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D385" s="275"/>
      <c r="EE385" s="275"/>
      <c r="EF385" s="275"/>
      <c r="EG385" s="275"/>
      <c r="EH385" s="275"/>
      <c r="EI385" s="275"/>
      <c r="EJ385" s="275"/>
      <c r="EK385" s="275"/>
      <c r="EL385" s="275"/>
      <c r="EM385" s="275"/>
      <c r="EN385" s="275"/>
      <c r="EO385" s="275"/>
      <c r="EP385" s="275"/>
      <c r="EQ385" s="275"/>
      <c r="ER385" s="275"/>
      <c r="ES385" s="275"/>
      <c r="ET385" s="275"/>
      <c r="EU385"/>
      <c r="EV385"/>
      <c r="EW385" s="275"/>
      <c r="EX385" s="275"/>
      <c r="EY385" s="275"/>
      <c r="EZ385" s="275"/>
      <c r="FA385" s="275"/>
      <c r="FB385" s="275"/>
      <c r="FC385" s="275"/>
      <c r="FD385" s="275"/>
      <c r="FE385" s="275"/>
      <c r="FF385" s="275"/>
      <c r="FG385" s="275"/>
      <c r="FH385" s="275"/>
      <c r="FI385" s="275"/>
      <c r="FJ385" s="275"/>
      <c r="FK385" s="275"/>
      <c r="FL385" s="275"/>
      <c r="FM385" s="275"/>
      <c r="FN385" s="275"/>
      <c r="FO385" s="275"/>
      <c r="FP385" s="275"/>
      <c r="FQ385" s="275"/>
      <c r="FR385" s="275"/>
      <c r="FS385" s="275"/>
      <c r="FT385" s="275"/>
      <c r="FU385" s="275"/>
      <c r="FV385" s="275"/>
      <c r="FW385" s="275"/>
      <c r="FX385" s="275"/>
      <c r="FY385" s="275"/>
      <c r="FZ385" s="275"/>
      <c r="GA385" s="275"/>
      <c r="GB385" s="275"/>
      <c r="GC385" s="275"/>
      <c r="GD385" s="275"/>
      <c r="GE385" s="275"/>
      <c r="GF385" s="275"/>
      <c r="GG385" s="275"/>
      <c r="GH385" s="275"/>
      <c r="GI385" s="275"/>
      <c r="GJ385" s="275"/>
      <c r="GK385" s="275"/>
      <c r="GL385" s="275"/>
      <c r="GM385" s="275"/>
      <c r="GN385" s="275"/>
      <c r="GO385" s="275"/>
      <c r="GP385" s="275"/>
      <c r="GQ385" s="275"/>
      <c r="GR385" s="275"/>
      <c r="GS385" s="275"/>
      <c r="GT385" s="275"/>
      <c r="GU385" s="275"/>
      <c r="GV385" s="275"/>
      <c r="GW385" s="275"/>
      <c r="GX385" s="275"/>
      <c r="GY385" s="275"/>
      <c r="GZ385" s="275"/>
      <c r="HA385" s="275"/>
      <c r="HB385" s="275"/>
      <c r="HC385" s="275"/>
      <c r="HD385" s="275"/>
      <c r="HE385" s="275"/>
      <c r="HF385" s="275"/>
      <c r="HG385" s="275"/>
      <c r="HH385" s="275"/>
      <c r="HI385" s="275"/>
      <c r="HJ385" s="275"/>
      <c r="HK385" s="275"/>
      <c r="HL385" s="275"/>
      <c r="HM385" s="275"/>
      <c r="HN385" s="275"/>
      <c r="HO385" s="275"/>
      <c r="HP385" s="275"/>
      <c r="HQ385" s="275"/>
      <c r="HR385" s="275"/>
    </row>
    <row r="386" spans="1:226" s="297" customFormat="1">
      <c r="A386" s="275"/>
      <c r="B386" s="21"/>
      <c r="C386" s="21"/>
      <c r="D386" s="21"/>
      <c r="E386" s="21"/>
      <c r="F386" s="275"/>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J386" s="275"/>
      <c r="AK386" s="275"/>
      <c r="AL386" s="275"/>
      <c r="AM386" s="275"/>
      <c r="AN386" s="275"/>
      <c r="AO386" s="275"/>
      <c r="AQ386" s="275"/>
      <c r="AR386" s="275"/>
      <c r="AS386" s="275"/>
      <c r="AT386" s="275"/>
      <c r="AU386" s="275"/>
      <c r="AV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D386" s="275"/>
      <c r="EE386" s="275"/>
      <c r="EF386" s="275"/>
      <c r="EG386" s="275"/>
      <c r="EH386" s="275"/>
      <c r="EI386" s="275"/>
      <c r="EJ386" s="275"/>
      <c r="EK386" s="275"/>
      <c r="EL386" s="275"/>
      <c r="EM386" s="275"/>
      <c r="EN386" s="275"/>
      <c r="EO386" s="275"/>
      <c r="EP386" s="275"/>
      <c r="EQ386" s="275"/>
      <c r="ER386" s="275"/>
      <c r="ES386" s="275"/>
      <c r="ET386" s="275"/>
      <c r="EU386"/>
      <c r="EV386"/>
      <c r="EW386" s="275"/>
      <c r="EX386" s="275"/>
      <c r="EY386" s="275"/>
      <c r="EZ386" s="275"/>
      <c r="FA386" s="275"/>
      <c r="FB386" s="275"/>
      <c r="FC386" s="275"/>
      <c r="FD386" s="275"/>
      <c r="FE386" s="275"/>
      <c r="FF386" s="275"/>
      <c r="FG386" s="275"/>
      <c r="FH386" s="275"/>
      <c r="FI386" s="275"/>
      <c r="FJ386" s="275"/>
      <c r="FK386" s="275"/>
      <c r="FL386" s="275"/>
      <c r="FM386" s="275"/>
      <c r="FN386" s="275"/>
      <c r="FO386" s="275"/>
      <c r="FP386" s="275"/>
      <c r="FQ386" s="275"/>
      <c r="FR386" s="275"/>
      <c r="FS386" s="275"/>
      <c r="FT386" s="275"/>
      <c r="FU386" s="275"/>
      <c r="FV386" s="275"/>
      <c r="FW386" s="275"/>
      <c r="FX386" s="275"/>
      <c r="FY386" s="275"/>
      <c r="FZ386" s="275"/>
      <c r="GA386" s="275"/>
      <c r="GB386" s="275"/>
      <c r="GC386" s="275"/>
      <c r="GD386" s="275"/>
      <c r="GE386" s="275"/>
      <c r="GF386" s="275"/>
      <c r="GG386" s="275"/>
      <c r="GH386" s="275"/>
      <c r="GI386" s="275"/>
      <c r="GJ386" s="275"/>
      <c r="GK386" s="275"/>
      <c r="GL386" s="275"/>
      <c r="GM386" s="275"/>
      <c r="GN386" s="275"/>
      <c r="GO386" s="275"/>
      <c r="GP386" s="275"/>
      <c r="GQ386" s="275"/>
      <c r="GR386" s="275"/>
      <c r="GS386" s="275"/>
      <c r="GT386" s="275"/>
      <c r="GU386" s="275"/>
      <c r="GV386" s="275"/>
      <c r="GW386" s="275"/>
      <c r="GX386" s="275"/>
      <c r="GY386" s="275"/>
      <c r="GZ386" s="275"/>
      <c r="HA386" s="275"/>
      <c r="HB386" s="275"/>
      <c r="HC386" s="275"/>
      <c r="HD386" s="275"/>
      <c r="HE386" s="275"/>
      <c r="HF386" s="275"/>
      <c r="HG386" s="275"/>
      <c r="HH386" s="275"/>
      <c r="HI386" s="275"/>
      <c r="HJ386" s="275"/>
      <c r="HK386" s="275"/>
      <c r="HL386" s="275"/>
      <c r="HM386" s="275"/>
      <c r="HN386" s="275"/>
      <c r="HO386" s="275"/>
      <c r="HP386" s="275"/>
      <c r="HQ386" s="275"/>
      <c r="HR386" s="275"/>
    </row>
    <row r="387" spans="1:226" s="297" customFormat="1">
      <c r="A387" s="275"/>
      <c r="B387" s="21"/>
      <c r="C387" s="21"/>
      <c r="D387" s="21"/>
      <c r="E387" s="21"/>
      <c r="F387" s="275"/>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J387" s="275"/>
      <c r="AK387" s="275"/>
      <c r="AL387" s="275"/>
      <c r="AM387" s="275"/>
      <c r="AN387" s="275"/>
      <c r="AO387" s="275"/>
      <c r="AQ387" s="275"/>
      <c r="AR387" s="275"/>
      <c r="AS387" s="275"/>
      <c r="AT387" s="275"/>
      <c r="AU387" s="275"/>
      <c r="AV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D387" s="275"/>
      <c r="EE387" s="275"/>
      <c r="EF387" s="275"/>
      <c r="EG387" s="275"/>
      <c r="EH387" s="275"/>
      <c r="EI387" s="275"/>
      <c r="EJ387" s="275"/>
      <c r="EK387" s="275"/>
      <c r="EL387" s="275"/>
      <c r="EM387" s="275"/>
      <c r="EN387" s="275"/>
      <c r="EO387" s="275"/>
      <c r="EP387" s="275"/>
      <c r="EQ387" s="275"/>
      <c r="ER387" s="275"/>
      <c r="ES387" s="275"/>
      <c r="ET387" s="275"/>
      <c r="EU387"/>
      <c r="EV387"/>
      <c r="EW387" s="275"/>
      <c r="EX387" s="275"/>
      <c r="EY387" s="275"/>
      <c r="EZ387" s="275"/>
      <c r="FA387" s="275"/>
      <c r="FB387" s="275"/>
      <c r="FC387" s="275"/>
      <c r="FD387" s="275"/>
      <c r="FE387" s="275"/>
      <c r="FF387" s="275"/>
      <c r="FG387" s="275"/>
      <c r="FH387" s="275"/>
      <c r="FI387" s="275"/>
      <c r="FJ387" s="275"/>
      <c r="FK387" s="275"/>
      <c r="FL387" s="275"/>
      <c r="FM387" s="275"/>
      <c r="FN387" s="275"/>
      <c r="FO387" s="275"/>
      <c r="FP387" s="275"/>
      <c r="FQ387" s="275"/>
      <c r="FR387" s="275"/>
      <c r="FS387" s="275"/>
      <c r="FT387" s="275"/>
      <c r="FU387" s="275"/>
      <c r="FV387" s="275"/>
      <c r="FW387" s="275"/>
      <c r="FX387" s="275"/>
      <c r="FY387" s="275"/>
      <c r="FZ387" s="275"/>
      <c r="GA387" s="275"/>
      <c r="GB387" s="275"/>
      <c r="GC387" s="275"/>
      <c r="GD387" s="275"/>
      <c r="GE387" s="275"/>
      <c r="GF387" s="275"/>
      <c r="GG387" s="275"/>
      <c r="GH387" s="275"/>
      <c r="GI387" s="275"/>
      <c r="GJ387" s="275"/>
      <c r="GK387" s="275"/>
      <c r="GL387" s="275"/>
      <c r="GM387" s="275"/>
      <c r="GN387" s="275"/>
      <c r="GO387" s="275"/>
      <c r="GP387" s="275"/>
      <c r="GQ387" s="275"/>
      <c r="GR387" s="275"/>
      <c r="GS387" s="275"/>
      <c r="GT387" s="275"/>
      <c r="GU387" s="275"/>
      <c r="GV387" s="275"/>
      <c r="GW387" s="275"/>
      <c r="GX387" s="275"/>
      <c r="GY387" s="275"/>
      <c r="GZ387" s="275"/>
      <c r="HA387" s="275"/>
      <c r="HB387" s="275"/>
      <c r="HC387" s="275"/>
      <c r="HD387" s="275"/>
      <c r="HE387" s="275"/>
      <c r="HF387" s="275"/>
      <c r="HG387" s="275"/>
      <c r="HH387" s="275"/>
      <c r="HI387" s="275"/>
      <c r="HJ387" s="275"/>
      <c r="HK387" s="275"/>
      <c r="HL387" s="275"/>
      <c r="HM387" s="275"/>
      <c r="HN387" s="275"/>
      <c r="HO387" s="275"/>
      <c r="HP387" s="275"/>
      <c r="HQ387" s="275"/>
      <c r="HR387" s="275"/>
    </row>
    <row r="388" spans="1:226" s="297" customFormat="1">
      <c r="A388" s="275"/>
      <c r="B388" s="21"/>
      <c r="C388" s="21"/>
      <c r="D388" s="21"/>
      <c r="E388" s="21"/>
      <c r="F388" s="275"/>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J388" s="275"/>
      <c r="AK388" s="275"/>
      <c r="AL388" s="275"/>
      <c r="AM388" s="275"/>
      <c r="AN388" s="275"/>
      <c r="AO388" s="275"/>
      <c r="AQ388" s="275"/>
      <c r="AR388" s="275"/>
      <c r="AS388" s="275"/>
      <c r="AT388" s="275"/>
      <c r="AU388" s="275"/>
      <c r="AV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D388" s="275"/>
      <c r="EE388" s="275"/>
      <c r="EF388" s="275"/>
      <c r="EG388" s="275"/>
      <c r="EH388" s="275"/>
      <c r="EI388" s="275"/>
      <c r="EJ388" s="275"/>
      <c r="EK388" s="275"/>
      <c r="EL388" s="275"/>
      <c r="EM388" s="275"/>
      <c r="EN388" s="275"/>
      <c r="EO388" s="275"/>
      <c r="EP388" s="275"/>
      <c r="EQ388" s="275"/>
      <c r="ER388" s="275"/>
      <c r="ES388" s="275"/>
      <c r="ET388" s="275"/>
      <c r="EU388"/>
      <c r="EV388"/>
      <c r="EW388" s="275"/>
      <c r="EX388" s="275"/>
      <c r="EY388" s="275"/>
      <c r="EZ388" s="275"/>
      <c r="FA388" s="275"/>
      <c r="FB388" s="275"/>
      <c r="FC388" s="275"/>
      <c r="FD388" s="275"/>
      <c r="FE388" s="275"/>
      <c r="FF388" s="275"/>
      <c r="FG388" s="275"/>
      <c r="FH388" s="275"/>
      <c r="FI388" s="275"/>
      <c r="FJ388" s="275"/>
      <c r="FK388" s="275"/>
      <c r="FL388" s="275"/>
      <c r="FM388" s="275"/>
      <c r="FN388" s="275"/>
      <c r="FO388" s="275"/>
      <c r="FP388" s="275"/>
      <c r="FQ388" s="275"/>
      <c r="FR388" s="275"/>
      <c r="FS388" s="275"/>
      <c r="FT388" s="275"/>
      <c r="FU388" s="275"/>
      <c r="FV388" s="275"/>
      <c r="FW388" s="275"/>
      <c r="FX388" s="275"/>
      <c r="FY388" s="275"/>
      <c r="FZ388" s="275"/>
      <c r="GA388" s="275"/>
      <c r="GB388" s="275"/>
      <c r="GC388" s="275"/>
      <c r="GD388" s="275"/>
      <c r="GE388" s="275"/>
      <c r="GF388" s="275"/>
      <c r="GG388" s="275"/>
      <c r="GH388" s="275"/>
      <c r="GI388" s="275"/>
      <c r="GJ388" s="275"/>
      <c r="GK388" s="275"/>
      <c r="GL388" s="275"/>
      <c r="GM388" s="275"/>
      <c r="GN388" s="275"/>
      <c r="GO388" s="275"/>
      <c r="GP388" s="275"/>
      <c r="GQ388" s="275"/>
      <c r="GR388" s="275"/>
      <c r="GS388" s="275"/>
      <c r="GT388" s="275"/>
      <c r="GU388" s="275"/>
      <c r="GV388" s="275"/>
      <c r="GW388" s="275"/>
      <c r="GX388" s="275"/>
      <c r="GY388" s="275"/>
      <c r="GZ388" s="275"/>
      <c r="HA388" s="275"/>
      <c r="HB388" s="275"/>
      <c r="HC388" s="275"/>
      <c r="HD388" s="275"/>
      <c r="HE388" s="275"/>
      <c r="HF388" s="275"/>
      <c r="HG388" s="275"/>
      <c r="HH388" s="275"/>
      <c r="HI388" s="275"/>
      <c r="HJ388" s="275"/>
      <c r="HK388" s="275"/>
      <c r="HL388" s="275"/>
      <c r="HM388" s="275"/>
      <c r="HN388" s="275"/>
      <c r="HO388" s="275"/>
      <c r="HP388" s="275"/>
      <c r="HQ388" s="275"/>
      <c r="HR388" s="275"/>
    </row>
    <row r="389" spans="1:226" s="297" customFormat="1">
      <c r="A389" s="275"/>
      <c r="B389" s="21"/>
      <c r="C389" s="21"/>
      <c r="D389" s="21"/>
      <c r="E389" s="21"/>
      <c r="F389" s="275"/>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J389" s="275"/>
      <c r="AK389" s="275"/>
      <c r="AL389" s="275"/>
      <c r="AM389" s="275"/>
      <c r="AN389" s="275"/>
      <c r="AO389" s="275"/>
      <c r="AQ389" s="275"/>
      <c r="AR389" s="275"/>
      <c r="AS389" s="275"/>
      <c r="AT389" s="275"/>
      <c r="AU389" s="275"/>
      <c r="AV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D389" s="275"/>
      <c r="EE389" s="275"/>
      <c r="EF389" s="275"/>
      <c r="EG389" s="275"/>
      <c r="EH389" s="275"/>
      <c r="EI389" s="275"/>
      <c r="EJ389" s="275"/>
      <c r="EK389" s="275"/>
      <c r="EL389" s="275"/>
      <c r="EM389" s="275"/>
      <c r="EN389" s="275"/>
      <c r="EO389" s="275"/>
      <c r="EP389" s="275"/>
      <c r="EQ389" s="275"/>
      <c r="ER389" s="275"/>
      <c r="ES389" s="275"/>
      <c r="ET389" s="275"/>
      <c r="EU389"/>
      <c r="EV389"/>
      <c r="EW389" s="275"/>
      <c r="EX389" s="275"/>
      <c r="EY389" s="275"/>
      <c r="EZ389" s="275"/>
      <c r="FA389" s="275"/>
      <c r="FB389" s="275"/>
      <c r="FC389" s="275"/>
      <c r="FD389" s="275"/>
      <c r="FE389" s="275"/>
      <c r="FF389" s="275"/>
      <c r="FG389" s="275"/>
      <c r="FH389" s="275"/>
      <c r="FI389" s="275"/>
      <c r="FJ389" s="275"/>
      <c r="FK389" s="275"/>
      <c r="FL389" s="275"/>
      <c r="FM389" s="275"/>
      <c r="FN389" s="275"/>
      <c r="FO389" s="275"/>
      <c r="FP389" s="275"/>
      <c r="FQ389" s="275"/>
      <c r="FR389" s="275"/>
      <c r="FS389" s="275"/>
      <c r="FT389" s="275"/>
      <c r="FU389" s="275"/>
      <c r="FV389" s="275"/>
      <c r="FW389" s="275"/>
      <c r="FX389" s="275"/>
      <c r="FY389" s="275"/>
      <c r="FZ389" s="275"/>
      <c r="GA389" s="275"/>
      <c r="GB389" s="275"/>
      <c r="GC389" s="275"/>
      <c r="GD389" s="275"/>
      <c r="GE389" s="275"/>
      <c r="GF389" s="275"/>
      <c r="GG389" s="275"/>
      <c r="GH389" s="275"/>
      <c r="GI389" s="275"/>
      <c r="GJ389" s="275"/>
      <c r="GK389" s="275"/>
      <c r="GL389" s="275"/>
      <c r="GM389" s="275"/>
      <c r="GN389" s="275"/>
      <c r="GO389" s="275"/>
      <c r="GP389" s="275"/>
      <c r="GQ389" s="275"/>
      <c r="GR389" s="275"/>
      <c r="GS389" s="275"/>
      <c r="GT389" s="275"/>
      <c r="GU389" s="275"/>
      <c r="GV389" s="275"/>
      <c r="GW389" s="275"/>
      <c r="GX389" s="275"/>
      <c r="GY389" s="275"/>
      <c r="GZ389" s="275"/>
      <c r="HA389" s="275"/>
      <c r="HB389" s="275"/>
      <c r="HC389" s="275"/>
      <c r="HD389" s="275"/>
      <c r="HE389" s="275"/>
      <c r="HF389" s="275"/>
      <c r="HG389" s="275"/>
      <c r="HH389" s="275"/>
      <c r="HI389" s="275"/>
      <c r="HJ389" s="275"/>
      <c r="HK389" s="275"/>
      <c r="HL389" s="275"/>
      <c r="HM389" s="275"/>
      <c r="HN389" s="275"/>
      <c r="HO389" s="275"/>
      <c r="HP389" s="275"/>
      <c r="HQ389" s="275"/>
      <c r="HR389" s="275"/>
    </row>
    <row r="390" spans="1:226" s="297" customFormat="1">
      <c r="A390" s="275"/>
      <c r="B390" s="21"/>
      <c r="C390" s="21"/>
      <c r="D390" s="21"/>
      <c r="E390" s="21"/>
      <c r="F390" s="275"/>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J390" s="275"/>
      <c r="AK390" s="275"/>
      <c r="AL390" s="275"/>
      <c r="AM390" s="275"/>
      <c r="AN390" s="275"/>
      <c r="AO390" s="275"/>
      <c r="AQ390" s="275"/>
      <c r="AR390" s="275"/>
      <c r="AS390" s="275"/>
      <c r="AT390" s="275"/>
      <c r="AU390" s="275"/>
      <c r="AV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D390" s="275"/>
      <c r="EE390" s="275"/>
      <c r="EF390" s="275"/>
      <c r="EG390" s="275"/>
      <c r="EH390" s="275"/>
      <c r="EI390" s="275"/>
      <c r="EJ390" s="275"/>
      <c r="EK390" s="275"/>
      <c r="EL390" s="275"/>
      <c r="EM390" s="275"/>
      <c r="EN390" s="275"/>
      <c r="EO390" s="275"/>
      <c r="EP390" s="275"/>
      <c r="EQ390" s="275"/>
      <c r="ER390" s="275"/>
      <c r="ES390" s="275"/>
      <c r="ET390" s="275"/>
      <c r="EU390"/>
      <c r="EV390"/>
      <c r="EW390" s="275"/>
      <c r="EX390" s="275"/>
      <c r="EY390" s="275"/>
      <c r="EZ390" s="275"/>
      <c r="FA390" s="275"/>
      <c r="FB390" s="275"/>
      <c r="FC390" s="275"/>
      <c r="FD390" s="275"/>
      <c r="FE390" s="275"/>
      <c r="FF390" s="275"/>
      <c r="FG390" s="275"/>
      <c r="FH390" s="275"/>
      <c r="FI390" s="275"/>
      <c r="FJ390" s="275"/>
      <c r="FK390" s="275"/>
      <c r="FL390" s="275"/>
      <c r="FM390" s="275"/>
      <c r="FN390" s="275"/>
      <c r="FO390" s="275"/>
      <c r="FP390" s="275"/>
      <c r="FQ390" s="275"/>
      <c r="FR390" s="275"/>
      <c r="FS390" s="275"/>
      <c r="FT390" s="275"/>
      <c r="FU390" s="275"/>
      <c r="FV390" s="275"/>
      <c r="FW390" s="275"/>
      <c r="FX390" s="275"/>
      <c r="FY390" s="275"/>
      <c r="FZ390" s="275"/>
      <c r="GA390" s="275"/>
      <c r="GB390" s="275"/>
      <c r="GC390" s="275"/>
      <c r="GD390" s="275"/>
      <c r="GE390" s="275"/>
      <c r="GF390" s="275"/>
      <c r="GG390" s="275"/>
      <c r="GH390" s="275"/>
      <c r="GI390" s="275"/>
      <c r="GJ390" s="275"/>
      <c r="GK390" s="275"/>
      <c r="GL390" s="275"/>
      <c r="GM390" s="275"/>
      <c r="GN390" s="275"/>
      <c r="GO390" s="275"/>
      <c r="GP390" s="275"/>
      <c r="GQ390" s="275"/>
      <c r="GR390" s="275"/>
      <c r="GS390" s="275"/>
      <c r="GT390" s="275"/>
      <c r="GU390" s="275"/>
      <c r="GV390" s="275"/>
      <c r="GW390" s="275"/>
      <c r="GX390" s="275"/>
      <c r="GY390" s="275"/>
      <c r="GZ390" s="275"/>
      <c r="HA390" s="275"/>
      <c r="HB390" s="275"/>
      <c r="HC390" s="275"/>
      <c r="HD390" s="275"/>
      <c r="HE390" s="275"/>
      <c r="HF390" s="275"/>
      <c r="HG390" s="275"/>
      <c r="HH390" s="275"/>
      <c r="HI390" s="275"/>
      <c r="HJ390" s="275"/>
      <c r="HK390" s="275"/>
      <c r="HL390" s="275"/>
      <c r="HM390" s="275"/>
      <c r="HN390" s="275"/>
      <c r="HO390" s="275"/>
      <c r="HP390" s="275"/>
      <c r="HQ390" s="275"/>
      <c r="HR390" s="275"/>
    </row>
    <row r="391" spans="1:226" s="297" customFormat="1">
      <c r="A391" s="275"/>
      <c r="B391" s="21"/>
      <c r="C391" s="21"/>
      <c r="D391" s="21"/>
      <c r="E391" s="21"/>
      <c r="F391" s="275"/>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J391" s="275"/>
      <c r="AK391" s="275"/>
      <c r="AL391" s="275"/>
      <c r="AM391" s="275"/>
      <c r="AN391" s="275"/>
      <c r="AO391" s="275"/>
      <c r="AQ391" s="275"/>
      <c r="AR391" s="275"/>
      <c r="AS391" s="275"/>
      <c r="AT391" s="275"/>
      <c r="AU391" s="275"/>
      <c r="AV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D391" s="275"/>
      <c r="EE391" s="275"/>
      <c r="EF391" s="275"/>
      <c r="EG391" s="275"/>
      <c r="EH391" s="275"/>
      <c r="EI391" s="275"/>
      <c r="EJ391" s="275"/>
      <c r="EK391" s="275"/>
      <c r="EL391" s="275"/>
      <c r="EM391" s="275"/>
      <c r="EN391" s="275"/>
      <c r="EO391" s="275"/>
      <c r="EP391" s="275"/>
      <c r="EQ391" s="275"/>
      <c r="ER391" s="275"/>
      <c r="ES391" s="275"/>
      <c r="ET391" s="275"/>
      <c r="EU391"/>
      <c r="EV391"/>
      <c r="EW391" s="275"/>
      <c r="EX391" s="275"/>
      <c r="EY391" s="275"/>
      <c r="EZ391" s="275"/>
      <c r="FA391" s="275"/>
      <c r="FB391" s="275"/>
      <c r="FC391" s="275"/>
      <c r="FD391" s="275"/>
      <c r="FE391" s="275"/>
      <c r="FF391" s="275"/>
      <c r="FG391" s="275"/>
      <c r="FH391" s="275"/>
      <c r="FI391" s="275"/>
      <c r="FJ391" s="275"/>
      <c r="FK391" s="275"/>
      <c r="FL391" s="275"/>
      <c r="FM391" s="275"/>
      <c r="FN391" s="275"/>
      <c r="FO391" s="275"/>
      <c r="FP391" s="275"/>
      <c r="FQ391" s="275"/>
      <c r="FR391" s="275"/>
      <c r="FS391" s="275"/>
      <c r="FT391" s="275"/>
      <c r="FU391" s="275"/>
      <c r="FV391" s="275"/>
      <c r="FW391" s="275"/>
      <c r="FX391" s="275"/>
      <c r="FY391" s="275"/>
      <c r="FZ391" s="275"/>
      <c r="GA391" s="275"/>
      <c r="GB391" s="275"/>
      <c r="GC391" s="275"/>
      <c r="GD391" s="275"/>
      <c r="GE391" s="275"/>
      <c r="GF391" s="275"/>
      <c r="GG391" s="275"/>
      <c r="GH391" s="275"/>
      <c r="GI391" s="275"/>
      <c r="GJ391" s="275"/>
      <c r="GK391" s="275"/>
      <c r="GL391" s="275"/>
      <c r="GM391" s="275"/>
      <c r="GN391" s="275"/>
      <c r="GO391" s="275"/>
      <c r="GP391" s="275"/>
      <c r="GQ391" s="275"/>
      <c r="GR391" s="275"/>
      <c r="GS391" s="275"/>
      <c r="GT391" s="275"/>
      <c r="GU391" s="275"/>
      <c r="GV391" s="275"/>
      <c r="GW391" s="275"/>
      <c r="GX391" s="275"/>
      <c r="GY391" s="275"/>
      <c r="GZ391" s="275"/>
      <c r="HA391" s="275"/>
      <c r="HB391" s="275"/>
      <c r="HC391" s="275"/>
      <c r="HD391" s="275"/>
      <c r="HE391" s="275"/>
      <c r="HF391" s="275"/>
      <c r="HG391" s="275"/>
      <c r="HH391" s="275"/>
      <c r="HI391" s="275"/>
      <c r="HJ391" s="275"/>
      <c r="HK391" s="275"/>
      <c r="HL391" s="275"/>
      <c r="HM391" s="275"/>
      <c r="HN391" s="275"/>
      <c r="HO391" s="275"/>
      <c r="HP391" s="275"/>
      <c r="HQ391" s="275"/>
      <c r="HR391" s="275"/>
    </row>
    <row r="392" spans="1:226" s="297" customFormat="1">
      <c r="A392" s="275"/>
      <c r="B392" s="21"/>
      <c r="C392" s="21"/>
      <c r="D392" s="21"/>
      <c r="E392" s="21"/>
      <c r="F392" s="275"/>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J392" s="275"/>
      <c r="AK392" s="275"/>
      <c r="AL392" s="275"/>
      <c r="AM392" s="275"/>
      <c r="AN392" s="275"/>
      <c r="AO392" s="275"/>
      <c r="AQ392" s="275"/>
      <c r="AR392" s="275"/>
      <c r="AS392" s="275"/>
      <c r="AT392" s="275"/>
      <c r="AU392" s="275"/>
      <c r="AV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D392" s="275"/>
      <c r="EE392" s="275"/>
      <c r="EF392" s="275"/>
      <c r="EG392" s="275"/>
      <c r="EH392" s="275"/>
      <c r="EI392" s="275"/>
      <c r="EJ392" s="275"/>
      <c r="EK392" s="275"/>
      <c r="EL392" s="275"/>
      <c r="EM392" s="275"/>
      <c r="EN392" s="275"/>
      <c r="EO392" s="275"/>
      <c r="EP392" s="275"/>
      <c r="EQ392" s="275"/>
      <c r="ER392" s="275"/>
      <c r="ES392" s="275"/>
      <c r="ET392" s="275"/>
      <c r="EU392"/>
      <c r="EV392"/>
      <c r="EW392" s="275"/>
      <c r="EX392" s="275"/>
      <c r="EY392" s="275"/>
      <c r="EZ392" s="275"/>
      <c r="FA392" s="275"/>
      <c r="FB392" s="275"/>
      <c r="FC392" s="275"/>
      <c r="FD392" s="275"/>
      <c r="FE392" s="275"/>
      <c r="FF392" s="275"/>
      <c r="FG392" s="275"/>
      <c r="FH392" s="275"/>
      <c r="FI392" s="275"/>
      <c r="FJ392" s="275"/>
      <c r="FK392" s="275"/>
      <c r="FL392" s="275"/>
      <c r="FM392" s="275"/>
      <c r="FN392" s="275"/>
      <c r="FO392" s="275"/>
      <c r="FP392" s="275"/>
      <c r="FQ392" s="275"/>
      <c r="FR392" s="275"/>
      <c r="FS392" s="275"/>
      <c r="FT392" s="275"/>
      <c r="FU392" s="275"/>
      <c r="FV392" s="275"/>
      <c r="FW392" s="275"/>
      <c r="FX392" s="275"/>
      <c r="FY392" s="275"/>
      <c r="FZ392" s="275"/>
      <c r="GA392" s="275"/>
      <c r="GB392" s="275"/>
      <c r="GC392" s="275"/>
      <c r="GD392" s="275"/>
      <c r="GE392" s="275"/>
      <c r="GF392" s="275"/>
      <c r="GG392" s="275"/>
      <c r="GH392" s="275"/>
      <c r="GI392" s="275"/>
      <c r="GJ392" s="275"/>
      <c r="GK392" s="275"/>
      <c r="GL392" s="275"/>
      <c r="GM392" s="275"/>
      <c r="GN392" s="275"/>
      <c r="GO392" s="275"/>
      <c r="GP392" s="275"/>
      <c r="GQ392" s="275"/>
      <c r="GR392" s="275"/>
      <c r="GS392" s="275"/>
      <c r="GT392" s="275"/>
      <c r="GU392" s="275"/>
      <c r="GV392" s="275"/>
      <c r="GW392" s="275"/>
      <c r="GX392" s="275"/>
      <c r="GY392" s="275"/>
      <c r="GZ392" s="275"/>
      <c r="HA392" s="275"/>
      <c r="HB392" s="275"/>
      <c r="HC392" s="275"/>
      <c r="HD392" s="275"/>
      <c r="HE392" s="275"/>
      <c r="HF392" s="275"/>
      <c r="HG392" s="275"/>
      <c r="HH392" s="275"/>
      <c r="HI392" s="275"/>
      <c r="HJ392" s="275"/>
      <c r="HK392" s="275"/>
      <c r="HL392" s="275"/>
      <c r="HM392" s="275"/>
      <c r="HN392" s="275"/>
      <c r="HO392" s="275"/>
      <c r="HP392" s="275"/>
      <c r="HQ392" s="275"/>
      <c r="HR392" s="275"/>
    </row>
    <row r="393" spans="1:226" s="297" customFormat="1">
      <c r="A393" s="275"/>
      <c r="B393" s="21"/>
      <c r="C393" s="21"/>
      <c r="D393" s="21"/>
      <c r="E393" s="21"/>
      <c r="F393" s="275"/>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J393" s="275"/>
      <c r="AK393" s="275"/>
      <c r="AL393" s="275"/>
      <c r="AM393" s="275"/>
      <c r="AN393" s="275"/>
      <c r="AO393" s="275"/>
      <c r="AQ393" s="275"/>
      <c r="AR393" s="275"/>
      <c r="AS393" s="275"/>
      <c r="AT393" s="275"/>
      <c r="AU393" s="275"/>
      <c r="AV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D393" s="275"/>
      <c r="EE393" s="275"/>
      <c r="EF393" s="275"/>
      <c r="EG393" s="275"/>
      <c r="EH393" s="275"/>
      <c r="EI393" s="275"/>
      <c r="EJ393" s="275"/>
      <c r="EK393" s="275"/>
      <c r="EL393" s="275"/>
      <c r="EM393" s="275"/>
      <c r="EN393" s="275"/>
      <c r="EO393" s="275"/>
      <c r="EP393" s="275"/>
      <c r="EQ393" s="275"/>
      <c r="ER393" s="275"/>
      <c r="ES393" s="275"/>
      <c r="ET393" s="275"/>
      <c r="EU393"/>
      <c r="EV393"/>
      <c r="EW393" s="275"/>
      <c r="EX393" s="275"/>
      <c r="EY393" s="275"/>
      <c r="EZ393" s="275"/>
      <c r="FA393" s="275"/>
      <c r="FB393" s="275"/>
      <c r="FC393" s="275"/>
      <c r="FD393" s="275"/>
      <c r="FE393" s="275"/>
      <c r="FF393" s="275"/>
      <c r="FG393" s="275"/>
      <c r="FH393" s="275"/>
      <c r="FI393" s="275"/>
      <c r="FJ393" s="275"/>
      <c r="FK393" s="275"/>
      <c r="FL393" s="275"/>
      <c r="FM393" s="275"/>
      <c r="FN393" s="275"/>
      <c r="FO393" s="275"/>
      <c r="FP393" s="275"/>
      <c r="FQ393" s="275"/>
      <c r="FR393" s="275"/>
      <c r="FS393" s="275"/>
      <c r="FT393" s="275"/>
      <c r="FU393" s="275"/>
      <c r="FV393" s="275"/>
      <c r="FW393" s="275"/>
      <c r="FX393" s="275"/>
      <c r="FY393" s="275"/>
      <c r="FZ393" s="275"/>
      <c r="GA393" s="275"/>
      <c r="GB393" s="275"/>
      <c r="GC393" s="275"/>
      <c r="GD393" s="275"/>
      <c r="GE393" s="275"/>
      <c r="GF393" s="275"/>
      <c r="GG393" s="275"/>
      <c r="GH393" s="275"/>
      <c r="GI393" s="275"/>
      <c r="GJ393" s="275"/>
      <c r="GK393" s="275"/>
      <c r="GL393" s="275"/>
      <c r="GM393" s="275"/>
      <c r="GN393" s="275"/>
      <c r="GO393" s="275"/>
      <c r="GP393" s="275"/>
      <c r="GQ393" s="275"/>
      <c r="GR393" s="275"/>
      <c r="GS393" s="275"/>
      <c r="GT393" s="275"/>
      <c r="GU393" s="275"/>
      <c r="GV393" s="275"/>
      <c r="GW393" s="275"/>
      <c r="GX393" s="275"/>
      <c r="GY393" s="275"/>
      <c r="GZ393" s="275"/>
      <c r="HA393" s="275"/>
      <c r="HB393" s="275"/>
      <c r="HC393" s="275"/>
      <c r="HD393" s="275"/>
      <c r="HE393" s="275"/>
      <c r="HF393" s="275"/>
      <c r="HG393" s="275"/>
      <c r="HH393" s="275"/>
      <c r="HI393" s="275"/>
      <c r="HJ393" s="275"/>
      <c r="HK393" s="275"/>
      <c r="HL393" s="275"/>
      <c r="HM393" s="275"/>
      <c r="HN393" s="275"/>
      <c r="HO393" s="275"/>
      <c r="HP393" s="275"/>
      <c r="HQ393" s="275"/>
      <c r="HR393" s="275"/>
    </row>
    <row r="394" spans="1:226" s="297" customFormat="1">
      <c r="A394" s="275"/>
      <c r="B394" s="21"/>
      <c r="C394" s="21"/>
      <c r="D394" s="21"/>
      <c r="E394" s="21"/>
      <c r="F394" s="275"/>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J394" s="275"/>
      <c r="AK394" s="275"/>
      <c r="AL394" s="275"/>
      <c r="AM394" s="275"/>
      <c r="AN394" s="275"/>
      <c r="AO394" s="275"/>
      <c r="AQ394" s="275"/>
      <c r="AR394" s="275"/>
      <c r="AS394" s="275"/>
      <c r="AT394" s="275"/>
      <c r="AU394" s="275"/>
      <c r="AV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D394" s="275"/>
      <c r="EE394" s="275"/>
      <c r="EF394" s="275"/>
      <c r="EG394" s="275"/>
      <c r="EH394" s="275"/>
      <c r="EI394" s="275"/>
      <c r="EJ394" s="275"/>
      <c r="EK394" s="275"/>
      <c r="EL394" s="275"/>
      <c r="EM394" s="275"/>
      <c r="EN394" s="275"/>
      <c r="EO394" s="275"/>
      <c r="EP394" s="275"/>
      <c r="EQ394" s="275"/>
      <c r="ER394" s="275"/>
      <c r="ES394" s="275"/>
      <c r="ET394" s="275"/>
      <c r="EU394"/>
      <c r="EV394"/>
      <c r="EW394" s="275"/>
      <c r="EX394" s="275"/>
      <c r="EY394" s="275"/>
      <c r="EZ394" s="275"/>
      <c r="FA394" s="275"/>
      <c r="FB394" s="275"/>
      <c r="FC394" s="275"/>
      <c r="FD394" s="275"/>
      <c r="FE394" s="275"/>
      <c r="FF394" s="275"/>
      <c r="FG394" s="275"/>
      <c r="FH394" s="275"/>
      <c r="FI394" s="275"/>
      <c r="FJ394" s="275"/>
      <c r="FK394" s="275"/>
      <c r="FL394" s="275"/>
      <c r="FM394" s="275"/>
      <c r="FN394" s="275"/>
      <c r="FO394" s="275"/>
      <c r="FP394" s="275"/>
      <c r="FQ394" s="275"/>
      <c r="FR394" s="275"/>
      <c r="FS394" s="275"/>
      <c r="FT394" s="275"/>
      <c r="FU394" s="275"/>
      <c r="FV394" s="275"/>
      <c r="FW394" s="275"/>
      <c r="FX394" s="275"/>
      <c r="FY394" s="275"/>
      <c r="FZ394" s="275"/>
      <c r="GA394" s="275"/>
      <c r="GB394" s="275"/>
      <c r="GC394" s="275"/>
      <c r="GD394" s="275"/>
      <c r="GE394" s="275"/>
      <c r="GF394" s="275"/>
      <c r="GG394" s="275"/>
      <c r="GH394" s="275"/>
      <c r="GI394" s="275"/>
      <c r="GJ394" s="275"/>
      <c r="GK394" s="275"/>
      <c r="GL394" s="275"/>
      <c r="GM394" s="275"/>
      <c r="GN394" s="275"/>
      <c r="GO394" s="275"/>
      <c r="GP394" s="275"/>
      <c r="GQ394" s="275"/>
      <c r="GR394" s="275"/>
      <c r="GS394" s="275"/>
      <c r="GT394" s="275"/>
      <c r="GU394" s="275"/>
      <c r="GV394" s="275"/>
      <c r="GW394" s="275"/>
      <c r="GX394" s="275"/>
      <c r="GY394" s="275"/>
      <c r="GZ394" s="275"/>
      <c r="HA394" s="275"/>
      <c r="HB394" s="275"/>
      <c r="HC394" s="275"/>
      <c r="HD394" s="275"/>
      <c r="HE394" s="275"/>
      <c r="HF394" s="275"/>
      <c r="HG394" s="275"/>
      <c r="HH394" s="275"/>
      <c r="HI394" s="275"/>
      <c r="HJ394" s="275"/>
      <c r="HK394" s="275"/>
      <c r="HL394" s="275"/>
      <c r="HM394" s="275"/>
      <c r="HN394" s="275"/>
      <c r="HO394" s="275"/>
      <c r="HP394" s="275"/>
      <c r="HQ394" s="275"/>
      <c r="HR394" s="275"/>
    </row>
    <row r="395" spans="1:226" s="297" customFormat="1">
      <c r="A395" s="275"/>
      <c r="B395" s="21"/>
      <c r="C395" s="21"/>
      <c r="D395" s="21"/>
      <c r="E395" s="21"/>
      <c r="F395" s="275"/>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J395" s="275"/>
      <c r="AK395" s="275"/>
      <c r="AL395" s="275"/>
      <c r="AM395" s="275"/>
      <c r="AN395" s="275"/>
      <c r="AO395" s="275"/>
      <c r="AQ395" s="275"/>
      <c r="AR395" s="275"/>
      <c r="AS395" s="275"/>
      <c r="AT395" s="275"/>
      <c r="AU395" s="275"/>
      <c r="AV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D395" s="275"/>
      <c r="EE395" s="275"/>
      <c r="EF395" s="275"/>
      <c r="EG395" s="275"/>
      <c r="EH395" s="275"/>
      <c r="EI395" s="275"/>
      <c r="EJ395" s="275"/>
      <c r="EK395" s="275"/>
      <c r="EL395" s="275"/>
      <c r="EM395" s="275"/>
      <c r="EN395" s="275"/>
      <c r="EO395" s="275"/>
      <c r="EP395" s="275"/>
      <c r="EQ395" s="275"/>
      <c r="ER395" s="275"/>
      <c r="ES395" s="275"/>
      <c r="ET395" s="275"/>
      <c r="EU395"/>
      <c r="EV395"/>
      <c r="EW395" s="275"/>
      <c r="EX395" s="275"/>
      <c r="EY395" s="275"/>
      <c r="EZ395" s="275"/>
      <c r="FA395" s="275"/>
      <c r="FB395" s="275"/>
      <c r="FC395" s="275"/>
      <c r="FD395" s="275"/>
      <c r="FE395" s="275"/>
      <c r="FF395" s="275"/>
      <c r="FG395" s="275"/>
      <c r="FH395" s="275"/>
      <c r="FI395" s="275"/>
      <c r="FJ395" s="275"/>
      <c r="FK395" s="275"/>
      <c r="FL395" s="275"/>
      <c r="FM395" s="275"/>
      <c r="FN395" s="275"/>
      <c r="FO395" s="275"/>
      <c r="FP395" s="275"/>
      <c r="FQ395" s="275"/>
      <c r="FR395" s="275"/>
      <c r="FS395" s="275"/>
      <c r="FT395" s="275"/>
      <c r="FU395" s="275"/>
      <c r="FV395" s="275"/>
      <c r="FW395" s="275"/>
      <c r="FX395" s="275"/>
      <c r="FY395" s="275"/>
      <c r="FZ395" s="275"/>
      <c r="GA395" s="275"/>
      <c r="GB395" s="275"/>
      <c r="GC395" s="275"/>
      <c r="GD395" s="275"/>
      <c r="GE395" s="275"/>
      <c r="GF395" s="275"/>
      <c r="GG395" s="275"/>
      <c r="GH395" s="275"/>
      <c r="GI395" s="275"/>
      <c r="GJ395" s="275"/>
      <c r="GK395" s="275"/>
      <c r="GL395" s="275"/>
      <c r="GM395" s="275"/>
      <c r="GN395" s="275"/>
      <c r="GO395" s="275"/>
      <c r="GP395" s="275"/>
      <c r="GQ395" s="275"/>
      <c r="GR395" s="275"/>
      <c r="GS395" s="275"/>
      <c r="GT395" s="275"/>
      <c r="GU395" s="275"/>
      <c r="GV395" s="275"/>
      <c r="GW395" s="275"/>
      <c r="GX395" s="275"/>
      <c r="GY395" s="275"/>
      <c r="GZ395" s="275"/>
      <c r="HA395" s="275"/>
      <c r="HB395" s="275"/>
      <c r="HC395" s="275"/>
      <c r="HD395" s="275"/>
      <c r="HE395" s="275"/>
      <c r="HF395" s="275"/>
      <c r="HG395" s="275"/>
      <c r="HH395" s="275"/>
      <c r="HI395" s="275"/>
      <c r="HJ395" s="275"/>
      <c r="HK395" s="275"/>
      <c r="HL395" s="275"/>
      <c r="HM395" s="275"/>
      <c r="HN395" s="275"/>
      <c r="HO395" s="275"/>
      <c r="HP395" s="275"/>
      <c r="HQ395" s="275"/>
      <c r="HR395" s="275"/>
    </row>
    <row r="396" spans="1:226" s="297" customFormat="1">
      <c r="A396" s="275"/>
      <c r="B396" s="21"/>
      <c r="C396" s="21"/>
      <c r="D396" s="21"/>
      <c r="E396" s="21"/>
      <c r="F396" s="275"/>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J396" s="275"/>
      <c r="AK396" s="275"/>
      <c r="AL396" s="275"/>
      <c r="AM396" s="275"/>
      <c r="AN396" s="275"/>
      <c r="AO396" s="275"/>
      <c r="AQ396" s="275"/>
      <c r="AR396" s="275"/>
      <c r="AS396" s="275"/>
      <c r="AT396" s="275"/>
      <c r="AU396" s="275"/>
      <c r="AV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D396" s="275"/>
      <c r="EE396" s="275"/>
      <c r="EF396" s="275"/>
      <c r="EG396" s="275"/>
      <c r="EH396" s="275"/>
      <c r="EI396" s="275"/>
      <c r="EJ396" s="275"/>
      <c r="EK396" s="275"/>
      <c r="EL396" s="275"/>
      <c r="EM396" s="275"/>
      <c r="EN396" s="275"/>
      <c r="EO396" s="275"/>
      <c r="EP396" s="275"/>
      <c r="EQ396" s="275"/>
      <c r="ER396" s="275"/>
      <c r="ES396" s="275"/>
      <c r="ET396" s="275"/>
      <c r="EU396"/>
      <c r="EV396"/>
      <c r="EW396" s="275"/>
      <c r="EX396" s="275"/>
      <c r="EY396" s="275"/>
      <c r="EZ396" s="275"/>
      <c r="FA396" s="275"/>
      <c r="FB396" s="275"/>
      <c r="FC396" s="275"/>
      <c r="FD396" s="275"/>
      <c r="FE396" s="275"/>
      <c r="FF396" s="275"/>
      <c r="FG396" s="275"/>
      <c r="FH396" s="275"/>
      <c r="FI396" s="275"/>
      <c r="FJ396" s="275"/>
      <c r="FK396" s="275"/>
      <c r="FL396" s="275"/>
      <c r="FM396" s="275"/>
      <c r="FN396" s="275"/>
      <c r="FO396" s="275"/>
      <c r="FP396" s="275"/>
      <c r="FQ396" s="275"/>
      <c r="FR396" s="275"/>
      <c r="FS396" s="275"/>
      <c r="FT396" s="275"/>
      <c r="FU396" s="275"/>
      <c r="FV396" s="275"/>
      <c r="FW396" s="275"/>
      <c r="FX396" s="275"/>
      <c r="FY396" s="275"/>
      <c r="FZ396" s="275"/>
      <c r="GA396" s="275"/>
      <c r="GB396" s="275"/>
      <c r="GC396" s="275"/>
      <c r="GD396" s="275"/>
      <c r="GE396" s="275"/>
      <c r="GF396" s="275"/>
      <c r="GG396" s="275"/>
      <c r="GH396" s="275"/>
      <c r="GI396" s="275"/>
      <c r="GJ396" s="275"/>
      <c r="GK396" s="275"/>
      <c r="GL396" s="275"/>
      <c r="GM396" s="275"/>
      <c r="GN396" s="275"/>
      <c r="GO396" s="275"/>
      <c r="GP396" s="275"/>
      <c r="GQ396" s="275"/>
      <c r="GR396" s="275"/>
      <c r="GS396" s="275"/>
      <c r="GT396" s="275"/>
      <c r="GU396" s="275"/>
      <c r="GV396" s="275"/>
      <c r="GW396" s="275"/>
      <c r="GX396" s="275"/>
      <c r="GY396" s="275"/>
      <c r="GZ396" s="275"/>
      <c r="HA396" s="275"/>
      <c r="HB396" s="275"/>
      <c r="HC396" s="275"/>
      <c r="HD396" s="275"/>
      <c r="HE396" s="275"/>
      <c r="HF396" s="275"/>
      <c r="HG396" s="275"/>
      <c r="HH396" s="275"/>
      <c r="HI396" s="275"/>
      <c r="HJ396" s="275"/>
      <c r="HK396" s="275"/>
      <c r="HL396" s="275"/>
      <c r="HM396" s="275"/>
      <c r="HN396" s="275"/>
      <c r="HO396" s="275"/>
      <c r="HP396" s="275"/>
      <c r="HQ396" s="275"/>
      <c r="HR396" s="275"/>
    </row>
    <row r="397" spans="1:226" s="297" customFormat="1">
      <c r="A397" s="275"/>
      <c r="B397" s="21"/>
      <c r="C397" s="21"/>
      <c r="D397" s="21"/>
      <c r="E397" s="21"/>
      <c r="F397" s="275"/>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J397" s="275"/>
      <c r="AK397" s="275"/>
      <c r="AL397" s="275"/>
      <c r="AM397" s="275"/>
      <c r="AN397" s="275"/>
      <c r="AO397" s="275"/>
      <c r="AQ397" s="275"/>
      <c r="AR397" s="275"/>
      <c r="AS397" s="275"/>
      <c r="AT397" s="275"/>
      <c r="AU397" s="275"/>
      <c r="AV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D397" s="275"/>
      <c r="EE397" s="275"/>
      <c r="EF397" s="275"/>
      <c r="EG397" s="275"/>
      <c r="EH397" s="275"/>
      <c r="EI397" s="275"/>
      <c r="EJ397" s="275"/>
      <c r="EK397" s="275"/>
      <c r="EL397" s="275"/>
      <c r="EM397" s="275"/>
      <c r="EN397" s="275"/>
      <c r="EO397" s="275"/>
      <c r="EP397" s="275"/>
      <c r="EQ397" s="275"/>
      <c r="ER397" s="275"/>
      <c r="ES397" s="275"/>
      <c r="ET397" s="275"/>
      <c r="EU397"/>
      <c r="EV397"/>
      <c r="EW397" s="275"/>
      <c r="EX397" s="275"/>
      <c r="EY397" s="275"/>
      <c r="EZ397" s="275"/>
      <c r="FA397" s="275"/>
      <c r="FB397" s="275"/>
      <c r="FC397" s="275"/>
      <c r="FD397" s="275"/>
      <c r="FE397" s="275"/>
      <c r="FF397" s="275"/>
      <c r="FG397" s="275"/>
      <c r="FH397" s="275"/>
      <c r="FI397" s="275"/>
      <c r="FJ397" s="275"/>
      <c r="FK397" s="275"/>
      <c r="FL397" s="275"/>
      <c r="FM397" s="275"/>
      <c r="FN397" s="275"/>
      <c r="FO397" s="275"/>
      <c r="FP397" s="275"/>
      <c r="FQ397" s="275"/>
      <c r="FR397" s="275"/>
      <c r="FS397" s="275"/>
      <c r="FT397" s="275"/>
      <c r="FU397" s="275"/>
      <c r="FV397" s="275"/>
      <c r="FW397" s="275"/>
      <c r="FX397" s="275"/>
      <c r="FY397" s="275"/>
      <c r="FZ397" s="275"/>
      <c r="GA397" s="275"/>
      <c r="GB397" s="275"/>
      <c r="GC397" s="275"/>
      <c r="GD397" s="275"/>
      <c r="GE397" s="275"/>
      <c r="GF397" s="275"/>
      <c r="GG397" s="275"/>
      <c r="GH397" s="275"/>
      <c r="GI397" s="275"/>
      <c r="GJ397" s="275"/>
      <c r="GK397" s="275"/>
      <c r="GL397" s="275"/>
      <c r="GM397" s="275"/>
      <c r="GN397" s="275"/>
      <c r="GO397" s="275"/>
      <c r="GP397" s="275"/>
      <c r="GQ397" s="275"/>
      <c r="GR397" s="275"/>
      <c r="GS397" s="275"/>
      <c r="GT397" s="275"/>
      <c r="GU397" s="275"/>
      <c r="GV397" s="275"/>
      <c r="GW397" s="275"/>
      <c r="GX397" s="275"/>
      <c r="GY397" s="275"/>
      <c r="GZ397" s="275"/>
      <c r="HA397" s="275"/>
      <c r="HB397" s="275"/>
      <c r="HC397" s="275"/>
      <c r="HD397" s="275"/>
      <c r="HE397" s="275"/>
      <c r="HF397" s="275"/>
      <c r="HG397" s="275"/>
      <c r="HH397" s="275"/>
      <c r="HI397" s="275"/>
      <c r="HJ397" s="275"/>
      <c r="HK397" s="275"/>
      <c r="HL397" s="275"/>
      <c r="HM397" s="275"/>
      <c r="HN397" s="275"/>
      <c r="HO397" s="275"/>
      <c r="HP397" s="275"/>
      <c r="HQ397" s="275"/>
      <c r="HR397" s="275"/>
    </row>
    <row r="398" spans="1:226" s="297" customFormat="1">
      <c r="A398" s="275"/>
      <c r="B398" s="21"/>
      <c r="C398" s="21"/>
      <c r="D398" s="21"/>
      <c r="E398" s="21"/>
      <c r="F398" s="275"/>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J398" s="275"/>
      <c r="AK398" s="275"/>
      <c r="AL398" s="275"/>
      <c r="AM398" s="275"/>
      <c r="AN398" s="275"/>
      <c r="AO398" s="275"/>
      <c r="AQ398" s="275"/>
      <c r="AR398" s="275"/>
      <c r="AS398" s="275"/>
      <c r="AT398" s="275"/>
      <c r="AU398" s="275"/>
      <c r="AV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D398" s="275"/>
      <c r="EE398" s="275"/>
      <c r="EF398" s="275"/>
      <c r="EG398" s="275"/>
      <c r="EH398" s="275"/>
      <c r="EI398" s="275"/>
      <c r="EJ398" s="275"/>
      <c r="EK398" s="275"/>
      <c r="EL398" s="275"/>
      <c r="EM398" s="275"/>
      <c r="EN398" s="275"/>
      <c r="EO398" s="275"/>
      <c r="EP398" s="275"/>
      <c r="EQ398" s="275"/>
      <c r="ER398" s="275"/>
      <c r="ES398" s="275"/>
      <c r="ET398" s="275"/>
      <c r="EU398"/>
      <c r="EV398"/>
      <c r="EW398" s="275"/>
      <c r="EX398" s="275"/>
      <c r="EY398" s="275"/>
      <c r="EZ398" s="275"/>
      <c r="FA398" s="275"/>
      <c r="FB398" s="275"/>
      <c r="FC398" s="275"/>
      <c r="FD398" s="275"/>
      <c r="FE398" s="275"/>
      <c r="FF398" s="275"/>
      <c r="FG398" s="275"/>
      <c r="FH398" s="275"/>
      <c r="FI398" s="275"/>
      <c r="FJ398" s="275"/>
      <c r="FK398" s="275"/>
      <c r="FL398" s="275"/>
      <c r="FM398" s="275"/>
      <c r="FN398" s="275"/>
      <c r="FO398" s="275"/>
      <c r="FP398" s="275"/>
      <c r="FQ398" s="275"/>
      <c r="FR398" s="275"/>
      <c r="FS398" s="275"/>
      <c r="FT398" s="275"/>
      <c r="FU398" s="275"/>
      <c r="FV398" s="275"/>
      <c r="FW398" s="275"/>
      <c r="FX398" s="275"/>
      <c r="FY398" s="275"/>
      <c r="FZ398" s="275"/>
      <c r="GA398" s="275"/>
      <c r="GB398" s="275"/>
      <c r="GC398" s="275"/>
      <c r="GD398" s="275"/>
      <c r="GE398" s="275"/>
      <c r="GF398" s="275"/>
      <c r="GG398" s="275"/>
      <c r="GH398" s="275"/>
      <c r="GI398" s="275"/>
      <c r="GJ398" s="275"/>
      <c r="GK398" s="275"/>
      <c r="GL398" s="275"/>
      <c r="GM398" s="275"/>
      <c r="GN398" s="275"/>
      <c r="GO398" s="275"/>
      <c r="GP398" s="275"/>
      <c r="GQ398" s="275"/>
      <c r="GR398" s="275"/>
      <c r="GS398" s="275"/>
      <c r="GT398" s="275"/>
      <c r="GU398" s="275"/>
      <c r="GV398" s="275"/>
      <c r="GW398" s="275"/>
      <c r="GX398" s="275"/>
      <c r="GY398" s="275"/>
      <c r="GZ398" s="275"/>
      <c r="HA398" s="275"/>
      <c r="HB398" s="275"/>
      <c r="HC398" s="275"/>
      <c r="HD398" s="275"/>
      <c r="HE398" s="275"/>
      <c r="HF398" s="275"/>
      <c r="HG398" s="275"/>
      <c r="HH398" s="275"/>
      <c r="HI398" s="275"/>
      <c r="HJ398" s="275"/>
      <c r="HK398" s="275"/>
      <c r="HL398" s="275"/>
      <c r="HM398" s="275"/>
      <c r="HN398" s="275"/>
      <c r="HO398" s="275"/>
      <c r="HP398" s="275"/>
      <c r="HQ398" s="275"/>
      <c r="HR398" s="275"/>
    </row>
    <row r="399" spans="1:226" s="297" customFormat="1">
      <c r="A399" s="275"/>
      <c r="B399" s="21"/>
      <c r="C399" s="21"/>
      <c r="D399" s="21"/>
      <c r="E399" s="21"/>
      <c r="F399" s="275"/>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J399" s="275"/>
      <c r="AK399" s="275"/>
      <c r="AL399" s="275"/>
      <c r="AM399" s="275"/>
      <c r="AN399" s="275"/>
      <c r="AO399" s="275"/>
      <c r="AQ399" s="275"/>
      <c r="AR399" s="275"/>
      <c r="AS399" s="275"/>
      <c r="AT399" s="275"/>
      <c r="AU399" s="275"/>
      <c r="AV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D399" s="275"/>
      <c r="EE399" s="275"/>
      <c r="EF399" s="275"/>
      <c r="EG399" s="275"/>
      <c r="EH399" s="275"/>
      <c r="EI399" s="275"/>
      <c r="EJ399" s="275"/>
      <c r="EK399" s="275"/>
      <c r="EL399" s="275"/>
      <c r="EM399" s="275"/>
      <c r="EN399" s="275"/>
      <c r="EO399" s="275"/>
      <c r="EP399" s="275"/>
      <c r="EQ399" s="275"/>
      <c r="ER399" s="275"/>
      <c r="ES399" s="275"/>
      <c r="ET399" s="275"/>
      <c r="EU399"/>
      <c r="EV399"/>
      <c r="EW399" s="275"/>
      <c r="EX399" s="275"/>
      <c r="EY399" s="275"/>
      <c r="EZ399" s="275"/>
      <c r="FA399" s="275"/>
      <c r="FB399" s="275"/>
      <c r="FC399" s="275"/>
      <c r="FD399" s="275"/>
      <c r="FE399" s="275"/>
      <c r="FF399" s="275"/>
      <c r="FG399" s="275"/>
      <c r="FH399" s="275"/>
      <c r="FI399" s="275"/>
      <c r="FJ399" s="275"/>
      <c r="FK399" s="275"/>
      <c r="FL399" s="275"/>
      <c r="FM399" s="275"/>
      <c r="FN399" s="275"/>
      <c r="FO399" s="275"/>
      <c r="FP399" s="275"/>
      <c r="FQ399" s="275"/>
      <c r="FR399" s="275"/>
      <c r="FS399" s="275"/>
      <c r="FT399" s="275"/>
      <c r="FU399" s="275"/>
      <c r="FV399" s="275"/>
      <c r="FW399" s="275"/>
      <c r="FX399" s="275"/>
      <c r="FY399" s="275"/>
      <c r="FZ399" s="275"/>
      <c r="GA399" s="275"/>
      <c r="GB399" s="275"/>
      <c r="GC399" s="275"/>
      <c r="GD399" s="275"/>
      <c r="GE399" s="275"/>
      <c r="GF399" s="275"/>
      <c r="GG399" s="275"/>
      <c r="GH399" s="275"/>
      <c r="GI399" s="275"/>
      <c r="GJ399" s="275"/>
      <c r="GK399" s="275"/>
      <c r="GL399" s="275"/>
      <c r="GM399" s="275"/>
      <c r="GN399" s="275"/>
      <c r="GO399" s="275"/>
      <c r="GP399" s="275"/>
      <c r="GQ399" s="275"/>
      <c r="GR399" s="275"/>
      <c r="GS399" s="275"/>
      <c r="GT399" s="275"/>
      <c r="GU399" s="275"/>
      <c r="GV399" s="275"/>
      <c r="GW399" s="275"/>
      <c r="GX399" s="275"/>
      <c r="GY399" s="275"/>
      <c r="GZ399" s="275"/>
      <c r="HA399" s="275"/>
      <c r="HB399" s="275"/>
      <c r="HC399" s="275"/>
      <c r="HD399" s="275"/>
      <c r="HE399" s="275"/>
      <c r="HF399" s="275"/>
      <c r="HG399" s="275"/>
      <c r="HH399" s="275"/>
      <c r="HI399" s="275"/>
      <c r="HJ399" s="275"/>
      <c r="HK399" s="275"/>
      <c r="HL399" s="275"/>
      <c r="HM399" s="275"/>
      <c r="HN399" s="275"/>
      <c r="HO399" s="275"/>
      <c r="HP399" s="275"/>
      <c r="HQ399" s="275"/>
      <c r="HR399" s="275"/>
    </row>
    <row r="400" spans="1:226" s="297" customFormat="1">
      <c r="A400" s="275"/>
      <c r="B400" s="21"/>
      <c r="C400" s="21"/>
      <c r="D400" s="21"/>
      <c r="E400" s="21"/>
      <c r="F400" s="275"/>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J400" s="275"/>
      <c r="AK400" s="275"/>
      <c r="AL400" s="275"/>
      <c r="AM400" s="275"/>
      <c r="AN400" s="275"/>
      <c r="AO400" s="275"/>
      <c r="AQ400" s="275"/>
      <c r="AR400" s="275"/>
      <c r="AS400" s="275"/>
      <c r="AT400" s="275"/>
      <c r="AU400" s="275"/>
      <c r="AV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D400" s="275"/>
      <c r="EE400" s="275"/>
      <c r="EF400" s="275"/>
      <c r="EG400" s="275"/>
      <c r="EH400" s="275"/>
      <c r="EI400" s="275"/>
      <c r="EJ400" s="275"/>
      <c r="EK400" s="275"/>
      <c r="EL400" s="275"/>
      <c r="EM400" s="275"/>
      <c r="EN400" s="275"/>
      <c r="EO400" s="275"/>
      <c r="EP400" s="275"/>
      <c r="EQ400" s="275"/>
      <c r="ER400" s="275"/>
      <c r="ES400" s="275"/>
      <c r="ET400" s="275"/>
      <c r="EU400"/>
      <c r="EV400"/>
      <c r="EW400" s="275"/>
      <c r="EX400" s="275"/>
      <c r="EY400" s="275"/>
      <c r="EZ400" s="275"/>
      <c r="FA400" s="275"/>
      <c r="FB400" s="275"/>
      <c r="FC400" s="275"/>
      <c r="FD400" s="275"/>
      <c r="FE400" s="275"/>
      <c r="FF400" s="275"/>
      <c r="FG400" s="275"/>
      <c r="FH400" s="275"/>
      <c r="FI400" s="275"/>
      <c r="FJ400" s="275"/>
      <c r="FK400" s="275"/>
      <c r="FL400" s="275"/>
      <c r="FM400" s="275"/>
      <c r="FN400" s="275"/>
      <c r="FO400" s="275"/>
      <c r="FP400" s="275"/>
      <c r="FQ400" s="275"/>
      <c r="FR400" s="275"/>
      <c r="FS400" s="275"/>
      <c r="FT400" s="275"/>
      <c r="FU400" s="275"/>
      <c r="FV400" s="275"/>
      <c r="FW400" s="275"/>
      <c r="FX400" s="275"/>
      <c r="FY400" s="275"/>
      <c r="FZ400" s="275"/>
      <c r="GA400" s="275"/>
      <c r="GB400" s="275"/>
      <c r="GC400" s="275"/>
      <c r="GD400" s="275"/>
      <c r="GE400" s="275"/>
      <c r="GF400" s="275"/>
      <c r="GG400" s="275"/>
      <c r="GH400" s="275"/>
      <c r="GI400" s="275"/>
      <c r="GJ400" s="275"/>
      <c r="GK400" s="275"/>
      <c r="GL400" s="275"/>
      <c r="GM400" s="275"/>
      <c r="GN400" s="275"/>
      <c r="GO400" s="275"/>
      <c r="GP400" s="275"/>
      <c r="GQ400" s="275"/>
      <c r="GR400" s="275"/>
      <c r="GS400" s="275"/>
      <c r="GT400" s="275"/>
      <c r="GU400" s="275"/>
      <c r="GV400" s="275"/>
      <c r="GW400" s="275"/>
      <c r="GX400" s="275"/>
      <c r="GY400" s="275"/>
      <c r="GZ400" s="275"/>
      <c r="HA400" s="275"/>
      <c r="HB400" s="275"/>
      <c r="HC400" s="275"/>
      <c r="HD400" s="275"/>
      <c r="HE400" s="275"/>
      <c r="HF400" s="275"/>
      <c r="HG400" s="275"/>
      <c r="HH400" s="275"/>
      <c r="HI400" s="275"/>
      <c r="HJ400" s="275"/>
      <c r="HK400" s="275"/>
      <c r="HL400" s="275"/>
      <c r="HM400" s="275"/>
      <c r="HN400" s="275"/>
      <c r="HO400" s="275"/>
      <c r="HP400" s="275"/>
      <c r="HQ400" s="275"/>
      <c r="HR400" s="275"/>
    </row>
    <row r="401" spans="1:226" s="297" customFormat="1">
      <c r="A401" s="275"/>
      <c r="B401" s="21"/>
      <c r="C401" s="21"/>
      <c r="D401" s="21"/>
      <c r="E401" s="21"/>
      <c r="F401" s="275"/>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J401" s="275"/>
      <c r="AK401" s="275"/>
      <c r="AL401" s="275"/>
      <c r="AM401" s="275"/>
      <c r="AN401" s="275"/>
      <c r="AO401" s="275"/>
      <c r="AQ401" s="275"/>
      <c r="AR401" s="275"/>
      <c r="AS401" s="275"/>
      <c r="AT401" s="275"/>
      <c r="AU401" s="275"/>
      <c r="AV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D401" s="275"/>
      <c r="EE401" s="275"/>
      <c r="EF401" s="275"/>
      <c r="EG401" s="275"/>
      <c r="EH401" s="275"/>
      <c r="EI401" s="275"/>
      <c r="EJ401" s="275"/>
      <c r="EK401" s="275"/>
      <c r="EL401" s="275"/>
      <c r="EM401" s="275"/>
      <c r="EN401" s="275"/>
      <c r="EO401" s="275"/>
      <c r="EP401" s="275"/>
      <c r="EQ401" s="275"/>
      <c r="ER401" s="275"/>
      <c r="ES401" s="275"/>
      <c r="ET401" s="275"/>
      <c r="EU401"/>
      <c r="EV401"/>
      <c r="EW401" s="275"/>
      <c r="EX401" s="275"/>
      <c r="EY401" s="275"/>
      <c r="EZ401" s="275"/>
      <c r="FA401" s="275"/>
      <c r="FB401" s="275"/>
      <c r="FC401" s="275"/>
      <c r="FD401" s="275"/>
      <c r="FE401" s="275"/>
      <c r="FF401" s="275"/>
      <c r="FG401" s="275"/>
      <c r="FH401" s="275"/>
      <c r="FI401" s="275"/>
      <c r="FJ401" s="275"/>
      <c r="FK401" s="275"/>
      <c r="FL401" s="275"/>
      <c r="FM401" s="275"/>
      <c r="FN401" s="275"/>
      <c r="FO401" s="275"/>
      <c r="FP401" s="275"/>
      <c r="FQ401" s="275"/>
      <c r="FR401" s="275"/>
      <c r="FS401" s="275"/>
      <c r="FT401" s="275"/>
      <c r="FU401" s="275"/>
      <c r="FV401" s="275"/>
      <c r="FW401" s="275"/>
      <c r="FX401" s="275"/>
      <c r="FY401" s="275"/>
      <c r="FZ401" s="275"/>
      <c r="GA401" s="275"/>
      <c r="GB401" s="275"/>
      <c r="GC401" s="275"/>
      <c r="GD401" s="275"/>
      <c r="GE401" s="275"/>
      <c r="GF401" s="275"/>
      <c r="GG401" s="275"/>
      <c r="GH401" s="275"/>
      <c r="GI401" s="275"/>
      <c r="GJ401" s="275"/>
      <c r="GK401" s="275"/>
      <c r="GL401" s="275"/>
      <c r="GM401" s="275"/>
      <c r="GN401" s="275"/>
      <c r="GO401" s="275"/>
      <c r="GP401" s="275"/>
      <c r="GQ401" s="275"/>
      <c r="GR401" s="275"/>
      <c r="GS401" s="275"/>
      <c r="GT401" s="275"/>
      <c r="GU401" s="275"/>
      <c r="GV401" s="275"/>
      <c r="GW401" s="275"/>
      <c r="GX401" s="275"/>
      <c r="GY401" s="275"/>
      <c r="GZ401" s="275"/>
      <c r="HA401" s="275"/>
      <c r="HB401" s="275"/>
      <c r="HC401" s="275"/>
      <c r="HD401" s="275"/>
      <c r="HE401" s="275"/>
      <c r="HF401" s="275"/>
      <c r="HG401" s="275"/>
      <c r="HH401" s="275"/>
      <c r="HI401" s="275"/>
      <c r="HJ401" s="275"/>
      <c r="HK401" s="275"/>
      <c r="HL401" s="275"/>
      <c r="HM401" s="275"/>
      <c r="HN401" s="275"/>
      <c r="HO401" s="275"/>
      <c r="HP401" s="275"/>
      <c r="HQ401" s="275"/>
      <c r="HR401" s="275"/>
    </row>
    <row r="402" spans="1:226" s="297" customFormat="1">
      <c r="A402" s="275"/>
      <c r="B402" s="21"/>
      <c r="C402" s="21"/>
      <c r="D402" s="21"/>
      <c r="E402" s="21"/>
      <c r="F402" s="275"/>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J402" s="275"/>
      <c r="AK402" s="275"/>
      <c r="AL402" s="275"/>
      <c r="AM402" s="275"/>
      <c r="AN402" s="275"/>
      <c r="AO402" s="275"/>
      <c r="AQ402" s="275"/>
      <c r="AR402" s="275"/>
      <c r="AS402" s="275"/>
      <c r="AT402" s="275"/>
      <c r="AU402" s="275"/>
      <c r="AV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D402" s="275"/>
      <c r="EE402" s="275"/>
      <c r="EF402" s="275"/>
      <c r="EG402" s="275"/>
      <c r="EH402" s="275"/>
      <c r="EI402" s="275"/>
      <c r="EJ402" s="275"/>
      <c r="EK402" s="275"/>
      <c r="EL402" s="275"/>
      <c r="EM402" s="275"/>
      <c r="EN402" s="275"/>
      <c r="EO402" s="275"/>
      <c r="EP402" s="275"/>
      <c r="EQ402" s="275"/>
      <c r="ER402" s="275"/>
      <c r="ES402" s="275"/>
      <c r="ET402" s="275"/>
      <c r="EU402"/>
      <c r="EV402"/>
      <c r="EW402" s="275"/>
      <c r="EX402" s="275"/>
      <c r="EY402" s="275"/>
      <c r="EZ402" s="275"/>
      <c r="FA402" s="275"/>
      <c r="FB402" s="275"/>
      <c r="FC402" s="275"/>
      <c r="FD402" s="275"/>
      <c r="FE402" s="275"/>
      <c r="FF402" s="275"/>
      <c r="FG402" s="275"/>
      <c r="FH402" s="275"/>
      <c r="FI402" s="275"/>
      <c r="FJ402" s="275"/>
      <c r="FK402" s="275"/>
      <c r="FL402" s="275"/>
      <c r="FM402" s="275"/>
      <c r="FN402" s="275"/>
      <c r="FO402" s="275"/>
      <c r="FP402" s="275"/>
      <c r="FQ402" s="275"/>
      <c r="FR402" s="275"/>
      <c r="FS402" s="275"/>
      <c r="FT402" s="275"/>
      <c r="FU402" s="275"/>
      <c r="FV402" s="275"/>
      <c r="FW402" s="275"/>
      <c r="FX402" s="275"/>
      <c r="FY402" s="275"/>
      <c r="FZ402" s="275"/>
      <c r="GA402" s="275"/>
      <c r="GB402" s="275"/>
      <c r="GC402" s="275"/>
      <c r="GD402" s="275"/>
      <c r="GE402" s="275"/>
      <c r="GF402" s="275"/>
      <c r="GG402" s="275"/>
      <c r="GH402" s="275"/>
      <c r="GI402" s="275"/>
      <c r="GJ402" s="275"/>
      <c r="GK402" s="275"/>
      <c r="GL402" s="275"/>
      <c r="GM402" s="275"/>
      <c r="GN402" s="275"/>
      <c r="GO402" s="275"/>
      <c r="GP402" s="275"/>
      <c r="GQ402" s="275"/>
      <c r="GR402" s="275"/>
      <c r="GS402" s="275"/>
      <c r="GT402" s="275"/>
      <c r="GU402" s="275"/>
      <c r="GV402" s="275"/>
      <c r="GW402" s="275"/>
      <c r="GX402" s="275"/>
      <c r="GY402" s="275"/>
      <c r="GZ402" s="275"/>
      <c r="HA402" s="275"/>
      <c r="HB402" s="275"/>
      <c r="HC402" s="275"/>
      <c r="HD402" s="275"/>
      <c r="HE402" s="275"/>
      <c r="HF402" s="275"/>
      <c r="HG402" s="275"/>
      <c r="HH402" s="275"/>
      <c r="HI402" s="275"/>
      <c r="HJ402" s="275"/>
      <c r="HK402" s="275"/>
      <c r="HL402" s="275"/>
      <c r="HM402" s="275"/>
      <c r="HN402" s="275"/>
      <c r="HO402" s="275"/>
      <c r="HP402" s="275"/>
      <c r="HQ402" s="275"/>
      <c r="HR402" s="275"/>
    </row>
    <row r="403" spans="1:226" s="297" customFormat="1">
      <c r="A403" s="275"/>
      <c r="B403" s="21"/>
      <c r="C403" s="21"/>
      <c r="D403" s="21"/>
      <c r="E403" s="21"/>
      <c r="F403" s="275"/>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J403" s="275"/>
      <c r="AK403" s="275"/>
      <c r="AL403" s="275"/>
      <c r="AM403" s="275"/>
      <c r="AN403" s="275"/>
      <c r="AO403" s="275"/>
      <c r="AQ403" s="275"/>
      <c r="AR403" s="275"/>
      <c r="AS403" s="275"/>
      <c r="AT403" s="275"/>
      <c r="AU403" s="275"/>
      <c r="AV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D403" s="275"/>
      <c r="EE403" s="275"/>
      <c r="EF403" s="275"/>
      <c r="EG403" s="275"/>
      <c r="EH403" s="275"/>
      <c r="EI403" s="275"/>
      <c r="EJ403" s="275"/>
      <c r="EK403" s="275"/>
      <c r="EL403" s="275"/>
      <c r="EM403" s="275"/>
      <c r="EN403" s="275"/>
      <c r="EO403" s="275"/>
      <c r="EP403" s="275"/>
      <c r="EQ403" s="275"/>
      <c r="ER403" s="275"/>
      <c r="ES403" s="275"/>
      <c r="ET403" s="275"/>
      <c r="EU403"/>
      <c r="EV403"/>
      <c r="EW403" s="275"/>
      <c r="EX403" s="275"/>
      <c r="EY403" s="275"/>
      <c r="EZ403" s="275"/>
      <c r="FA403" s="275"/>
      <c r="FB403" s="275"/>
      <c r="FC403" s="275"/>
      <c r="FD403" s="275"/>
      <c r="FE403" s="275"/>
      <c r="FF403" s="275"/>
      <c r="FG403" s="275"/>
      <c r="FH403" s="275"/>
      <c r="FI403" s="275"/>
      <c r="FJ403" s="275"/>
      <c r="FK403" s="275"/>
      <c r="FL403" s="275"/>
      <c r="FM403" s="275"/>
      <c r="FN403" s="275"/>
      <c r="FO403" s="275"/>
      <c r="FP403" s="275"/>
      <c r="FQ403" s="275"/>
      <c r="FR403" s="275"/>
      <c r="FS403" s="275"/>
      <c r="FT403" s="275"/>
      <c r="FU403" s="275"/>
      <c r="FV403" s="275"/>
      <c r="FW403" s="275"/>
      <c r="FX403" s="275"/>
      <c r="FY403" s="275"/>
      <c r="FZ403" s="275"/>
      <c r="GA403" s="275"/>
      <c r="GB403" s="275"/>
      <c r="GC403" s="275"/>
      <c r="GD403" s="275"/>
      <c r="GE403" s="275"/>
      <c r="GF403" s="275"/>
      <c r="GG403" s="275"/>
      <c r="GH403" s="275"/>
      <c r="GI403" s="275"/>
      <c r="GJ403" s="275"/>
      <c r="GK403" s="275"/>
      <c r="GL403" s="275"/>
      <c r="GM403" s="275"/>
      <c r="GN403" s="275"/>
      <c r="GO403" s="275"/>
      <c r="GP403" s="275"/>
      <c r="GQ403" s="275"/>
      <c r="GR403" s="275"/>
      <c r="GS403" s="275"/>
      <c r="GT403" s="275"/>
      <c r="GU403" s="275"/>
      <c r="GV403" s="275"/>
      <c r="GW403" s="275"/>
      <c r="GX403" s="275"/>
      <c r="GY403" s="275"/>
      <c r="GZ403" s="275"/>
      <c r="HA403" s="275"/>
      <c r="HB403" s="275"/>
      <c r="HC403" s="275"/>
      <c r="HD403" s="275"/>
      <c r="HE403" s="275"/>
      <c r="HF403" s="275"/>
      <c r="HG403" s="275"/>
      <c r="HH403" s="275"/>
      <c r="HI403" s="275"/>
      <c r="HJ403" s="275"/>
      <c r="HK403" s="275"/>
      <c r="HL403" s="275"/>
      <c r="HM403" s="275"/>
      <c r="HN403" s="275"/>
      <c r="HO403" s="275"/>
      <c r="HP403" s="275"/>
      <c r="HQ403" s="275"/>
      <c r="HR403" s="275"/>
    </row>
    <row r="404" spans="1:226" s="297" customFormat="1">
      <c r="A404" s="275"/>
      <c r="B404" s="21"/>
      <c r="C404" s="21"/>
      <c r="D404" s="21"/>
      <c r="E404" s="21"/>
      <c r="F404" s="275"/>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J404" s="275"/>
      <c r="AK404" s="275"/>
      <c r="AL404" s="275"/>
      <c r="AM404" s="275"/>
      <c r="AN404" s="275"/>
      <c r="AO404" s="275"/>
      <c r="AQ404" s="275"/>
      <c r="AR404" s="275"/>
      <c r="AS404" s="275"/>
      <c r="AT404" s="275"/>
      <c r="AU404" s="275"/>
      <c r="AV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D404" s="275"/>
      <c r="EE404" s="275"/>
      <c r="EF404" s="275"/>
      <c r="EG404" s="275"/>
      <c r="EH404" s="275"/>
      <c r="EI404" s="275"/>
      <c r="EJ404" s="275"/>
      <c r="EK404" s="275"/>
      <c r="EL404" s="275"/>
      <c r="EM404" s="275"/>
      <c r="EN404" s="275"/>
      <c r="EO404" s="275"/>
      <c r="EP404" s="275"/>
      <c r="EQ404" s="275"/>
      <c r="ER404" s="275"/>
      <c r="ES404" s="275"/>
      <c r="ET404" s="275"/>
      <c r="EU404"/>
      <c r="EV404"/>
      <c r="EW404" s="275"/>
      <c r="EX404" s="275"/>
      <c r="EY404" s="275"/>
      <c r="EZ404" s="275"/>
      <c r="FA404" s="275"/>
      <c r="FB404" s="275"/>
      <c r="FC404" s="275"/>
      <c r="FD404" s="275"/>
      <c r="FE404" s="275"/>
      <c r="FF404" s="275"/>
      <c r="FG404" s="275"/>
      <c r="FH404" s="275"/>
      <c r="FI404" s="275"/>
      <c r="FJ404" s="275"/>
      <c r="FK404" s="275"/>
      <c r="FL404" s="275"/>
      <c r="FM404" s="275"/>
      <c r="FN404" s="275"/>
      <c r="FO404" s="275"/>
      <c r="FP404" s="275"/>
      <c r="FQ404" s="275"/>
      <c r="FR404" s="275"/>
      <c r="FS404" s="275"/>
      <c r="FT404" s="275"/>
      <c r="FU404" s="275"/>
      <c r="FV404" s="275"/>
      <c r="FW404" s="275"/>
      <c r="FX404" s="275"/>
      <c r="FY404" s="275"/>
      <c r="FZ404" s="275"/>
      <c r="GA404" s="275"/>
      <c r="GB404" s="275"/>
      <c r="GC404" s="275"/>
      <c r="GD404" s="275"/>
      <c r="GE404" s="275"/>
      <c r="GF404" s="275"/>
      <c r="GG404" s="275"/>
      <c r="GH404" s="275"/>
      <c r="GI404" s="275"/>
      <c r="GJ404" s="275"/>
      <c r="GK404" s="275"/>
      <c r="GL404" s="275"/>
      <c r="GM404" s="275"/>
      <c r="GN404" s="275"/>
      <c r="GO404" s="275"/>
      <c r="GP404" s="275"/>
      <c r="GQ404" s="275"/>
      <c r="GR404" s="275"/>
      <c r="GS404" s="275"/>
      <c r="GT404" s="275"/>
      <c r="GU404" s="275"/>
      <c r="GV404" s="275"/>
      <c r="GW404" s="275"/>
      <c r="GX404" s="275"/>
      <c r="GY404" s="275"/>
      <c r="GZ404" s="275"/>
      <c r="HA404" s="275"/>
      <c r="HB404" s="275"/>
      <c r="HC404" s="275"/>
      <c r="HD404" s="275"/>
      <c r="HE404" s="275"/>
      <c r="HF404" s="275"/>
      <c r="HG404" s="275"/>
      <c r="HH404" s="275"/>
      <c r="HI404" s="275"/>
      <c r="HJ404" s="275"/>
      <c r="HK404" s="275"/>
      <c r="HL404" s="275"/>
      <c r="HM404" s="275"/>
      <c r="HN404" s="275"/>
      <c r="HO404" s="275"/>
      <c r="HP404" s="275"/>
      <c r="HQ404" s="275"/>
      <c r="HR404" s="275"/>
    </row>
    <row r="405" spans="1:226" s="297" customFormat="1">
      <c r="A405" s="275"/>
      <c r="B405" s="21"/>
      <c r="C405" s="21"/>
      <c r="D405" s="21"/>
      <c r="E405" s="21"/>
      <c r="F405" s="275"/>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J405" s="275"/>
      <c r="AK405" s="275"/>
      <c r="AL405" s="275"/>
      <c r="AM405" s="275"/>
      <c r="AN405" s="275"/>
      <c r="AO405" s="275"/>
      <c r="AQ405" s="275"/>
      <c r="AR405" s="275"/>
      <c r="AS405" s="275"/>
      <c r="AT405" s="275"/>
      <c r="AU405" s="275"/>
      <c r="AV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D405" s="275"/>
      <c r="EE405" s="275"/>
      <c r="EF405" s="275"/>
      <c r="EG405" s="275"/>
      <c r="EH405" s="275"/>
      <c r="EI405" s="275"/>
      <c r="EJ405" s="275"/>
      <c r="EK405" s="275"/>
      <c r="EL405" s="275"/>
      <c r="EM405" s="275"/>
      <c r="EN405" s="275"/>
      <c r="EO405" s="275"/>
      <c r="EP405" s="275"/>
      <c r="EQ405" s="275"/>
      <c r="ER405" s="275"/>
      <c r="ES405" s="275"/>
      <c r="ET405" s="275"/>
      <c r="EU405"/>
      <c r="EV405"/>
      <c r="EW405" s="275"/>
      <c r="EX405" s="275"/>
      <c r="EY405" s="275"/>
      <c r="EZ405" s="275"/>
      <c r="FA405" s="275"/>
      <c r="FB405" s="275"/>
      <c r="FC405" s="275"/>
      <c r="FD405" s="275"/>
      <c r="FE405" s="275"/>
      <c r="FF405" s="275"/>
      <c r="FG405" s="275"/>
      <c r="FH405" s="275"/>
      <c r="FI405" s="275"/>
      <c r="FJ405" s="275"/>
      <c r="FK405" s="275"/>
      <c r="FL405" s="275"/>
      <c r="FM405" s="275"/>
      <c r="FN405" s="275"/>
      <c r="FO405" s="275"/>
      <c r="FP405" s="275"/>
      <c r="FQ405" s="275"/>
      <c r="FR405" s="275"/>
      <c r="FS405" s="275"/>
      <c r="FT405" s="275"/>
      <c r="FU405" s="275"/>
      <c r="FV405" s="275"/>
      <c r="FW405" s="275"/>
      <c r="FX405" s="275"/>
      <c r="FY405" s="275"/>
      <c r="FZ405" s="275"/>
      <c r="GA405" s="275"/>
      <c r="GB405" s="275"/>
      <c r="GC405" s="275"/>
      <c r="GD405" s="275"/>
      <c r="GE405" s="275"/>
      <c r="GF405" s="275"/>
      <c r="GG405" s="275"/>
      <c r="GH405" s="275"/>
      <c r="GI405" s="275"/>
      <c r="GJ405" s="275"/>
      <c r="GK405" s="275"/>
      <c r="GL405" s="275"/>
      <c r="GM405" s="275"/>
      <c r="GN405" s="275"/>
      <c r="GO405" s="275"/>
      <c r="GP405" s="275"/>
      <c r="GQ405" s="275"/>
      <c r="GR405" s="275"/>
      <c r="GS405" s="275"/>
      <c r="GT405" s="275"/>
      <c r="GU405" s="275"/>
      <c r="GV405" s="275"/>
      <c r="GW405" s="275"/>
      <c r="GX405" s="275"/>
      <c r="GY405" s="275"/>
      <c r="GZ405" s="275"/>
      <c r="HA405" s="275"/>
      <c r="HB405" s="275"/>
      <c r="HC405" s="275"/>
      <c r="HD405" s="275"/>
      <c r="HE405" s="275"/>
      <c r="HF405" s="275"/>
      <c r="HG405" s="275"/>
      <c r="HH405" s="275"/>
      <c r="HI405" s="275"/>
      <c r="HJ405" s="275"/>
      <c r="HK405" s="275"/>
      <c r="HL405" s="275"/>
      <c r="HM405" s="275"/>
      <c r="HN405" s="275"/>
      <c r="HO405" s="275"/>
      <c r="HP405" s="275"/>
      <c r="HQ405" s="275"/>
      <c r="HR405" s="275"/>
    </row>
    <row r="406" spans="1:226" s="297" customFormat="1">
      <c r="A406" s="275"/>
      <c r="B406" s="21"/>
      <c r="C406" s="21"/>
      <c r="D406" s="21"/>
      <c r="E406" s="21"/>
      <c r="F406" s="275"/>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J406" s="275"/>
      <c r="AK406" s="275"/>
      <c r="AL406" s="275"/>
      <c r="AM406" s="275"/>
      <c r="AN406" s="275"/>
      <c r="AO406" s="275"/>
      <c r="AQ406" s="275"/>
      <c r="AR406" s="275"/>
      <c r="AS406" s="275"/>
      <c r="AT406" s="275"/>
      <c r="AU406" s="275"/>
      <c r="AV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D406" s="275"/>
      <c r="EE406" s="275"/>
      <c r="EF406" s="275"/>
      <c r="EG406" s="275"/>
      <c r="EH406" s="275"/>
      <c r="EI406" s="275"/>
      <c r="EJ406" s="275"/>
      <c r="EK406" s="275"/>
      <c r="EL406" s="275"/>
      <c r="EM406" s="275"/>
      <c r="EN406" s="275"/>
      <c r="EO406" s="275"/>
      <c r="EP406" s="275"/>
      <c r="EQ406" s="275"/>
      <c r="ER406" s="275"/>
      <c r="ES406" s="275"/>
      <c r="ET406" s="275"/>
      <c r="EU406"/>
      <c r="EV406"/>
      <c r="EW406" s="275"/>
      <c r="EX406" s="275"/>
      <c r="EY406" s="275"/>
      <c r="EZ406" s="275"/>
      <c r="FA406" s="275"/>
      <c r="FB406" s="275"/>
      <c r="FC406" s="275"/>
      <c r="FD406" s="275"/>
      <c r="FE406" s="275"/>
      <c r="FF406" s="275"/>
      <c r="FG406" s="275"/>
      <c r="FH406" s="275"/>
      <c r="FI406" s="275"/>
      <c r="FJ406" s="275"/>
      <c r="FK406" s="275"/>
      <c r="FL406" s="275"/>
      <c r="FM406" s="275"/>
      <c r="FN406" s="275"/>
      <c r="FO406" s="275"/>
      <c r="FP406" s="275"/>
      <c r="FQ406" s="275"/>
      <c r="FR406" s="275"/>
      <c r="FS406" s="275"/>
      <c r="FT406" s="275"/>
      <c r="FU406" s="275"/>
      <c r="FV406" s="275"/>
      <c r="FW406" s="275"/>
      <c r="FX406" s="275"/>
      <c r="FY406" s="275"/>
      <c r="FZ406" s="275"/>
      <c r="GA406" s="275"/>
      <c r="GB406" s="275"/>
      <c r="GC406" s="275"/>
      <c r="GD406" s="275"/>
      <c r="GE406" s="275"/>
      <c r="GF406" s="275"/>
      <c r="GG406" s="275"/>
      <c r="GH406" s="275"/>
      <c r="GI406" s="275"/>
      <c r="GJ406" s="275"/>
      <c r="GK406" s="275"/>
      <c r="GL406" s="275"/>
      <c r="GM406" s="275"/>
      <c r="GN406" s="275"/>
      <c r="GO406" s="275"/>
      <c r="GP406" s="275"/>
      <c r="GQ406" s="275"/>
      <c r="GR406" s="275"/>
      <c r="GS406" s="275"/>
      <c r="GT406" s="275"/>
      <c r="GU406" s="275"/>
      <c r="GV406" s="275"/>
      <c r="GW406" s="275"/>
      <c r="GX406" s="275"/>
      <c r="GY406" s="275"/>
      <c r="GZ406" s="275"/>
      <c r="HA406" s="275"/>
      <c r="HB406" s="275"/>
      <c r="HC406" s="275"/>
      <c r="HD406" s="275"/>
      <c r="HE406" s="275"/>
      <c r="HF406" s="275"/>
      <c r="HG406" s="275"/>
      <c r="HH406" s="275"/>
      <c r="HI406" s="275"/>
      <c r="HJ406" s="275"/>
      <c r="HK406" s="275"/>
      <c r="HL406" s="275"/>
      <c r="HM406" s="275"/>
      <c r="HN406" s="275"/>
      <c r="HO406" s="275"/>
      <c r="HP406" s="275"/>
      <c r="HQ406" s="275"/>
      <c r="HR406" s="275"/>
    </row>
    <row r="407" spans="1:226" s="297" customFormat="1">
      <c r="A407" s="275"/>
      <c r="B407" s="21"/>
      <c r="C407" s="21"/>
      <c r="D407" s="21"/>
      <c r="E407" s="21"/>
      <c r="F407" s="275"/>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J407" s="275"/>
      <c r="AK407" s="275"/>
      <c r="AL407" s="275"/>
      <c r="AM407" s="275"/>
      <c r="AN407" s="275"/>
      <c r="AO407" s="275"/>
      <c r="AQ407" s="275"/>
      <c r="AR407" s="275"/>
      <c r="AS407" s="275"/>
      <c r="AT407" s="275"/>
      <c r="AU407" s="275"/>
      <c r="AV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D407" s="275"/>
      <c r="EE407" s="275"/>
      <c r="EF407" s="275"/>
      <c r="EG407" s="275"/>
      <c r="EH407" s="275"/>
      <c r="EI407" s="275"/>
      <c r="EJ407" s="275"/>
      <c r="EK407" s="275"/>
      <c r="EL407" s="275"/>
      <c r="EM407" s="275"/>
      <c r="EN407" s="275"/>
      <c r="EO407" s="275"/>
      <c r="EP407" s="275"/>
      <c r="EQ407" s="275"/>
      <c r="ER407" s="275"/>
      <c r="ES407" s="275"/>
      <c r="ET407" s="275"/>
      <c r="EU407"/>
      <c r="EV407"/>
      <c r="EW407" s="275"/>
      <c r="EX407" s="275"/>
      <c r="EY407" s="275"/>
      <c r="EZ407" s="275"/>
      <c r="FA407" s="275"/>
      <c r="FB407" s="275"/>
      <c r="FC407" s="275"/>
      <c r="FD407" s="275"/>
      <c r="FE407" s="275"/>
      <c r="FF407" s="275"/>
      <c r="FG407" s="275"/>
      <c r="FH407" s="275"/>
      <c r="FI407" s="275"/>
      <c r="FJ407" s="275"/>
      <c r="FK407" s="275"/>
      <c r="FL407" s="275"/>
      <c r="FM407" s="275"/>
      <c r="FN407" s="275"/>
      <c r="FO407" s="275"/>
      <c r="FP407" s="275"/>
      <c r="FQ407" s="275"/>
      <c r="FR407" s="275"/>
      <c r="FS407" s="275"/>
      <c r="FT407" s="275"/>
      <c r="FU407" s="275"/>
      <c r="FV407" s="275"/>
      <c r="FW407" s="275"/>
      <c r="FX407" s="275"/>
      <c r="FY407" s="275"/>
      <c r="FZ407" s="275"/>
      <c r="GA407" s="275"/>
      <c r="GB407" s="275"/>
      <c r="GC407" s="275"/>
      <c r="GD407" s="275"/>
      <c r="GE407" s="275"/>
      <c r="GF407" s="275"/>
      <c r="GG407" s="275"/>
      <c r="GH407" s="275"/>
      <c r="GI407" s="275"/>
      <c r="GJ407" s="275"/>
      <c r="GK407" s="275"/>
      <c r="GL407" s="275"/>
      <c r="GM407" s="275"/>
      <c r="GN407" s="275"/>
      <c r="GO407" s="275"/>
      <c r="GP407" s="275"/>
      <c r="GQ407" s="275"/>
      <c r="GR407" s="275"/>
      <c r="GS407" s="275"/>
      <c r="GT407" s="275"/>
      <c r="GU407" s="275"/>
      <c r="GV407" s="275"/>
      <c r="GW407" s="275"/>
      <c r="GX407" s="275"/>
      <c r="GY407" s="275"/>
      <c r="GZ407" s="275"/>
      <c r="HA407" s="275"/>
      <c r="HB407" s="275"/>
      <c r="HC407" s="275"/>
      <c r="HD407" s="275"/>
      <c r="HE407" s="275"/>
      <c r="HF407" s="275"/>
      <c r="HG407" s="275"/>
      <c r="HH407" s="275"/>
      <c r="HI407" s="275"/>
      <c r="HJ407" s="275"/>
      <c r="HK407" s="275"/>
      <c r="HL407" s="275"/>
      <c r="HM407" s="275"/>
      <c r="HN407" s="275"/>
      <c r="HO407" s="275"/>
      <c r="HP407" s="275"/>
      <c r="HQ407" s="275"/>
      <c r="HR407" s="275"/>
    </row>
    <row r="408" spans="1:226" s="297" customFormat="1">
      <c r="A408" s="275"/>
      <c r="B408" s="21"/>
      <c r="C408" s="21"/>
      <c r="D408" s="21"/>
      <c r="E408" s="21"/>
      <c r="F408" s="275"/>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J408" s="275"/>
      <c r="AK408" s="275"/>
      <c r="AL408" s="275"/>
      <c r="AM408" s="275"/>
      <c r="AN408" s="275"/>
      <c r="AO408" s="275"/>
      <c r="AQ408" s="275"/>
      <c r="AR408" s="275"/>
      <c r="AS408" s="275"/>
      <c r="AT408" s="275"/>
      <c r="AU408" s="275"/>
      <c r="AV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D408" s="275"/>
      <c r="EE408" s="275"/>
      <c r="EF408" s="275"/>
      <c r="EG408" s="275"/>
      <c r="EH408" s="275"/>
      <c r="EI408" s="275"/>
      <c r="EJ408" s="275"/>
      <c r="EK408" s="275"/>
      <c r="EL408" s="275"/>
      <c r="EM408" s="275"/>
      <c r="EN408" s="275"/>
      <c r="EO408" s="275"/>
      <c r="EP408" s="275"/>
      <c r="EQ408" s="275"/>
      <c r="ER408" s="275"/>
      <c r="ES408" s="275"/>
      <c r="ET408" s="275"/>
      <c r="EU408"/>
      <c r="EV408"/>
      <c r="EW408" s="275"/>
      <c r="EX408" s="275"/>
      <c r="EY408" s="275"/>
      <c r="EZ408" s="275"/>
      <c r="FA408" s="275"/>
      <c r="FB408" s="275"/>
      <c r="FC408" s="275"/>
      <c r="FD408" s="275"/>
      <c r="FE408" s="275"/>
      <c r="FF408" s="275"/>
      <c r="FG408" s="275"/>
      <c r="FH408" s="275"/>
      <c r="FI408" s="275"/>
      <c r="FJ408" s="275"/>
      <c r="FK408" s="275"/>
      <c r="FL408" s="275"/>
      <c r="FM408" s="275"/>
      <c r="FN408" s="275"/>
      <c r="FO408" s="275"/>
      <c r="FP408" s="275"/>
      <c r="FQ408" s="275"/>
      <c r="FR408" s="275"/>
      <c r="FS408" s="275"/>
      <c r="FT408" s="275"/>
      <c r="FU408" s="275"/>
      <c r="FV408" s="275"/>
      <c r="FW408" s="275"/>
      <c r="FX408" s="275"/>
      <c r="FY408" s="275"/>
      <c r="FZ408" s="275"/>
      <c r="GA408" s="275"/>
      <c r="GB408" s="275"/>
      <c r="GC408" s="275"/>
      <c r="GD408" s="275"/>
      <c r="GE408" s="275"/>
      <c r="GF408" s="275"/>
      <c r="GG408" s="275"/>
      <c r="GH408" s="275"/>
      <c r="GI408" s="275"/>
      <c r="GJ408" s="275"/>
      <c r="GK408" s="275"/>
      <c r="GL408" s="275"/>
      <c r="GM408" s="275"/>
      <c r="GN408" s="275"/>
      <c r="GO408" s="275"/>
      <c r="GP408" s="275"/>
      <c r="GQ408" s="275"/>
      <c r="GR408" s="275"/>
      <c r="GS408" s="275"/>
      <c r="GT408" s="275"/>
      <c r="GU408" s="275"/>
      <c r="GV408" s="275"/>
      <c r="GW408" s="275"/>
      <c r="GX408" s="275"/>
      <c r="GY408" s="275"/>
      <c r="GZ408" s="275"/>
      <c r="HA408" s="275"/>
      <c r="HB408" s="275"/>
      <c r="HC408" s="275"/>
      <c r="HD408" s="275"/>
      <c r="HE408" s="275"/>
      <c r="HF408" s="275"/>
      <c r="HG408" s="275"/>
      <c r="HH408" s="275"/>
      <c r="HI408" s="275"/>
      <c r="HJ408" s="275"/>
      <c r="HK408" s="275"/>
      <c r="HL408" s="275"/>
      <c r="HM408" s="275"/>
      <c r="HN408" s="275"/>
      <c r="HO408" s="275"/>
      <c r="HP408" s="275"/>
      <c r="HQ408" s="275"/>
      <c r="HR408" s="275"/>
    </row>
    <row r="409" spans="1:226" s="297" customFormat="1">
      <c r="A409" s="275"/>
      <c r="B409" s="21"/>
      <c r="C409" s="21"/>
      <c r="D409" s="21"/>
      <c r="E409" s="21"/>
      <c r="F409" s="275"/>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J409" s="275"/>
      <c r="AK409" s="275"/>
      <c r="AL409" s="275"/>
      <c r="AM409" s="275"/>
      <c r="AN409" s="275"/>
      <c r="AO409" s="275"/>
      <c r="AQ409" s="275"/>
      <c r="AR409" s="275"/>
      <c r="AS409" s="275"/>
      <c r="AT409" s="275"/>
      <c r="AU409" s="275"/>
      <c r="AV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D409" s="275"/>
      <c r="EE409" s="275"/>
      <c r="EF409" s="275"/>
      <c r="EG409" s="275"/>
      <c r="EH409" s="275"/>
      <c r="EI409" s="275"/>
      <c r="EJ409" s="275"/>
      <c r="EK409" s="275"/>
      <c r="EL409" s="275"/>
      <c r="EM409" s="275"/>
      <c r="EN409" s="275"/>
      <c r="EO409" s="275"/>
      <c r="EP409" s="275"/>
      <c r="EQ409" s="275"/>
      <c r="ER409" s="275"/>
      <c r="ES409" s="275"/>
      <c r="ET409" s="275"/>
      <c r="EU409"/>
      <c r="EV409"/>
      <c r="EW409" s="275"/>
      <c r="EX409" s="275"/>
      <c r="EY409" s="275"/>
      <c r="EZ409" s="275"/>
      <c r="FA409" s="275"/>
      <c r="FB409" s="275"/>
      <c r="FC409" s="275"/>
      <c r="FD409" s="275"/>
      <c r="FE409" s="275"/>
      <c r="FF409" s="275"/>
      <c r="FG409" s="275"/>
      <c r="FH409" s="275"/>
      <c r="FI409" s="275"/>
      <c r="FJ409" s="275"/>
      <c r="FK409" s="275"/>
      <c r="FL409" s="275"/>
      <c r="FM409" s="275"/>
      <c r="FN409" s="275"/>
      <c r="FO409" s="275"/>
      <c r="FP409" s="275"/>
      <c r="FQ409" s="275"/>
      <c r="FR409" s="275"/>
      <c r="FS409" s="275"/>
      <c r="FT409" s="275"/>
      <c r="FU409" s="275"/>
      <c r="FV409" s="275"/>
      <c r="FW409" s="275"/>
      <c r="FX409" s="275"/>
      <c r="FY409" s="275"/>
      <c r="FZ409" s="275"/>
      <c r="GA409" s="275"/>
      <c r="GB409" s="275"/>
      <c r="GC409" s="275"/>
      <c r="GD409" s="275"/>
      <c r="GE409" s="275"/>
      <c r="GF409" s="275"/>
      <c r="GG409" s="275"/>
      <c r="GH409" s="275"/>
      <c r="GI409" s="275"/>
      <c r="GJ409" s="275"/>
      <c r="GK409" s="275"/>
      <c r="GL409" s="275"/>
      <c r="GM409" s="275"/>
      <c r="GN409" s="275"/>
      <c r="GO409" s="275"/>
      <c r="GP409" s="275"/>
      <c r="GQ409" s="275"/>
      <c r="GR409" s="275"/>
      <c r="GS409" s="275"/>
      <c r="GT409" s="275"/>
      <c r="GU409" s="275"/>
      <c r="GV409" s="275"/>
      <c r="GW409" s="275"/>
      <c r="GX409" s="275"/>
      <c r="GY409" s="275"/>
      <c r="GZ409" s="275"/>
      <c r="HA409" s="275"/>
      <c r="HB409" s="275"/>
      <c r="HC409" s="275"/>
      <c r="HD409" s="275"/>
      <c r="HE409" s="275"/>
      <c r="HF409" s="275"/>
      <c r="HG409" s="275"/>
      <c r="HH409" s="275"/>
      <c r="HI409" s="275"/>
      <c r="HJ409" s="275"/>
      <c r="HK409" s="275"/>
      <c r="HL409" s="275"/>
      <c r="HM409" s="275"/>
      <c r="HN409" s="275"/>
      <c r="HO409" s="275"/>
      <c r="HP409" s="275"/>
      <c r="HQ409" s="275"/>
      <c r="HR409" s="275"/>
    </row>
    <row r="410" spans="1:226" s="297" customFormat="1">
      <c r="A410" s="275"/>
      <c r="B410" s="21"/>
      <c r="C410" s="21"/>
      <c r="D410" s="21"/>
      <c r="E410" s="21"/>
      <c r="F410" s="275"/>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J410" s="275"/>
      <c r="AK410" s="275"/>
      <c r="AL410" s="275"/>
      <c r="AM410" s="275"/>
      <c r="AN410" s="275"/>
      <c r="AO410" s="275"/>
      <c r="AQ410" s="275"/>
      <c r="AR410" s="275"/>
      <c r="AS410" s="275"/>
      <c r="AT410" s="275"/>
      <c r="AU410" s="275"/>
      <c r="AV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D410" s="275"/>
      <c r="EE410" s="275"/>
      <c r="EF410" s="275"/>
      <c r="EG410" s="275"/>
      <c r="EH410" s="275"/>
      <c r="EI410" s="275"/>
      <c r="EJ410" s="275"/>
      <c r="EK410" s="275"/>
      <c r="EL410" s="275"/>
      <c r="EM410" s="275"/>
      <c r="EN410" s="275"/>
      <c r="EO410" s="275"/>
      <c r="EP410" s="275"/>
      <c r="EQ410" s="275"/>
      <c r="ER410" s="275"/>
      <c r="ES410" s="275"/>
      <c r="ET410" s="275"/>
      <c r="EU410"/>
      <c r="EV410"/>
      <c r="EW410" s="275"/>
      <c r="EX410" s="275"/>
      <c r="EY410" s="275"/>
      <c r="EZ410" s="275"/>
      <c r="FA410" s="275"/>
      <c r="FB410" s="275"/>
      <c r="FC410" s="275"/>
      <c r="FD410" s="275"/>
      <c r="FE410" s="275"/>
      <c r="FF410" s="275"/>
      <c r="FG410" s="275"/>
      <c r="FH410" s="275"/>
      <c r="FI410" s="275"/>
      <c r="FJ410" s="275"/>
      <c r="FK410" s="275"/>
      <c r="FL410" s="275"/>
      <c r="FM410" s="275"/>
      <c r="FN410" s="275"/>
      <c r="FO410" s="275"/>
      <c r="FP410" s="275"/>
      <c r="FQ410" s="275"/>
      <c r="FR410" s="275"/>
      <c r="FS410" s="275"/>
      <c r="FT410" s="275"/>
      <c r="FU410" s="275"/>
      <c r="FV410" s="275"/>
      <c r="FW410" s="275"/>
      <c r="FX410" s="275"/>
      <c r="FY410" s="275"/>
      <c r="FZ410" s="275"/>
      <c r="GA410" s="275"/>
      <c r="GB410" s="275"/>
      <c r="GC410" s="275"/>
      <c r="GD410" s="275"/>
      <c r="GE410" s="275"/>
      <c r="GF410" s="275"/>
      <c r="GG410" s="275"/>
      <c r="GH410" s="275"/>
      <c r="GI410" s="275"/>
      <c r="GJ410" s="275"/>
      <c r="GK410" s="275"/>
      <c r="GL410" s="275"/>
      <c r="GM410" s="275"/>
      <c r="GN410" s="275"/>
      <c r="GO410" s="275"/>
      <c r="GP410" s="275"/>
      <c r="GQ410" s="275"/>
      <c r="GR410" s="275"/>
      <c r="GS410" s="275"/>
      <c r="GT410" s="275"/>
      <c r="GU410" s="275"/>
      <c r="GV410" s="275"/>
      <c r="GW410" s="275"/>
      <c r="GX410" s="275"/>
      <c r="GY410" s="275"/>
      <c r="GZ410" s="275"/>
      <c r="HA410" s="275"/>
      <c r="HB410" s="275"/>
      <c r="HC410" s="275"/>
      <c r="HD410" s="275"/>
      <c r="HE410" s="275"/>
      <c r="HF410" s="275"/>
      <c r="HG410" s="275"/>
      <c r="HH410" s="275"/>
      <c r="HI410" s="275"/>
      <c r="HJ410" s="275"/>
      <c r="HK410" s="275"/>
      <c r="HL410" s="275"/>
      <c r="HM410" s="275"/>
      <c r="HN410" s="275"/>
      <c r="HO410" s="275"/>
      <c r="HP410" s="275"/>
      <c r="HQ410" s="275"/>
      <c r="HR410" s="275"/>
    </row>
    <row r="411" spans="1:226" s="297" customFormat="1">
      <c r="A411" s="275"/>
      <c r="B411" s="21"/>
      <c r="C411" s="21"/>
      <c r="D411" s="21"/>
      <c r="E411" s="21"/>
      <c r="F411" s="275"/>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J411" s="275"/>
      <c r="AK411" s="275"/>
      <c r="AL411" s="275"/>
      <c r="AM411" s="275"/>
      <c r="AN411" s="275"/>
      <c r="AO411" s="275"/>
      <c r="AQ411" s="275"/>
      <c r="AR411" s="275"/>
      <c r="AS411" s="275"/>
      <c r="AT411" s="275"/>
      <c r="AU411" s="275"/>
      <c r="AV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D411" s="275"/>
      <c r="EE411" s="275"/>
      <c r="EF411" s="275"/>
      <c r="EG411" s="275"/>
      <c r="EH411" s="275"/>
      <c r="EI411" s="275"/>
      <c r="EJ411" s="275"/>
      <c r="EK411" s="275"/>
      <c r="EL411" s="275"/>
      <c r="EM411" s="275"/>
      <c r="EN411" s="275"/>
      <c r="EO411" s="275"/>
      <c r="EP411" s="275"/>
      <c r="EQ411" s="275"/>
      <c r="ER411" s="275"/>
      <c r="ES411" s="275"/>
      <c r="ET411" s="275"/>
      <c r="EU411"/>
      <c r="EV411"/>
      <c r="EW411" s="275"/>
      <c r="EX411" s="275"/>
      <c r="EY411" s="275"/>
      <c r="EZ411" s="275"/>
      <c r="FA411" s="275"/>
      <c r="FB411" s="275"/>
      <c r="FC411" s="275"/>
      <c r="FD411" s="275"/>
      <c r="FE411" s="275"/>
      <c r="FF411" s="275"/>
      <c r="FG411" s="275"/>
      <c r="FH411" s="275"/>
      <c r="FI411" s="275"/>
      <c r="FJ411" s="275"/>
      <c r="FK411" s="275"/>
      <c r="FL411" s="275"/>
      <c r="FM411" s="275"/>
      <c r="FN411" s="275"/>
      <c r="FO411" s="275"/>
      <c r="FP411" s="275"/>
      <c r="FQ411" s="275"/>
      <c r="FR411" s="275"/>
      <c r="FS411" s="275"/>
      <c r="FT411" s="275"/>
      <c r="FU411" s="275"/>
      <c r="FV411" s="275"/>
      <c r="FW411" s="275"/>
      <c r="FX411" s="275"/>
      <c r="FY411" s="275"/>
      <c r="FZ411" s="275"/>
      <c r="GA411" s="275"/>
      <c r="GB411" s="275"/>
      <c r="GC411" s="275"/>
      <c r="GD411" s="275"/>
      <c r="GE411" s="275"/>
      <c r="GF411" s="275"/>
      <c r="GG411" s="275"/>
      <c r="GH411" s="275"/>
      <c r="GI411" s="275"/>
      <c r="GJ411" s="275"/>
      <c r="GK411" s="275"/>
      <c r="GL411" s="275"/>
      <c r="GM411" s="275"/>
      <c r="GN411" s="275"/>
      <c r="GO411" s="275"/>
      <c r="GP411" s="275"/>
      <c r="GQ411" s="275"/>
      <c r="GR411" s="275"/>
      <c r="GS411" s="275"/>
      <c r="GT411" s="275"/>
      <c r="GU411" s="275"/>
      <c r="GV411" s="275"/>
      <c r="GW411" s="275"/>
      <c r="GX411" s="275"/>
      <c r="GY411" s="275"/>
      <c r="GZ411" s="275"/>
      <c r="HA411" s="275"/>
      <c r="HB411" s="275"/>
      <c r="HC411" s="275"/>
      <c r="HD411" s="275"/>
      <c r="HE411" s="275"/>
      <c r="HF411" s="275"/>
      <c r="HG411" s="275"/>
      <c r="HH411" s="275"/>
      <c r="HI411" s="275"/>
      <c r="HJ411" s="275"/>
      <c r="HK411" s="275"/>
      <c r="HL411" s="275"/>
      <c r="HM411" s="275"/>
      <c r="HN411" s="275"/>
      <c r="HO411" s="275"/>
      <c r="HP411" s="275"/>
      <c r="HQ411" s="275"/>
      <c r="HR411" s="275"/>
    </row>
    <row r="412" spans="1:226" s="297" customFormat="1">
      <c r="A412" s="275"/>
      <c r="B412" s="21"/>
      <c r="C412" s="21"/>
      <c r="D412" s="21"/>
      <c r="E412" s="21"/>
      <c r="F412" s="275"/>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J412" s="275"/>
      <c r="AK412" s="275"/>
      <c r="AL412" s="275"/>
      <c r="AM412" s="275"/>
      <c r="AN412" s="275"/>
      <c r="AO412" s="275"/>
      <c r="AQ412" s="275"/>
      <c r="AR412" s="275"/>
      <c r="AS412" s="275"/>
      <c r="AT412" s="275"/>
      <c r="AU412" s="275"/>
      <c r="AV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D412" s="275"/>
      <c r="EE412" s="275"/>
      <c r="EF412" s="275"/>
      <c r="EG412" s="275"/>
      <c r="EH412" s="275"/>
      <c r="EI412" s="275"/>
      <c r="EJ412" s="275"/>
      <c r="EK412" s="275"/>
      <c r="EL412" s="275"/>
      <c r="EM412" s="275"/>
      <c r="EN412" s="275"/>
      <c r="EO412" s="275"/>
      <c r="EP412" s="275"/>
      <c r="EQ412" s="275"/>
      <c r="ER412" s="275"/>
      <c r="ES412" s="275"/>
      <c r="ET412" s="275"/>
      <c r="EU412"/>
      <c r="EV412"/>
      <c r="EW412" s="275"/>
      <c r="EX412" s="275"/>
      <c r="EY412" s="275"/>
      <c r="EZ412" s="275"/>
      <c r="FA412" s="275"/>
      <c r="FB412" s="275"/>
      <c r="FC412" s="275"/>
      <c r="FD412" s="275"/>
      <c r="FE412" s="275"/>
      <c r="FF412" s="275"/>
      <c r="FG412" s="275"/>
      <c r="FH412" s="275"/>
      <c r="FI412" s="275"/>
      <c r="FJ412" s="275"/>
      <c r="FK412" s="275"/>
      <c r="FL412" s="275"/>
      <c r="FM412" s="275"/>
      <c r="FN412" s="275"/>
      <c r="FO412" s="275"/>
      <c r="FP412" s="275"/>
      <c r="FQ412" s="275"/>
      <c r="FR412" s="275"/>
      <c r="FS412" s="275"/>
      <c r="FT412" s="275"/>
      <c r="FU412" s="275"/>
      <c r="FV412" s="275"/>
      <c r="FW412" s="275"/>
      <c r="FX412" s="275"/>
      <c r="FY412" s="275"/>
      <c r="FZ412" s="275"/>
      <c r="GA412" s="275"/>
      <c r="GB412" s="275"/>
      <c r="GC412" s="275"/>
      <c r="GD412" s="275"/>
      <c r="GE412" s="275"/>
      <c r="GF412" s="275"/>
      <c r="GG412" s="275"/>
      <c r="GH412" s="275"/>
      <c r="GI412" s="275"/>
      <c r="GJ412" s="275"/>
      <c r="GK412" s="275"/>
      <c r="GL412" s="275"/>
      <c r="GM412" s="275"/>
      <c r="GN412" s="275"/>
      <c r="GO412" s="275"/>
      <c r="GP412" s="275"/>
      <c r="GQ412" s="275"/>
      <c r="GR412" s="275"/>
      <c r="GS412" s="275"/>
      <c r="GT412" s="275"/>
      <c r="GU412" s="275"/>
      <c r="GV412" s="275"/>
      <c r="GW412" s="275"/>
      <c r="GX412" s="275"/>
      <c r="GY412" s="275"/>
      <c r="GZ412" s="275"/>
      <c r="HA412" s="275"/>
      <c r="HB412" s="275"/>
      <c r="HC412" s="275"/>
      <c r="HD412" s="275"/>
      <c r="HE412" s="275"/>
      <c r="HF412" s="275"/>
      <c r="HG412" s="275"/>
      <c r="HH412" s="275"/>
      <c r="HI412" s="275"/>
      <c r="HJ412" s="275"/>
      <c r="HK412" s="275"/>
      <c r="HL412" s="275"/>
      <c r="HM412" s="275"/>
      <c r="HN412" s="275"/>
      <c r="HO412" s="275"/>
      <c r="HP412" s="275"/>
      <c r="HQ412" s="275"/>
      <c r="HR412" s="275"/>
    </row>
    <row r="413" spans="1:226" s="297" customFormat="1">
      <c r="A413" s="275"/>
      <c r="B413" s="21"/>
      <c r="C413" s="21"/>
      <c r="D413" s="21"/>
      <c r="E413" s="21"/>
      <c r="F413" s="275"/>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J413" s="275"/>
      <c r="AK413" s="275"/>
      <c r="AL413" s="275"/>
      <c r="AM413" s="275"/>
      <c r="AN413" s="275"/>
      <c r="AO413" s="275"/>
      <c r="AQ413" s="275"/>
      <c r="AR413" s="275"/>
      <c r="AS413" s="275"/>
      <c r="AT413" s="275"/>
      <c r="AU413" s="275"/>
      <c r="AV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D413" s="275"/>
      <c r="EE413" s="275"/>
      <c r="EF413" s="275"/>
      <c r="EG413" s="275"/>
      <c r="EH413" s="275"/>
      <c r="EI413" s="275"/>
      <c r="EJ413" s="275"/>
      <c r="EK413" s="275"/>
      <c r="EL413" s="275"/>
      <c r="EM413" s="275"/>
      <c r="EN413" s="275"/>
      <c r="EO413" s="275"/>
      <c r="EP413" s="275"/>
      <c r="EQ413" s="275"/>
      <c r="ER413" s="275"/>
      <c r="ES413" s="275"/>
      <c r="ET413" s="275"/>
      <c r="EU413"/>
      <c r="EV413"/>
      <c r="EW413" s="275"/>
      <c r="EX413" s="275"/>
      <c r="EY413" s="275"/>
      <c r="EZ413" s="275"/>
      <c r="FA413" s="275"/>
      <c r="FB413" s="275"/>
      <c r="FC413" s="275"/>
      <c r="FD413" s="275"/>
      <c r="FE413" s="275"/>
      <c r="FF413" s="275"/>
      <c r="FG413" s="275"/>
      <c r="FH413" s="275"/>
      <c r="FI413" s="275"/>
      <c r="FJ413" s="275"/>
      <c r="FK413" s="275"/>
      <c r="FL413" s="275"/>
      <c r="FM413" s="275"/>
      <c r="FN413" s="275"/>
      <c r="FO413" s="275"/>
      <c r="FP413" s="275"/>
      <c r="FQ413" s="275"/>
      <c r="FR413" s="275"/>
      <c r="FS413" s="275"/>
      <c r="FT413" s="275"/>
      <c r="FU413" s="275"/>
      <c r="FV413" s="275"/>
      <c r="FW413" s="275"/>
      <c r="FX413" s="275"/>
      <c r="FY413" s="275"/>
      <c r="FZ413" s="275"/>
      <c r="GA413" s="275"/>
      <c r="GB413" s="275"/>
      <c r="GC413" s="275"/>
      <c r="GD413" s="275"/>
      <c r="GE413" s="275"/>
      <c r="GF413" s="275"/>
      <c r="GG413" s="275"/>
      <c r="GH413" s="275"/>
      <c r="GI413" s="275"/>
      <c r="GJ413" s="275"/>
      <c r="GK413" s="275"/>
      <c r="GL413" s="275"/>
      <c r="GM413" s="275"/>
      <c r="GN413" s="275"/>
      <c r="GO413" s="275"/>
      <c r="GP413" s="275"/>
      <c r="GQ413" s="275"/>
      <c r="GR413" s="275"/>
      <c r="GS413" s="275"/>
      <c r="GT413" s="275"/>
      <c r="GU413" s="275"/>
      <c r="GV413" s="275"/>
      <c r="GW413" s="275"/>
      <c r="GX413" s="275"/>
      <c r="GY413" s="275"/>
      <c r="GZ413" s="275"/>
      <c r="HA413" s="275"/>
      <c r="HB413" s="275"/>
      <c r="HC413" s="275"/>
      <c r="HD413" s="275"/>
      <c r="HE413" s="275"/>
      <c r="HF413" s="275"/>
      <c r="HG413" s="275"/>
      <c r="HH413" s="275"/>
      <c r="HI413" s="275"/>
      <c r="HJ413" s="275"/>
      <c r="HK413" s="275"/>
      <c r="HL413" s="275"/>
      <c r="HM413" s="275"/>
      <c r="HN413" s="275"/>
      <c r="HO413" s="275"/>
      <c r="HP413" s="275"/>
      <c r="HQ413" s="275"/>
      <c r="HR413" s="275"/>
    </row>
    <row r="414" spans="1:226" s="297" customFormat="1">
      <c r="A414" s="275"/>
      <c r="B414" s="21"/>
      <c r="C414" s="21"/>
      <c r="D414" s="21"/>
      <c r="E414" s="21"/>
      <c r="F414" s="275"/>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J414" s="275"/>
      <c r="AK414" s="275"/>
      <c r="AL414" s="275"/>
      <c r="AM414" s="275"/>
      <c r="AN414" s="275"/>
      <c r="AO414" s="275"/>
      <c r="AQ414" s="275"/>
      <c r="AR414" s="275"/>
      <c r="AS414" s="275"/>
      <c r="AT414" s="275"/>
      <c r="AU414" s="275"/>
      <c r="AV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D414" s="275"/>
      <c r="EE414" s="275"/>
      <c r="EF414" s="275"/>
      <c r="EG414" s="275"/>
      <c r="EH414" s="275"/>
      <c r="EI414" s="275"/>
      <c r="EJ414" s="275"/>
      <c r="EK414" s="275"/>
      <c r="EL414" s="275"/>
      <c r="EM414" s="275"/>
      <c r="EN414" s="275"/>
      <c r="EO414" s="275"/>
      <c r="EP414" s="275"/>
      <c r="EQ414" s="275"/>
      <c r="ER414" s="275"/>
      <c r="ES414" s="275"/>
      <c r="ET414" s="275"/>
      <c r="EU414"/>
      <c r="EV414"/>
      <c r="EW414" s="275"/>
      <c r="EX414" s="275"/>
      <c r="EY414" s="275"/>
      <c r="EZ414" s="275"/>
      <c r="FA414" s="275"/>
      <c r="FB414" s="275"/>
      <c r="FC414" s="275"/>
      <c r="FD414" s="275"/>
      <c r="FE414" s="275"/>
      <c r="FF414" s="275"/>
      <c r="FG414" s="275"/>
      <c r="FH414" s="275"/>
      <c r="FI414" s="275"/>
      <c r="FJ414" s="275"/>
      <c r="FK414" s="275"/>
      <c r="FL414" s="275"/>
      <c r="FM414" s="275"/>
      <c r="FN414" s="275"/>
      <c r="FO414" s="275"/>
      <c r="FP414" s="275"/>
      <c r="FQ414" s="275"/>
      <c r="FR414" s="275"/>
      <c r="FS414" s="275"/>
      <c r="FT414" s="275"/>
      <c r="FU414" s="275"/>
      <c r="FV414" s="275"/>
      <c r="FW414" s="275"/>
      <c r="FX414" s="275"/>
      <c r="FY414" s="275"/>
      <c r="FZ414" s="275"/>
      <c r="GA414" s="275"/>
      <c r="GB414" s="275"/>
      <c r="GC414" s="275"/>
      <c r="GD414" s="275"/>
      <c r="GE414" s="275"/>
      <c r="GF414" s="275"/>
      <c r="GG414" s="275"/>
      <c r="GH414" s="275"/>
      <c r="GI414" s="275"/>
      <c r="GJ414" s="275"/>
      <c r="GK414" s="275"/>
      <c r="GL414" s="275"/>
      <c r="GM414" s="275"/>
      <c r="GN414" s="275"/>
      <c r="GO414" s="275"/>
      <c r="GP414" s="275"/>
      <c r="GQ414" s="275"/>
      <c r="GR414" s="275"/>
      <c r="GS414" s="275"/>
      <c r="GT414" s="275"/>
      <c r="GU414" s="275"/>
      <c r="GV414" s="275"/>
      <c r="GW414" s="275"/>
      <c r="GX414" s="275"/>
      <c r="GY414" s="275"/>
      <c r="GZ414" s="275"/>
      <c r="HA414" s="275"/>
      <c r="HB414" s="275"/>
      <c r="HC414" s="275"/>
      <c r="HD414" s="275"/>
      <c r="HE414" s="275"/>
      <c r="HF414" s="275"/>
      <c r="HG414" s="275"/>
      <c r="HH414" s="275"/>
      <c r="HI414" s="275"/>
      <c r="HJ414" s="275"/>
      <c r="HK414" s="275"/>
      <c r="HL414" s="275"/>
      <c r="HM414" s="275"/>
      <c r="HN414" s="275"/>
      <c r="HO414" s="275"/>
      <c r="HP414" s="275"/>
      <c r="HQ414" s="275"/>
      <c r="HR414" s="275"/>
    </row>
    <row r="415" spans="1:226" s="297" customFormat="1">
      <c r="A415" s="275"/>
      <c r="B415" s="21"/>
      <c r="C415" s="21"/>
      <c r="D415" s="21"/>
      <c r="E415" s="21"/>
      <c r="F415" s="275"/>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J415" s="275"/>
      <c r="AK415" s="275"/>
      <c r="AL415" s="275"/>
      <c r="AM415" s="275"/>
      <c r="AN415" s="275"/>
      <c r="AO415" s="275"/>
      <c r="AQ415" s="275"/>
      <c r="AR415" s="275"/>
      <c r="AS415" s="275"/>
      <c r="AT415" s="275"/>
      <c r="AU415" s="275"/>
      <c r="AV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D415" s="275"/>
      <c r="EE415" s="275"/>
      <c r="EF415" s="275"/>
      <c r="EG415" s="275"/>
      <c r="EH415" s="275"/>
      <c r="EI415" s="275"/>
      <c r="EJ415" s="275"/>
      <c r="EK415" s="275"/>
      <c r="EL415" s="275"/>
      <c r="EM415" s="275"/>
      <c r="EN415" s="275"/>
      <c r="EO415" s="275"/>
      <c r="EP415" s="275"/>
      <c r="EQ415" s="275"/>
      <c r="ER415" s="275"/>
      <c r="ES415" s="275"/>
      <c r="ET415" s="275"/>
      <c r="EU415"/>
      <c r="EV415"/>
      <c r="EW415" s="275"/>
      <c r="EX415" s="275"/>
      <c r="EY415" s="275"/>
      <c r="EZ415" s="275"/>
      <c r="FA415" s="275"/>
      <c r="FB415" s="275"/>
      <c r="FC415" s="275"/>
      <c r="FD415" s="275"/>
      <c r="FE415" s="275"/>
      <c r="FF415" s="275"/>
      <c r="FG415" s="275"/>
      <c r="FH415" s="275"/>
      <c r="FI415" s="275"/>
      <c r="FJ415" s="275"/>
      <c r="FK415" s="275"/>
      <c r="FL415" s="275"/>
      <c r="FM415" s="275"/>
      <c r="FN415" s="275"/>
      <c r="FO415" s="275"/>
      <c r="FP415" s="275"/>
      <c r="FQ415" s="275"/>
      <c r="FR415" s="275"/>
      <c r="FS415" s="275"/>
      <c r="FT415" s="275"/>
      <c r="FU415" s="275"/>
      <c r="FV415" s="275"/>
      <c r="FW415" s="275"/>
      <c r="FX415" s="275"/>
      <c r="FY415" s="275"/>
      <c r="FZ415" s="275"/>
      <c r="GA415" s="275"/>
      <c r="GB415" s="275"/>
      <c r="GC415" s="275"/>
      <c r="GD415" s="275"/>
      <c r="GE415" s="275"/>
      <c r="GF415" s="275"/>
      <c r="GG415" s="275"/>
      <c r="GH415" s="275"/>
      <c r="GI415" s="275"/>
      <c r="GJ415" s="275"/>
      <c r="GK415" s="275"/>
      <c r="GL415" s="275"/>
      <c r="GM415" s="275"/>
      <c r="GN415" s="275"/>
      <c r="GO415" s="275"/>
      <c r="GP415" s="275"/>
      <c r="GQ415" s="275"/>
      <c r="GR415" s="275"/>
      <c r="GS415" s="275"/>
      <c r="GT415" s="275"/>
      <c r="GU415" s="275"/>
      <c r="GV415" s="275"/>
      <c r="GW415" s="275"/>
      <c r="GX415" s="275"/>
      <c r="GY415" s="275"/>
      <c r="GZ415" s="275"/>
      <c r="HA415" s="275"/>
      <c r="HB415" s="275"/>
      <c r="HC415" s="275"/>
      <c r="HD415" s="275"/>
      <c r="HE415" s="275"/>
      <c r="HF415" s="275"/>
      <c r="HG415" s="275"/>
      <c r="HH415" s="275"/>
      <c r="HI415" s="275"/>
      <c r="HJ415" s="275"/>
      <c r="HK415" s="275"/>
      <c r="HL415" s="275"/>
      <c r="HM415" s="275"/>
      <c r="HN415" s="275"/>
      <c r="HO415" s="275"/>
      <c r="HP415" s="275"/>
      <c r="HQ415" s="275"/>
      <c r="HR415" s="275"/>
    </row>
    <row r="416" spans="1:226" s="297" customFormat="1">
      <c r="A416" s="275"/>
      <c r="B416" s="21"/>
      <c r="C416" s="21"/>
      <c r="D416" s="21"/>
      <c r="E416" s="21"/>
      <c r="F416" s="275"/>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J416" s="275"/>
      <c r="AK416" s="275"/>
      <c r="AL416" s="275"/>
      <c r="AM416" s="275"/>
      <c r="AN416" s="275"/>
      <c r="AO416" s="275"/>
      <c r="AQ416" s="275"/>
      <c r="AR416" s="275"/>
      <c r="AS416" s="275"/>
      <c r="AT416" s="275"/>
      <c r="AU416" s="275"/>
      <c r="AV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D416" s="275"/>
      <c r="EE416" s="275"/>
      <c r="EF416" s="275"/>
      <c r="EG416" s="275"/>
      <c r="EH416" s="275"/>
      <c r="EI416" s="275"/>
      <c r="EJ416" s="275"/>
      <c r="EK416" s="275"/>
      <c r="EL416" s="275"/>
      <c r="EM416" s="275"/>
      <c r="EN416" s="275"/>
      <c r="EO416" s="275"/>
      <c r="EP416" s="275"/>
      <c r="EQ416" s="275"/>
      <c r="ER416" s="275"/>
      <c r="ES416" s="275"/>
      <c r="ET416" s="275"/>
      <c r="EU416"/>
      <c r="EV416"/>
      <c r="EW416" s="275"/>
      <c r="EX416" s="275"/>
      <c r="EY416" s="275"/>
      <c r="EZ416" s="275"/>
      <c r="FA416" s="275"/>
      <c r="FB416" s="275"/>
      <c r="FC416" s="275"/>
      <c r="FD416" s="275"/>
      <c r="FE416" s="275"/>
      <c r="FF416" s="275"/>
      <c r="FG416" s="275"/>
      <c r="FH416" s="275"/>
      <c r="FI416" s="275"/>
      <c r="FJ416" s="275"/>
      <c r="FK416" s="275"/>
      <c r="FL416" s="275"/>
      <c r="FM416" s="275"/>
      <c r="FN416" s="275"/>
      <c r="FO416" s="275"/>
      <c r="FP416" s="275"/>
      <c r="FQ416" s="275"/>
      <c r="FR416" s="275"/>
      <c r="FS416" s="275"/>
      <c r="FT416" s="275"/>
      <c r="FU416" s="275"/>
      <c r="FV416" s="275"/>
      <c r="FW416" s="275"/>
      <c r="FX416" s="275"/>
      <c r="FY416" s="275"/>
      <c r="FZ416" s="275"/>
      <c r="GA416" s="275"/>
      <c r="GB416" s="275"/>
      <c r="GC416" s="275"/>
      <c r="GD416" s="275"/>
      <c r="GE416" s="275"/>
      <c r="GF416" s="275"/>
      <c r="GG416" s="275"/>
      <c r="GH416" s="275"/>
      <c r="GI416" s="275"/>
      <c r="GJ416" s="275"/>
      <c r="GK416" s="275"/>
      <c r="GL416" s="275"/>
      <c r="GM416" s="275"/>
      <c r="GN416" s="275"/>
      <c r="GO416" s="275"/>
      <c r="GP416" s="275"/>
      <c r="GQ416" s="275"/>
      <c r="GR416" s="275"/>
      <c r="GS416" s="275"/>
      <c r="GT416" s="275"/>
      <c r="GU416" s="275"/>
      <c r="GV416" s="275"/>
      <c r="GW416" s="275"/>
      <c r="GX416" s="275"/>
      <c r="GY416" s="275"/>
      <c r="GZ416" s="275"/>
      <c r="HA416" s="275"/>
      <c r="HB416" s="275"/>
      <c r="HC416" s="275"/>
      <c r="HD416" s="275"/>
      <c r="HE416" s="275"/>
      <c r="HF416" s="275"/>
      <c r="HG416" s="275"/>
      <c r="HH416" s="275"/>
      <c r="HI416" s="275"/>
      <c r="HJ416" s="275"/>
      <c r="HK416" s="275"/>
      <c r="HL416" s="275"/>
      <c r="HM416" s="275"/>
      <c r="HN416" s="275"/>
      <c r="HO416" s="275"/>
      <c r="HP416" s="275"/>
      <c r="HQ416" s="275"/>
      <c r="HR416" s="275"/>
    </row>
    <row r="417" spans="1:226" s="297" customFormat="1">
      <c r="A417" s="275"/>
      <c r="B417" s="21"/>
      <c r="C417" s="21"/>
      <c r="D417" s="21"/>
      <c r="E417" s="21"/>
      <c r="F417" s="275"/>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J417" s="275"/>
      <c r="AK417" s="275"/>
      <c r="AL417" s="275"/>
      <c r="AM417" s="275"/>
      <c r="AN417" s="275"/>
      <c r="AO417" s="275"/>
      <c r="AQ417" s="275"/>
      <c r="AR417" s="275"/>
      <c r="AS417" s="275"/>
      <c r="AT417" s="275"/>
      <c r="AU417" s="275"/>
      <c r="AV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D417" s="275"/>
      <c r="EE417" s="275"/>
      <c r="EF417" s="275"/>
      <c r="EG417" s="275"/>
      <c r="EH417" s="275"/>
      <c r="EI417" s="275"/>
      <c r="EJ417" s="275"/>
      <c r="EK417" s="275"/>
      <c r="EL417" s="275"/>
      <c r="EM417" s="275"/>
      <c r="EN417" s="275"/>
      <c r="EO417" s="275"/>
      <c r="EP417" s="275"/>
      <c r="EQ417" s="275"/>
      <c r="ER417" s="275"/>
      <c r="ES417" s="275"/>
      <c r="ET417" s="275"/>
      <c r="EU417"/>
      <c r="EV417"/>
      <c r="EW417" s="275"/>
      <c r="EX417" s="275"/>
      <c r="EY417" s="275"/>
      <c r="EZ417" s="275"/>
      <c r="FA417" s="275"/>
      <c r="FB417" s="275"/>
      <c r="FC417" s="275"/>
      <c r="FD417" s="275"/>
      <c r="FE417" s="275"/>
      <c r="FF417" s="275"/>
      <c r="FG417" s="275"/>
      <c r="FH417" s="275"/>
      <c r="FI417" s="275"/>
      <c r="FJ417" s="275"/>
      <c r="FK417" s="275"/>
      <c r="FL417" s="275"/>
      <c r="FM417" s="275"/>
      <c r="FN417" s="275"/>
      <c r="FO417" s="275"/>
      <c r="FP417" s="275"/>
      <c r="FQ417" s="275"/>
      <c r="FR417" s="275"/>
      <c r="FS417" s="275"/>
      <c r="FT417" s="275"/>
      <c r="FU417" s="275"/>
      <c r="FV417" s="275"/>
      <c r="FW417" s="275"/>
      <c r="FX417" s="275"/>
      <c r="FY417" s="275"/>
      <c r="FZ417" s="275"/>
      <c r="GA417" s="275"/>
      <c r="GB417" s="275"/>
      <c r="GC417" s="275"/>
      <c r="GD417" s="275"/>
      <c r="GE417" s="275"/>
      <c r="GF417" s="275"/>
      <c r="GG417" s="275"/>
      <c r="GH417" s="275"/>
      <c r="GI417" s="275"/>
      <c r="GJ417" s="275"/>
      <c r="GK417" s="275"/>
      <c r="GL417" s="275"/>
      <c r="GM417" s="275"/>
      <c r="GN417" s="275"/>
      <c r="GO417" s="275"/>
      <c r="GP417" s="275"/>
      <c r="GQ417" s="275"/>
      <c r="GR417" s="275"/>
      <c r="GS417" s="275"/>
      <c r="GT417" s="275"/>
      <c r="GU417" s="275"/>
      <c r="GV417" s="275"/>
      <c r="GW417" s="275"/>
      <c r="GX417" s="275"/>
      <c r="GY417" s="275"/>
      <c r="GZ417" s="275"/>
      <c r="HA417" s="275"/>
      <c r="HB417" s="275"/>
      <c r="HC417" s="275"/>
      <c r="HD417" s="275"/>
      <c r="HE417" s="275"/>
      <c r="HF417" s="275"/>
      <c r="HG417" s="275"/>
      <c r="HH417" s="275"/>
      <c r="HI417" s="275"/>
      <c r="HJ417" s="275"/>
      <c r="HK417" s="275"/>
      <c r="HL417" s="275"/>
      <c r="HM417" s="275"/>
      <c r="HN417" s="275"/>
      <c r="HO417" s="275"/>
      <c r="HP417" s="275"/>
      <c r="HQ417" s="275"/>
      <c r="HR417" s="275"/>
    </row>
    <row r="418" spans="1:226" s="297" customFormat="1">
      <c r="A418" s="275"/>
      <c r="B418" s="21"/>
      <c r="C418" s="21"/>
      <c r="D418" s="21"/>
      <c r="E418" s="21"/>
      <c r="F418" s="275"/>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J418" s="275"/>
      <c r="AK418" s="275"/>
      <c r="AL418" s="275"/>
      <c r="AM418" s="275"/>
      <c r="AN418" s="275"/>
      <c r="AO418" s="275"/>
      <c r="AQ418" s="275"/>
      <c r="AR418" s="275"/>
      <c r="AS418" s="275"/>
      <c r="AT418" s="275"/>
      <c r="AU418" s="275"/>
      <c r="AV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D418" s="275"/>
      <c r="EE418" s="275"/>
      <c r="EF418" s="275"/>
      <c r="EG418" s="275"/>
      <c r="EH418" s="275"/>
      <c r="EI418" s="275"/>
      <c r="EJ418" s="275"/>
      <c r="EK418" s="275"/>
      <c r="EL418" s="275"/>
      <c r="EM418" s="275"/>
      <c r="EN418" s="275"/>
      <c r="EO418" s="275"/>
      <c r="EP418" s="275"/>
      <c r="EQ418" s="275"/>
      <c r="ER418" s="275"/>
      <c r="ES418" s="275"/>
      <c r="ET418" s="275"/>
      <c r="EU418"/>
      <c r="EV418"/>
      <c r="EW418" s="275"/>
      <c r="EX418" s="275"/>
      <c r="EY418" s="275"/>
      <c r="EZ418" s="275"/>
      <c r="FA418" s="275"/>
      <c r="FB418" s="275"/>
      <c r="FC418" s="275"/>
      <c r="FD418" s="275"/>
      <c r="FE418" s="275"/>
      <c r="FF418" s="275"/>
      <c r="FG418" s="275"/>
      <c r="FH418" s="275"/>
      <c r="FI418" s="275"/>
      <c r="FJ418" s="275"/>
      <c r="FK418" s="275"/>
      <c r="FL418" s="275"/>
      <c r="FM418" s="275"/>
      <c r="FN418" s="275"/>
      <c r="FO418" s="275"/>
      <c r="FP418" s="275"/>
      <c r="FQ418" s="275"/>
      <c r="FR418" s="275"/>
      <c r="FS418" s="275"/>
      <c r="FT418" s="275"/>
      <c r="FU418" s="275"/>
      <c r="FV418" s="275"/>
      <c r="FW418" s="275"/>
      <c r="FX418" s="275"/>
      <c r="FY418" s="275"/>
      <c r="FZ418" s="275"/>
      <c r="GA418" s="275"/>
      <c r="GB418" s="275"/>
      <c r="GC418" s="275"/>
      <c r="GD418" s="275"/>
      <c r="GE418" s="275"/>
      <c r="GF418" s="275"/>
      <c r="GG418" s="275"/>
      <c r="GH418" s="275"/>
      <c r="GI418" s="275"/>
      <c r="GJ418" s="275"/>
      <c r="GK418" s="275"/>
      <c r="GL418" s="275"/>
      <c r="GM418" s="275"/>
      <c r="GN418" s="275"/>
      <c r="GO418" s="275"/>
      <c r="GP418" s="275"/>
      <c r="GQ418" s="275"/>
      <c r="GR418" s="275"/>
      <c r="GS418" s="275"/>
      <c r="GT418" s="275"/>
      <c r="GU418" s="275"/>
      <c r="GV418" s="275"/>
      <c r="GW418" s="275"/>
      <c r="GX418" s="275"/>
      <c r="GY418" s="275"/>
      <c r="GZ418" s="275"/>
      <c r="HA418" s="275"/>
      <c r="HB418" s="275"/>
      <c r="HC418" s="275"/>
      <c r="HD418" s="275"/>
      <c r="HE418" s="275"/>
      <c r="HF418" s="275"/>
      <c r="HG418" s="275"/>
      <c r="HH418" s="275"/>
      <c r="HI418" s="275"/>
      <c r="HJ418" s="275"/>
      <c r="HK418" s="275"/>
      <c r="HL418" s="275"/>
      <c r="HM418" s="275"/>
      <c r="HN418" s="275"/>
      <c r="HO418" s="275"/>
      <c r="HP418" s="275"/>
      <c r="HQ418" s="275"/>
      <c r="HR418" s="275"/>
    </row>
    <row r="419" spans="1:226" s="297" customFormat="1">
      <c r="A419" s="275"/>
      <c r="B419" s="21"/>
      <c r="C419" s="21"/>
      <c r="D419" s="21"/>
      <c r="E419" s="21"/>
      <c r="F419" s="275"/>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J419" s="275"/>
      <c r="AK419" s="275"/>
      <c r="AL419" s="275"/>
      <c r="AM419" s="275"/>
      <c r="AN419" s="275"/>
      <c r="AO419" s="275"/>
      <c r="AQ419" s="275"/>
      <c r="AR419" s="275"/>
      <c r="AS419" s="275"/>
      <c r="AT419" s="275"/>
      <c r="AU419" s="275"/>
      <c r="AV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D419" s="275"/>
      <c r="EE419" s="275"/>
      <c r="EF419" s="275"/>
      <c r="EG419" s="275"/>
      <c r="EH419" s="275"/>
      <c r="EI419" s="275"/>
      <c r="EJ419" s="275"/>
      <c r="EK419" s="275"/>
      <c r="EL419" s="275"/>
      <c r="EM419" s="275"/>
      <c r="EN419" s="275"/>
      <c r="EO419" s="275"/>
      <c r="EP419" s="275"/>
      <c r="EQ419" s="275"/>
      <c r="ER419" s="275"/>
      <c r="ES419" s="275"/>
      <c r="ET419" s="275"/>
      <c r="EU419"/>
      <c r="EV419"/>
      <c r="EW419" s="275"/>
      <c r="EX419" s="275"/>
      <c r="EY419" s="275"/>
      <c r="EZ419" s="275"/>
      <c r="FA419" s="275"/>
      <c r="FB419" s="275"/>
      <c r="FC419" s="275"/>
      <c r="FD419" s="275"/>
      <c r="FE419" s="275"/>
      <c r="FF419" s="275"/>
      <c r="FG419" s="275"/>
      <c r="FH419" s="275"/>
      <c r="FI419" s="275"/>
      <c r="FJ419" s="275"/>
      <c r="FK419" s="275"/>
      <c r="FL419" s="275"/>
      <c r="FM419" s="275"/>
      <c r="FN419" s="275"/>
      <c r="FO419" s="275"/>
      <c r="FP419" s="275"/>
      <c r="FQ419" s="275"/>
      <c r="FR419" s="275"/>
      <c r="FS419" s="275"/>
      <c r="FT419" s="275"/>
      <c r="FU419" s="275"/>
      <c r="FV419" s="275"/>
      <c r="FW419" s="275"/>
      <c r="FX419" s="275"/>
      <c r="FY419" s="275"/>
      <c r="FZ419" s="275"/>
      <c r="GA419" s="275"/>
      <c r="GB419" s="275"/>
      <c r="GC419" s="275"/>
      <c r="GD419" s="275"/>
      <c r="GE419" s="275"/>
      <c r="GF419" s="275"/>
      <c r="GG419" s="275"/>
      <c r="GH419" s="275"/>
      <c r="GI419" s="275"/>
      <c r="GJ419" s="275"/>
      <c r="GK419" s="275"/>
      <c r="GL419" s="275"/>
      <c r="GM419" s="275"/>
      <c r="GN419" s="275"/>
      <c r="GO419" s="275"/>
      <c r="GP419" s="275"/>
      <c r="GQ419" s="275"/>
      <c r="GR419" s="275"/>
      <c r="GS419" s="275"/>
      <c r="GT419" s="275"/>
      <c r="GU419" s="275"/>
      <c r="GV419" s="275"/>
      <c r="GW419" s="275"/>
      <c r="GX419" s="275"/>
      <c r="GY419" s="275"/>
      <c r="GZ419" s="275"/>
      <c r="HA419" s="275"/>
      <c r="HB419" s="275"/>
      <c r="HC419" s="275"/>
      <c r="HD419" s="275"/>
      <c r="HE419" s="275"/>
      <c r="HF419" s="275"/>
      <c r="HG419" s="275"/>
      <c r="HH419" s="275"/>
      <c r="HI419" s="275"/>
      <c r="HJ419" s="275"/>
      <c r="HK419" s="275"/>
      <c r="HL419" s="275"/>
      <c r="HM419" s="275"/>
      <c r="HN419" s="275"/>
      <c r="HO419" s="275"/>
      <c r="HP419" s="275"/>
      <c r="HQ419" s="275"/>
      <c r="HR419" s="275"/>
    </row>
    <row r="420" spans="1:226" s="297" customFormat="1">
      <c r="A420" s="275"/>
      <c r="B420" s="21"/>
      <c r="C420" s="21"/>
      <c r="D420" s="21"/>
      <c r="E420" s="21"/>
      <c r="F420" s="275"/>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J420" s="275"/>
      <c r="AK420" s="275"/>
      <c r="AL420" s="275"/>
      <c r="AM420" s="275"/>
      <c r="AN420" s="275"/>
      <c r="AO420" s="275"/>
      <c r="AQ420" s="275"/>
      <c r="AR420" s="275"/>
      <c r="AS420" s="275"/>
      <c r="AT420" s="275"/>
      <c r="AU420" s="275"/>
      <c r="AV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D420" s="275"/>
      <c r="EE420" s="275"/>
      <c r="EF420" s="275"/>
      <c r="EG420" s="275"/>
      <c r="EH420" s="275"/>
      <c r="EI420" s="275"/>
      <c r="EJ420" s="275"/>
      <c r="EK420" s="275"/>
      <c r="EL420" s="275"/>
      <c r="EM420" s="275"/>
      <c r="EN420" s="275"/>
      <c r="EO420" s="275"/>
      <c r="EP420" s="275"/>
      <c r="EQ420" s="275"/>
      <c r="ER420" s="275"/>
      <c r="ES420" s="275"/>
      <c r="ET420" s="275"/>
      <c r="EU420"/>
      <c r="EV420"/>
      <c r="EW420" s="275"/>
      <c r="EX420" s="275"/>
      <c r="EY420" s="275"/>
      <c r="EZ420" s="275"/>
      <c r="FA420" s="275"/>
      <c r="FB420" s="275"/>
      <c r="FC420" s="275"/>
      <c r="FD420" s="275"/>
      <c r="FE420" s="275"/>
      <c r="FF420" s="275"/>
      <c r="FG420" s="275"/>
      <c r="FH420" s="275"/>
      <c r="FI420" s="275"/>
      <c r="FJ420" s="275"/>
      <c r="FK420" s="275"/>
      <c r="FL420" s="275"/>
      <c r="FM420" s="275"/>
      <c r="FN420" s="275"/>
      <c r="FO420" s="275"/>
      <c r="FP420" s="275"/>
      <c r="FQ420" s="275"/>
      <c r="FR420" s="275"/>
      <c r="FS420" s="275"/>
      <c r="FT420" s="275"/>
      <c r="FU420" s="275"/>
      <c r="FV420" s="275"/>
      <c r="FW420" s="275"/>
      <c r="FX420" s="275"/>
      <c r="FY420" s="275"/>
      <c r="FZ420" s="275"/>
      <c r="GA420" s="275"/>
      <c r="GB420" s="275"/>
      <c r="GC420" s="275"/>
      <c r="GD420" s="275"/>
      <c r="GE420" s="275"/>
      <c r="GF420" s="275"/>
      <c r="GG420" s="275"/>
      <c r="GH420" s="275"/>
      <c r="GI420" s="275"/>
      <c r="GJ420" s="275"/>
      <c r="GK420" s="275"/>
      <c r="GL420" s="275"/>
      <c r="GM420" s="275"/>
      <c r="GN420" s="275"/>
      <c r="GO420" s="275"/>
      <c r="GP420" s="275"/>
      <c r="GQ420" s="275"/>
      <c r="GR420" s="275"/>
      <c r="GS420" s="275"/>
      <c r="GT420" s="275"/>
      <c r="GU420" s="275"/>
      <c r="GV420" s="275"/>
      <c r="GW420" s="275"/>
      <c r="GX420" s="275"/>
      <c r="GY420" s="275"/>
      <c r="GZ420" s="275"/>
      <c r="HA420" s="275"/>
      <c r="HB420" s="275"/>
      <c r="HC420" s="275"/>
      <c r="HD420" s="275"/>
      <c r="HE420" s="275"/>
      <c r="HF420" s="275"/>
      <c r="HG420" s="275"/>
      <c r="HH420" s="275"/>
      <c r="HI420" s="275"/>
      <c r="HJ420" s="275"/>
      <c r="HK420" s="275"/>
      <c r="HL420" s="275"/>
      <c r="HM420" s="275"/>
      <c r="HN420" s="275"/>
      <c r="HO420" s="275"/>
      <c r="HP420" s="275"/>
      <c r="HQ420" s="275"/>
      <c r="HR420" s="275"/>
    </row>
    <row r="421" spans="1:226" s="297" customFormat="1">
      <c r="A421" s="275"/>
      <c r="B421" s="21"/>
      <c r="C421" s="21"/>
      <c r="D421" s="21"/>
      <c r="E421" s="21"/>
      <c r="F421" s="275"/>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J421" s="275"/>
      <c r="AK421" s="275"/>
      <c r="AL421" s="275"/>
      <c r="AM421" s="275"/>
      <c r="AN421" s="275"/>
      <c r="AO421" s="275"/>
      <c r="AQ421" s="275"/>
      <c r="AR421" s="275"/>
      <c r="AS421" s="275"/>
      <c r="AT421" s="275"/>
      <c r="AU421" s="275"/>
      <c r="AV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D421" s="275"/>
      <c r="EE421" s="275"/>
      <c r="EF421" s="275"/>
      <c r="EG421" s="275"/>
      <c r="EH421" s="275"/>
      <c r="EI421" s="275"/>
      <c r="EJ421" s="275"/>
      <c r="EK421" s="275"/>
      <c r="EL421" s="275"/>
      <c r="EM421" s="275"/>
      <c r="EN421" s="275"/>
      <c r="EO421" s="275"/>
      <c r="EP421" s="275"/>
      <c r="EQ421" s="275"/>
      <c r="ER421" s="275"/>
      <c r="ES421" s="275"/>
      <c r="ET421" s="275"/>
      <c r="EU421"/>
      <c r="EV421"/>
      <c r="EW421" s="275"/>
      <c r="EX421" s="275"/>
      <c r="EY421" s="275"/>
      <c r="EZ421" s="275"/>
      <c r="FA421" s="275"/>
      <c r="FB421" s="275"/>
      <c r="FC421" s="275"/>
      <c r="FD421" s="275"/>
      <c r="FE421" s="275"/>
      <c r="FF421" s="275"/>
      <c r="FG421" s="275"/>
      <c r="FH421" s="275"/>
      <c r="FI421" s="275"/>
      <c r="FJ421" s="275"/>
      <c r="FK421" s="275"/>
      <c r="FL421" s="275"/>
      <c r="FM421" s="275"/>
      <c r="FN421" s="275"/>
      <c r="FO421" s="275"/>
      <c r="FP421" s="275"/>
      <c r="FQ421" s="275"/>
      <c r="FR421" s="275"/>
      <c r="FS421" s="275"/>
      <c r="FT421" s="275"/>
      <c r="FU421" s="275"/>
      <c r="FV421" s="275"/>
      <c r="FW421" s="275"/>
      <c r="FX421" s="275"/>
      <c r="FY421" s="275"/>
      <c r="FZ421" s="275"/>
      <c r="GA421" s="275"/>
      <c r="GB421" s="275"/>
      <c r="GC421" s="275"/>
      <c r="GD421" s="275"/>
      <c r="GE421" s="275"/>
      <c r="GF421" s="275"/>
      <c r="GG421" s="275"/>
      <c r="GH421" s="275"/>
      <c r="GI421" s="275"/>
      <c r="GJ421" s="275"/>
      <c r="GK421" s="275"/>
      <c r="GL421" s="275"/>
      <c r="GM421" s="275"/>
      <c r="GN421" s="275"/>
      <c r="GO421" s="275"/>
      <c r="GP421" s="275"/>
      <c r="GQ421" s="275"/>
      <c r="GR421" s="275"/>
      <c r="GS421" s="275"/>
      <c r="GT421" s="275"/>
      <c r="GU421" s="275"/>
      <c r="GV421" s="275"/>
      <c r="GW421" s="275"/>
      <c r="GX421" s="275"/>
      <c r="GY421" s="275"/>
      <c r="GZ421" s="275"/>
      <c r="HA421" s="275"/>
      <c r="HB421" s="275"/>
      <c r="HC421" s="275"/>
      <c r="HD421" s="275"/>
      <c r="HE421" s="275"/>
      <c r="HF421" s="275"/>
      <c r="HG421" s="275"/>
      <c r="HH421" s="275"/>
      <c r="HI421" s="275"/>
      <c r="HJ421" s="275"/>
      <c r="HK421" s="275"/>
      <c r="HL421" s="275"/>
      <c r="HM421" s="275"/>
      <c r="HN421" s="275"/>
      <c r="HO421" s="275"/>
      <c r="HP421" s="275"/>
      <c r="HQ421" s="275"/>
      <c r="HR421" s="275"/>
    </row>
    <row r="422" spans="1:226" s="297" customFormat="1">
      <c r="A422" s="275"/>
      <c r="B422" s="21"/>
      <c r="C422" s="21"/>
      <c r="D422" s="21"/>
      <c r="E422" s="21"/>
      <c r="F422" s="275"/>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J422" s="275"/>
      <c r="AK422" s="275"/>
      <c r="AL422" s="275"/>
      <c r="AM422" s="275"/>
      <c r="AN422" s="275"/>
      <c r="AO422" s="275"/>
      <c r="AQ422" s="275"/>
      <c r="AR422" s="275"/>
      <c r="AS422" s="275"/>
      <c r="AT422" s="275"/>
      <c r="AU422" s="275"/>
      <c r="AV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D422" s="275"/>
      <c r="EE422" s="275"/>
      <c r="EF422" s="275"/>
      <c r="EG422" s="275"/>
      <c r="EH422" s="275"/>
      <c r="EI422" s="275"/>
      <c r="EJ422" s="275"/>
      <c r="EK422" s="275"/>
      <c r="EL422" s="275"/>
      <c r="EM422" s="275"/>
      <c r="EN422" s="275"/>
      <c r="EO422" s="275"/>
      <c r="EP422" s="275"/>
      <c r="EQ422" s="275"/>
      <c r="ER422" s="275"/>
      <c r="ES422" s="275"/>
      <c r="ET422" s="275"/>
      <c r="EU422"/>
      <c r="EV422"/>
      <c r="EW422" s="275"/>
      <c r="EX422" s="275"/>
      <c r="EY422" s="275"/>
      <c r="EZ422" s="275"/>
      <c r="FA422" s="275"/>
      <c r="FB422" s="275"/>
      <c r="FC422" s="275"/>
      <c r="FD422" s="275"/>
      <c r="FE422" s="275"/>
      <c r="FF422" s="275"/>
      <c r="FG422" s="275"/>
      <c r="FH422" s="275"/>
      <c r="FI422" s="275"/>
      <c r="FJ422" s="275"/>
      <c r="FK422" s="275"/>
      <c r="FL422" s="275"/>
      <c r="FM422" s="275"/>
      <c r="FN422" s="275"/>
      <c r="FO422" s="275"/>
      <c r="FP422" s="275"/>
      <c r="FQ422" s="275"/>
      <c r="FR422" s="275"/>
      <c r="FS422" s="275"/>
      <c r="FT422" s="275"/>
      <c r="FU422" s="275"/>
      <c r="FV422" s="275"/>
      <c r="FW422" s="275"/>
      <c r="FX422" s="275"/>
      <c r="FY422" s="275"/>
      <c r="FZ422" s="275"/>
      <c r="GA422" s="275"/>
      <c r="GB422" s="275"/>
      <c r="GC422" s="275"/>
      <c r="GD422" s="275"/>
      <c r="GE422" s="275"/>
      <c r="GF422" s="275"/>
      <c r="GG422" s="275"/>
      <c r="GH422" s="275"/>
      <c r="GI422" s="275"/>
      <c r="GJ422" s="275"/>
      <c r="GK422" s="275"/>
      <c r="GL422" s="275"/>
      <c r="GM422" s="275"/>
      <c r="GN422" s="275"/>
      <c r="GO422" s="275"/>
      <c r="GP422" s="275"/>
      <c r="GQ422" s="275"/>
      <c r="GR422" s="275"/>
      <c r="GS422" s="275"/>
      <c r="GT422" s="275"/>
      <c r="GU422" s="275"/>
      <c r="GV422" s="275"/>
      <c r="GW422" s="275"/>
      <c r="GX422" s="275"/>
      <c r="GY422" s="275"/>
      <c r="GZ422" s="275"/>
      <c r="HA422" s="275"/>
      <c r="HB422" s="275"/>
      <c r="HC422" s="275"/>
      <c r="HD422" s="275"/>
      <c r="HE422" s="275"/>
      <c r="HF422" s="275"/>
      <c r="HG422" s="275"/>
      <c r="HH422" s="275"/>
      <c r="HI422" s="275"/>
      <c r="HJ422" s="275"/>
      <c r="HK422" s="275"/>
      <c r="HL422" s="275"/>
      <c r="HM422" s="275"/>
      <c r="HN422" s="275"/>
      <c r="HO422" s="275"/>
      <c r="HP422" s="275"/>
      <c r="HQ422" s="275"/>
      <c r="HR422" s="275"/>
    </row>
    <row r="423" spans="1:226" s="297" customFormat="1">
      <c r="A423" s="275"/>
      <c r="B423" s="21"/>
      <c r="C423" s="21"/>
      <c r="D423" s="21"/>
      <c r="E423" s="21"/>
      <c r="F423" s="275"/>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J423" s="275"/>
      <c r="AK423" s="275"/>
      <c r="AL423" s="275"/>
      <c r="AM423" s="275"/>
      <c r="AN423" s="275"/>
      <c r="AO423" s="275"/>
      <c r="AQ423" s="275"/>
      <c r="AR423" s="275"/>
      <c r="AS423" s="275"/>
      <c r="AT423" s="275"/>
      <c r="AU423" s="275"/>
      <c r="AV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D423" s="275"/>
      <c r="EE423" s="275"/>
      <c r="EF423" s="275"/>
      <c r="EG423" s="275"/>
      <c r="EH423" s="275"/>
      <c r="EI423" s="275"/>
      <c r="EJ423" s="275"/>
      <c r="EK423" s="275"/>
      <c r="EL423" s="275"/>
      <c r="EM423" s="275"/>
      <c r="EN423" s="275"/>
      <c r="EO423" s="275"/>
      <c r="EP423" s="275"/>
      <c r="EQ423" s="275"/>
      <c r="ER423" s="275"/>
      <c r="ES423" s="275"/>
      <c r="ET423" s="275"/>
      <c r="EU423"/>
      <c r="EV423"/>
      <c r="EW423" s="275"/>
      <c r="EX423" s="275"/>
      <c r="EY423" s="275"/>
      <c r="EZ423" s="275"/>
      <c r="FA423" s="275"/>
      <c r="FB423" s="275"/>
      <c r="FC423" s="275"/>
      <c r="FD423" s="275"/>
      <c r="FE423" s="275"/>
      <c r="FF423" s="275"/>
      <c r="FG423" s="275"/>
      <c r="FH423" s="275"/>
      <c r="FI423" s="275"/>
      <c r="FJ423" s="275"/>
      <c r="FK423" s="275"/>
      <c r="FL423" s="275"/>
      <c r="FM423" s="275"/>
      <c r="FN423" s="275"/>
      <c r="FO423" s="275"/>
      <c r="FP423" s="275"/>
      <c r="FQ423" s="275"/>
      <c r="FR423" s="275"/>
      <c r="FS423" s="275"/>
      <c r="FT423" s="275"/>
      <c r="FU423" s="275"/>
      <c r="FV423" s="275"/>
      <c r="FW423" s="275"/>
      <c r="FX423" s="275"/>
      <c r="FY423" s="275"/>
      <c r="FZ423" s="275"/>
      <c r="GA423" s="275"/>
      <c r="GB423" s="275"/>
      <c r="GC423" s="275"/>
      <c r="GD423" s="275"/>
      <c r="GE423" s="275"/>
      <c r="GF423" s="275"/>
      <c r="GG423" s="275"/>
      <c r="GH423" s="275"/>
      <c r="GI423" s="275"/>
      <c r="GJ423" s="275"/>
      <c r="GK423" s="275"/>
      <c r="GL423" s="275"/>
      <c r="GM423" s="275"/>
      <c r="GN423" s="275"/>
      <c r="GO423" s="275"/>
      <c r="GP423" s="275"/>
      <c r="GQ423" s="275"/>
      <c r="GR423" s="275"/>
      <c r="GS423" s="275"/>
      <c r="GT423" s="275"/>
      <c r="GU423" s="275"/>
      <c r="GV423" s="275"/>
      <c r="GW423" s="275"/>
      <c r="GX423" s="275"/>
      <c r="GY423" s="275"/>
      <c r="GZ423" s="275"/>
      <c r="HA423" s="275"/>
      <c r="HB423" s="275"/>
      <c r="HC423" s="275"/>
      <c r="HD423" s="275"/>
      <c r="HE423" s="275"/>
      <c r="HF423" s="275"/>
      <c r="HG423" s="275"/>
      <c r="HH423" s="275"/>
      <c r="HI423" s="275"/>
      <c r="HJ423" s="275"/>
      <c r="HK423" s="275"/>
      <c r="HL423" s="275"/>
      <c r="HM423" s="275"/>
      <c r="HN423" s="275"/>
      <c r="HO423" s="275"/>
      <c r="HP423" s="275"/>
      <c r="HQ423" s="275"/>
      <c r="HR423" s="275"/>
    </row>
    <row r="424" spans="1:226" s="297" customFormat="1">
      <c r="A424" s="275"/>
      <c r="B424" s="21"/>
      <c r="C424" s="21"/>
      <c r="D424" s="21"/>
      <c r="E424" s="21"/>
      <c r="F424" s="275"/>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J424" s="275"/>
      <c r="AK424" s="275"/>
      <c r="AL424" s="275"/>
      <c r="AM424" s="275"/>
      <c r="AN424" s="275"/>
      <c r="AO424" s="275"/>
      <c r="AQ424" s="275"/>
      <c r="AR424" s="275"/>
      <c r="AS424" s="275"/>
      <c r="AT424" s="275"/>
      <c r="AU424" s="275"/>
      <c r="AV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D424" s="275"/>
      <c r="EE424" s="275"/>
      <c r="EF424" s="275"/>
      <c r="EG424" s="275"/>
      <c r="EH424" s="275"/>
      <c r="EI424" s="275"/>
      <c r="EJ424" s="275"/>
      <c r="EK424" s="275"/>
      <c r="EL424" s="275"/>
      <c r="EM424" s="275"/>
      <c r="EN424" s="275"/>
      <c r="EO424" s="275"/>
      <c r="EP424" s="275"/>
      <c r="EQ424" s="275"/>
      <c r="ER424" s="275"/>
      <c r="ES424" s="275"/>
      <c r="ET424" s="275"/>
      <c r="EU424"/>
      <c r="EV424"/>
      <c r="EW424" s="275"/>
      <c r="EX424" s="275"/>
      <c r="EY424" s="275"/>
      <c r="EZ424" s="275"/>
      <c r="FA424" s="275"/>
      <c r="FB424" s="275"/>
      <c r="FC424" s="275"/>
      <c r="FD424" s="275"/>
      <c r="FE424" s="275"/>
      <c r="FF424" s="275"/>
      <c r="FG424" s="275"/>
      <c r="FH424" s="275"/>
      <c r="FI424" s="275"/>
      <c r="FJ424" s="275"/>
      <c r="FK424" s="275"/>
      <c r="FL424" s="275"/>
      <c r="FM424" s="275"/>
      <c r="FN424" s="275"/>
      <c r="FO424" s="275"/>
      <c r="FP424" s="275"/>
      <c r="FQ424" s="275"/>
      <c r="FR424" s="275"/>
      <c r="FS424" s="275"/>
      <c r="FT424" s="275"/>
      <c r="FU424" s="275"/>
      <c r="FV424" s="275"/>
      <c r="FW424" s="275"/>
      <c r="FX424" s="275"/>
      <c r="FY424" s="275"/>
      <c r="FZ424" s="275"/>
      <c r="GA424" s="275"/>
      <c r="GB424" s="275"/>
      <c r="GC424" s="275"/>
      <c r="GD424" s="275"/>
      <c r="GE424" s="275"/>
      <c r="GF424" s="275"/>
      <c r="GG424" s="275"/>
      <c r="GH424" s="275"/>
      <c r="GI424" s="275"/>
      <c r="GJ424" s="275"/>
      <c r="GK424" s="275"/>
      <c r="GL424" s="275"/>
      <c r="GM424" s="275"/>
      <c r="GN424" s="275"/>
      <c r="GO424" s="275"/>
      <c r="GP424" s="275"/>
      <c r="GQ424" s="275"/>
      <c r="GR424" s="275"/>
      <c r="GS424" s="275"/>
      <c r="GT424" s="275"/>
      <c r="GU424" s="275"/>
      <c r="GV424" s="275"/>
      <c r="GW424" s="275"/>
      <c r="GX424" s="275"/>
      <c r="GY424" s="275"/>
      <c r="GZ424" s="275"/>
      <c r="HA424" s="275"/>
      <c r="HB424" s="275"/>
      <c r="HC424" s="275"/>
      <c r="HD424" s="275"/>
      <c r="HE424" s="275"/>
      <c r="HF424" s="275"/>
      <c r="HG424" s="275"/>
      <c r="HH424" s="275"/>
      <c r="HI424" s="275"/>
      <c r="HJ424" s="275"/>
      <c r="HK424" s="275"/>
      <c r="HL424" s="275"/>
      <c r="HM424" s="275"/>
      <c r="HN424" s="275"/>
      <c r="HO424" s="275"/>
      <c r="HP424" s="275"/>
      <c r="HQ424" s="275"/>
      <c r="HR424" s="275"/>
    </row>
    <row r="425" spans="1:226" s="297" customFormat="1">
      <c r="A425" s="275"/>
      <c r="B425" s="21"/>
      <c r="C425" s="21"/>
      <c r="D425" s="21"/>
      <c r="E425" s="21"/>
      <c r="F425" s="275"/>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J425" s="275"/>
      <c r="AK425" s="275"/>
      <c r="AL425" s="275"/>
      <c r="AM425" s="275"/>
      <c r="AN425" s="275"/>
      <c r="AO425" s="275"/>
      <c r="AQ425" s="275"/>
      <c r="AR425" s="275"/>
      <c r="AS425" s="275"/>
      <c r="AT425" s="275"/>
      <c r="AU425" s="275"/>
      <c r="AV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D425" s="275"/>
      <c r="EE425" s="275"/>
      <c r="EF425" s="275"/>
      <c r="EG425" s="275"/>
      <c r="EH425" s="275"/>
      <c r="EI425" s="275"/>
      <c r="EJ425" s="275"/>
      <c r="EK425" s="275"/>
      <c r="EL425" s="275"/>
      <c r="EM425" s="275"/>
      <c r="EN425" s="275"/>
      <c r="EO425" s="275"/>
      <c r="EP425" s="275"/>
      <c r="EQ425" s="275"/>
      <c r="ER425" s="275"/>
      <c r="ES425" s="275"/>
      <c r="ET425" s="275"/>
      <c r="EU425"/>
      <c r="EV425"/>
      <c r="EW425" s="275"/>
      <c r="EX425" s="275"/>
      <c r="EY425" s="275"/>
      <c r="EZ425" s="275"/>
      <c r="FA425" s="275"/>
      <c r="FB425" s="275"/>
      <c r="FC425" s="275"/>
      <c r="FD425" s="275"/>
      <c r="FE425" s="275"/>
      <c r="FF425" s="275"/>
      <c r="FG425" s="275"/>
      <c r="FH425" s="275"/>
      <c r="FI425" s="275"/>
      <c r="FJ425" s="275"/>
      <c r="FK425" s="275"/>
      <c r="FL425" s="275"/>
      <c r="FM425" s="275"/>
      <c r="FN425" s="275"/>
      <c r="FO425" s="275"/>
      <c r="FP425" s="275"/>
      <c r="FQ425" s="275"/>
      <c r="FR425" s="275"/>
      <c r="FS425" s="275"/>
      <c r="FT425" s="275"/>
      <c r="FU425" s="275"/>
      <c r="FV425" s="275"/>
      <c r="FW425" s="275"/>
      <c r="FX425" s="275"/>
      <c r="FY425" s="275"/>
      <c r="FZ425" s="275"/>
      <c r="GA425" s="275"/>
      <c r="GB425" s="275"/>
      <c r="GC425" s="275"/>
      <c r="GD425" s="275"/>
      <c r="GE425" s="275"/>
      <c r="GF425" s="275"/>
      <c r="GG425" s="275"/>
      <c r="GH425" s="275"/>
      <c r="GI425" s="275"/>
      <c r="GJ425" s="275"/>
      <c r="GK425" s="275"/>
      <c r="GL425" s="275"/>
      <c r="GM425" s="275"/>
      <c r="GN425" s="275"/>
      <c r="GO425" s="275"/>
      <c r="GP425" s="275"/>
      <c r="GQ425" s="275"/>
      <c r="GR425" s="275"/>
      <c r="GS425" s="275"/>
      <c r="GT425" s="275"/>
      <c r="GU425" s="275"/>
      <c r="GV425" s="275"/>
      <c r="GW425" s="275"/>
      <c r="GX425" s="275"/>
      <c r="GY425" s="275"/>
      <c r="GZ425" s="275"/>
      <c r="HA425" s="275"/>
      <c r="HB425" s="275"/>
      <c r="HC425" s="275"/>
      <c r="HD425" s="275"/>
      <c r="HE425" s="275"/>
      <c r="HF425" s="275"/>
      <c r="HG425" s="275"/>
      <c r="HH425" s="275"/>
      <c r="HI425" s="275"/>
      <c r="HJ425" s="275"/>
      <c r="HK425" s="275"/>
      <c r="HL425" s="275"/>
      <c r="HM425" s="275"/>
      <c r="HN425" s="275"/>
      <c r="HO425" s="275"/>
      <c r="HP425" s="275"/>
      <c r="HQ425" s="275"/>
      <c r="HR425" s="275"/>
    </row>
    <row r="426" spans="1:226" s="297" customFormat="1">
      <c r="A426" s="275"/>
      <c r="B426" s="21"/>
      <c r="C426" s="21"/>
      <c r="D426" s="21"/>
      <c r="E426" s="21"/>
      <c r="F426" s="275"/>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J426" s="275"/>
      <c r="AK426" s="275"/>
      <c r="AL426" s="275"/>
      <c r="AM426" s="275"/>
      <c r="AN426" s="275"/>
      <c r="AO426" s="275"/>
      <c r="AQ426" s="275"/>
      <c r="AR426" s="275"/>
      <c r="AS426" s="275"/>
      <c r="AT426" s="275"/>
      <c r="AU426" s="275"/>
      <c r="AV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D426" s="275"/>
      <c r="EE426" s="275"/>
      <c r="EF426" s="275"/>
      <c r="EG426" s="275"/>
      <c r="EH426" s="275"/>
      <c r="EI426" s="275"/>
      <c r="EJ426" s="275"/>
      <c r="EK426" s="275"/>
      <c r="EL426" s="275"/>
      <c r="EM426" s="275"/>
      <c r="EN426" s="275"/>
      <c r="EO426" s="275"/>
      <c r="EP426" s="275"/>
      <c r="EQ426" s="275"/>
      <c r="ER426" s="275"/>
      <c r="ES426" s="275"/>
      <c r="ET426" s="275"/>
      <c r="EU426"/>
      <c r="EV426"/>
      <c r="EW426" s="275"/>
      <c r="EX426" s="275"/>
      <c r="EY426" s="275"/>
      <c r="EZ426" s="275"/>
      <c r="FA426" s="275"/>
      <c r="FB426" s="275"/>
      <c r="FC426" s="275"/>
      <c r="FD426" s="275"/>
      <c r="FE426" s="275"/>
      <c r="FF426" s="275"/>
      <c r="FG426" s="275"/>
      <c r="FH426" s="275"/>
      <c r="FI426" s="275"/>
      <c r="FJ426" s="275"/>
      <c r="FK426" s="275"/>
      <c r="FL426" s="275"/>
      <c r="FM426" s="275"/>
      <c r="FN426" s="275"/>
      <c r="FO426" s="275"/>
      <c r="FP426" s="275"/>
      <c r="FQ426" s="275"/>
      <c r="FR426" s="275"/>
      <c r="FS426" s="275"/>
      <c r="FT426" s="275"/>
      <c r="FU426" s="275"/>
      <c r="FV426" s="275"/>
      <c r="FW426" s="275"/>
      <c r="FX426" s="275"/>
      <c r="FY426" s="275"/>
      <c r="FZ426" s="275"/>
      <c r="GA426" s="275"/>
      <c r="GB426" s="275"/>
      <c r="GC426" s="275"/>
      <c r="GD426" s="275"/>
      <c r="GE426" s="275"/>
      <c r="GF426" s="275"/>
      <c r="GG426" s="275"/>
      <c r="GH426" s="275"/>
      <c r="GI426" s="275"/>
      <c r="GJ426" s="275"/>
      <c r="GK426" s="275"/>
      <c r="GL426" s="275"/>
      <c r="GM426" s="275"/>
      <c r="GN426" s="275"/>
      <c r="GO426" s="275"/>
      <c r="GP426" s="275"/>
      <c r="GQ426" s="275"/>
      <c r="GR426" s="275"/>
      <c r="GS426" s="275"/>
      <c r="GT426" s="275"/>
      <c r="GU426" s="275"/>
      <c r="GV426" s="275"/>
      <c r="GW426" s="275"/>
      <c r="GX426" s="275"/>
      <c r="GY426" s="275"/>
      <c r="GZ426" s="275"/>
      <c r="HA426" s="275"/>
      <c r="HB426" s="275"/>
      <c r="HC426" s="275"/>
      <c r="HD426" s="275"/>
      <c r="HE426" s="275"/>
      <c r="HF426" s="275"/>
      <c r="HG426" s="275"/>
      <c r="HH426" s="275"/>
      <c r="HI426" s="275"/>
      <c r="HJ426" s="275"/>
      <c r="HK426" s="275"/>
      <c r="HL426" s="275"/>
      <c r="HM426" s="275"/>
      <c r="HN426" s="275"/>
      <c r="HO426" s="275"/>
      <c r="HP426" s="275"/>
      <c r="HQ426" s="275"/>
      <c r="HR426" s="275"/>
    </row>
    <row r="427" spans="1:226" s="297" customFormat="1">
      <c r="A427" s="275"/>
      <c r="B427" s="21"/>
      <c r="C427" s="21"/>
      <c r="D427" s="21"/>
      <c r="E427" s="21"/>
      <c r="F427" s="275"/>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J427" s="275"/>
      <c r="AK427" s="275"/>
      <c r="AL427" s="275"/>
      <c r="AM427" s="275"/>
      <c r="AN427" s="275"/>
      <c r="AO427" s="275"/>
      <c r="AQ427" s="275"/>
      <c r="AR427" s="275"/>
      <c r="AS427" s="275"/>
      <c r="AT427" s="275"/>
      <c r="AU427" s="275"/>
      <c r="AV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D427" s="275"/>
      <c r="EE427" s="275"/>
      <c r="EF427" s="275"/>
      <c r="EG427" s="275"/>
      <c r="EH427" s="275"/>
      <c r="EI427" s="275"/>
      <c r="EJ427" s="275"/>
      <c r="EK427" s="275"/>
      <c r="EL427" s="275"/>
      <c r="EM427" s="275"/>
      <c r="EN427" s="275"/>
      <c r="EO427" s="275"/>
      <c r="EP427" s="275"/>
      <c r="EQ427" s="275"/>
      <c r="ER427" s="275"/>
      <c r="ES427" s="275"/>
      <c r="ET427" s="275"/>
      <c r="EU427"/>
      <c r="EV427"/>
      <c r="EW427" s="275"/>
      <c r="EX427" s="275"/>
      <c r="EY427" s="275"/>
      <c r="EZ427" s="275"/>
      <c r="FA427" s="275"/>
      <c r="FB427" s="275"/>
      <c r="FC427" s="275"/>
      <c r="FD427" s="275"/>
      <c r="FE427" s="275"/>
      <c r="FF427" s="275"/>
      <c r="FG427" s="275"/>
      <c r="FH427" s="275"/>
      <c r="FI427" s="275"/>
      <c r="FJ427" s="275"/>
      <c r="FK427" s="275"/>
      <c r="FL427" s="275"/>
      <c r="FM427" s="275"/>
      <c r="FN427" s="275"/>
      <c r="FO427" s="275"/>
      <c r="FP427" s="275"/>
      <c r="FQ427" s="275"/>
      <c r="FR427" s="275"/>
      <c r="FS427" s="275"/>
      <c r="FT427" s="275"/>
      <c r="FU427" s="275"/>
      <c r="FV427" s="275"/>
      <c r="FW427" s="275"/>
      <c r="FX427" s="275"/>
      <c r="FY427" s="275"/>
      <c r="FZ427" s="275"/>
      <c r="GA427" s="275"/>
      <c r="GB427" s="275"/>
      <c r="GC427" s="275"/>
      <c r="GD427" s="275"/>
      <c r="GE427" s="275"/>
      <c r="GF427" s="275"/>
      <c r="GG427" s="275"/>
      <c r="GH427" s="275"/>
      <c r="GI427" s="275"/>
      <c r="GJ427" s="275"/>
      <c r="GK427" s="275"/>
      <c r="GL427" s="275"/>
      <c r="GM427" s="275"/>
      <c r="GN427" s="275"/>
      <c r="GO427" s="275"/>
      <c r="GP427" s="275"/>
      <c r="GQ427" s="275"/>
      <c r="GR427" s="275"/>
      <c r="GS427" s="275"/>
      <c r="GT427" s="275"/>
      <c r="GU427" s="275"/>
      <c r="GV427" s="275"/>
      <c r="GW427" s="275"/>
      <c r="GX427" s="275"/>
      <c r="GY427" s="275"/>
      <c r="GZ427" s="275"/>
      <c r="HA427" s="275"/>
      <c r="HB427" s="275"/>
      <c r="HC427" s="275"/>
      <c r="HD427" s="275"/>
      <c r="HE427" s="275"/>
      <c r="HF427" s="275"/>
      <c r="HG427" s="275"/>
      <c r="HH427" s="275"/>
      <c r="HI427" s="275"/>
      <c r="HJ427" s="275"/>
      <c r="HK427" s="275"/>
      <c r="HL427" s="275"/>
      <c r="HM427" s="275"/>
      <c r="HN427" s="275"/>
      <c r="HO427" s="275"/>
      <c r="HP427" s="275"/>
      <c r="HQ427" s="275"/>
      <c r="HR427" s="275"/>
    </row>
    <row r="428" spans="1:226" s="297" customFormat="1">
      <c r="A428" s="275"/>
      <c r="B428" s="21"/>
      <c r="C428" s="21"/>
      <c r="D428" s="21"/>
      <c r="E428" s="21"/>
      <c r="F428" s="275"/>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J428" s="275"/>
      <c r="AK428" s="275"/>
      <c r="AL428" s="275"/>
      <c r="AM428" s="275"/>
      <c r="AN428" s="275"/>
      <c r="AO428" s="275"/>
      <c r="AQ428" s="275"/>
      <c r="AR428" s="275"/>
      <c r="AS428" s="275"/>
      <c r="AT428" s="275"/>
      <c r="AU428" s="275"/>
      <c r="AV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D428" s="275"/>
      <c r="EE428" s="275"/>
      <c r="EF428" s="275"/>
      <c r="EG428" s="275"/>
      <c r="EH428" s="275"/>
      <c r="EI428" s="275"/>
      <c r="EJ428" s="275"/>
      <c r="EK428" s="275"/>
      <c r="EL428" s="275"/>
      <c r="EM428" s="275"/>
      <c r="EN428" s="275"/>
      <c r="EO428" s="275"/>
      <c r="EP428" s="275"/>
      <c r="EQ428" s="275"/>
      <c r="ER428" s="275"/>
      <c r="ES428" s="275"/>
      <c r="ET428" s="275"/>
      <c r="EU428"/>
      <c r="EV428"/>
      <c r="EW428" s="275"/>
      <c r="EX428" s="275"/>
      <c r="EY428" s="275"/>
      <c r="EZ428" s="275"/>
      <c r="FA428" s="275"/>
      <c r="FB428" s="275"/>
      <c r="FC428" s="275"/>
      <c r="FD428" s="275"/>
      <c r="FE428" s="275"/>
      <c r="FF428" s="275"/>
      <c r="FG428" s="275"/>
      <c r="FH428" s="275"/>
      <c r="FI428" s="275"/>
      <c r="FJ428" s="275"/>
      <c r="FK428" s="275"/>
      <c r="FL428" s="275"/>
      <c r="FM428" s="275"/>
      <c r="FN428" s="275"/>
      <c r="FO428" s="275"/>
      <c r="FP428" s="275"/>
      <c r="FQ428" s="275"/>
      <c r="FR428" s="275"/>
      <c r="FS428" s="275"/>
      <c r="FT428" s="275"/>
      <c r="FU428" s="275"/>
      <c r="FV428" s="275"/>
      <c r="FW428" s="275"/>
      <c r="FX428" s="275"/>
      <c r="FY428" s="275"/>
      <c r="FZ428" s="275"/>
      <c r="GA428" s="275"/>
      <c r="GB428" s="275"/>
      <c r="GC428" s="275"/>
      <c r="GD428" s="275"/>
      <c r="GE428" s="275"/>
      <c r="GF428" s="275"/>
      <c r="GG428" s="275"/>
      <c r="GH428" s="275"/>
      <c r="GI428" s="275"/>
      <c r="GJ428" s="275"/>
      <c r="GK428" s="275"/>
      <c r="GL428" s="275"/>
      <c r="GM428" s="275"/>
      <c r="GN428" s="275"/>
      <c r="GO428" s="275"/>
      <c r="GP428" s="275"/>
      <c r="GQ428" s="275"/>
      <c r="GR428" s="275"/>
      <c r="GS428" s="275"/>
      <c r="GT428" s="275"/>
      <c r="GU428" s="275"/>
      <c r="GV428" s="275"/>
      <c r="GW428" s="275"/>
      <c r="GX428" s="275"/>
      <c r="GY428" s="275"/>
      <c r="GZ428" s="275"/>
      <c r="HA428" s="275"/>
      <c r="HB428" s="275"/>
      <c r="HC428" s="275"/>
      <c r="HD428" s="275"/>
      <c r="HE428" s="275"/>
      <c r="HF428" s="275"/>
      <c r="HG428" s="275"/>
      <c r="HH428" s="275"/>
      <c r="HI428" s="275"/>
      <c r="HJ428" s="275"/>
      <c r="HK428" s="275"/>
      <c r="HL428" s="275"/>
      <c r="HM428" s="275"/>
      <c r="HN428" s="275"/>
      <c r="HO428" s="275"/>
      <c r="HP428" s="275"/>
      <c r="HQ428" s="275"/>
      <c r="HR428" s="275"/>
    </row>
    <row r="429" spans="1:226" s="297" customFormat="1">
      <c r="A429" s="275"/>
      <c r="B429" s="21"/>
      <c r="C429" s="21"/>
      <c r="D429" s="21"/>
      <c r="E429" s="21"/>
      <c r="F429" s="275"/>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J429" s="275"/>
      <c r="AK429" s="275"/>
      <c r="AL429" s="275"/>
      <c r="AM429" s="275"/>
      <c r="AN429" s="275"/>
      <c r="AO429" s="275"/>
      <c r="AQ429" s="275"/>
      <c r="AR429" s="275"/>
      <c r="AS429" s="275"/>
      <c r="AT429" s="275"/>
      <c r="AU429" s="275"/>
      <c r="AV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D429" s="275"/>
      <c r="EE429" s="275"/>
      <c r="EF429" s="275"/>
      <c r="EG429" s="275"/>
      <c r="EH429" s="275"/>
      <c r="EI429" s="275"/>
      <c r="EJ429" s="275"/>
      <c r="EK429" s="275"/>
      <c r="EL429" s="275"/>
      <c r="EM429" s="275"/>
      <c r="EN429" s="275"/>
      <c r="EO429" s="275"/>
      <c r="EP429" s="275"/>
      <c r="EQ429" s="275"/>
      <c r="ER429" s="275"/>
      <c r="ES429" s="275"/>
      <c r="ET429" s="275"/>
      <c r="EU429"/>
      <c r="EV429"/>
      <c r="EW429" s="275"/>
      <c r="EX429" s="275"/>
      <c r="EY429" s="275"/>
      <c r="EZ429" s="275"/>
      <c r="FA429" s="275"/>
      <c r="FB429" s="275"/>
      <c r="FC429" s="275"/>
      <c r="FD429" s="275"/>
      <c r="FE429" s="275"/>
      <c r="FF429" s="275"/>
      <c r="FG429" s="275"/>
      <c r="FH429" s="275"/>
      <c r="FI429" s="275"/>
      <c r="FJ429" s="275"/>
      <c r="FK429" s="275"/>
      <c r="FL429" s="275"/>
      <c r="FM429" s="275"/>
      <c r="FN429" s="275"/>
      <c r="FO429" s="275"/>
      <c r="FP429" s="275"/>
      <c r="FQ429" s="275"/>
      <c r="FR429" s="275"/>
      <c r="FS429" s="275"/>
      <c r="FT429" s="275"/>
      <c r="FU429" s="275"/>
      <c r="FV429" s="275"/>
      <c r="FW429" s="275"/>
      <c r="FX429" s="275"/>
      <c r="FY429" s="275"/>
      <c r="FZ429" s="275"/>
      <c r="GA429" s="275"/>
      <c r="GB429" s="275"/>
      <c r="GC429" s="275"/>
      <c r="GD429" s="275"/>
      <c r="GE429" s="275"/>
      <c r="GF429" s="275"/>
      <c r="GG429" s="275"/>
      <c r="GH429" s="275"/>
      <c r="GI429" s="275"/>
      <c r="GJ429" s="275"/>
      <c r="GK429" s="275"/>
      <c r="GL429" s="275"/>
      <c r="GM429" s="275"/>
      <c r="GN429" s="275"/>
      <c r="GO429" s="275"/>
      <c r="GP429" s="275"/>
      <c r="GQ429" s="275"/>
      <c r="GR429" s="275"/>
      <c r="GS429" s="275"/>
      <c r="GT429" s="275"/>
      <c r="GU429" s="275"/>
      <c r="GV429" s="275"/>
      <c r="GW429" s="275"/>
      <c r="GX429" s="275"/>
      <c r="GY429" s="275"/>
      <c r="GZ429" s="275"/>
      <c r="HA429" s="275"/>
      <c r="HB429" s="275"/>
      <c r="HC429" s="275"/>
      <c r="HD429" s="275"/>
      <c r="HE429" s="275"/>
      <c r="HF429" s="275"/>
      <c r="HG429" s="275"/>
      <c r="HH429" s="275"/>
      <c r="HI429" s="275"/>
      <c r="HJ429" s="275"/>
      <c r="HK429" s="275"/>
      <c r="HL429" s="275"/>
      <c r="HM429" s="275"/>
      <c r="HN429" s="275"/>
      <c r="HO429" s="275"/>
      <c r="HP429" s="275"/>
      <c r="HQ429" s="275"/>
      <c r="HR429" s="275"/>
    </row>
    <row r="430" spans="1:226" s="297" customFormat="1">
      <c r="A430" s="275"/>
      <c r="B430" s="21"/>
      <c r="C430" s="21"/>
      <c r="D430" s="21"/>
      <c r="E430" s="21"/>
      <c r="F430" s="275"/>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J430" s="275"/>
      <c r="AK430" s="275"/>
      <c r="AL430" s="275"/>
      <c r="AM430" s="275"/>
      <c r="AN430" s="275"/>
      <c r="AO430" s="275"/>
      <c r="AQ430" s="275"/>
      <c r="AR430" s="275"/>
      <c r="AS430" s="275"/>
      <c r="AT430" s="275"/>
      <c r="AU430" s="275"/>
      <c r="AV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D430" s="275"/>
      <c r="EE430" s="275"/>
      <c r="EF430" s="275"/>
      <c r="EG430" s="275"/>
      <c r="EH430" s="275"/>
      <c r="EI430" s="275"/>
      <c r="EJ430" s="275"/>
      <c r="EK430" s="275"/>
      <c r="EL430" s="275"/>
      <c r="EM430" s="275"/>
      <c r="EN430" s="275"/>
      <c r="EO430" s="275"/>
      <c r="EP430" s="275"/>
      <c r="EQ430" s="275"/>
      <c r="ER430" s="275"/>
      <c r="ES430" s="275"/>
      <c r="ET430" s="275"/>
      <c r="EU430"/>
      <c r="EV430"/>
      <c r="EW430" s="275"/>
      <c r="EX430" s="275"/>
      <c r="EY430" s="275"/>
      <c r="EZ430" s="275"/>
      <c r="FA430" s="275"/>
      <c r="FB430" s="275"/>
      <c r="FC430" s="275"/>
      <c r="FD430" s="275"/>
      <c r="FE430" s="275"/>
      <c r="FF430" s="275"/>
      <c r="FG430" s="275"/>
      <c r="FH430" s="275"/>
      <c r="FI430" s="275"/>
      <c r="FJ430" s="275"/>
      <c r="FK430" s="275"/>
      <c r="FL430" s="275"/>
      <c r="FM430" s="275"/>
      <c r="FN430" s="275"/>
      <c r="FO430" s="275"/>
      <c r="FP430" s="275"/>
      <c r="FQ430" s="275"/>
      <c r="FR430" s="275"/>
      <c r="FS430" s="275"/>
      <c r="FT430" s="275"/>
      <c r="FU430" s="275"/>
      <c r="FV430" s="275"/>
      <c r="FW430" s="275"/>
      <c r="FX430" s="275"/>
      <c r="FY430" s="275"/>
      <c r="FZ430" s="275"/>
      <c r="GA430" s="275"/>
      <c r="GB430" s="275"/>
      <c r="GC430" s="275"/>
      <c r="GD430" s="275"/>
      <c r="GE430" s="275"/>
      <c r="GF430" s="275"/>
      <c r="GG430" s="275"/>
      <c r="GH430" s="275"/>
      <c r="GI430" s="275"/>
      <c r="GJ430" s="275"/>
      <c r="GK430" s="275"/>
      <c r="GL430" s="275"/>
      <c r="GM430" s="275"/>
      <c r="GN430" s="275"/>
      <c r="GO430" s="275"/>
      <c r="GP430" s="275"/>
      <c r="GQ430" s="275"/>
      <c r="GR430" s="275"/>
      <c r="GS430" s="275"/>
      <c r="GT430" s="275"/>
      <c r="GU430" s="275"/>
      <c r="GV430" s="275"/>
      <c r="GW430" s="275"/>
      <c r="GX430" s="275"/>
      <c r="GY430" s="275"/>
      <c r="GZ430" s="275"/>
      <c r="HA430" s="275"/>
      <c r="HB430" s="275"/>
      <c r="HC430" s="275"/>
      <c r="HD430" s="275"/>
      <c r="HE430" s="275"/>
      <c r="HF430" s="275"/>
      <c r="HG430" s="275"/>
      <c r="HH430" s="275"/>
      <c r="HI430" s="275"/>
      <c r="HJ430" s="275"/>
      <c r="HK430" s="275"/>
      <c r="HL430" s="275"/>
      <c r="HM430" s="275"/>
      <c r="HN430" s="275"/>
      <c r="HO430" s="275"/>
      <c r="HP430" s="275"/>
      <c r="HQ430" s="275"/>
      <c r="HR430" s="275"/>
    </row>
    <row r="431" spans="1:226" s="297" customFormat="1">
      <c r="A431" s="275"/>
      <c r="B431" s="21"/>
      <c r="C431" s="21"/>
      <c r="D431" s="21"/>
      <c r="E431" s="21"/>
      <c r="F431" s="275"/>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J431" s="275"/>
      <c r="AK431" s="275"/>
      <c r="AL431" s="275"/>
      <c r="AM431" s="275"/>
      <c r="AN431" s="275"/>
      <c r="AO431" s="275"/>
      <c r="AQ431" s="275"/>
      <c r="AR431" s="275"/>
      <c r="AS431" s="275"/>
      <c r="AT431" s="275"/>
      <c r="AU431" s="275"/>
      <c r="AV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D431" s="275"/>
      <c r="EE431" s="275"/>
      <c r="EF431" s="275"/>
      <c r="EG431" s="275"/>
      <c r="EH431" s="275"/>
      <c r="EI431" s="275"/>
      <c r="EJ431" s="275"/>
      <c r="EK431" s="275"/>
      <c r="EL431" s="275"/>
      <c r="EM431" s="275"/>
      <c r="EN431" s="275"/>
      <c r="EO431" s="275"/>
      <c r="EP431" s="275"/>
      <c r="EQ431" s="275"/>
      <c r="ER431" s="275"/>
      <c r="ES431" s="275"/>
      <c r="ET431" s="275"/>
      <c r="EU431"/>
      <c r="EV431"/>
      <c r="EW431" s="275"/>
      <c r="EX431" s="275"/>
      <c r="EY431" s="275"/>
      <c r="EZ431" s="275"/>
      <c r="FA431" s="275"/>
      <c r="FB431" s="275"/>
      <c r="FC431" s="275"/>
      <c r="FD431" s="275"/>
      <c r="FE431" s="275"/>
      <c r="FF431" s="275"/>
      <c r="FG431" s="275"/>
      <c r="FH431" s="275"/>
      <c r="FI431" s="275"/>
      <c r="FJ431" s="275"/>
      <c r="FK431" s="275"/>
      <c r="FL431" s="275"/>
      <c r="FM431" s="275"/>
      <c r="FN431" s="275"/>
      <c r="FO431" s="275"/>
      <c r="FP431" s="275"/>
      <c r="FQ431" s="275"/>
      <c r="FR431" s="275"/>
      <c r="FS431" s="275"/>
      <c r="FT431" s="275"/>
      <c r="FU431" s="275"/>
      <c r="FV431" s="275"/>
      <c r="FW431" s="275"/>
      <c r="FX431" s="275"/>
      <c r="FY431" s="275"/>
      <c r="FZ431" s="275"/>
      <c r="GA431" s="275"/>
      <c r="GB431" s="275"/>
      <c r="GC431" s="275"/>
      <c r="GD431" s="275"/>
      <c r="GE431" s="275"/>
      <c r="GF431" s="275"/>
      <c r="GG431" s="275"/>
      <c r="GH431" s="275"/>
      <c r="GI431" s="275"/>
      <c r="GJ431" s="275"/>
      <c r="GK431" s="275"/>
      <c r="GL431" s="275"/>
      <c r="GM431" s="275"/>
      <c r="GN431" s="275"/>
      <c r="GO431" s="275"/>
      <c r="GP431" s="275"/>
      <c r="GQ431" s="275"/>
      <c r="GR431" s="275"/>
      <c r="GS431" s="275"/>
      <c r="GT431" s="275"/>
      <c r="GU431" s="275"/>
      <c r="GV431" s="275"/>
      <c r="GW431" s="275"/>
      <c r="GX431" s="275"/>
      <c r="GY431" s="275"/>
      <c r="GZ431" s="275"/>
      <c r="HA431" s="275"/>
      <c r="HB431" s="275"/>
      <c r="HC431" s="275"/>
      <c r="HD431" s="275"/>
      <c r="HE431" s="275"/>
      <c r="HF431" s="275"/>
      <c r="HG431" s="275"/>
      <c r="HH431" s="275"/>
      <c r="HI431" s="275"/>
      <c r="HJ431" s="275"/>
      <c r="HK431" s="275"/>
      <c r="HL431" s="275"/>
      <c r="HM431" s="275"/>
      <c r="HN431" s="275"/>
      <c r="HO431" s="275"/>
      <c r="HP431" s="275"/>
      <c r="HQ431" s="275"/>
      <c r="HR431" s="275"/>
    </row>
    <row r="432" spans="1:226" s="297" customFormat="1">
      <c r="A432" s="275"/>
      <c r="B432" s="21"/>
      <c r="C432" s="21"/>
      <c r="D432" s="21"/>
      <c r="E432" s="21"/>
      <c r="F432" s="275"/>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J432" s="275"/>
      <c r="AK432" s="275"/>
      <c r="AL432" s="275"/>
      <c r="AM432" s="275"/>
      <c r="AN432" s="275"/>
      <c r="AO432" s="275"/>
      <c r="AQ432" s="275"/>
      <c r="AR432" s="275"/>
      <c r="AS432" s="275"/>
      <c r="AT432" s="275"/>
      <c r="AU432" s="275"/>
      <c r="AV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D432" s="275"/>
      <c r="EE432" s="275"/>
      <c r="EF432" s="275"/>
      <c r="EG432" s="275"/>
      <c r="EH432" s="275"/>
      <c r="EI432" s="275"/>
      <c r="EJ432" s="275"/>
      <c r="EK432" s="275"/>
      <c r="EL432" s="275"/>
      <c r="EM432" s="275"/>
      <c r="EN432" s="275"/>
      <c r="EO432" s="275"/>
      <c r="EP432" s="275"/>
      <c r="EQ432" s="275"/>
      <c r="ER432" s="275"/>
      <c r="ES432" s="275"/>
      <c r="ET432" s="275"/>
      <c r="EU432"/>
      <c r="EV432"/>
      <c r="EW432" s="275"/>
      <c r="EX432" s="275"/>
      <c r="EY432" s="275"/>
      <c r="EZ432" s="275"/>
      <c r="FA432" s="275"/>
      <c r="FB432" s="275"/>
      <c r="FC432" s="275"/>
      <c r="FD432" s="275"/>
      <c r="FE432" s="275"/>
      <c r="FF432" s="275"/>
      <c r="FG432" s="275"/>
      <c r="FH432" s="275"/>
      <c r="FI432" s="275"/>
      <c r="FJ432" s="275"/>
      <c r="FK432" s="275"/>
      <c r="FL432" s="275"/>
      <c r="FM432" s="275"/>
      <c r="FN432" s="275"/>
      <c r="FO432" s="275"/>
      <c r="FP432" s="275"/>
      <c r="FQ432" s="275"/>
      <c r="FR432" s="275"/>
      <c r="FS432" s="275"/>
      <c r="FT432" s="275"/>
      <c r="FU432" s="275"/>
      <c r="FV432" s="275"/>
      <c r="FW432" s="275"/>
      <c r="FX432" s="275"/>
      <c r="FY432" s="275"/>
      <c r="FZ432" s="275"/>
      <c r="GA432" s="275"/>
      <c r="GB432" s="275"/>
      <c r="GC432" s="275"/>
      <c r="GD432" s="275"/>
      <c r="GE432" s="275"/>
      <c r="GF432" s="275"/>
      <c r="GG432" s="275"/>
      <c r="GH432" s="275"/>
      <c r="GI432" s="275"/>
      <c r="GJ432" s="275"/>
      <c r="GK432" s="275"/>
      <c r="GL432" s="275"/>
      <c r="GM432" s="275"/>
      <c r="GN432" s="275"/>
      <c r="GO432" s="275"/>
      <c r="GP432" s="275"/>
      <c r="GQ432" s="275"/>
      <c r="GR432" s="275"/>
      <c r="GS432" s="275"/>
      <c r="GT432" s="275"/>
      <c r="GU432" s="275"/>
      <c r="GV432" s="275"/>
      <c r="GW432" s="275"/>
      <c r="GX432" s="275"/>
      <c r="GY432" s="275"/>
      <c r="GZ432" s="275"/>
      <c r="HA432" s="275"/>
      <c r="HB432" s="275"/>
      <c r="HC432" s="275"/>
      <c r="HD432" s="275"/>
      <c r="HE432" s="275"/>
      <c r="HF432" s="275"/>
      <c r="HG432" s="275"/>
      <c r="HH432" s="275"/>
      <c r="HI432" s="275"/>
      <c r="HJ432" s="275"/>
      <c r="HK432" s="275"/>
      <c r="HL432" s="275"/>
      <c r="HM432" s="275"/>
      <c r="HN432" s="275"/>
      <c r="HO432" s="275"/>
      <c r="HP432" s="275"/>
      <c r="HQ432" s="275"/>
      <c r="HR432" s="275"/>
    </row>
    <row r="433" spans="1:226" s="297" customFormat="1">
      <c r="A433" s="275"/>
      <c r="B433" s="21"/>
      <c r="C433" s="21"/>
      <c r="D433" s="21"/>
      <c r="E433" s="21"/>
      <c r="F433" s="275"/>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J433" s="275"/>
      <c r="AK433" s="275"/>
      <c r="AL433" s="275"/>
      <c r="AM433" s="275"/>
      <c r="AN433" s="275"/>
      <c r="AO433" s="275"/>
      <c r="AQ433" s="275"/>
      <c r="AR433" s="275"/>
      <c r="AS433" s="275"/>
      <c r="AT433" s="275"/>
      <c r="AU433" s="275"/>
      <c r="AV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D433" s="275"/>
      <c r="EE433" s="275"/>
      <c r="EF433" s="275"/>
      <c r="EG433" s="275"/>
      <c r="EH433" s="275"/>
      <c r="EI433" s="275"/>
      <c r="EJ433" s="275"/>
      <c r="EK433" s="275"/>
      <c r="EL433" s="275"/>
      <c r="EM433" s="275"/>
      <c r="EN433" s="275"/>
      <c r="EO433" s="275"/>
      <c r="EP433" s="275"/>
      <c r="EQ433" s="275"/>
      <c r="ER433" s="275"/>
      <c r="ES433" s="275"/>
      <c r="ET433" s="275"/>
      <c r="EU433"/>
      <c r="EV433"/>
      <c r="EW433" s="275"/>
      <c r="EX433" s="275"/>
      <c r="EY433" s="275"/>
      <c r="EZ433" s="275"/>
      <c r="FA433" s="275"/>
      <c r="FB433" s="275"/>
      <c r="FC433" s="275"/>
      <c r="FD433" s="275"/>
      <c r="FE433" s="275"/>
      <c r="FF433" s="275"/>
      <c r="FG433" s="275"/>
      <c r="FH433" s="275"/>
      <c r="FI433" s="275"/>
      <c r="FJ433" s="275"/>
      <c r="FK433" s="275"/>
      <c r="FL433" s="275"/>
      <c r="FM433" s="275"/>
      <c r="FN433" s="275"/>
      <c r="FO433" s="275"/>
      <c r="FP433" s="275"/>
      <c r="FQ433" s="275"/>
      <c r="FR433" s="275"/>
      <c r="FS433" s="275"/>
      <c r="FT433" s="275"/>
      <c r="FU433" s="275"/>
      <c r="FV433" s="275"/>
      <c r="FW433" s="275"/>
      <c r="FX433" s="275"/>
      <c r="FY433" s="275"/>
      <c r="FZ433" s="275"/>
      <c r="GA433" s="275"/>
      <c r="GB433" s="275"/>
      <c r="GC433" s="275"/>
      <c r="GD433" s="275"/>
      <c r="GE433" s="275"/>
      <c r="GF433" s="275"/>
      <c r="GG433" s="275"/>
      <c r="GH433" s="275"/>
      <c r="GI433" s="275"/>
      <c r="GJ433" s="275"/>
      <c r="GK433" s="275"/>
      <c r="GL433" s="275"/>
      <c r="GM433" s="275"/>
      <c r="GN433" s="275"/>
      <c r="GO433" s="275"/>
      <c r="GP433" s="275"/>
      <c r="GQ433" s="275"/>
      <c r="GR433" s="275"/>
      <c r="GS433" s="275"/>
      <c r="GT433" s="275"/>
      <c r="GU433" s="275"/>
      <c r="GV433" s="275"/>
      <c r="GW433" s="275"/>
      <c r="GX433" s="275"/>
      <c r="GY433" s="275"/>
      <c r="GZ433" s="275"/>
      <c r="HA433" s="275"/>
      <c r="HB433" s="275"/>
      <c r="HC433" s="275"/>
      <c r="HD433" s="275"/>
      <c r="HE433" s="275"/>
      <c r="HF433" s="275"/>
      <c r="HG433" s="275"/>
      <c r="HH433" s="275"/>
      <c r="HI433" s="275"/>
      <c r="HJ433" s="275"/>
      <c r="HK433" s="275"/>
      <c r="HL433" s="275"/>
      <c r="HM433" s="275"/>
      <c r="HN433" s="275"/>
      <c r="HO433" s="275"/>
      <c r="HP433" s="275"/>
      <c r="HQ433" s="275"/>
      <c r="HR433" s="275"/>
    </row>
    <row r="434" spans="1:226" s="297" customFormat="1">
      <c r="A434" s="275"/>
      <c r="B434" s="21"/>
      <c r="C434" s="21"/>
      <c r="D434" s="21"/>
      <c r="E434" s="21"/>
      <c r="F434" s="275"/>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J434" s="275"/>
      <c r="AK434" s="275"/>
      <c r="AL434" s="275"/>
      <c r="AM434" s="275"/>
      <c r="AN434" s="275"/>
      <c r="AO434" s="275"/>
      <c r="AQ434" s="275"/>
      <c r="AR434" s="275"/>
      <c r="AS434" s="275"/>
      <c r="AT434" s="275"/>
      <c r="AU434" s="275"/>
      <c r="AV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D434" s="275"/>
      <c r="EE434" s="275"/>
      <c r="EF434" s="275"/>
      <c r="EG434" s="275"/>
      <c r="EH434" s="275"/>
      <c r="EI434" s="275"/>
      <c r="EJ434" s="275"/>
      <c r="EK434" s="275"/>
      <c r="EL434" s="275"/>
      <c r="EM434" s="275"/>
      <c r="EN434" s="275"/>
      <c r="EO434" s="275"/>
      <c r="EP434" s="275"/>
      <c r="EQ434" s="275"/>
      <c r="ER434" s="275"/>
      <c r="ES434" s="275"/>
      <c r="ET434" s="275"/>
      <c r="EU434"/>
      <c r="EV434"/>
      <c r="EW434" s="275"/>
      <c r="EX434" s="275"/>
      <c r="EY434" s="275"/>
      <c r="EZ434" s="275"/>
      <c r="FA434" s="275"/>
      <c r="FB434" s="275"/>
      <c r="FC434" s="275"/>
      <c r="FD434" s="275"/>
      <c r="FE434" s="275"/>
      <c r="FF434" s="275"/>
      <c r="FG434" s="275"/>
      <c r="FH434" s="275"/>
      <c r="FI434" s="275"/>
      <c r="FJ434" s="275"/>
      <c r="FK434" s="275"/>
      <c r="FL434" s="275"/>
      <c r="FM434" s="275"/>
      <c r="FN434" s="275"/>
      <c r="FO434" s="275"/>
      <c r="FP434" s="275"/>
      <c r="FQ434" s="275"/>
      <c r="FR434" s="275"/>
      <c r="FS434" s="275"/>
      <c r="FT434" s="275"/>
      <c r="FU434" s="275"/>
      <c r="FV434" s="275"/>
      <c r="FW434" s="275"/>
      <c r="FX434" s="275"/>
      <c r="FY434" s="275"/>
      <c r="FZ434" s="275"/>
      <c r="GA434" s="275"/>
      <c r="GB434" s="275"/>
      <c r="GC434" s="275"/>
      <c r="GD434" s="275"/>
      <c r="GE434" s="275"/>
      <c r="GF434" s="275"/>
      <c r="GG434" s="275"/>
      <c r="GH434" s="275"/>
      <c r="GI434" s="275"/>
      <c r="GJ434" s="275"/>
      <c r="GK434" s="275"/>
      <c r="GL434" s="275"/>
      <c r="GM434" s="275"/>
      <c r="GN434" s="275"/>
      <c r="GO434" s="275"/>
      <c r="GP434" s="275"/>
      <c r="GQ434" s="275"/>
      <c r="GR434" s="275"/>
      <c r="GS434" s="275"/>
      <c r="GT434" s="275"/>
      <c r="GU434" s="275"/>
      <c r="GV434" s="275"/>
      <c r="GW434" s="275"/>
      <c r="GX434" s="275"/>
      <c r="GY434" s="275"/>
      <c r="GZ434" s="275"/>
      <c r="HA434" s="275"/>
      <c r="HB434" s="275"/>
      <c r="HC434" s="275"/>
      <c r="HD434" s="275"/>
      <c r="HE434" s="275"/>
      <c r="HF434" s="275"/>
      <c r="HG434" s="275"/>
      <c r="HH434" s="275"/>
      <c r="HI434" s="275"/>
      <c r="HJ434" s="275"/>
      <c r="HK434" s="275"/>
      <c r="HL434" s="275"/>
      <c r="HM434" s="275"/>
      <c r="HN434" s="275"/>
      <c r="HO434" s="275"/>
      <c r="HP434" s="275"/>
      <c r="HQ434" s="275"/>
      <c r="HR434" s="275"/>
    </row>
    <row r="435" spans="1:226" s="297" customFormat="1">
      <c r="A435" s="275"/>
      <c r="B435" s="21"/>
      <c r="C435" s="21"/>
      <c r="D435" s="21"/>
      <c r="E435" s="21"/>
      <c r="F435" s="275"/>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J435" s="275"/>
      <c r="AK435" s="275"/>
      <c r="AL435" s="275"/>
      <c r="AM435" s="275"/>
      <c r="AN435" s="275"/>
      <c r="AO435" s="275"/>
      <c r="AQ435" s="275"/>
      <c r="AR435" s="275"/>
      <c r="AS435" s="275"/>
      <c r="AT435" s="275"/>
      <c r="AU435" s="275"/>
      <c r="AV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D435" s="275"/>
      <c r="EE435" s="275"/>
      <c r="EF435" s="275"/>
      <c r="EG435" s="275"/>
      <c r="EH435" s="275"/>
      <c r="EI435" s="275"/>
      <c r="EJ435" s="275"/>
      <c r="EK435" s="275"/>
      <c r="EL435" s="275"/>
      <c r="EM435" s="275"/>
      <c r="EN435" s="275"/>
      <c r="EO435" s="275"/>
      <c r="EP435" s="275"/>
      <c r="EQ435" s="275"/>
      <c r="ER435" s="275"/>
      <c r="ES435" s="275"/>
      <c r="ET435" s="275"/>
      <c r="EU435"/>
      <c r="EV435"/>
      <c r="EW435" s="275"/>
      <c r="EX435" s="275"/>
      <c r="EY435" s="275"/>
      <c r="EZ435" s="275"/>
      <c r="FA435" s="275"/>
      <c r="FB435" s="275"/>
      <c r="FC435" s="275"/>
      <c r="FD435" s="275"/>
      <c r="FE435" s="275"/>
      <c r="FF435" s="275"/>
      <c r="FG435" s="275"/>
      <c r="FH435" s="275"/>
      <c r="FI435" s="275"/>
      <c r="FJ435" s="275"/>
      <c r="FK435" s="275"/>
      <c r="FL435" s="275"/>
      <c r="FM435" s="275"/>
      <c r="FN435" s="275"/>
      <c r="FO435" s="275"/>
      <c r="FP435" s="275"/>
      <c r="FQ435" s="275"/>
      <c r="FR435" s="275"/>
      <c r="FS435" s="275"/>
      <c r="FT435" s="275"/>
      <c r="FU435" s="275"/>
      <c r="FV435" s="275"/>
      <c r="FW435" s="275"/>
      <c r="FX435" s="275"/>
      <c r="FY435" s="275"/>
      <c r="FZ435" s="275"/>
      <c r="GA435" s="275"/>
      <c r="GB435" s="275"/>
      <c r="GC435" s="275"/>
      <c r="GD435" s="275"/>
      <c r="GE435" s="275"/>
      <c r="GF435" s="275"/>
      <c r="GG435" s="275"/>
      <c r="GH435" s="275"/>
      <c r="GI435" s="275"/>
      <c r="GJ435" s="275"/>
      <c r="GK435" s="275"/>
      <c r="GL435" s="275"/>
      <c r="GM435" s="275"/>
      <c r="GN435" s="275"/>
      <c r="GO435" s="275"/>
      <c r="GP435" s="275"/>
      <c r="GQ435" s="275"/>
      <c r="GR435" s="275"/>
      <c r="GS435" s="275"/>
      <c r="GT435" s="275"/>
      <c r="GU435" s="275"/>
      <c r="GV435" s="275"/>
      <c r="GW435" s="275"/>
      <c r="GX435" s="275"/>
      <c r="GY435" s="275"/>
      <c r="GZ435" s="275"/>
      <c r="HA435" s="275"/>
      <c r="HB435" s="275"/>
      <c r="HC435" s="275"/>
      <c r="HD435" s="275"/>
      <c r="HE435" s="275"/>
      <c r="HF435" s="275"/>
      <c r="HG435" s="275"/>
      <c r="HH435" s="275"/>
      <c r="HI435" s="275"/>
      <c r="HJ435" s="275"/>
      <c r="HK435" s="275"/>
      <c r="HL435" s="275"/>
      <c r="HM435" s="275"/>
      <c r="HN435" s="275"/>
      <c r="HO435" s="275"/>
      <c r="HP435" s="275"/>
      <c r="HQ435" s="275"/>
      <c r="HR435" s="275"/>
    </row>
    <row r="436" spans="1:226" s="297" customFormat="1">
      <c r="A436" s="275"/>
      <c r="B436" s="21"/>
      <c r="C436" s="21"/>
      <c r="D436" s="21"/>
      <c r="E436" s="21"/>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J436" s="275"/>
      <c r="AK436" s="275"/>
      <c r="AL436" s="275"/>
      <c r="AM436" s="275"/>
      <c r="AN436" s="275"/>
      <c r="AO436" s="275"/>
      <c r="AQ436" s="275"/>
      <c r="AR436" s="275"/>
      <c r="AS436" s="275"/>
      <c r="AT436" s="275"/>
      <c r="AU436" s="275"/>
      <c r="AV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c r="EV436"/>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row>
    <row r="437" spans="1:226" s="297" customFormat="1">
      <c r="A437" s="275"/>
      <c r="B437" s="21"/>
      <c r="C437" s="21"/>
      <c r="D437" s="21"/>
      <c r="E437" s="21"/>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J437" s="275"/>
      <c r="AK437" s="275"/>
      <c r="AL437" s="275"/>
      <c r="AM437" s="275"/>
      <c r="AN437" s="275"/>
      <c r="AO437" s="275"/>
      <c r="AQ437" s="275"/>
      <c r="AR437" s="275"/>
      <c r="AS437" s="275"/>
      <c r="AT437" s="275"/>
      <c r="AU437" s="275"/>
      <c r="AV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c r="EV437"/>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row>
    <row r="438" spans="1:226" s="297" customFormat="1">
      <c r="A438" s="275"/>
      <c r="B438" s="21"/>
      <c r="C438" s="21"/>
      <c r="D438" s="21"/>
      <c r="E438" s="21"/>
      <c r="F438" s="275"/>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J438" s="275"/>
      <c r="AK438" s="275"/>
      <c r="AL438" s="275"/>
      <c r="AM438" s="275"/>
      <c r="AN438" s="275"/>
      <c r="AO438" s="275"/>
      <c r="AQ438" s="275"/>
      <c r="AR438" s="275"/>
      <c r="AS438" s="275"/>
      <c r="AT438" s="275"/>
      <c r="AU438" s="275"/>
      <c r="AV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D438" s="275"/>
      <c r="EE438" s="275"/>
      <c r="EF438" s="275"/>
      <c r="EG438" s="275"/>
      <c r="EH438" s="275"/>
      <c r="EI438" s="275"/>
      <c r="EJ438" s="275"/>
      <c r="EK438" s="275"/>
      <c r="EL438" s="275"/>
      <c r="EM438" s="275"/>
      <c r="EN438" s="275"/>
      <c r="EO438" s="275"/>
      <c r="EP438" s="275"/>
      <c r="EQ438" s="275"/>
      <c r="ER438" s="275"/>
      <c r="ES438" s="275"/>
      <c r="ET438" s="275"/>
      <c r="EU438"/>
      <c r="EV438"/>
      <c r="EW438" s="275"/>
      <c r="EX438" s="275"/>
      <c r="EY438" s="275"/>
      <c r="EZ438" s="275"/>
      <c r="FA438" s="275"/>
      <c r="FB438" s="275"/>
      <c r="FC438" s="275"/>
      <c r="FD438" s="275"/>
      <c r="FE438" s="275"/>
      <c r="FF438" s="275"/>
      <c r="FG438" s="275"/>
      <c r="FH438" s="275"/>
      <c r="FI438" s="275"/>
      <c r="FJ438" s="275"/>
      <c r="FK438" s="275"/>
      <c r="FL438" s="275"/>
      <c r="FM438" s="275"/>
      <c r="FN438" s="275"/>
      <c r="FO438" s="275"/>
      <c r="FP438" s="275"/>
      <c r="FQ438" s="275"/>
      <c r="FR438" s="275"/>
      <c r="FS438" s="275"/>
      <c r="FT438" s="275"/>
      <c r="FU438" s="275"/>
      <c r="FV438" s="275"/>
      <c r="FW438" s="275"/>
      <c r="FX438" s="275"/>
      <c r="FY438" s="275"/>
      <c r="FZ438" s="275"/>
      <c r="GA438" s="275"/>
      <c r="GB438" s="275"/>
      <c r="GC438" s="275"/>
      <c r="GD438" s="275"/>
      <c r="GE438" s="275"/>
      <c r="GF438" s="275"/>
      <c r="GG438" s="275"/>
      <c r="GH438" s="275"/>
      <c r="GI438" s="275"/>
      <c r="GJ438" s="275"/>
      <c r="GK438" s="275"/>
      <c r="GL438" s="275"/>
      <c r="GM438" s="275"/>
      <c r="GN438" s="275"/>
      <c r="GO438" s="275"/>
      <c r="GP438" s="275"/>
      <c r="GQ438" s="275"/>
      <c r="GR438" s="275"/>
      <c r="GS438" s="275"/>
      <c r="GT438" s="275"/>
      <c r="GU438" s="275"/>
      <c r="GV438" s="275"/>
      <c r="GW438" s="275"/>
      <c r="GX438" s="275"/>
      <c r="GY438" s="275"/>
      <c r="GZ438" s="275"/>
      <c r="HA438" s="275"/>
      <c r="HB438" s="275"/>
      <c r="HC438" s="275"/>
      <c r="HD438" s="275"/>
      <c r="HE438" s="275"/>
      <c r="HF438" s="275"/>
      <c r="HG438" s="275"/>
      <c r="HH438" s="275"/>
      <c r="HI438" s="275"/>
      <c r="HJ438" s="275"/>
      <c r="HK438" s="275"/>
      <c r="HL438" s="275"/>
      <c r="HM438" s="275"/>
      <c r="HN438" s="275"/>
      <c r="HO438" s="275"/>
      <c r="HP438" s="275"/>
      <c r="HQ438" s="275"/>
      <c r="HR438" s="275"/>
    </row>
    <row r="439" spans="1:226" s="297" customFormat="1">
      <c r="A439" s="275"/>
      <c r="B439" s="21"/>
      <c r="C439" s="21"/>
      <c r="D439" s="21"/>
      <c r="E439" s="21"/>
      <c r="F439" s="275"/>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J439" s="275"/>
      <c r="AK439" s="275"/>
      <c r="AL439" s="275"/>
      <c r="AM439" s="275"/>
      <c r="AN439" s="275"/>
      <c r="AO439" s="275"/>
      <c r="AQ439" s="275"/>
      <c r="AR439" s="275"/>
      <c r="AS439" s="275"/>
      <c r="AT439" s="275"/>
      <c r="AU439" s="275"/>
      <c r="AV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D439" s="275"/>
      <c r="EE439" s="275"/>
      <c r="EF439" s="275"/>
      <c r="EG439" s="275"/>
      <c r="EH439" s="275"/>
      <c r="EI439" s="275"/>
      <c r="EJ439" s="275"/>
      <c r="EK439" s="275"/>
      <c r="EL439" s="275"/>
      <c r="EM439" s="275"/>
      <c r="EN439" s="275"/>
      <c r="EO439" s="275"/>
      <c r="EP439" s="275"/>
      <c r="EQ439" s="275"/>
      <c r="ER439" s="275"/>
      <c r="ES439" s="275"/>
      <c r="ET439" s="275"/>
      <c r="EU439"/>
      <c r="EV439"/>
      <c r="EW439" s="275"/>
      <c r="EX439" s="275"/>
      <c r="EY439" s="275"/>
      <c r="EZ439" s="275"/>
      <c r="FA439" s="275"/>
      <c r="FB439" s="275"/>
      <c r="FC439" s="275"/>
      <c r="FD439" s="275"/>
      <c r="FE439" s="275"/>
      <c r="FF439" s="275"/>
      <c r="FG439" s="275"/>
      <c r="FH439" s="275"/>
      <c r="FI439" s="275"/>
      <c r="FJ439" s="275"/>
      <c r="FK439" s="275"/>
      <c r="FL439" s="275"/>
      <c r="FM439" s="275"/>
      <c r="FN439" s="275"/>
      <c r="FO439" s="275"/>
      <c r="FP439" s="275"/>
      <c r="FQ439" s="275"/>
      <c r="FR439" s="275"/>
      <c r="FS439" s="275"/>
      <c r="FT439" s="275"/>
      <c r="FU439" s="275"/>
      <c r="FV439" s="275"/>
      <c r="FW439" s="275"/>
      <c r="FX439" s="275"/>
      <c r="FY439" s="275"/>
      <c r="FZ439" s="275"/>
      <c r="GA439" s="275"/>
      <c r="GB439" s="275"/>
      <c r="GC439" s="275"/>
      <c r="GD439" s="275"/>
      <c r="GE439" s="275"/>
      <c r="GF439" s="275"/>
      <c r="GG439" s="275"/>
      <c r="GH439" s="275"/>
      <c r="GI439" s="275"/>
      <c r="GJ439" s="275"/>
      <c r="GK439" s="275"/>
      <c r="GL439" s="275"/>
      <c r="GM439" s="275"/>
      <c r="GN439" s="275"/>
      <c r="GO439" s="275"/>
      <c r="GP439" s="275"/>
      <c r="GQ439" s="275"/>
      <c r="GR439" s="275"/>
      <c r="GS439" s="275"/>
      <c r="GT439" s="275"/>
      <c r="GU439" s="275"/>
      <c r="GV439" s="275"/>
      <c r="GW439" s="275"/>
      <c r="GX439" s="275"/>
      <c r="GY439" s="275"/>
      <c r="GZ439" s="275"/>
      <c r="HA439" s="275"/>
      <c r="HB439" s="275"/>
      <c r="HC439" s="275"/>
      <c r="HD439" s="275"/>
      <c r="HE439" s="275"/>
      <c r="HF439" s="275"/>
      <c r="HG439" s="275"/>
      <c r="HH439" s="275"/>
      <c r="HI439" s="275"/>
      <c r="HJ439" s="275"/>
      <c r="HK439" s="275"/>
      <c r="HL439" s="275"/>
      <c r="HM439" s="275"/>
      <c r="HN439" s="275"/>
      <c r="HO439" s="275"/>
      <c r="HP439" s="275"/>
      <c r="HQ439" s="275"/>
      <c r="HR439" s="275"/>
    </row>
    <row r="440" spans="1:226" s="297" customFormat="1">
      <c r="A440" s="275"/>
      <c r="B440" s="21"/>
      <c r="C440" s="21"/>
      <c r="D440" s="21"/>
      <c r="E440" s="21"/>
      <c r="F440" s="275"/>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J440" s="275"/>
      <c r="AK440" s="275"/>
      <c r="AL440" s="275"/>
      <c r="AM440" s="275"/>
      <c r="AN440" s="275"/>
      <c r="AO440" s="275"/>
      <c r="AQ440" s="275"/>
      <c r="AR440" s="275"/>
      <c r="AS440" s="275"/>
      <c r="AT440" s="275"/>
      <c r="AU440" s="275"/>
      <c r="AV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D440" s="275"/>
      <c r="EE440" s="275"/>
      <c r="EF440" s="275"/>
      <c r="EG440" s="275"/>
      <c r="EH440" s="275"/>
      <c r="EI440" s="275"/>
      <c r="EJ440" s="275"/>
      <c r="EK440" s="275"/>
      <c r="EL440" s="275"/>
      <c r="EM440" s="275"/>
      <c r="EN440" s="275"/>
      <c r="EO440" s="275"/>
      <c r="EP440" s="275"/>
      <c r="EQ440" s="275"/>
      <c r="ER440" s="275"/>
      <c r="ES440" s="275"/>
      <c r="ET440" s="275"/>
      <c r="EU440"/>
      <c r="EV440"/>
      <c r="EW440" s="275"/>
      <c r="EX440" s="275"/>
      <c r="EY440" s="275"/>
      <c r="EZ440" s="275"/>
      <c r="FA440" s="275"/>
      <c r="FB440" s="275"/>
      <c r="FC440" s="275"/>
      <c r="FD440" s="275"/>
      <c r="FE440" s="275"/>
      <c r="FF440" s="275"/>
      <c r="FG440" s="275"/>
      <c r="FH440" s="275"/>
      <c r="FI440" s="275"/>
      <c r="FJ440" s="275"/>
      <c r="FK440" s="275"/>
      <c r="FL440" s="275"/>
      <c r="FM440" s="275"/>
      <c r="FN440" s="275"/>
      <c r="FO440" s="275"/>
      <c r="FP440" s="275"/>
      <c r="FQ440" s="275"/>
      <c r="FR440" s="275"/>
      <c r="FS440" s="275"/>
      <c r="FT440" s="275"/>
      <c r="FU440" s="275"/>
      <c r="FV440" s="275"/>
      <c r="FW440" s="275"/>
      <c r="FX440" s="275"/>
      <c r="FY440" s="275"/>
      <c r="FZ440" s="275"/>
      <c r="GA440" s="275"/>
      <c r="GB440" s="275"/>
      <c r="GC440" s="275"/>
      <c r="GD440" s="275"/>
      <c r="GE440" s="275"/>
      <c r="GF440" s="275"/>
      <c r="GG440" s="275"/>
      <c r="GH440" s="275"/>
      <c r="GI440" s="275"/>
      <c r="GJ440" s="275"/>
      <c r="GK440" s="275"/>
      <c r="GL440" s="275"/>
      <c r="GM440" s="275"/>
      <c r="GN440" s="275"/>
      <c r="GO440" s="275"/>
      <c r="GP440" s="275"/>
      <c r="GQ440" s="275"/>
      <c r="GR440" s="275"/>
      <c r="GS440" s="275"/>
      <c r="GT440" s="275"/>
      <c r="GU440" s="275"/>
      <c r="GV440" s="275"/>
      <c r="GW440" s="275"/>
      <c r="GX440" s="275"/>
      <c r="GY440" s="275"/>
      <c r="GZ440" s="275"/>
      <c r="HA440" s="275"/>
      <c r="HB440" s="275"/>
      <c r="HC440" s="275"/>
      <c r="HD440" s="275"/>
      <c r="HE440" s="275"/>
      <c r="HF440" s="275"/>
      <c r="HG440" s="275"/>
      <c r="HH440" s="275"/>
      <c r="HI440" s="275"/>
      <c r="HJ440" s="275"/>
      <c r="HK440" s="275"/>
      <c r="HL440" s="275"/>
      <c r="HM440" s="275"/>
      <c r="HN440" s="275"/>
      <c r="HO440" s="275"/>
      <c r="HP440" s="275"/>
      <c r="HQ440" s="275"/>
      <c r="HR440" s="275"/>
    </row>
    <row r="441" spans="1:226" s="297" customFormat="1">
      <c r="A441" s="275"/>
      <c r="B441" s="21"/>
      <c r="C441" s="21"/>
      <c r="D441" s="21"/>
      <c r="E441" s="21"/>
      <c r="F441" s="275"/>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J441" s="275"/>
      <c r="AK441" s="275"/>
      <c r="AL441" s="275"/>
      <c r="AM441" s="275"/>
      <c r="AN441" s="275"/>
      <c r="AO441" s="275"/>
      <c r="AQ441" s="275"/>
      <c r="AR441" s="275"/>
      <c r="AS441" s="275"/>
      <c r="AT441" s="275"/>
      <c r="AU441" s="275"/>
      <c r="AV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D441" s="275"/>
      <c r="EE441" s="275"/>
      <c r="EF441" s="275"/>
      <c r="EG441" s="275"/>
      <c r="EH441" s="275"/>
      <c r="EI441" s="275"/>
      <c r="EJ441" s="275"/>
      <c r="EK441" s="275"/>
      <c r="EL441" s="275"/>
      <c r="EM441" s="275"/>
      <c r="EN441" s="275"/>
      <c r="EO441" s="275"/>
      <c r="EP441" s="275"/>
      <c r="EQ441" s="275"/>
      <c r="ER441" s="275"/>
      <c r="ES441" s="275"/>
      <c r="ET441" s="275"/>
      <c r="EU441"/>
      <c r="EV441"/>
      <c r="EW441" s="275"/>
      <c r="EX441" s="275"/>
      <c r="EY441" s="275"/>
      <c r="EZ441" s="275"/>
      <c r="FA441" s="275"/>
      <c r="FB441" s="275"/>
      <c r="FC441" s="275"/>
      <c r="FD441" s="275"/>
      <c r="FE441" s="275"/>
      <c r="FF441" s="275"/>
      <c r="FG441" s="275"/>
      <c r="FH441" s="275"/>
      <c r="FI441" s="275"/>
      <c r="FJ441" s="275"/>
      <c r="FK441" s="275"/>
      <c r="FL441" s="275"/>
      <c r="FM441" s="275"/>
      <c r="FN441" s="275"/>
      <c r="FO441" s="275"/>
      <c r="FP441" s="275"/>
      <c r="FQ441" s="275"/>
      <c r="FR441" s="275"/>
      <c r="FS441" s="275"/>
      <c r="FT441" s="275"/>
      <c r="FU441" s="275"/>
      <c r="FV441" s="275"/>
      <c r="FW441" s="275"/>
      <c r="FX441" s="275"/>
      <c r="FY441" s="275"/>
      <c r="FZ441" s="275"/>
      <c r="GA441" s="275"/>
      <c r="GB441" s="275"/>
      <c r="GC441" s="275"/>
      <c r="GD441" s="275"/>
      <c r="GE441" s="275"/>
      <c r="GF441" s="275"/>
      <c r="GG441" s="275"/>
      <c r="GH441" s="275"/>
      <c r="GI441" s="275"/>
      <c r="GJ441" s="275"/>
      <c r="GK441" s="275"/>
      <c r="GL441" s="275"/>
      <c r="GM441" s="275"/>
      <c r="GN441" s="275"/>
      <c r="GO441" s="275"/>
      <c r="GP441" s="275"/>
      <c r="GQ441" s="275"/>
      <c r="GR441" s="275"/>
      <c r="GS441" s="275"/>
      <c r="GT441" s="275"/>
      <c r="GU441" s="275"/>
      <c r="GV441" s="275"/>
      <c r="GW441" s="275"/>
      <c r="GX441" s="275"/>
      <c r="GY441" s="275"/>
      <c r="GZ441" s="275"/>
      <c r="HA441" s="275"/>
      <c r="HB441" s="275"/>
      <c r="HC441" s="275"/>
      <c r="HD441" s="275"/>
      <c r="HE441" s="275"/>
      <c r="HF441" s="275"/>
      <c r="HG441" s="275"/>
      <c r="HH441" s="275"/>
      <c r="HI441" s="275"/>
      <c r="HJ441" s="275"/>
      <c r="HK441" s="275"/>
      <c r="HL441" s="275"/>
      <c r="HM441" s="275"/>
      <c r="HN441" s="275"/>
      <c r="HO441" s="275"/>
      <c r="HP441" s="275"/>
      <c r="HQ441" s="275"/>
      <c r="HR441" s="275"/>
    </row>
    <row r="442" spans="1:226" s="297" customFormat="1">
      <c r="A442" s="275"/>
      <c r="B442" s="21"/>
      <c r="C442" s="21"/>
      <c r="D442" s="21"/>
      <c r="E442" s="21"/>
      <c r="F442" s="275"/>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J442" s="275"/>
      <c r="AK442" s="275"/>
      <c r="AL442" s="275"/>
      <c r="AM442" s="275"/>
      <c r="AN442" s="275"/>
      <c r="AO442" s="275"/>
      <c r="AQ442" s="275"/>
      <c r="AR442" s="275"/>
      <c r="AS442" s="275"/>
      <c r="AT442" s="275"/>
      <c r="AU442" s="275"/>
      <c r="AV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D442" s="275"/>
      <c r="EE442" s="275"/>
      <c r="EF442" s="275"/>
      <c r="EG442" s="275"/>
      <c r="EH442" s="275"/>
      <c r="EI442" s="275"/>
      <c r="EJ442" s="275"/>
      <c r="EK442" s="275"/>
      <c r="EL442" s="275"/>
      <c r="EM442" s="275"/>
      <c r="EN442" s="275"/>
      <c r="EO442" s="275"/>
      <c r="EP442" s="275"/>
      <c r="EQ442" s="275"/>
      <c r="ER442" s="275"/>
      <c r="ES442" s="275"/>
      <c r="ET442" s="275"/>
      <c r="EU442"/>
      <c r="EV442"/>
      <c r="EW442" s="275"/>
      <c r="EX442" s="275"/>
      <c r="EY442" s="275"/>
      <c r="EZ442" s="275"/>
      <c r="FA442" s="275"/>
      <c r="FB442" s="275"/>
      <c r="FC442" s="275"/>
      <c r="FD442" s="275"/>
      <c r="FE442" s="275"/>
      <c r="FF442" s="275"/>
      <c r="FG442" s="275"/>
      <c r="FH442" s="275"/>
      <c r="FI442" s="275"/>
      <c r="FJ442" s="275"/>
      <c r="FK442" s="275"/>
      <c r="FL442" s="275"/>
      <c r="FM442" s="275"/>
      <c r="FN442" s="275"/>
      <c r="FO442" s="275"/>
      <c r="FP442" s="275"/>
      <c r="FQ442" s="275"/>
      <c r="FR442" s="275"/>
      <c r="FS442" s="275"/>
      <c r="FT442" s="275"/>
      <c r="FU442" s="275"/>
      <c r="FV442" s="275"/>
      <c r="FW442" s="275"/>
      <c r="FX442" s="275"/>
      <c r="FY442" s="275"/>
      <c r="FZ442" s="275"/>
      <c r="GA442" s="275"/>
      <c r="GB442" s="275"/>
      <c r="GC442" s="275"/>
      <c r="GD442" s="275"/>
      <c r="GE442" s="275"/>
      <c r="GF442" s="275"/>
      <c r="GG442" s="275"/>
      <c r="GH442" s="275"/>
      <c r="GI442" s="275"/>
      <c r="GJ442" s="275"/>
      <c r="GK442" s="275"/>
      <c r="GL442" s="275"/>
      <c r="GM442" s="275"/>
      <c r="GN442" s="275"/>
      <c r="GO442" s="275"/>
      <c r="GP442" s="275"/>
      <c r="GQ442" s="275"/>
      <c r="GR442" s="275"/>
      <c r="GS442" s="275"/>
      <c r="GT442" s="275"/>
      <c r="GU442" s="275"/>
      <c r="GV442" s="275"/>
      <c r="GW442" s="275"/>
      <c r="GX442" s="275"/>
      <c r="GY442" s="275"/>
      <c r="GZ442" s="275"/>
      <c r="HA442" s="275"/>
      <c r="HB442" s="275"/>
      <c r="HC442" s="275"/>
      <c r="HD442" s="275"/>
      <c r="HE442" s="275"/>
      <c r="HF442" s="275"/>
      <c r="HG442" s="275"/>
      <c r="HH442" s="275"/>
      <c r="HI442" s="275"/>
      <c r="HJ442" s="275"/>
      <c r="HK442" s="275"/>
      <c r="HL442" s="275"/>
      <c r="HM442" s="275"/>
      <c r="HN442" s="275"/>
      <c r="HO442" s="275"/>
      <c r="HP442" s="275"/>
      <c r="HQ442" s="275"/>
      <c r="HR442" s="275"/>
    </row>
    <row r="443" spans="1:226" s="297" customFormat="1">
      <c r="A443" s="275"/>
      <c r="B443" s="21"/>
      <c r="C443" s="21"/>
      <c r="D443" s="21"/>
      <c r="E443" s="21"/>
      <c r="F443" s="275"/>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J443" s="275"/>
      <c r="AK443" s="275"/>
      <c r="AL443" s="275"/>
      <c r="AM443" s="275"/>
      <c r="AN443" s="275"/>
      <c r="AO443" s="275"/>
      <c r="AQ443" s="275"/>
      <c r="AR443" s="275"/>
      <c r="AS443" s="275"/>
      <c r="AT443" s="275"/>
      <c r="AU443" s="275"/>
      <c r="AV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D443" s="275"/>
      <c r="EE443" s="275"/>
      <c r="EF443" s="275"/>
      <c r="EG443" s="275"/>
      <c r="EH443" s="275"/>
      <c r="EI443" s="275"/>
      <c r="EJ443" s="275"/>
      <c r="EK443" s="275"/>
      <c r="EL443" s="275"/>
      <c r="EM443" s="275"/>
      <c r="EN443" s="275"/>
      <c r="EO443" s="275"/>
      <c r="EP443" s="275"/>
      <c r="EQ443" s="275"/>
      <c r="ER443" s="275"/>
      <c r="ES443" s="275"/>
      <c r="ET443" s="275"/>
      <c r="EU443"/>
      <c r="EV443"/>
      <c r="EW443" s="275"/>
      <c r="EX443" s="275"/>
      <c r="EY443" s="275"/>
      <c r="EZ443" s="275"/>
      <c r="FA443" s="275"/>
      <c r="FB443" s="275"/>
      <c r="FC443" s="275"/>
      <c r="FD443" s="275"/>
      <c r="FE443" s="275"/>
      <c r="FF443" s="275"/>
      <c r="FG443" s="275"/>
      <c r="FH443" s="275"/>
      <c r="FI443" s="275"/>
      <c r="FJ443" s="275"/>
      <c r="FK443" s="275"/>
      <c r="FL443" s="275"/>
      <c r="FM443" s="275"/>
      <c r="FN443" s="275"/>
      <c r="FO443" s="275"/>
      <c r="FP443" s="275"/>
      <c r="FQ443" s="275"/>
      <c r="FR443" s="275"/>
      <c r="FS443" s="275"/>
      <c r="FT443" s="275"/>
      <c r="FU443" s="275"/>
      <c r="FV443" s="275"/>
      <c r="FW443" s="275"/>
      <c r="FX443" s="275"/>
      <c r="FY443" s="275"/>
      <c r="FZ443" s="275"/>
      <c r="GA443" s="275"/>
      <c r="GB443" s="275"/>
      <c r="GC443" s="275"/>
      <c r="GD443" s="275"/>
      <c r="GE443" s="275"/>
      <c r="GF443" s="275"/>
      <c r="GG443" s="275"/>
      <c r="GH443" s="275"/>
      <c r="GI443" s="275"/>
      <c r="GJ443" s="275"/>
      <c r="GK443" s="275"/>
      <c r="GL443" s="275"/>
      <c r="GM443" s="275"/>
      <c r="GN443" s="275"/>
      <c r="GO443" s="275"/>
      <c r="GP443" s="275"/>
      <c r="GQ443" s="275"/>
      <c r="GR443" s="275"/>
      <c r="GS443" s="275"/>
      <c r="GT443" s="275"/>
      <c r="GU443" s="275"/>
      <c r="GV443" s="275"/>
      <c r="GW443" s="275"/>
      <c r="GX443" s="275"/>
      <c r="GY443" s="275"/>
      <c r="GZ443" s="275"/>
      <c r="HA443" s="275"/>
      <c r="HB443" s="275"/>
      <c r="HC443" s="275"/>
      <c r="HD443" s="275"/>
      <c r="HE443" s="275"/>
      <c r="HF443" s="275"/>
      <c r="HG443" s="275"/>
      <c r="HH443" s="275"/>
      <c r="HI443" s="275"/>
      <c r="HJ443" s="275"/>
      <c r="HK443" s="275"/>
      <c r="HL443" s="275"/>
      <c r="HM443" s="275"/>
      <c r="HN443" s="275"/>
      <c r="HO443" s="275"/>
      <c r="HP443" s="275"/>
      <c r="HQ443" s="275"/>
      <c r="HR443" s="275"/>
    </row>
    <row r="444" spans="1:226" s="297" customFormat="1">
      <c r="A444" s="275"/>
      <c r="B444" s="21"/>
      <c r="C444" s="21"/>
      <c r="D444" s="21"/>
      <c r="E444" s="21"/>
      <c r="F444" s="275"/>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J444" s="275"/>
      <c r="AK444" s="275"/>
      <c r="AL444" s="275"/>
      <c r="AM444" s="275"/>
      <c r="AN444" s="275"/>
      <c r="AO444" s="275"/>
      <c r="AQ444" s="275"/>
      <c r="AR444" s="275"/>
      <c r="AS444" s="275"/>
      <c r="AT444" s="275"/>
      <c r="AU444" s="275"/>
      <c r="AV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D444" s="275"/>
      <c r="EE444" s="275"/>
      <c r="EF444" s="275"/>
      <c r="EG444" s="275"/>
      <c r="EH444" s="275"/>
      <c r="EI444" s="275"/>
      <c r="EJ444" s="275"/>
      <c r="EK444" s="275"/>
      <c r="EL444" s="275"/>
      <c r="EM444" s="275"/>
      <c r="EN444" s="275"/>
      <c r="EO444" s="275"/>
      <c r="EP444" s="275"/>
      <c r="EQ444" s="275"/>
      <c r="ER444" s="275"/>
      <c r="ES444" s="275"/>
      <c r="ET444" s="275"/>
      <c r="EU444"/>
      <c r="EV444"/>
      <c r="EW444" s="275"/>
      <c r="EX444" s="275"/>
      <c r="EY444" s="275"/>
      <c r="EZ444" s="275"/>
      <c r="FA444" s="275"/>
      <c r="FB444" s="275"/>
      <c r="FC444" s="275"/>
      <c r="FD444" s="275"/>
      <c r="FE444" s="275"/>
      <c r="FF444" s="275"/>
      <c r="FG444" s="275"/>
      <c r="FH444" s="275"/>
      <c r="FI444" s="275"/>
      <c r="FJ444" s="275"/>
      <c r="FK444" s="275"/>
      <c r="FL444" s="275"/>
      <c r="FM444" s="275"/>
      <c r="FN444" s="275"/>
      <c r="FO444" s="275"/>
      <c r="FP444" s="275"/>
      <c r="FQ444" s="275"/>
      <c r="FR444" s="275"/>
      <c r="FS444" s="275"/>
      <c r="FT444" s="275"/>
      <c r="FU444" s="275"/>
      <c r="FV444" s="275"/>
      <c r="FW444" s="275"/>
      <c r="FX444" s="275"/>
      <c r="FY444" s="275"/>
      <c r="FZ444" s="275"/>
      <c r="GA444" s="275"/>
      <c r="GB444" s="275"/>
      <c r="GC444" s="275"/>
      <c r="GD444" s="275"/>
      <c r="GE444" s="275"/>
      <c r="GF444" s="275"/>
      <c r="GG444" s="275"/>
      <c r="GH444" s="275"/>
      <c r="GI444" s="275"/>
      <c r="GJ444" s="275"/>
      <c r="GK444" s="275"/>
      <c r="GL444" s="275"/>
      <c r="GM444" s="275"/>
      <c r="GN444" s="275"/>
      <c r="GO444" s="275"/>
      <c r="GP444" s="275"/>
      <c r="GQ444" s="275"/>
      <c r="GR444" s="275"/>
      <c r="GS444" s="275"/>
      <c r="GT444" s="275"/>
      <c r="GU444" s="275"/>
      <c r="GV444" s="275"/>
      <c r="GW444" s="275"/>
      <c r="GX444" s="275"/>
      <c r="GY444" s="275"/>
      <c r="GZ444" s="275"/>
      <c r="HA444" s="275"/>
      <c r="HB444" s="275"/>
      <c r="HC444" s="275"/>
      <c r="HD444" s="275"/>
      <c r="HE444" s="275"/>
      <c r="HF444" s="275"/>
      <c r="HG444" s="275"/>
      <c r="HH444" s="275"/>
      <c r="HI444" s="275"/>
      <c r="HJ444" s="275"/>
      <c r="HK444" s="275"/>
      <c r="HL444" s="275"/>
      <c r="HM444" s="275"/>
      <c r="HN444" s="275"/>
      <c r="HO444" s="275"/>
      <c r="HP444" s="275"/>
      <c r="HQ444" s="275"/>
      <c r="HR444" s="275"/>
    </row>
    <row r="445" spans="1:226" s="297" customFormat="1">
      <c r="A445" s="275"/>
      <c r="B445" s="21"/>
      <c r="C445" s="21"/>
      <c r="D445" s="21"/>
      <c r="E445" s="21"/>
      <c r="F445" s="275"/>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J445" s="275"/>
      <c r="AK445" s="275"/>
      <c r="AL445" s="275"/>
      <c r="AM445" s="275"/>
      <c r="AN445" s="275"/>
      <c r="AO445" s="275"/>
      <c r="AQ445" s="275"/>
      <c r="AR445" s="275"/>
      <c r="AS445" s="275"/>
      <c r="AT445" s="275"/>
      <c r="AU445" s="275"/>
      <c r="AV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D445" s="275"/>
      <c r="EE445" s="275"/>
      <c r="EF445" s="275"/>
      <c r="EG445" s="275"/>
      <c r="EH445" s="275"/>
      <c r="EI445" s="275"/>
      <c r="EJ445" s="275"/>
      <c r="EK445" s="275"/>
      <c r="EL445" s="275"/>
      <c r="EM445" s="275"/>
      <c r="EN445" s="275"/>
      <c r="EO445" s="275"/>
      <c r="EP445" s="275"/>
      <c r="EQ445" s="275"/>
      <c r="ER445" s="275"/>
      <c r="ES445" s="275"/>
      <c r="ET445" s="275"/>
      <c r="EU445"/>
      <c r="EV445"/>
      <c r="EW445" s="275"/>
      <c r="EX445" s="275"/>
      <c r="EY445" s="275"/>
      <c r="EZ445" s="275"/>
      <c r="FA445" s="275"/>
      <c r="FB445" s="275"/>
      <c r="FC445" s="275"/>
      <c r="FD445" s="275"/>
      <c r="FE445" s="275"/>
      <c r="FF445" s="275"/>
      <c r="FG445" s="275"/>
      <c r="FH445" s="275"/>
      <c r="FI445" s="275"/>
      <c r="FJ445" s="275"/>
      <c r="FK445" s="275"/>
      <c r="FL445" s="275"/>
      <c r="FM445" s="275"/>
      <c r="FN445" s="275"/>
      <c r="FO445" s="275"/>
      <c r="FP445" s="275"/>
      <c r="FQ445" s="275"/>
      <c r="FR445" s="275"/>
      <c r="FS445" s="275"/>
      <c r="FT445" s="275"/>
      <c r="FU445" s="275"/>
      <c r="FV445" s="275"/>
      <c r="FW445" s="275"/>
      <c r="FX445" s="275"/>
      <c r="FY445" s="275"/>
      <c r="FZ445" s="275"/>
      <c r="GA445" s="275"/>
      <c r="GB445" s="275"/>
      <c r="GC445" s="275"/>
      <c r="GD445" s="275"/>
      <c r="GE445" s="275"/>
      <c r="GF445" s="275"/>
      <c r="GG445" s="275"/>
      <c r="GH445" s="275"/>
      <c r="GI445" s="275"/>
      <c r="GJ445" s="275"/>
      <c r="GK445" s="275"/>
      <c r="GL445" s="275"/>
      <c r="GM445" s="275"/>
      <c r="GN445" s="275"/>
      <c r="GO445" s="275"/>
      <c r="GP445" s="275"/>
      <c r="GQ445" s="275"/>
      <c r="GR445" s="275"/>
      <c r="GS445" s="275"/>
      <c r="GT445" s="275"/>
      <c r="GU445" s="275"/>
      <c r="GV445" s="275"/>
      <c r="GW445" s="275"/>
      <c r="GX445" s="275"/>
      <c r="GY445" s="275"/>
      <c r="GZ445" s="275"/>
      <c r="HA445" s="275"/>
      <c r="HB445" s="275"/>
      <c r="HC445" s="275"/>
      <c r="HD445" s="275"/>
      <c r="HE445" s="275"/>
      <c r="HF445" s="275"/>
      <c r="HG445" s="275"/>
      <c r="HH445" s="275"/>
      <c r="HI445" s="275"/>
      <c r="HJ445" s="275"/>
      <c r="HK445" s="275"/>
      <c r="HL445" s="275"/>
      <c r="HM445" s="275"/>
      <c r="HN445" s="275"/>
      <c r="HO445" s="275"/>
      <c r="HP445" s="275"/>
      <c r="HQ445" s="275"/>
      <c r="HR445" s="275"/>
    </row>
    <row r="446" spans="1:226" s="297" customFormat="1">
      <c r="A446" s="275"/>
      <c r="B446" s="21"/>
      <c r="C446" s="21"/>
      <c r="D446" s="21"/>
      <c r="E446" s="21"/>
      <c r="F446" s="275"/>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J446" s="275"/>
      <c r="AK446" s="275"/>
      <c r="AL446" s="275"/>
      <c r="AM446" s="275"/>
      <c r="AN446" s="275"/>
      <c r="AO446" s="275"/>
      <c r="AQ446" s="275"/>
      <c r="AR446" s="275"/>
      <c r="AS446" s="275"/>
      <c r="AT446" s="275"/>
      <c r="AU446" s="275"/>
      <c r="AV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D446" s="275"/>
      <c r="EE446" s="275"/>
      <c r="EF446" s="275"/>
      <c r="EG446" s="275"/>
      <c r="EH446" s="275"/>
      <c r="EI446" s="275"/>
      <c r="EJ446" s="275"/>
      <c r="EK446" s="275"/>
      <c r="EL446" s="275"/>
      <c r="EM446" s="275"/>
      <c r="EN446" s="275"/>
      <c r="EO446" s="275"/>
      <c r="EP446" s="275"/>
      <c r="EQ446" s="275"/>
      <c r="ER446" s="275"/>
      <c r="ES446" s="275"/>
      <c r="ET446" s="275"/>
      <c r="EU446"/>
      <c r="EV446"/>
      <c r="EW446" s="275"/>
      <c r="EX446" s="275"/>
      <c r="EY446" s="275"/>
      <c r="EZ446" s="275"/>
      <c r="FA446" s="275"/>
      <c r="FB446" s="275"/>
      <c r="FC446" s="275"/>
      <c r="FD446" s="275"/>
      <c r="FE446" s="275"/>
      <c r="FF446" s="275"/>
      <c r="FG446" s="275"/>
      <c r="FH446" s="275"/>
      <c r="FI446" s="275"/>
      <c r="FJ446" s="275"/>
      <c r="FK446" s="275"/>
      <c r="FL446" s="275"/>
      <c r="FM446" s="275"/>
      <c r="FN446" s="275"/>
      <c r="FO446" s="275"/>
      <c r="FP446" s="275"/>
      <c r="FQ446" s="275"/>
      <c r="FR446" s="275"/>
      <c r="FS446" s="275"/>
      <c r="FT446" s="275"/>
      <c r="FU446" s="275"/>
      <c r="FV446" s="275"/>
      <c r="FW446" s="275"/>
      <c r="FX446" s="275"/>
      <c r="FY446" s="275"/>
      <c r="FZ446" s="275"/>
      <c r="GA446" s="275"/>
      <c r="GB446" s="275"/>
      <c r="GC446" s="275"/>
      <c r="GD446" s="275"/>
      <c r="GE446" s="275"/>
      <c r="GF446" s="275"/>
      <c r="GG446" s="275"/>
      <c r="GH446" s="275"/>
      <c r="GI446" s="275"/>
      <c r="GJ446" s="275"/>
      <c r="GK446" s="275"/>
      <c r="GL446" s="275"/>
      <c r="GM446" s="275"/>
      <c r="GN446" s="275"/>
      <c r="GO446" s="275"/>
      <c r="GP446" s="275"/>
      <c r="GQ446" s="275"/>
      <c r="GR446" s="275"/>
      <c r="GS446" s="275"/>
      <c r="GT446" s="275"/>
      <c r="GU446" s="275"/>
      <c r="GV446" s="275"/>
      <c r="GW446" s="275"/>
      <c r="GX446" s="275"/>
      <c r="GY446" s="275"/>
      <c r="GZ446" s="275"/>
      <c r="HA446" s="275"/>
      <c r="HB446" s="275"/>
      <c r="HC446" s="275"/>
      <c r="HD446" s="275"/>
      <c r="HE446" s="275"/>
      <c r="HF446" s="275"/>
      <c r="HG446" s="275"/>
      <c r="HH446" s="275"/>
      <c r="HI446" s="275"/>
      <c r="HJ446" s="275"/>
      <c r="HK446" s="275"/>
      <c r="HL446" s="275"/>
      <c r="HM446" s="275"/>
      <c r="HN446" s="275"/>
      <c r="HO446" s="275"/>
      <c r="HP446" s="275"/>
      <c r="HQ446" s="275"/>
      <c r="HR446" s="275"/>
    </row>
    <row r="447" spans="1:226" s="297" customFormat="1">
      <c r="A447" s="275"/>
      <c r="B447" s="21"/>
      <c r="C447" s="21"/>
      <c r="D447" s="21"/>
      <c r="E447" s="21"/>
      <c r="F447" s="275"/>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J447" s="275"/>
      <c r="AK447" s="275"/>
      <c r="AL447" s="275"/>
      <c r="AM447" s="275"/>
      <c r="AN447" s="275"/>
      <c r="AO447" s="275"/>
      <c r="AQ447" s="275"/>
      <c r="AR447" s="275"/>
      <c r="AS447" s="275"/>
      <c r="AT447" s="275"/>
      <c r="AU447" s="275"/>
      <c r="AV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D447" s="275"/>
      <c r="EE447" s="275"/>
      <c r="EF447" s="275"/>
      <c r="EG447" s="275"/>
      <c r="EH447" s="275"/>
      <c r="EI447" s="275"/>
      <c r="EJ447" s="275"/>
      <c r="EK447" s="275"/>
      <c r="EL447" s="275"/>
      <c r="EM447" s="275"/>
      <c r="EN447" s="275"/>
      <c r="EO447" s="275"/>
      <c r="EP447" s="275"/>
      <c r="EQ447" s="275"/>
      <c r="ER447" s="275"/>
      <c r="ES447" s="275"/>
      <c r="ET447" s="275"/>
      <c r="EU447"/>
      <c r="EV447"/>
      <c r="EW447" s="275"/>
      <c r="EX447" s="275"/>
      <c r="EY447" s="275"/>
      <c r="EZ447" s="275"/>
      <c r="FA447" s="275"/>
      <c r="FB447" s="275"/>
      <c r="FC447" s="275"/>
      <c r="FD447" s="275"/>
      <c r="FE447" s="275"/>
      <c r="FF447" s="275"/>
      <c r="FG447" s="275"/>
      <c r="FH447" s="275"/>
      <c r="FI447" s="275"/>
      <c r="FJ447" s="275"/>
      <c r="FK447" s="275"/>
      <c r="FL447" s="275"/>
      <c r="FM447" s="275"/>
      <c r="FN447" s="275"/>
      <c r="FO447" s="275"/>
      <c r="FP447" s="275"/>
      <c r="FQ447" s="275"/>
      <c r="FR447" s="275"/>
      <c r="FS447" s="275"/>
      <c r="FT447" s="275"/>
      <c r="FU447" s="275"/>
      <c r="FV447" s="275"/>
      <c r="FW447" s="275"/>
      <c r="FX447" s="275"/>
      <c r="FY447" s="275"/>
      <c r="FZ447" s="275"/>
      <c r="GA447" s="275"/>
      <c r="GB447" s="275"/>
      <c r="GC447" s="275"/>
      <c r="GD447" s="275"/>
      <c r="GE447" s="275"/>
      <c r="GF447" s="275"/>
      <c r="GG447" s="275"/>
      <c r="GH447" s="275"/>
      <c r="GI447" s="275"/>
      <c r="GJ447" s="275"/>
      <c r="GK447" s="275"/>
      <c r="GL447" s="275"/>
      <c r="GM447" s="275"/>
      <c r="GN447" s="275"/>
      <c r="GO447" s="275"/>
      <c r="GP447" s="275"/>
      <c r="GQ447" s="275"/>
      <c r="GR447" s="275"/>
      <c r="GS447" s="275"/>
      <c r="GT447" s="275"/>
      <c r="GU447" s="275"/>
      <c r="GV447" s="275"/>
      <c r="GW447" s="275"/>
      <c r="GX447" s="275"/>
      <c r="GY447" s="275"/>
      <c r="GZ447" s="275"/>
      <c r="HA447" s="275"/>
      <c r="HB447" s="275"/>
      <c r="HC447" s="275"/>
      <c r="HD447" s="275"/>
      <c r="HE447" s="275"/>
      <c r="HF447" s="275"/>
      <c r="HG447" s="275"/>
      <c r="HH447" s="275"/>
      <c r="HI447" s="275"/>
      <c r="HJ447" s="275"/>
      <c r="HK447" s="275"/>
      <c r="HL447" s="275"/>
      <c r="HM447" s="275"/>
      <c r="HN447" s="275"/>
      <c r="HO447" s="275"/>
      <c r="HP447" s="275"/>
      <c r="HQ447" s="275"/>
      <c r="HR447" s="275"/>
    </row>
    <row r="448" spans="1:226" s="297" customFormat="1">
      <c r="A448" s="275"/>
      <c r="B448" s="21"/>
      <c r="C448" s="21"/>
      <c r="D448" s="21"/>
      <c r="E448" s="21"/>
      <c r="F448" s="275"/>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J448" s="275"/>
      <c r="AK448" s="275"/>
      <c r="AL448" s="275"/>
      <c r="AM448" s="275"/>
      <c r="AN448" s="275"/>
      <c r="AO448" s="275"/>
      <c r="AQ448" s="275"/>
      <c r="AR448" s="275"/>
      <c r="AS448" s="275"/>
      <c r="AT448" s="275"/>
      <c r="AU448" s="275"/>
      <c r="AV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D448" s="275"/>
      <c r="EE448" s="275"/>
      <c r="EF448" s="275"/>
      <c r="EG448" s="275"/>
      <c r="EH448" s="275"/>
      <c r="EI448" s="275"/>
      <c r="EJ448" s="275"/>
      <c r="EK448" s="275"/>
      <c r="EL448" s="275"/>
      <c r="EM448" s="275"/>
      <c r="EN448" s="275"/>
      <c r="EO448" s="275"/>
      <c r="EP448" s="275"/>
      <c r="EQ448" s="275"/>
      <c r="ER448" s="275"/>
      <c r="ES448" s="275"/>
      <c r="ET448" s="275"/>
      <c r="EU448"/>
      <c r="EV448"/>
      <c r="EW448" s="275"/>
      <c r="EX448" s="275"/>
      <c r="EY448" s="275"/>
      <c r="EZ448" s="275"/>
      <c r="FA448" s="275"/>
      <c r="FB448" s="275"/>
      <c r="FC448" s="275"/>
      <c r="FD448" s="275"/>
      <c r="FE448" s="275"/>
      <c r="FF448" s="275"/>
      <c r="FG448" s="275"/>
      <c r="FH448" s="275"/>
      <c r="FI448" s="275"/>
      <c r="FJ448" s="275"/>
      <c r="FK448" s="275"/>
      <c r="FL448" s="275"/>
      <c r="FM448" s="275"/>
      <c r="FN448" s="275"/>
      <c r="FO448" s="275"/>
      <c r="FP448" s="275"/>
      <c r="FQ448" s="275"/>
      <c r="FR448" s="275"/>
      <c r="FS448" s="275"/>
      <c r="FT448" s="275"/>
      <c r="FU448" s="275"/>
      <c r="FV448" s="275"/>
      <c r="FW448" s="275"/>
      <c r="FX448" s="275"/>
      <c r="FY448" s="275"/>
      <c r="FZ448" s="275"/>
      <c r="GA448" s="275"/>
      <c r="GB448" s="275"/>
      <c r="GC448" s="275"/>
      <c r="GD448" s="275"/>
      <c r="GE448" s="275"/>
      <c r="GF448" s="275"/>
      <c r="GG448" s="275"/>
      <c r="GH448" s="275"/>
      <c r="GI448" s="275"/>
      <c r="GJ448" s="275"/>
      <c r="GK448" s="275"/>
      <c r="GL448" s="275"/>
      <c r="GM448" s="275"/>
      <c r="GN448" s="275"/>
      <c r="GO448" s="275"/>
      <c r="GP448" s="275"/>
      <c r="GQ448" s="275"/>
      <c r="GR448" s="275"/>
      <c r="GS448" s="275"/>
      <c r="GT448" s="275"/>
      <c r="GU448" s="275"/>
      <c r="GV448" s="275"/>
      <c r="GW448" s="275"/>
      <c r="GX448" s="275"/>
      <c r="GY448" s="275"/>
      <c r="GZ448" s="275"/>
      <c r="HA448" s="275"/>
      <c r="HB448" s="275"/>
      <c r="HC448" s="275"/>
      <c r="HD448" s="275"/>
      <c r="HE448" s="275"/>
      <c r="HF448" s="275"/>
      <c r="HG448" s="275"/>
      <c r="HH448" s="275"/>
      <c r="HI448" s="275"/>
      <c r="HJ448" s="275"/>
      <c r="HK448" s="275"/>
      <c r="HL448" s="275"/>
      <c r="HM448" s="275"/>
      <c r="HN448" s="275"/>
      <c r="HO448" s="275"/>
      <c r="HP448" s="275"/>
      <c r="HQ448" s="275"/>
      <c r="HR448" s="275"/>
    </row>
    <row r="449" spans="1:226" s="297" customFormat="1">
      <c r="A449" s="275"/>
      <c r="B449" s="21"/>
      <c r="C449" s="21"/>
      <c r="D449" s="21"/>
      <c r="E449" s="21"/>
      <c r="F449" s="275"/>
      <c r="G449" s="275"/>
      <c r="H449" s="275"/>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J449" s="275"/>
      <c r="AK449" s="275"/>
      <c r="AL449" s="275"/>
      <c r="AM449" s="275"/>
      <c r="AN449" s="275"/>
      <c r="AO449" s="275"/>
      <c r="AQ449" s="275"/>
      <c r="AR449" s="275"/>
      <c r="AS449" s="275"/>
      <c r="AT449" s="275"/>
      <c r="AU449" s="275"/>
      <c r="AV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D449" s="275"/>
      <c r="EE449" s="275"/>
      <c r="EF449" s="275"/>
      <c r="EG449" s="275"/>
      <c r="EH449" s="275"/>
      <c r="EI449" s="275"/>
      <c r="EJ449" s="275"/>
      <c r="EK449" s="275"/>
      <c r="EL449" s="275"/>
      <c r="EM449" s="275"/>
      <c r="EN449" s="275"/>
      <c r="EO449" s="275"/>
      <c r="EP449" s="275"/>
      <c r="EQ449" s="275"/>
      <c r="ER449" s="275"/>
      <c r="ES449" s="275"/>
      <c r="ET449" s="275"/>
      <c r="EU449"/>
      <c r="EV449"/>
      <c r="EW449" s="275"/>
      <c r="EX449" s="275"/>
      <c r="EY449" s="275"/>
      <c r="EZ449" s="275"/>
      <c r="FA449" s="275"/>
      <c r="FB449" s="275"/>
      <c r="FC449" s="275"/>
      <c r="FD449" s="275"/>
      <c r="FE449" s="275"/>
      <c r="FF449" s="275"/>
      <c r="FG449" s="275"/>
      <c r="FH449" s="275"/>
      <c r="FI449" s="275"/>
      <c r="FJ449" s="275"/>
      <c r="FK449" s="275"/>
      <c r="FL449" s="275"/>
      <c r="FM449" s="275"/>
      <c r="FN449" s="275"/>
      <c r="FO449" s="275"/>
      <c r="FP449" s="275"/>
      <c r="FQ449" s="275"/>
      <c r="FR449" s="275"/>
      <c r="FS449" s="275"/>
      <c r="FT449" s="275"/>
      <c r="FU449" s="275"/>
      <c r="FV449" s="275"/>
      <c r="FW449" s="275"/>
      <c r="FX449" s="275"/>
      <c r="FY449" s="275"/>
      <c r="FZ449" s="275"/>
      <c r="GA449" s="275"/>
      <c r="GB449" s="275"/>
      <c r="GC449" s="275"/>
      <c r="GD449" s="275"/>
      <c r="GE449" s="275"/>
      <c r="GF449" s="275"/>
      <c r="GG449" s="275"/>
      <c r="GH449" s="275"/>
      <c r="GI449" s="275"/>
      <c r="GJ449" s="275"/>
      <c r="GK449" s="275"/>
      <c r="GL449" s="275"/>
      <c r="GM449" s="275"/>
      <c r="GN449" s="275"/>
      <c r="GO449" s="275"/>
      <c r="GP449" s="275"/>
      <c r="GQ449" s="275"/>
      <c r="GR449" s="275"/>
      <c r="GS449" s="275"/>
      <c r="GT449" s="275"/>
      <c r="GU449" s="275"/>
      <c r="GV449" s="275"/>
      <c r="GW449" s="275"/>
      <c r="GX449" s="275"/>
      <c r="GY449" s="275"/>
      <c r="GZ449" s="275"/>
      <c r="HA449" s="275"/>
      <c r="HB449" s="275"/>
      <c r="HC449" s="275"/>
      <c r="HD449" s="275"/>
      <c r="HE449" s="275"/>
      <c r="HF449" s="275"/>
      <c r="HG449" s="275"/>
      <c r="HH449" s="275"/>
      <c r="HI449" s="275"/>
      <c r="HJ449" s="275"/>
      <c r="HK449" s="275"/>
      <c r="HL449" s="275"/>
      <c r="HM449" s="275"/>
      <c r="HN449" s="275"/>
      <c r="HO449" s="275"/>
      <c r="HP449" s="275"/>
      <c r="HQ449" s="275"/>
      <c r="HR449" s="275"/>
    </row>
    <row r="450" spans="1:226" s="297" customFormat="1">
      <c r="A450" s="275"/>
      <c r="B450" s="21"/>
      <c r="C450" s="21"/>
      <c r="D450" s="21"/>
      <c r="E450" s="21"/>
      <c r="F450" s="275"/>
      <c r="G450" s="275"/>
      <c r="H450" s="275"/>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J450" s="275"/>
      <c r="AK450" s="275"/>
      <c r="AL450" s="275"/>
      <c r="AM450" s="275"/>
      <c r="AN450" s="275"/>
      <c r="AO450" s="275"/>
      <c r="AQ450" s="275"/>
      <c r="AR450" s="275"/>
      <c r="AS450" s="275"/>
      <c r="AT450" s="275"/>
      <c r="AU450" s="275"/>
      <c r="AV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D450" s="275"/>
      <c r="EE450" s="275"/>
      <c r="EF450" s="275"/>
      <c r="EG450" s="275"/>
      <c r="EH450" s="275"/>
      <c r="EI450" s="275"/>
      <c r="EJ450" s="275"/>
      <c r="EK450" s="275"/>
      <c r="EL450" s="275"/>
      <c r="EM450" s="275"/>
      <c r="EN450" s="275"/>
      <c r="EO450" s="275"/>
      <c r="EP450" s="275"/>
      <c r="EQ450" s="275"/>
      <c r="ER450" s="275"/>
      <c r="ES450" s="275"/>
      <c r="ET450" s="275"/>
      <c r="EU450"/>
      <c r="EV450"/>
      <c r="EW450" s="275"/>
      <c r="EX450" s="275"/>
      <c r="EY450" s="275"/>
      <c r="EZ450" s="275"/>
      <c r="FA450" s="275"/>
      <c r="FB450" s="275"/>
      <c r="FC450" s="275"/>
      <c r="FD450" s="275"/>
      <c r="FE450" s="275"/>
      <c r="FF450" s="275"/>
      <c r="FG450" s="275"/>
      <c r="FH450" s="275"/>
      <c r="FI450" s="275"/>
      <c r="FJ450" s="275"/>
      <c r="FK450" s="275"/>
      <c r="FL450" s="275"/>
      <c r="FM450" s="275"/>
      <c r="FN450" s="275"/>
      <c r="FO450" s="275"/>
      <c r="FP450" s="275"/>
      <c r="FQ450" s="275"/>
      <c r="FR450" s="275"/>
      <c r="FS450" s="275"/>
      <c r="FT450" s="275"/>
      <c r="FU450" s="275"/>
      <c r="FV450" s="275"/>
      <c r="FW450" s="275"/>
      <c r="FX450" s="275"/>
      <c r="FY450" s="275"/>
      <c r="FZ450" s="275"/>
      <c r="GA450" s="275"/>
      <c r="GB450" s="275"/>
      <c r="GC450" s="275"/>
      <c r="GD450" s="275"/>
      <c r="GE450" s="275"/>
      <c r="GF450" s="275"/>
      <c r="GG450" s="275"/>
      <c r="GH450" s="275"/>
      <c r="GI450" s="275"/>
      <c r="GJ450" s="275"/>
      <c r="GK450" s="275"/>
      <c r="GL450" s="275"/>
      <c r="GM450" s="275"/>
      <c r="GN450" s="275"/>
      <c r="GO450" s="275"/>
      <c r="GP450" s="275"/>
      <c r="GQ450" s="275"/>
      <c r="GR450" s="275"/>
      <c r="GS450" s="275"/>
      <c r="GT450" s="275"/>
      <c r="GU450" s="275"/>
      <c r="GV450" s="275"/>
      <c r="GW450" s="275"/>
      <c r="GX450" s="275"/>
      <c r="GY450" s="275"/>
      <c r="GZ450" s="275"/>
      <c r="HA450" s="275"/>
      <c r="HB450" s="275"/>
      <c r="HC450" s="275"/>
      <c r="HD450" s="275"/>
      <c r="HE450" s="275"/>
      <c r="HF450" s="275"/>
      <c r="HG450" s="275"/>
      <c r="HH450" s="275"/>
      <c r="HI450" s="275"/>
      <c r="HJ450" s="275"/>
      <c r="HK450" s="275"/>
      <c r="HL450" s="275"/>
      <c r="HM450" s="275"/>
      <c r="HN450" s="275"/>
      <c r="HO450" s="275"/>
      <c r="HP450" s="275"/>
      <c r="HQ450" s="275"/>
      <c r="HR450" s="275"/>
    </row>
    <row r="451" spans="1:226" s="297" customFormat="1">
      <c r="A451" s="275"/>
      <c r="B451" s="21"/>
      <c r="C451" s="21"/>
      <c r="D451" s="21"/>
      <c r="E451" s="21"/>
      <c r="F451" s="275"/>
      <c r="G451" s="275"/>
      <c r="H451" s="275"/>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J451" s="275"/>
      <c r="AK451" s="275"/>
      <c r="AL451" s="275"/>
      <c r="AM451" s="275"/>
      <c r="AN451" s="275"/>
      <c r="AO451" s="275"/>
      <c r="AQ451" s="275"/>
      <c r="AR451" s="275"/>
      <c r="AS451" s="275"/>
      <c r="AT451" s="275"/>
      <c r="AU451" s="275"/>
      <c r="AV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D451" s="275"/>
      <c r="EE451" s="275"/>
      <c r="EF451" s="275"/>
      <c r="EG451" s="275"/>
      <c r="EH451" s="275"/>
      <c r="EI451" s="275"/>
      <c r="EJ451" s="275"/>
      <c r="EK451" s="275"/>
      <c r="EL451" s="275"/>
      <c r="EM451" s="275"/>
      <c r="EN451" s="275"/>
      <c r="EO451" s="275"/>
      <c r="EP451" s="275"/>
      <c r="EQ451" s="275"/>
      <c r="ER451" s="275"/>
      <c r="ES451" s="275"/>
      <c r="ET451" s="275"/>
      <c r="EU451"/>
      <c r="EV451"/>
      <c r="EW451" s="275"/>
      <c r="EX451" s="275"/>
      <c r="EY451" s="275"/>
      <c r="EZ451" s="275"/>
      <c r="FA451" s="275"/>
      <c r="FB451" s="275"/>
      <c r="FC451" s="275"/>
      <c r="FD451" s="275"/>
      <c r="FE451" s="275"/>
      <c r="FF451" s="275"/>
      <c r="FG451" s="275"/>
      <c r="FH451" s="275"/>
      <c r="FI451" s="275"/>
      <c r="FJ451" s="275"/>
      <c r="FK451" s="275"/>
      <c r="FL451" s="275"/>
      <c r="FM451" s="275"/>
      <c r="FN451" s="275"/>
      <c r="FO451" s="275"/>
      <c r="FP451" s="275"/>
      <c r="FQ451" s="275"/>
      <c r="FR451" s="275"/>
      <c r="FS451" s="275"/>
      <c r="FT451" s="275"/>
      <c r="FU451" s="275"/>
      <c r="FV451" s="275"/>
      <c r="FW451" s="275"/>
      <c r="FX451" s="275"/>
      <c r="FY451" s="275"/>
      <c r="FZ451" s="275"/>
      <c r="GA451" s="275"/>
      <c r="GB451" s="275"/>
      <c r="GC451" s="275"/>
      <c r="GD451" s="275"/>
      <c r="GE451" s="275"/>
      <c r="GF451" s="275"/>
      <c r="GG451" s="275"/>
      <c r="GH451" s="275"/>
      <c r="GI451" s="275"/>
      <c r="GJ451" s="275"/>
      <c r="GK451" s="275"/>
      <c r="GL451" s="275"/>
      <c r="GM451" s="275"/>
      <c r="GN451" s="275"/>
      <c r="GO451" s="275"/>
      <c r="GP451" s="275"/>
      <c r="GQ451" s="275"/>
      <c r="GR451" s="275"/>
      <c r="GS451" s="275"/>
      <c r="GT451" s="275"/>
      <c r="GU451" s="275"/>
      <c r="GV451" s="275"/>
      <c r="GW451" s="275"/>
      <c r="GX451" s="275"/>
      <c r="GY451" s="275"/>
      <c r="GZ451" s="275"/>
      <c r="HA451" s="275"/>
      <c r="HB451" s="275"/>
      <c r="HC451" s="275"/>
      <c r="HD451" s="275"/>
      <c r="HE451" s="275"/>
      <c r="HF451" s="275"/>
      <c r="HG451" s="275"/>
      <c r="HH451" s="275"/>
      <c r="HI451" s="275"/>
      <c r="HJ451" s="275"/>
      <c r="HK451" s="275"/>
      <c r="HL451" s="275"/>
      <c r="HM451" s="275"/>
      <c r="HN451" s="275"/>
      <c r="HO451" s="275"/>
      <c r="HP451" s="275"/>
      <c r="HQ451" s="275"/>
      <c r="HR451" s="275"/>
    </row>
    <row r="452" spans="1:226" s="297" customFormat="1">
      <c r="A452" s="275"/>
      <c r="B452" s="21"/>
      <c r="C452" s="21"/>
      <c r="D452" s="21"/>
      <c r="E452" s="21"/>
      <c r="F452" s="275"/>
      <c r="G452" s="275"/>
      <c r="H452" s="275"/>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J452" s="275"/>
      <c r="AK452" s="275"/>
      <c r="AL452" s="275"/>
      <c r="AM452" s="275"/>
      <c r="AN452" s="275"/>
      <c r="AO452" s="275"/>
      <c r="AQ452" s="275"/>
      <c r="AR452" s="275"/>
      <c r="AS452" s="275"/>
      <c r="AT452" s="275"/>
      <c r="AU452" s="275"/>
      <c r="AV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D452" s="275"/>
      <c r="EE452" s="275"/>
      <c r="EF452" s="275"/>
      <c r="EG452" s="275"/>
      <c r="EH452" s="275"/>
      <c r="EI452" s="275"/>
      <c r="EJ452" s="275"/>
      <c r="EK452" s="275"/>
      <c r="EL452" s="275"/>
      <c r="EM452" s="275"/>
      <c r="EN452" s="275"/>
      <c r="EO452" s="275"/>
      <c r="EP452" s="275"/>
      <c r="EQ452" s="275"/>
      <c r="ER452" s="275"/>
      <c r="ES452" s="275"/>
      <c r="ET452" s="275"/>
      <c r="EU452"/>
      <c r="EV452"/>
      <c r="EW452" s="275"/>
      <c r="EX452" s="275"/>
      <c r="EY452" s="275"/>
      <c r="EZ452" s="275"/>
      <c r="FA452" s="275"/>
      <c r="FB452" s="275"/>
      <c r="FC452" s="275"/>
      <c r="FD452" s="275"/>
      <c r="FE452" s="275"/>
      <c r="FF452" s="275"/>
      <c r="FG452" s="275"/>
      <c r="FH452" s="275"/>
      <c r="FI452" s="275"/>
      <c r="FJ452" s="275"/>
      <c r="FK452" s="275"/>
      <c r="FL452" s="275"/>
      <c r="FM452" s="275"/>
      <c r="FN452" s="275"/>
      <c r="FO452" s="275"/>
      <c r="FP452" s="275"/>
      <c r="FQ452" s="275"/>
      <c r="FR452" s="275"/>
      <c r="FS452" s="275"/>
      <c r="FT452" s="275"/>
      <c r="FU452" s="275"/>
      <c r="FV452" s="275"/>
      <c r="FW452" s="275"/>
      <c r="FX452" s="275"/>
      <c r="FY452" s="275"/>
      <c r="FZ452" s="275"/>
      <c r="GA452" s="275"/>
      <c r="GB452" s="275"/>
      <c r="GC452" s="275"/>
      <c r="GD452" s="275"/>
      <c r="GE452" s="275"/>
      <c r="GF452" s="275"/>
      <c r="GG452" s="275"/>
      <c r="GH452" s="275"/>
      <c r="GI452" s="275"/>
      <c r="GJ452" s="275"/>
      <c r="GK452" s="275"/>
      <c r="GL452" s="275"/>
      <c r="GM452" s="275"/>
      <c r="GN452" s="275"/>
      <c r="GO452" s="275"/>
      <c r="GP452" s="275"/>
      <c r="GQ452" s="275"/>
      <c r="GR452" s="275"/>
      <c r="GS452" s="275"/>
      <c r="GT452" s="275"/>
      <c r="GU452" s="275"/>
      <c r="GV452" s="275"/>
      <c r="GW452" s="275"/>
      <c r="GX452" s="275"/>
      <c r="GY452" s="275"/>
      <c r="GZ452" s="275"/>
      <c r="HA452" s="275"/>
      <c r="HB452" s="275"/>
      <c r="HC452" s="275"/>
      <c r="HD452" s="275"/>
      <c r="HE452" s="275"/>
      <c r="HF452" s="275"/>
      <c r="HG452" s="275"/>
      <c r="HH452" s="275"/>
      <c r="HI452" s="275"/>
      <c r="HJ452" s="275"/>
      <c r="HK452" s="275"/>
      <c r="HL452" s="275"/>
      <c r="HM452" s="275"/>
      <c r="HN452" s="275"/>
      <c r="HO452" s="275"/>
      <c r="HP452" s="275"/>
      <c r="HQ452" s="275"/>
      <c r="HR452" s="275"/>
    </row>
    <row r="453" spans="1:226" s="297" customFormat="1">
      <c r="A453" s="275"/>
      <c r="B453" s="21"/>
      <c r="C453" s="21"/>
      <c r="D453" s="21"/>
      <c r="E453" s="21"/>
      <c r="F453" s="275"/>
      <c r="G453" s="275"/>
      <c r="H453" s="275"/>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J453" s="275"/>
      <c r="AK453" s="275"/>
      <c r="AL453" s="275"/>
      <c r="AM453" s="275"/>
      <c r="AN453" s="275"/>
      <c r="AO453" s="275"/>
      <c r="AQ453" s="275"/>
      <c r="AR453" s="275"/>
      <c r="AS453" s="275"/>
      <c r="AT453" s="275"/>
      <c r="AU453" s="275"/>
      <c r="AV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D453" s="275"/>
      <c r="EE453" s="275"/>
      <c r="EF453" s="275"/>
      <c r="EG453" s="275"/>
      <c r="EH453" s="275"/>
      <c r="EI453" s="275"/>
      <c r="EJ453" s="275"/>
      <c r="EK453" s="275"/>
      <c r="EL453" s="275"/>
      <c r="EM453" s="275"/>
      <c r="EN453" s="275"/>
      <c r="EO453" s="275"/>
      <c r="EP453" s="275"/>
      <c r="EQ453" s="275"/>
      <c r="ER453" s="275"/>
      <c r="ES453" s="275"/>
      <c r="ET453" s="275"/>
      <c r="EU453"/>
      <c r="EV453"/>
      <c r="EW453" s="275"/>
      <c r="EX453" s="275"/>
      <c r="EY453" s="275"/>
      <c r="EZ453" s="275"/>
      <c r="FA453" s="275"/>
      <c r="FB453" s="275"/>
      <c r="FC453" s="275"/>
      <c r="FD453" s="275"/>
      <c r="FE453" s="275"/>
      <c r="FF453" s="275"/>
      <c r="FG453" s="275"/>
      <c r="FH453" s="275"/>
      <c r="FI453" s="275"/>
      <c r="FJ453" s="275"/>
      <c r="FK453" s="275"/>
      <c r="FL453" s="275"/>
      <c r="FM453" s="275"/>
      <c r="FN453" s="275"/>
      <c r="FO453" s="275"/>
      <c r="FP453" s="275"/>
      <c r="FQ453" s="275"/>
      <c r="FR453" s="275"/>
      <c r="FS453" s="275"/>
      <c r="FT453" s="275"/>
      <c r="FU453" s="275"/>
      <c r="FV453" s="275"/>
      <c r="FW453" s="275"/>
      <c r="FX453" s="275"/>
      <c r="FY453" s="275"/>
      <c r="FZ453" s="275"/>
      <c r="GA453" s="275"/>
      <c r="GB453" s="275"/>
      <c r="GC453" s="275"/>
      <c r="GD453" s="275"/>
      <c r="GE453" s="275"/>
      <c r="GF453" s="275"/>
      <c r="GG453" s="275"/>
      <c r="GH453" s="275"/>
      <c r="GI453" s="275"/>
      <c r="GJ453" s="275"/>
      <c r="GK453" s="275"/>
      <c r="GL453" s="275"/>
      <c r="GM453" s="275"/>
      <c r="GN453" s="275"/>
      <c r="GO453" s="275"/>
      <c r="GP453" s="275"/>
      <c r="GQ453" s="275"/>
      <c r="GR453" s="275"/>
      <c r="GS453" s="275"/>
      <c r="GT453" s="275"/>
      <c r="GU453" s="275"/>
      <c r="GV453" s="275"/>
      <c r="GW453" s="275"/>
      <c r="GX453" s="275"/>
      <c r="GY453" s="275"/>
      <c r="GZ453" s="275"/>
      <c r="HA453" s="275"/>
      <c r="HB453" s="275"/>
      <c r="HC453" s="275"/>
      <c r="HD453" s="275"/>
      <c r="HE453" s="275"/>
      <c r="HF453" s="275"/>
      <c r="HG453" s="275"/>
      <c r="HH453" s="275"/>
      <c r="HI453" s="275"/>
      <c r="HJ453" s="275"/>
      <c r="HK453" s="275"/>
      <c r="HL453" s="275"/>
      <c r="HM453" s="275"/>
      <c r="HN453" s="275"/>
      <c r="HO453" s="275"/>
      <c r="HP453" s="275"/>
      <c r="HQ453" s="275"/>
      <c r="HR453" s="275"/>
    </row>
    <row r="454" spans="1:226" s="297" customFormat="1">
      <c r="A454" s="275"/>
      <c r="B454" s="21"/>
      <c r="C454" s="21"/>
      <c r="D454" s="21"/>
      <c r="E454" s="21"/>
      <c r="F454" s="275"/>
      <c r="G454" s="275"/>
      <c r="H454" s="275"/>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J454" s="275"/>
      <c r="AK454" s="275"/>
      <c r="AL454" s="275"/>
      <c r="AM454" s="275"/>
      <c r="AN454" s="275"/>
      <c r="AO454" s="275"/>
      <c r="AQ454" s="275"/>
      <c r="AR454" s="275"/>
      <c r="AS454" s="275"/>
      <c r="AT454" s="275"/>
      <c r="AU454" s="275"/>
      <c r="AV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D454" s="275"/>
      <c r="EE454" s="275"/>
      <c r="EF454" s="275"/>
      <c r="EG454" s="275"/>
      <c r="EH454" s="275"/>
      <c r="EI454" s="275"/>
      <c r="EJ454" s="275"/>
      <c r="EK454" s="275"/>
      <c r="EL454" s="275"/>
      <c r="EM454" s="275"/>
      <c r="EN454" s="275"/>
      <c r="EO454" s="275"/>
      <c r="EP454" s="275"/>
      <c r="EQ454" s="275"/>
      <c r="ER454" s="275"/>
      <c r="ES454" s="275"/>
      <c r="ET454" s="275"/>
      <c r="EU454"/>
      <c r="EV454"/>
      <c r="EW454" s="275"/>
      <c r="EX454" s="275"/>
      <c r="EY454" s="275"/>
      <c r="EZ454" s="275"/>
      <c r="FA454" s="275"/>
      <c r="FB454" s="275"/>
      <c r="FC454" s="275"/>
      <c r="FD454" s="275"/>
      <c r="FE454" s="275"/>
      <c r="FF454" s="275"/>
      <c r="FG454" s="275"/>
      <c r="FH454" s="275"/>
      <c r="FI454" s="275"/>
      <c r="FJ454" s="275"/>
      <c r="FK454" s="275"/>
      <c r="FL454" s="275"/>
      <c r="FM454" s="275"/>
      <c r="FN454" s="275"/>
      <c r="FO454" s="275"/>
      <c r="FP454" s="275"/>
      <c r="FQ454" s="275"/>
      <c r="FR454" s="275"/>
      <c r="FS454" s="275"/>
      <c r="FT454" s="275"/>
      <c r="FU454" s="275"/>
      <c r="FV454" s="275"/>
      <c r="FW454" s="275"/>
      <c r="FX454" s="275"/>
      <c r="FY454" s="275"/>
      <c r="FZ454" s="275"/>
      <c r="GA454" s="275"/>
      <c r="GB454" s="275"/>
      <c r="GC454" s="275"/>
      <c r="GD454" s="275"/>
      <c r="GE454" s="275"/>
      <c r="GF454" s="275"/>
      <c r="GG454" s="275"/>
      <c r="GH454" s="275"/>
      <c r="GI454" s="275"/>
      <c r="GJ454" s="275"/>
      <c r="GK454" s="275"/>
      <c r="GL454" s="275"/>
      <c r="GM454" s="275"/>
      <c r="GN454" s="275"/>
      <c r="GO454" s="275"/>
      <c r="GP454" s="275"/>
      <c r="GQ454" s="275"/>
      <c r="GR454" s="275"/>
      <c r="GS454" s="275"/>
      <c r="GT454" s="275"/>
      <c r="GU454" s="275"/>
      <c r="GV454" s="275"/>
      <c r="GW454" s="275"/>
      <c r="GX454" s="275"/>
      <c r="GY454" s="275"/>
      <c r="GZ454" s="275"/>
      <c r="HA454" s="275"/>
      <c r="HB454" s="275"/>
      <c r="HC454" s="275"/>
      <c r="HD454" s="275"/>
      <c r="HE454" s="275"/>
      <c r="HF454" s="275"/>
      <c r="HG454" s="275"/>
      <c r="HH454" s="275"/>
      <c r="HI454" s="275"/>
      <c r="HJ454" s="275"/>
      <c r="HK454" s="275"/>
      <c r="HL454" s="275"/>
      <c r="HM454" s="275"/>
      <c r="HN454" s="275"/>
      <c r="HO454" s="275"/>
      <c r="HP454" s="275"/>
      <c r="HQ454" s="275"/>
      <c r="HR454" s="275"/>
    </row>
    <row r="455" spans="1:226" s="297" customFormat="1">
      <c r="A455" s="275"/>
      <c r="B455" s="21"/>
      <c r="C455" s="21"/>
      <c r="D455" s="21"/>
      <c r="E455" s="21"/>
      <c r="F455" s="275"/>
      <c r="G455" s="275"/>
      <c r="H455" s="275"/>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J455" s="275"/>
      <c r="AK455" s="275"/>
      <c r="AL455" s="275"/>
      <c r="AM455" s="275"/>
      <c r="AN455" s="275"/>
      <c r="AO455" s="275"/>
      <c r="AQ455" s="275"/>
      <c r="AR455" s="275"/>
      <c r="AS455" s="275"/>
      <c r="AT455" s="275"/>
      <c r="AU455" s="275"/>
      <c r="AV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D455" s="275"/>
      <c r="EE455" s="275"/>
      <c r="EF455" s="275"/>
      <c r="EG455" s="275"/>
      <c r="EH455" s="275"/>
      <c r="EI455" s="275"/>
      <c r="EJ455" s="275"/>
      <c r="EK455" s="275"/>
      <c r="EL455" s="275"/>
      <c r="EM455" s="275"/>
      <c r="EN455" s="275"/>
      <c r="EO455" s="275"/>
      <c r="EP455" s="275"/>
      <c r="EQ455" s="275"/>
      <c r="ER455" s="275"/>
      <c r="ES455" s="275"/>
      <c r="ET455" s="275"/>
      <c r="EU455"/>
      <c r="EV455"/>
      <c r="EW455" s="275"/>
      <c r="EX455" s="275"/>
      <c r="EY455" s="275"/>
      <c r="EZ455" s="275"/>
      <c r="FA455" s="275"/>
      <c r="FB455" s="275"/>
      <c r="FC455" s="275"/>
      <c r="FD455" s="275"/>
      <c r="FE455" s="275"/>
      <c r="FF455" s="275"/>
      <c r="FG455" s="275"/>
      <c r="FH455" s="275"/>
      <c r="FI455" s="275"/>
      <c r="FJ455" s="275"/>
      <c r="FK455" s="275"/>
      <c r="FL455" s="275"/>
      <c r="FM455" s="275"/>
      <c r="FN455" s="275"/>
      <c r="FO455" s="275"/>
      <c r="FP455" s="275"/>
      <c r="FQ455" s="275"/>
      <c r="FR455" s="275"/>
      <c r="FS455" s="275"/>
      <c r="FT455" s="275"/>
      <c r="FU455" s="275"/>
      <c r="FV455" s="275"/>
      <c r="FW455" s="275"/>
      <c r="FX455" s="275"/>
      <c r="FY455" s="275"/>
      <c r="FZ455" s="275"/>
      <c r="GA455" s="275"/>
      <c r="GB455" s="275"/>
      <c r="GC455" s="275"/>
      <c r="GD455" s="275"/>
      <c r="GE455" s="275"/>
      <c r="GF455" s="275"/>
      <c r="GG455" s="275"/>
      <c r="GH455" s="275"/>
      <c r="GI455" s="275"/>
      <c r="GJ455" s="275"/>
      <c r="GK455" s="275"/>
      <c r="GL455" s="275"/>
      <c r="GM455" s="275"/>
      <c r="GN455" s="275"/>
      <c r="GO455" s="275"/>
      <c r="GP455" s="275"/>
      <c r="GQ455" s="275"/>
      <c r="GR455" s="275"/>
      <c r="GS455" s="275"/>
      <c r="GT455" s="275"/>
      <c r="GU455" s="275"/>
      <c r="GV455" s="275"/>
      <c r="GW455" s="275"/>
      <c r="GX455" s="275"/>
      <c r="GY455" s="275"/>
      <c r="GZ455" s="275"/>
      <c r="HA455" s="275"/>
      <c r="HB455" s="275"/>
      <c r="HC455" s="275"/>
      <c r="HD455" s="275"/>
      <c r="HE455" s="275"/>
      <c r="HF455" s="275"/>
      <c r="HG455" s="275"/>
      <c r="HH455" s="275"/>
      <c r="HI455" s="275"/>
      <c r="HJ455" s="275"/>
      <c r="HK455" s="275"/>
      <c r="HL455" s="275"/>
      <c r="HM455" s="275"/>
      <c r="HN455" s="275"/>
      <c r="HO455" s="275"/>
      <c r="HP455" s="275"/>
      <c r="HQ455" s="275"/>
      <c r="HR455" s="275"/>
    </row>
    <row r="456" spans="1:226" s="297" customFormat="1">
      <c r="A456" s="275"/>
      <c r="B456" s="21"/>
      <c r="C456" s="21"/>
      <c r="D456" s="21"/>
      <c r="E456" s="21"/>
      <c r="F456" s="275"/>
      <c r="G456" s="275"/>
      <c r="H456" s="275"/>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J456" s="275"/>
      <c r="AK456" s="275"/>
      <c r="AL456" s="275"/>
      <c r="AM456" s="275"/>
      <c r="AN456" s="275"/>
      <c r="AO456" s="275"/>
      <c r="AQ456" s="275"/>
      <c r="AR456" s="275"/>
      <c r="AS456" s="275"/>
      <c r="AT456" s="275"/>
      <c r="AU456" s="275"/>
      <c r="AV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D456" s="275"/>
      <c r="EE456" s="275"/>
      <c r="EF456" s="275"/>
      <c r="EG456" s="275"/>
      <c r="EH456" s="275"/>
      <c r="EI456" s="275"/>
      <c r="EJ456" s="275"/>
      <c r="EK456" s="275"/>
      <c r="EL456" s="275"/>
      <c r="EM456" s="275"/>
      <c r="EN456" s="275"/>
      <c r="EO456" s="275"/>
      <c r="EP456" s="275"/>
      <c r="EQ456" s="275"/>
      <c r="ER456" s="275"/>
      <c r="ES456" s="275"/>
      <c r="ET456" s="275"/>
      <c r="EU456"/>
      <c r="EV456"/>
      <c r="EW456" s="275"/>
      <c r="EX456" s="275"/>
      <c r="EY456" s="275"/>
      <c r="EZ456" s="275"/>
      <c r="FA456" s="275"/>
      <c r="FB456" s="275"/>
      <c r="FC456" s="275"/>
      <c r="FD456" s="275"/>
      <c r="FE456" s="275"/>
      <c r="FF456" s="275"/>
      <c r="FG456" s="275"/>
      <c r="FH456" s="275"/>
      <c r="FI456" s="275"/>
      <c r="FJ456" s="275"/>
      <c r="FK456" s="275"/>
      <c r="FL456" s="275"/>
      <c r="FM456" s="275"/>
      <c r="FN456" s="275"/>
      <c r="FO456" s="275"/>
      <c r="FP456" s="275"/>
      <c r="FQ456" s="275"/>
      <c r="FR456" s="275"/>
      <c r="FS456" s="275"/>
      <c r="FT456" s="275"/>
      <c r="FU456" s="275"/>
      <c r="FV456" s="275"/>
      <c r="FW456" s="275"/>
      <c r="FX456" s="275"/>
      <c r="FY456" s="275"/>
      <c r="FZ456" s="275"/>
      <c r="GA456" s="275"/>
      <c r="GB456" s="275"/>
      <c r="GC456" s="275"/>
      <c r="GD456" s="275"/>
      <c r="GE456" s="275"/>
      <c r="GF456" s="275"/>
      <c r="GG456" s="275"/>
      <c r="GH456" s="275"/>
      <c r="GI456" s="275"/>
      <c r="GJ456" s="275"/>
      <c r="GK456" s="275"/>
      <c r="GL456" s="275"/>
      <c r="GM456" s="275"/>
      <c r="GN456" s="275"/>
      <c r="GO456" s="275"/>
      <c r="GP456" s="275"/>
      <c r="GQ456" s="275"/>
      <c r="GR456" s="275"/>
      <c r="GS456" s="275"/>
      <c r="GT456" s="275"/>
      <c r="GU456" s="275"/>
      <c r="GV456" s="275"/>
      <c r="GW456" s="275"/>
      <c r="GX456" s="275"/>
      <c r="GY456" s="275"/>
      <c r="GZ456" s="275"/>
      <c r="HA456" s="275"/>
      <c r="HB456" s="275"/>
      <c r="HC456" s="275"/>
      <c r="HD456" s="275"/>
      <c r="HE456" s="275"/>
      <c r="HF456" s="275"/>
      <c r="HG456" s="275"/>
      <c r="HH456" s="275"/>
      <c r="HI456" s="275"/>
      <c r="HJ456" s="275"/>
      <c r="HK456" s="275"/>
      <c r="HL456" s="275"/>
      <c r="HM456" s="275"/>
      <c r="HN456" s="275"/>
      <c r="HO456" s="275"/>
      <c r="HP456" s="275"/>
      <c r="HQ456" s="275"/>
      <c r="HR456" s="275"/>
    </row>
    <row r="457" spans="1:226" s="297" customFormat="1">
      <c r="A457" s="275"/>
      <c r="B457" s="21"/>
      <c r="C457" s="21"/>
      <c r="D457" s="21"/>
      <c r="E457" s="21"/>
      <c r="F457" s="275"/>
      <c r="G457" s="275"/>
      <c r="H457" s="275"/>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J457" s="275"/>
      <c r="AK457" s="275"/>
      <c r="AL457" s="275"/>
      <c r="AM457" s="275"/>
      <c r="AN457" s="275"/>
      <c r="AO457" s="275"/>
      <c r="AQ457" s="275"/>
      <c r="AR457" s="275"/>
      <c r="AS457" s="275"/>
      <c r="AT457" s="275"/>
      <c r="AU457" s="275"/>
      <c r="AV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D457" s="275"/>
      <c r="EE457" s="275"/>
      <c r="EF457" s="275"/>
      <c r="EG457" s="275"/>
      <c r="EH457" s="275"/>
      <c r="EI457" s="275"/>
      <c r="EJ457" s="275"/>
      <c r="EK457" s="275"/>
      <c r="EL457" s="275"/>
      <c r="EM457" s="275"/>
      <c r="EN457" s="275"/>
      <c r="EO457" s="275"/>
      <c r="EP457" s="275"/>
      <c r="EQ457" s="275"/>
      <c r="ER457" s="275"/>
      <c r="ES457" s="275"/>
      <c r="ET457" s="275"/>
      <c r="EU457"/>
      <c r="EV457"/>
      <c r="EW457" s="275"/>
      <c r="EX457" s="275"/>
      <c r="EY457" s="275"/>
      <c r="EZ457" s="275"/>
      <c r="FA457" s="275"/>
      <c r="FB457" s="275"/>
      <c r="FC457" s="275"/>
      <c r="FD457" s="275"/>
      <c r="FE457" s="275"/>
      <c r="FF457" s="275"/>
      <c r="FG457" s="275"/>
      <c r="FH457" s="275"/>
      <c r="FI457" s="275"/>
      <c r="FJ457" s="275"/>
      <c r="FK457" s="275"/>
      <c r="FL457" s="275"/>
      <c r="FM457" s="275"/>
      <c r="FN457" s="275"/>
      <c r="FO457" s="275"/>
      <c r="FP457" s="275"/>
      <c r="FQ457" s="275"/>
      <c r="FR457" s="275"/>
      <c r="FS457" s="275"/>
      <c r="FT457" s="275"/>
      <c r="FU457" s="275"/>
      <c r="FV457" s="275"/>
      <c r="FW457" s="275"/>
      <c r="FX457" s="275"/>
      <c r="FY457" s="275"/>
      <c r="FZ457" s="275"/>
      <c r="GA457" s="275"/>
      <c r="GB457" s="275"/>
      <c r="GC457" s="275"/>
      <c r="GD457" s="275"/>
      <c r="GE457" s="275"/>
      <c r="GF457" s="275"/>
      <c r="GG457" s="275"/>
      <c r="GH457" s="275"/>
      <c r="GI457" s="275"/>
      <c r="GJ457" s="275"/>
      <c r="GK457" s="275"/>
      <c r="GL457" s="275"/>
      <c r="GM457" s="275"/>
      <c r="GN457" s="275"/>
      <c r="GO457" s="275"/>
      <c r="GP457" s="275"/>
      <c r="GQ457" s="275"/>
      <c r="GR457" s="275"/>
      <c r="GS457" s="275"/>
      <c r="GT457" s="275"/>
      <c r="GU457" s="275"/>
      <c r="GV457" s="275"/>
      <c r="GW457" s="275"/>
      <c r="GX457" s="275"/>
      <c r="GY457" s="275"/>
      <c r="GZ457" s="275"/>
      <c r="HA457" s="275"/>
      <c r="HB457" s="275"/>
      <c r="HC457" s="275"/>
      <c r="HD457" s="275"/>
      <c r="HE457" s="275"/>
      <c r="HF457" s="275"/>
      <c r="HG457" s="275"/>
      <c r="HH457" s="275"/>
      <c r="HI457" s="275"/>
      <c r="HJ457" s="275"/>
      <c r="HK457" s="275"/>
      <c r="HL457" s="275"/>
      <c r="HM457" s="275"/>
      <c r="HN457" s="275"/>
      <c r="HO457" s="275"/>
      <c r="HP457" s="275"/>
      <c r="HQ457" s="275"/>
      <c r="HR457" s="275"/>
    </row>
    <row r="458" spans="1:226" s="297" customFormat="1">
      <c r="A458" s="275"/>
      <c r="B458" s="21"/>
      <c r="C458" s="21"/>
      <c r="D458" s="21"/>
      <c r="E458" s="21"/>
      <c r="F458" s="275"/>
      <c r="G458" s="275"/>
      <c r="H458" s="275"/>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J458" s="275"/>
      <c r="AK458" s="275"/>
      <c r="AL458" s="275"/>
      <c r="AM458" s="275"/>
      <c r="AN458" s="275"/>
      <c r="AO458" s="275"/>
      <c r="AQ458" s="275"/>
      <c r="AR458" s="275"/>
      <c r="AS458" s="275"/>
      <c r="AT458" s="275"/>
      <c r="AU458" s="275"/>
      <c r="AV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D458" s="275"/>
      <c r="EE458" s="275"/>
      <c r="EF458" s="275"/>
      <c r="EG458" s="275"/>
      <c r="EH458" s="275"/>
      <c r="EI458" s="275"/>
      <c r="EJ458" s="275"/>
      <c r="EK458" s="275"/>
      <c r="EL458" s="275"/>
      <c r="EM458" s="275"/>
      <c r="EN458" s="275"/>
      <c r="EO458" s="275"/>
      <c r="EP458" s="275"/>
      <c r="EQ458" s="275"/>
      <c r="ER458" s="275"/>
      <c r="ES458" s="275"/>
      <c r="ET458" s="275"/>
      <c r="EU458"/>
      <c r="EV458"/>
      <c r="EW458" s="275"/>
      <c r="EX458" s="275"/>
      <c r="EY458" s="275"/>
      <c r="EZ458" s="275"/>
      <c r="FA458" s="275"/>
      <c r="FB458" s="275"/>
      <c r="FC458" s="275"/>
      <c r="FD458" s="275"/>
      <c r="FE458" s="275"/>
      <c r="FF458" s="275"/>
      <c r="FG458" s="275"/>
      <c r="FH458" s="275"/>
      <c r="FI458" s="275"/>
      <c r="FJ458" s="275"/>
      <c r="FK458" s="275"/>
      <c r="FL458" s="275"/>
      <c r="FM458" s="275"/>
      <c r="FN458" s="275"/>
      <c r="FO458" s="275"/>
      <c r="FP458" s="275"/>
      <c r="FQ458" s="275"/>
      <c r="FR458" s="275"/>
      <c r="FS458" s="275"/>
      <c r="FT458" s="275"/>
      <c r="FU458" s="275"/>
      <c r="FV458" s="275"/>
      <c r="FW458" s="275"/>
      <c r="FX458" s="275"/>
      <c r="FY458" s="275"/>
      <c r="FZ458" s="275"/>
      <c r="GA458" s="275"/>
      <c r="GB458" s="275"/>
      <c r="GC458" s="275"/>
      <c r="GD458" s="275"/>
      <c r="GE458" s="275"/>
      <c r="GF458" s="275"/>
      <c r="GG458" s="275"/>
      <c r="GH458" s="275"/>
      <c r="GI458" s="275"/>
      <c r="GJ458" s="275"/>
      <c r="GK458" s="275"/>
      <c r="GL458" s="275"/>
      <c r="GM458" s="275"/>
      <c r="GN458" s="275"/>
      <c r="GO458" s="275"/>
      <c r="GP458" s="275"/>
      <c r="GQ458" s="275"/>
      <c r="GR458" s="275"/>
      <c r="GS458" s="275"/>
      <c r="GT458" s="275"/>
      <c r="GU458" s="275"/>
      <c r="GV458" s="275"/>
      <c r="GW458" s="275"/>
      <c r="GX458" s="275"/>
      <c r="GY458" s="275"/>
      <c r="GZ458" s="275"/>
      <c r="HA458" s="275"/>
      <c r="HB458" s="275"/>
      <c r="HC458" s="275"/>
      <c r="HD458" s="275"/>
      <c r="HE458" s="275"/>
      <c r="HF458" s="275"/>
      <c r="HG458" s="275"/>
      <c r="HH458" s="275"/>
      <c r="HI458" s="275"/>
      <c r="HJ458" s="275"/>
      <c r="HK458" s="275"/>
      <c r="HL458" s="275"/>
      <c r="HM458" s="275"/>
      <c r="HN458" s="275"/>
      <c r="HO458" s="275"/>
      <c r="HP458" s="275"/>
      <c r="HQ458" s="275"/>
      <c r="HR458" s="275"/>
    </row>
    <row r="459" spans="1:226" s="297" customFormat="1">
      <c r="A459" s="275"/>
      <c r="B459" s="21"/>
      <c r="C459" s="21"/>
      <c r="D459" s="21"/>
      <c r="E459" s="21"/>
      <c r="F459" s="275"/>
      <c r="G459" s="275"/>
      <c r="H459" s="275"/>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J459" s="275"/>
      <c r="AK459" s="275"/>
      <c r="AL459" s="275"/>
      <c r="AM459" s="275"/>
      <c r="AN459" s="275"/>
      <c r="AO459" s="275"/>
      <c r="AQ459" s="275"/>
      <c r="AR459" s="275"/>
      <c r="AS459" s="275"/>
      <c r="AT459" s="275"/>
      <c r="AU459" s="275"/>
      <c r="AV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D459" s="275"/>
      <c r="EE459" s="275"/>
      <c r="EF459" s="275"/>
      <c r="EG459" s="275"/>
      <c r="EH459" s="275"/>
      <c r="EI459" s="275"/>
      <c r="EJ459" s="275"/>
      <c r="EK459" s="275"/>
      <c r="EL459" s="275"/>
      <c r="EM459" s="275"/>
      <c r="EN459" s="275"/>
      <c r="EO459" s="275"/>
      <c r="EP459" s="275"/>
      <c r="EQ459" s="275"/>
      <c r="ER459" s="275"/>
      <c r="ES459" s="275"/>
      <c r="ET459" s="275"/>
      <c r="EU459"/>
      <c r="EV459"/>
      <c r="EW459" s="275"/>
      <c r="EX459" s="275"/>
      <c r="EY459" s="275"/>
      <c r="EZ459" s="275"/>
      <c r="FA459" s="275"/>
      <c r="FB459" s="275"/>
      <c r="FC459" s="275"/>
      <c r="FD459" s="275"/>
      <c r="FE459" s="275"/>
      <c r="FF459" s="275"/>
      <c r="FG459" s="275"/>
      <c r="FH459" s="275"/>
      <c r="FI459" s="275"/>
      <c r="FJ459" s="275"/>
      <c r="FK459" s="275"/>
      <c r="FL459" s="275"/>
      <c r="FM459" s="275"/>
      <c r="FN459" s="275"/>
      <c r="FO459" s="275"/>
      <c r="FP459" s="275"/>
      <c r="FQ459" s="275"/>
      <c r="FR459" s="275"/>
      <c r="FS459" s="275"/>
      <c r="FT459" s="275"/>
      <c r="FU459" s="275"/>
      <c r="FV459" s="275"/>
      <c r="FW459" s="275"/>
      <c r="FX459" s="275"/>
      <c r="FY459" s="275"/>
      <c r="FZ459" s="275"/>
      <c r="GA459" s="275"/>
      <c r="GB459" s="275"/>
      <c r="GC459" s="275"/>
      <c r="GD459" s="275"/>
      <c r="GE459" s="275"/>
      <c r="GF459" s="275"/>
      <c r="GG459" s="275"/>
      <c r="GH459" s="275"/>
      <c r="GI459" s="275"/>
      <c r="GJ459" s="275"/>
      <c r="GK459" s="275"/>
      <c r="GL459" s="275"/>
      <c r="GM459" s="275"/>
      <c r="GN459" s="275"/>
      <c r="GO459" s="275"/>
      <c r="GP459" s="275"/>
      <c r="GQ459" s="275"/>
      <c r="GR459" s="275"/>
      <c r="GS459" s="275"/>
      <c r="GT459" s="275"/>
      <c r="GU459" s="275"/>
      <c r="GV459" s="275"/>
      <c r="GW459" s="275"/>
      <c r="GX459" s="275"/>
      <c r="GY459" s="275"/>
      <c r="GZ459" s="275"/>
      <c r="HA459" s="275"/>
      <c r="HB459" s="275"/>
      <c r="HC459" s="275"/>
      <c r="HD459" s="275"/>
      <c r="HE459" s="275"/>
      <c r="HF459" s="275"/>
      <c r="HG459" s="275"/>
      <c r="HH459" s="275"/>
      <c r="HI459" s="275"/>
      <c r="HJ459" s="275"/>
      <c r="HK459" s="275"/>
      <c r="HL459" s="275"/>
      <c r="HM459" s="275"/>
      <c r="HN459" s="275"/>
      <c r="HO459" s="275"/>
      <c r="HP459" s="275"/>
      <c r="HQ459" s="275"/>
      <c r="HR459" s="275"/>
    </row>
    <row r="460" spans="1:226" s="297" customFormat="1">
      <c r="A460" s="275"/>
      <c r="B460" s="21"/>
      <c r="C460" s="21"/>
      <c r="D460" s="21"/>
      <c r="E460" s="21"/>
      <c r="F460" s="275"/>
      <c r="G460" s="275"/>
      <c r="H460" s="275"/>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J460" s="275"/>
      <c r="AK460" s="275"/>
      <c r="AL460" s="275"/>
      <c r="AM460" s="275"/>
      <c r="AN460" s="275"/>
      <c r="AO460" s="275"/>
      <c r="AQ460" s="275"/>
      <c r="AR460" s="275"/>
      <c r="AS460" s="275"/>
      <c r="AT460" s="275"/>
      <c r="AU460" s="275"/>
      <c r="AV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D460" s="275"/>
      <c r="EE460" s="275"/>
      <c r="EF460" s="275"/>
      <c r="EG460" s="275"/>
      <c r="EH460" s="275"/>
      <c r="EI460" s="275"/>
      <c r="EJ460" s="275"/>
      <c r="EK460" s="275"/>
      <c r="EL460" s="275"/>
      <c r="EM460" s="275"/>
      <c r="EN460" s="275"/>
      <c r="EO460" s="275"/>
      <c r="EP460" s="275"/>
      <c r="EQ460" s="275"/>
      <c r="ER460" s="275"/>
      <c r="ES460" s="275"/>
      <c r="ET460" s="275"/>
      <c r="EU460"/>
      <c r="EV460"/>
      <c r="EW460" s="275"/>
      <c r="EX460" s="275"/>
      <c r="EY460" s="275"/>
      <c r="EZ460" s="275"/>
      <c r="FA460" s="275"/>
      <c r="FB460" s="275"/>
      <c r="FC460" s="275"/>
      <c r="FD460" s="275"/>
      <c r="FE460" s="275"/>
      <c r="FF460" s="275"/>
      <c r="FG460" s="275"/>
      <c r="FH460" s="275"/>
      <c r="FI460" s="275"/>
      <c r="FJ460" s="275"/>
      <c r="FK460" s="275"/>
      <c r="FL460" s="275"/>
      <c r="FM460" s="275"/>
      <c r="FN460" s="275"/>
      <c r="FO460" s="275"/>
      <c r="FP460" s="275"/>
      <c r="FQ460" s="275"/>
      <c r="FR460" s="275"/>
      <c r="FS460" s="275"/>
      <c r="FT460" s="275"/>
      <c r="FU460" s="275"/>
      <c r="FV460" s="275"/>
      <c r="FW460" s="275"/>
      <c r="FX460" s="275"/>
      <c r="FY460" s="275"/>
      <c r="FZ460" s="275"/>
      <c r="GA460" s="275"/>
      <c r="GB460" s="275"/>
      <c r="GC460" s="275"/>
      <c r="GD460" s="275"/>
      <c r="GE460" s="275"/>
      <c r="GF460" s="275"/>
      <c r="GG460" s="275"/>
      <c r="GH460" s="275"/>
      <c r="GI460" s="275"/>
      <c r="GJ460" s="275"/>
      <c r="GK460" s="275"/>
      <c r="GL460" s="275"/>
      <c r="GM460" s="275"/>
      <c r="GN460" s="275"/>
      <c r="GO460" s="275"/>
      <c r="GP460" s="275"/>
      <c r="GQ460" s="275"/>
      <c r="GR460" s="275"/>
      <c r="GS460" s="275"/>
      <c r="GT460" s="275"/>
      <c r="GU460" s="275"/>
      <c r="GV460" s="275"/>
      <c r="GW460" s="275"/>
      <c r="GX460" s="275"/>
      <c r="GY460" s="275"/>
      <c r="GZ460" s="275"/>
      <c r="HA460" s="275"/>
      <c r="HB460" s="275"/>
      <c r="HC460" s="275"/>
      <c r="HD460" s="275"/>
      <c r="HE460" s="275"/>
      <c r="HF460" s="275"/>
      <c r="HG460" s="275"/>
      <c r="HH460" s="275"/>
      <c r="HI460" s="275"/>
      <c r="HJ460" s="275"/>
      <c r="HK460" s="275"/>
      <c r="HL460" s="275"/>
      <c r="HM460" s="275"/>
      <c r="HN460" s="275"/>
      <c r="HO460" s="275"/>
      <c r="HP460" s="275"/>
      <c r="HQ460" s="275"/>
      <c r="HR460" s="275"/>
    </row>
    <row r="461" spans="1:226" s="297" customFormat="1">
      <c r="A461" s="275"/>
      <c r="B461" s="21"/>
      <c r="C461" s="21"/>
      <c r="D461" s="21"/>
      <c r="E461" s="21"/>
      <c r="F461" s="275"/>
      <c r="G461" s="275"/>
      <c r="H461" s="275"/>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J461" s="275"/>
      <c r="AK461" s="275"/>
      <c r="AL461" s="275"/>
      <c r="AM461" s="275"/>
      <c r="AN461" s="275"/>
      <c r="AO461" s="275"/>
      <c r="AQ461" s="275"/>
      <c r="AR461" s="275"/>
      <c r="AS461" s="275"/>
      <c r="AT461" s="275"/>
      <c r="AU461" s="275"/>
      <c r="AV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D461" s="275"/>
      <c r="EE461" s="275"/>
      <c r="EF461" s="275"/>
      <c r="EG461" s="275"/>
      <c r="EH461" s="275"/>
      <c r="EI461" s="275"/>
      <c r="EJ461" s="275"/>
      <c r="EK461" s="275"/>
      <c r="EL461" s="275"/>
      <c r="EM461" s="275"/>
      <c r="EN461" s="275"/>
      <c r="EO461" s="275"/>
      <c r="EP461" s="275"/>
      <c r="EQ461" s="275"/>
      <c r="ER461" s="275"/>
      <c r="ES461" s="275"/>
      <c r="ET461" s="275"/>
      <c r="EU461"/>
      <c r="EV461"/>
      <c r="EW461" s="275"/>
      <c r="EX461" s="275"/>
      <c r="EY461" s="275"/>
      <c r="EZ461" s="275"/>
      <c r="FA461" s="275"/>
      <c r="FB461" s="275"/>
      <c r="FC461" s="275"/>
      <c r="FD461" s="275"/>
      <c r="FE461" s="275"/>
      <c r="FF461" s="275"/>
      <c r="FG461" s="275"/>
      <c r="FH461" s="275"/>
      <c r="FI461" s="275"/>
      <c r="FJ461" s="275"/>
      <c r="FK461" s="275"/>
      <c r="FL461" s="275"/>
      <c r="FM461" s="275"/>
      <c r="FN461" s="275"/>
      <c r="FO461" s="275"/>
      <c r="FP461" s="275"/>
      <c r="FQ461" s="275"/>
      <c r="FR461" s="275"/>
      <c r="FS461" s="275"/>
      <c r="FT461" s="275"/>
      <c r="FU461" s="275"/>
      <c r="FV461" s="275"/>
      <c r="FW461" s="275"/>
      <c r="FX461" s="275"/>
      <c r="FY461" s="275"/>
      <c r="FZ461" s="275"/>
      <c r="GA461" s="275"/>
      <c r="GB461" s="275"/>
      <c r="GC461" s="275"/>
      <c r="GD461" s="275"/>
      <c r="GE461" s="275"/>
      <c r="GF461" s="275"/>
      <c r="GG461" s="275"/>
      <c r="GH461" s="275"/>
      <c r="GI461" s="275"/>
      <c r="GJ461" s="275"/>
      <c r="GK461" s="275"/>
      <c r="GL461" s="275"/>
      <c r="GM461" s="275"/>
      <c r="GN461" s="275"/>
      <c r="GO461" s="275"/>
      <c r="GP461" s="275"/>
      <c r="GQ461" s="275"/>
      <c r="GR461" s="275"/>
      <c r="GS461" s="275"/>
      <c r="GT461" s="275"/>
      <c r="GU461" s="275"/>
      <c r="GV461" s="275"/>
      <c r="GW461" s="275"/>
      <c r="GX461" s="275"/>
      <c r="GY461" s="275"/>
      <c r="GZ461" s="275"/>
      <c r="HA461" s="275"/>
      <c r="HB461" s="275"/>
      <c r="HC461" s="275"/>
      <c r="HD461" s="275"/>
      <c r="HE461" s="275"/>
      <c r="HF461" s="275"/>
      <c r="HG461" s="275"/>
      <c r="HH461" s="275"/>
      <c r="HI461" s="275"/>
      <c r="HJ461" s="275"/>
      <c r="HK461" s="275"/>
      <c r="HL461" s="275"/>
      <c r="HM461" s="275"/>
      <c r="HN461" s="275"/>
      <c r="HO461" s="275"/>
      <c r="HP461" s="275"/>
      <c r="HQ461" s="275"/>
      <c r="HR461" s="275"/>
    </row>
    <row r="462" spans="1:226" s="297" customFormat="1">
      <c r="A462" s="275"/>
      <c r="B462" s="21"/>
      <c r="C462" s="21"/>
      <c r="D462" s="21"/>
      <c r="E462" s="21"/>
      <c r="F462" s="275"/>
      <c r="G462" s="275"/>
      <c r="H462" s="275"/>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J462" s="275"/>
      <c r="AK462" s="275"/>
      <c r="AL462" s="275"/>
      <c r="AM462" s="275"/>
      <c r="AN462" s="275"/>
      <c r="AO462" s="275"/>
      <c r="AQ462" s="275"/>
      <c r="AR462" s="275"/>
      <c r="AS462" s="275"/>
      <c r="AT462" s="275"/>
      <c r="AU462" s="275"/>
      <c r="AV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D462" s="275"/>
      <c r="EE462" s="275"/>
      <c r="EF462" s="275"/>
      <c r="EG462" s="275"/>
      <c r="EH462" s="275"/>
      <c r="EI462" s="275"/>
      <c r="EJ462" s="275"/>
      <c r="EK462" s="275"/>
      <c r="EL462" s="275"/>
      <c r="EM462" s="275"/>
      <c r="EN462" s="275"/>
      <c r="EO462" s="275"/>
      <c r="EP462" s="275"/>
      <c r="EQ462" s="275"/>
      <c r="ER462" s="275"/>
      <c r="ES462" s="275"/>
      <c r="ET462" s="275"/>
      <c r="EU462"/>
      <c r="EV462"/>
      <c r="EW462" s="275"/>
      <c r="EX462" s="275"/>
      <c r="EY462" s="275"/>
      <c r="EZ462" s="275"/>
      <c r="FA462" s="275"/>
      <c r="FB462" s="275"/>
      <c r="FC462" s="275"/>
      <c r="FD462" s="275"/>
      <c r="FE462" s="275"/>
      <c r="FF462" s="275"/>
      <c r="FG462" s="275"/>
      <c r="FH462" s="275"/>
      <c r="FI462" s="275"/>
      <c r="FJ462" s="275"/>
      <c r="FK462" s="275"/>
      <c r="FL462" s="275"/>
      <c r="FM462" s="275"/>
      <c r="FN462" s="275"/>
      <c r="FO462" s="275"/>
      <c r="FP462" s="275"/>
      <c r="FQ462" s="275"/>
      <c r="FR462" s="275"/>
      <c r="FS462" s="275"/>
      <c r="FT462" s="275"/>
      <c r="FU462" s="275"/>
      <c r="FV462" s="275"/>
      <c r="FW462" s="275"/>
      <c r="FX462" s="275"/>
      <c r="FY462" s="275"/>
      <c r="FZ462" s="275"/>
      <c r="GA462" s="275"/>
      <c r="GB462" s="275"/>
      <c r="GC462" s="275"/>
      <c r="GD462" s="275"/>
      <c r="GE462" s="275"/>
      <c r="GF462" s="275"/>
      <c r="GG462" s="275"/>
      <c r="GH462" s="275"/>
      <c r="GI462" s="275"/>
      <c r="GJ462" s="275"/>
      <c r="GK462" s="275"/>
      <c r="GL462" s="275"/>
      <c r="GM462" s="275"/>
      <c r="GN462" s="275"/>
      <c r="GO462" s="275"/>
      <c r="GP462" s="275"/>
      <c r="GQ462" s="275"/>
      <c r="GR462" s="275"/>
      <c r="GS462" s="275"/>
      <c r="GT462" s="275"/>
      <c r="GU462" s="275"/>
      <c r="GV462" s="275"/>
      <c r="GW462" s="275"/>
      <c r="GX462" s="275"/>
      <c r="GY462" s="275"/>
      <c r="GZ462" s="275"/>
      <c r="HA462" s="275"/>
      <c r="HB462" s="275"/>
      <c r="HC462" s="275"/>
      <c r="HD462" s="275"/>
      <c r="HE462" s="275"/>
      <c r="HF462" s="275"/>
      <c r="HG462" s="275"/>
      <c r="HH462" s="275"/>
      <c r="HI462" s="275"/>
      <c r="HJ462" s="275"/>
      <c r="HK462" s="275"/>
      <c r="HL462" s="275"/>
      <c r="HM462" s="275"/>
      <c r="HN462" s="275"/>
      <c r="HO462" s="275"/>
      <c r="HP462" s="275"/>
      <c r="HQ462" s="275"/>
      <c r="HR462" s="275"/>
    </row>
    <row r="463" spans="1:226" s="297" customFormat="1">
      <c r="A463" s="275"/>
      <c r="B463" s="21"/>
      <c r="C463" s="21"/>
      <c r="D463" s="21"/>
      <c r="E463" s="21"/>
      <c r="F463" s="275"/>
      <c r="G463" s="275"/>
      <c r="H463" s="275"/>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J463" s="275"/>
      <c r="AK463" s="275"/>
      <c r="AL463" s="275"/>
      <c r="AM463" s="275"/>
      <c r="AN463" s="275"/>
      <c r="AO463" s="275"/>
      <c r="AQ463" s="275"/>
      <c r="AR463" s="275"/>
      <c r="AS463" s="275"/>
      <c r="AT463" s="275"/>
      <c r="AU463" s="275"/>
      <c r="AV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D463" s="275"/>
      <c r="EE463" s="275"/>
      <c r="EF463" s="275"/>
      <c r="EG463" s="275"/>
      <c r="EH463" s="275"/>
      <c r="EI463" s="275"/>
      <c r="EJ463" s="275"/>
      <c r="EK463" s="275"/>
      <c r="EL463" s="275"/>
      <c r="EM463" s="275"/>
      <c r="EN463" s="275"/>
      <c r="EO463" s="275"/>
      <c r="EP463" s="275"/>
      <c r="EQ463" s="275"/>
      <c r="ER463" s="275"/>
      <c r="ES463" s="275"/>
      <c r="ET463" s="275"/>
      <c r="EU463"/>
      <c r="EV463"/>
      <c r="EW463" s="275"/>
      <c r="EX463" s="275"/>
      <c r="EY463" s="275"/>
      <c r="EZ463" s="275"/>
      <c r="FA463" s="275"/>
      <c r="FB463" s="275"/>
      <c r="FC463" s="275"/>
      <c r="FD463" s="275"/>
      <c r="FE463" s="275"/>
      <c r="FF463" s="275"/>
      <c r="FG463" s="275"/>
      <c r="FH463" s="275"/>
      <c r="FI463" s="275"/>
      <c r="FJ463" s="275"/>
      <c r="FK463" s="275"/>
      <c r="FL463" s="275"/>
      <c r="FM463" s="275"/>
      <c r="FN463" s="275"/>
      <c r="FO463" s="275"/>
      <c r="FP463" s="275"/>
      <c r="FQ463" s="275"/>
      <c r="FR463" s="275"/>
      <c r="FS463" s="275"/>
      <c r="FT463" s="275"/>
      <c r="FU463" s="275"/>
      <c r="FV463" s="275"/>
      <c r="FW463" s="275"/>
      <c r="FX463" s="275"/>
      <c r="FY463" s="275"/>
      <c r="FZ463" s="275"/>
      <c r="GA463" s="275"/>
      <c r="GB463" s="275"/>
      <c r="GC463" s="275"/>
      <c r="GD463" s="275"/>
      <c r="GE463" s="275"/>
      <c r="GF463" s="275"/>
      <c r="GG463" s="275"/>
      <c r="GH463" s="275"/>
      <c r="GI463" s="275"/>
      <c r="GJ463" s="275"/>
      <c r="GK463" s="275"/>
      <c r="GL463" s="275"/>
      <c r="GM463" s="275"/>
      <c r="GN463" s="275"/>
      <c r="GO463" s="275"/>
      <c r="GP463" s="275"/>
      <c r="GQ463" s="275"/>
      <c r="GR463" s="275"/>
      <c r="GS463" s="275"/>
      <c r="GT463" s="275"/>
      <c r="GU463" s="275"/>
      <c r="GV463" s="275"/>
      <c r="GW463" s="275"/>
      <c r="GX463" s="275"/>
      <c r="GY463" s="275"/>
      <c r="GZ463" s="275"/>
      <c r="HA463" s="275"/>
      <c r="HB463" s="275"/>
      <c r="HC463" s="275"/>
      <c r="HD463" s="275"/>
      <c r="HE463" s="275"/>
      <c r="HF463" s="275"/>
      <c r="HG463" s="275"/>
      <c r="HH463" s="275"/>
      <c r="HI463" s="275"/>
      <c r="HJ463" s="275"/>
      <c r="HK463" s="275"/>
      <c r="HL463" s="275"/>
      <c r="HM463" s="275"/>
      <c r="HN463" s="275"/>
      <c r="HO463" s="275"/>
      <c r="HP463" s="275"/>
      <c r="HQ463" s="275"/>
      <c r="HR463" s="275"/>
    </row>
    <row r="464" spans="1:226" s="297" customFormat="1">
      <c r="A464" s="275"/>
      <c r="B464" s="21"/>
      <c r="C464" s="21"/>
      <c r="D464" s="21"/>
      <c r="E464" s="21"/>
      <c r="F464" s="275"/>
      <c r="G464" s="275"/>
      <c r="H464" s="275"/>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J464" s="275"/>
      <c r="AK464" s="275"/>
      <c r="AL464" s="275"/>
      <c r="AM464" s="275"/>
      <c r="AN464" s="275"/>
      <c r="AO464" s="275"/>
      <c r="AQ464" s="275"/>
      <c r="AR464" s="275"/>
      <c r="AS464" s="275"/>
      <c r="AT464" s="275"/>
      <c r="AU464" s="275"/>
      <c r="AV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D464" s="275"/>
      <c r="EE464" s="275"/>
      <c r="EF464" s="275"/>
      <c r="EG464" s="275"/>
      <c r="EH464" s="275"/>
      <c r="EI464" s="275"/>
      <c r="EJ464" s="275"/>
      <c r="EK464" s="275"/>
      <c r="EL464" s="275"/>
      <c r="EM464" s="275"/>
      <c r="EN464" s="275"/>
      <c r="EO464" s="275"/>
      <c r="EP464" s="275"/>
      <c r="EQ464" s="275"/>
      <c r="ER464" s="275"/>
      <c r="ES464" s="275"/>
      <c r="ET464" s="275"/>
      <c r="EU464"/>
      <c r="EV464"/>
      <c r="EW464" s="275"/>
      <c r="EX464" s="275"/>
      <c r="EY464" s="275"/>
      <c r="EZ464" s="275"/>
      <c r="FA464" s="275"/>
      <c r="FB464" s="275"/>
      <c r="FC464" s="275"/>
      <c r="FD464" s="275"/>
      <c r="FE464" s="275"/>
      <c r="FF464" s="275"/>
      <c r="FG464" s="275"/>
      <c r="FH464" s="275"/>
      <c r="FI464" s="275"/>
      <c r="FJ464" s="275"/>
      <c r="FK464" s="275"/>
      <c r="FL464" s="275"/>
      <c r="FM464" s="275"/>
      <c r="FN464" s="275"/>
      <c r="FO464" s="275"/>
      <c r="FP464" s="275"/>
      <c r="FQ464" s="275"/>
      <c r="FR464" s="275"/>
      <c r="FS464" s="275"/>
      <c r="FT464" s="275"/>
      <c r="FU464" s="275"/>
      <c r="FV464" s="275"/>
      <c r="FW464" s="275"/>
      <c r="FX464" s="275"/>
      <c r="FY464" s="275"/>
      <c r="FZ464" s="275"/>
      <c r="GA464" s="275"/>
      <c r="GB464" s="275"/>
      <c r="GC464" s="275"/>
      <c r="GD464" s="275"/>
      <c r="GE464" s="275"/>
      <c r="GF464" s="275"/>
      <c r="GG464" s="275"/>
      <c r="GH464" s="275"/>
      <c r="GI464" s="275"/>
      <c r="GJ464" s="275"/>
      <c r="GK464" s="275"/>
      <c r="GL464" s="275"/>
      <c r="GM464" s="275"/>
      <c r="GN464" s="275"/>
      <c r="GO464" s="275"/>
      <c r="GP464" s="275"/>
      <c r="GQ464" s="275"/>
      <c r="GR464" s="275"/>
      <c r="GS464" s="275"/>
      <c r="GT464" s="275"/>
      <c r="GU464" s="275"/>
      <c r="GV464" s="275"/>
      <c r="GW464" s="275"/>
      <c r="GX464" s="275"/>
      <c r="GY464" s="275"/>
      <c r="GZ464" s="275"/>
      <c r="HA464" s="275"/>
      <c r="HB464" s="275"/>
      <c r="HC464" s="275"/>
      <c r="HD464" s="275"/>
      <c r="HE464" s="275"/>
      <c r="HF464" s="275"/>
      <c r="HG464" s="275"/>
      <c r="HH464" s="275"/>
      <c r="HI464" s="275"/>
      <c r="HJ464" s="275"/>
      <c r="HK464" s="275"/>
      <c r="HL464" s="275"/>
      <c r="HM464" s="275"/>
      <c r="HN464" s="275"/>
      <c r="HO464" s="275"/>
      <c r="HP464" s="275"/>
      <c r="HQ464" s="275"/>
      <c r="HR464" s="275"/>
    </row>
    <row r="465" spans="1:226" s="297" customFormat="1">
      <c r="A465" s="275"/>
      <c r="B465" s="21"/>
      <c r="C465" s="21"/>
      <c r="D465" s="21"/>
      <c r="E465" s="21"/>
      <c r="F465" s="275"/>
      <c r="G465" s="275"/>
      <c r="H465" s="275"/>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J465" s="275"/>
      <c r="AK465" s="275"/>
      <c r="AL465" s="275"/>
      <c r="AM465" s="275"/>
      <c r="AN465" s="275"/>
      <c r="AO465" s="275"/>
      <c r="AQ465" s="275"/>
      <c r="AR465" s="275"/>
      <c r="AS465" s="275"/>
      <c r="AT465" s="275"/>
      <c r="AU465" s="275"/>
      <c r="AV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D465" s="275"/>
      <c r="EE465" s="275"/>
      <c r="EF465" s="275"/>
      <c r="EG465" s="275"/>
      <c r="EH465" s="275"/>
      <c r="EI465" s="275"/>
      <c r="EJ465" s="275"/>
      <c r="EK465" s="275"/>
      <c r="EL465" s="275"/>
      <c r="EM465" s="275"/>
      <c r="EN465" s="275"/>
      <c r="EO465" s="275"/>
      <c r="EP465" s="275"/>
      <c r="EQ465" s="275"/>
      <c r="ER465" s="275"/>
      <c r="ES465" s="275"/>
      <c r="ET465" s="275"/>
      <c r="EU465"/>
      <c r="EV465"/>
      <c r="EW465" s="275"/>
      <c r="EX465" s="275"/>
      <c r="EY465" s="275"/>
      <c r="EZ465" s="275"/>
      <c r="FA465" s="275"/>
      <c r="FB465" s="275"/>
      <c r="FC465" s="275"/>
      <c r="FD465" s="275"/>
      <c r="FE465" s="275"/>
      <c r="FF465" s="275"/>
      <c r="FG465" s="275"/>
      <c r="FH465" s="275"/>
      <c r="FI465" s="275"/>
      <c r="FJ465" s="275"/>
      <c r="FK465" s="275"/>
      <c r="FL465" s="275"/>
      <c r="FM465" s="275"/>
      <c r="FN465" s="275"/>
      <c r="FO465" s="275"/>
      <c r="FP465" s="275"/>
      <c r="FQ465" s="275"/>
      <c r="FR465" s="275"/>
      <c r="FS465" s="275"/>
      <c r="FT465" s="275"/>
      <c r="FU465" s="275"/>
      <c r="FV465" s="275"/>
      <c r="FW465" s="275"/>
      <c r="FX465" s="275"/>
      <c r="FY465" s="275"/>
      <c r="FZ465" s="275"/>
      <c r="GA465" s="275"/>
      <c r="GB465" s="275"/>
      <c r="GC465" s="275"/>
      <c r="GD465" s="275"/>
      <c r="GE465" s="275"/>
      <c r="GF465" s="275"/>
      <c r="GG465" s="275"/>
      <c r="GH465" s="275"/>
      <c r="GI465" s="275"/>
      <c r="GJ465" s="275"/>
      <c r="GK465" s="275"/>
      <c r="GL465" s="275"/>
      <c r="GM465" s="275"/>
      <c r="GN465" s="275"/>
      <c r="GO465" s="275"/>
      <c r="GP465" s="275"/>
      <c r="GQ465" s="275"/>
      <c r="GR465" s="275"/>
      <c r="GS465" s="275"/>
      <c r="GT465" s="275"/>
      <c r="GU465" s="275"/>
      <c r="GV465" s="275"/>
      <c r="GW465" s="275"/>
      <c r="GX465" s="275"/>
      <c r="GY465" s="275"/>
      <c r="GZ465" s="275"/>
      <c r="HA465" s="275"/>
      <c r="HB465" s="275"/>
      <c r="HC465" s="275"/>
      <c r="HD465" s="275"/>
      <c r="HE465" s="275"/>
      <c r="HF465" s="275"/>
      <c r="HG465" s="275"/>
      <c r="HH465" s="275"/>
      <c r="HI465" s="275"/>
      <c r="HJ465" s="275"/>
      <c r="HK465" s="275"/>
      <c r="HL465" s="275"/>
      <c r="HM465" s="275"/>
      <c r="HN465" s="275"/>
      <c r="HO465" s="275"/>
      <c r="HP465" s="275"/>
      <c r="HQ465" s="275"/>
      <c r="HR465" s="275"/>
    </row>
    <row r="466" spans="1:226" s="297" customFormat="1">
      <c r="A466" s="275"/>
      <c r="B466" s="21"/>
      <c r="C466" s="21"/>
      <c r="D466" s="21"/>
      <c r="E466" s="21"/>
      <c r="F466" s="275"/>
      <c r="G466" s="275"/>
      <c r="H466" s="275"/>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J466" s="275"/>
      <c r="AK466" s="275"/>
      <c r="AL466" s="275"/>
      <c r="AM466" s="275"/>
      <c r="AN466" s="275"/>
      <c r="AO466" s="275"/>
      <c r="AQ466" s="275"/>
      <c r="AR466" s="275"/>
      <c r="AS466" s="275"/>
      <c r="AT466" s="275"/>
      <c r="AU466" s="275"/>
      <c r="AV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D466" s="275"/>
      <c r="EE466" s="275"/>
      <c r="EF466" s="275"/>
      <c r="EG466" s="275"/>
      <c r="EH466" s="275"/>
      <c r="EI466" s="275"/>
      <c r="EJ466" s="275"/>
      <c r="EK466" s="275"/>
      <c r="EL466" s="275"/>
      <c r="EM466" s="275"/>
      <c r="EN466" s="275"/>
      <c r="EO466" s="275"/>
      <c r="EP466" s="275"/>
      <c r="EQ466" s="275"/>
      <c r="ER466" s="275"/>
      <c r="ES466" s="275"/>
      <c r="ET466" s="275"/>
      <c r="EU466"/>
      <c r="EV466"/>
      <c r="EW466" s="275"/>
      <c r="EX466" s="275"/>
      <c r="EY466" s="275"/>
      <c r="EZ466" s="275"/>
      <c r="FA466" s="275"/>
      <c r="FB466" s="275"/>
      <c r="FC466" s="275"/>
      <c r="FD466" s="275"/>
      <c r="FE466" s="275"/>
      <c r="FF466" s="275"/>
      <c r="FG466" s="275"/>
      <c r="FH466" s="275"/>
      <c r="FI466" s="275"/>
      <c r="FJ466" s="275"/>
      <c r="FK466" s="275"/>
      <c r="FL466" s="275"/>
      <c r="FM466" s="275"/>
      <c r="FN466" s="275"/>
      <c r="FO466" s="275"/>
      <c r="FP466" s="275"/>
      <c r="FQ466" s="275"/>
      <c r="FR466" s="275"/>
      <c r="FS466" s="275"/>
      <c r="FT466" s="275"/>
      <c r="FU466" s="275"/>
      <c r="FV466" s="275"/>
      <c r="FW466" s="275"/>
      <c r="FX466" s="275"/>
      <c r="FY466" s="275"/>
      <c r="FZ466" s="275"/>
      <c r="GA466" s="275"/>
      <c r="GB466" s="275"/>
      <c r="GC466" s="275"/>
      <c r="GD466" s="275"/>
      <c r="GE466" s="275"/>
      <c r="GF466" s="275"/>
      <c r="GG466" s="275"/>
      <c r="GH466" s="275"/>
      <c r="GI466" s="275"/>
      <c r="GJ466" s="275"/>
      <c r="GK466" s="275"/>
      <c r="GL466" s="275"/>
      <c r="GM466" s="275"/>
      <c r="GN466" s="275"/>
      <c r="GO466" s="275"/>
      <c r="GP466" s="275"/>
      <c r="GQ466" s="275"/>
      <c r="GR466" s="275"/>
      <c r="GS466" s="275"/>
      <c r="GT466" s="275"/>
      <c r="GU466" s="275"/>
      <c r="GV466" s="275"/>
      <c r="GW466" s="275"/>
      <c r="GX466" s="275"/>
      <c r="GY466" s="275"/>
      <c r="GZ466" s="275"/>
      <c r="HA466" s="275"/>
      <c r="HB466" s="275"/>
      <c r="HC466" s="275"/>
      <c r="HD466" s="275"/>
      <c r="HE466" s="275"/>
      <c r="HF466" s="275"/>
      <c r="HG466" s="275"/>
      <c r="HH466" s="275"/>
      <c r="HI466" s="275"/>
      <c r="HJ466" s="275"/>
      <c r="HK466" s="275"/>
      <c r="HL466" s="275"/>
      <c r="HM466" s="275"/>
      <c r="HN466" s="275"/>
      <c r="HO466" s="275"/>
      <c r="HP466" s="275"/>
      <c r="HQ466" s="275"/>
      <c r="HR466" s="275"/>
    </row>
    <row r="467" spans="1:226" s="297" customFormat="1">
      <c r="A467" s="275"/>
      <c r="B467" s="21"/>
      <c r="C467" s="21"/>
      <c r="D467" s="21"/>
      <c r="E467" s="21"/>
      <c r="F467" s="275"/>
      <c r="G467" s="275"/>
      <c r="H467" s="275"/>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J467" s="275"/>
      <c r="AK467" s="275"/>
      <c r="AL467" s="275"/>
      <c r="AM467" s="275"/>
      <c r="AN467" s="275"/>
      <c r="AO467" s="275"/>
      <c r="AQ467" s="275"/>
      <c r="AR467" s="275"/>
      <c r="AS467" s="275"/>
      <c r="AT467" s="275"/>
      <c r="AU467" s="275"/>
      <c r="AV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D467" s="275"/>
      <c r="EE467" s="275"/>
      <c r="EF467" s="275"/>
      <c r="EG467" s="275"/>
      <c r="EH467" s="275"/>
      <c r="EI467" s="275"/>
      <c r="EJ467" s="275"/>
      <c r="EK467" s="275"/>
      <c r="EL467" s="275"/>
      <c r="EM467" s="275"/>
      <c r="EN467" s="275"/>
      <c r="EO467" s="275"/>
      <c r="EP467" s="275"/>
      <c r="EQ467" s="275"/>
      <c r="ER467" s="275"/>
      <c r="ES467" s="275"/>
      <c r="ET467" s="275"/>
      <c r="EU467"/>
      <c r="EV467"/>
      <c r="EW467" s="275"/>
      <c r="EX467" s="275"/>
      <c r="EY467" s="275"/>
      <c r="EZ467" s="275"/>
      <c r="FA467" s="275"/>
      <c r="FB467" s="275"/>
      <c r="FC467" s="275"/>
      <c r="FD467" s="275"/>
      <c r="FE467" s="275"/>
      <c r="FF467" s="275"/>
      <c r="FG467" s="275"/>
      <c r="FH467" s="275"/>
      <c r="FI467" s="275"/>
      <c r="FJ467" s="275"/>
      <c r="FK467" s="275"/>
      <c r="FL467" s="275"/>
      <c r="FM467" s="275"/>
      <c r="FN467" s="275"/>
      <c r="FO467" s="275"/>
      <c r="FP467" s="275"/>
      <c r="FQ467" s="275"/>
      <c r="FR467" s="275"/>
      <c r="FS467" s="275"/>
      <c r="FT467" s="275"/>
      <c r="FU467" s="275"/>
      <c r="FV467" s="275"/>
      <c r="FW467" s="275"/>
      <c r="FX467" s="275"/>
      <c r="FY467" s="275"/>
      <c r="FZ467" s="275"/>
      <c r="GA467" s="275"/>
      <c r="GB467" s="275"/>
      <c r="GC467" s="275"/>
      <c r="GD467" s="275"/>
      <c r="GE467" s="275"/>
      <c r="GF467" s="275"/>
      <c r="GG467" s="275"/>
      <c r="GH467" s="275"/>
      <c r="GI467" s="275"/>
      <c r="GJ467" s="275"/>
      <c r="GK467" s="275"/>
      <c r="GL467" s="275"/>
      <c r="GM467" s="275"/>
      <c r="GN467" s="275"/>
      <c r="GO467" s="275"/>
      <c r="GP467" s="275"/>
      <c r="GQ467" s="275"/>
      <c r="GR467" s="275"/>
      <c r="GS467" s="275"/>
      <c r="GT467" s="275"/>
      <c r="GU467" s="275"/>
      <c r="GV467" s="275"/>
      <c r="GW467" s="275"/>
      <c r="GX467" s="275"/>
      <c r="GY467" s="275"/>
      <c r="GZ467" s="275"/>
      <c r="HA467" s="275"/>
      <c r="HB467" s="275"/>
      <c r="HC467" s="275"/>
      <c r="HD467" s="275"/>
      <c r="HE467" s="275"/>
      <c r="HF467" s="275"/>
      <c r="HG467" s="275"/>
      <c r="HH467" s="275"/>
      <c r="HI467" s="275"/>
      <c r="HJ467" s="275"/>
      <c r="HK467" s="275"/>
      <c r="HL467" s="275"/>
      <c r="HM467" s="275"/>
      <c r="HN467" s="275"/>
      <c r="HO467" s="275"/>
      <c r="HP467" s="275"/>
      <c r="HQ467" s="275"/>
      <c r="HR467" s="275"/>
    </row>
    <row r="468" spans="1:226" s="297" customFormat="1">
      <c r="A468" s="275"/>
      <c r="B468" s="21"/>
      <c r="C468" s="21"/>
      <c r="D468" s="21"/>
      <c r="E468" s="21"/>
      <c r="F468" s="275"/>
      <c r="G468" s="275"/>
      <c r="H468" s="275"/>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J468" s="275"/>
      <c r="AK468" s="275"/>
      <c r="AL468" s="275"/>
      <c r="AM468" s="275"/>
      <c r="AN468" s="275"/>
      <c r="AO468" s="275"/>
      <c r="AQ468" s="275"/>
      <c r="AR468" s="275"/>
      <c r="AS468" s="275"/>
      <c r="AT468" s="275"/>
      <c r="AU468" s="275"/>
      <c r="AV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D468" s="275"/>
      <c r="EE468" s="275"/>
      <c r="EF468" s="275"/>
      <c r="EG468" s="275"/>
      <c r="EH468" s="275"/>
      <c r="EI468" s="275"/>
      <c r="EJ468" s="275"/>
      <c r="EK468" s="275"/>
      <c r="EL468" s="275"/>
      <c r="EM468" s="275"/>
      <c r="EN468" s="275"/>
      <c r="EO468" s="275"/>
      <c r="EP468" s="275"/>
      <c r="EQ468" s="275"/>
      <c r="ER468" s="275"/>
      <c r="ES468" s="275"/>
      <c r="ET468" s="275"/>
      <c r="EU468"/>
      <c r="EV468"/>
      <c r="EW468" s="275"/>
      <c r="EX468" s="275"/>
      <c r="EY468" s="275"/>
      <c r="EZ468" s="275"/>
      <c r="FA468" s="275"/>
      <c r="FB468" s="275"/>
      <c r="FC468" s="275"/>
      <c r="FD468" s="275"/>
      <c r="FE468" s="275"/>
      <c r="FF468" s="275"/>
      <c r="FG468" s="275"/>
      <c r="FH468" s="275"/>
      <c r="FI468" s="275"/>
      <c r="FJ468" s="275"/>
      <c r="FK468" s="275"/>
      <c r="FL468" s="275"/>
      <c r="FM468" s="275"/>
      <c r="FN468" s="275"/>
      <c r="FO468" s="275"/>
      <c r="FP468" s="275"/>
      <c r="FQ468" s="275"/>
      <c r="FR468" s="275"/>
      <c r="FS468" s="275"/>
      <c r="FT468" s="275"/>
      <c r="FU468" s="275"/>
      <c r="FV468" s="275"/>
      <c r="FW468" s="275"/>
      <c r="FX468" s="275"/>
      <c r="FY468" s="275"/>
      <c r="FZ468" s="275"/>
      <c r="GA468" s="275"/>
      <c r="GB468" s="275"/>
      <c r="GC468" s="275"/>
      <c r="GD468" s="275"/>
      <c r="GE468" s="275"/>
      <c r="GF468" s="275"/>
      <c r="GG468" s="275"/>
      <c r="GH468" s="275"/>
      <c r="GI468" s="275"/>
      <c r="GJ468" s="275"/>
      <c r="GK468" s="275"/>
      <c r="GL468" s="275"/>
      <c r="GM468" s="275"/>
      <c r="GN468" s="275"/>
      <c r="GO468" s="275"/>
      <c r="GP468" s="275"/>
      <c r="GQ468" s="275"/>
      <c r="GR468" s="275"/>
      <c r="GS468" s="275"/>
      <c r="GT468" s="275"/>
      <c r="GU468" s="275"/>
      <c r="GV468" s="275"/>
      <c r="GW468" s="275"/>
      <c r="GX468" s="275"/>
      <c r="GY468" s="275"/>
      <c r="GZ468" s="275"/>
      <c r="HA468" s="275"/>
      <c r="HB468" s="275"/>
      <c r="HC468" s="275"/>
      <c r="HD468" s="275"/>
      <c r="HE468" s="275"/>
      <c r="HF468" s="275"/>
      <c r="HG468" s="275"/>
      <c r="HH468" s="275"/>
      <c r="HI468" s="275"/>
      <c r="HJ468" s="275"/>
      <c r="HK468" s="275"/>
      <c r="HL468" s="275"/>
      <c r="HM468" s="275"/>
      <c r="HN468" s="275"/>
      <c r="HO468" s="275"/>
      <c r="HP468" s="275"/>
      <c r="HQ468" s="275"/>
      <c r="HR468" s="275"/>
    </row>
    <row r="469" spans="1:226" s="297" customFormat="1">
      <c r="A469" s="275"/>
      <c r="B469" s="21"/>
      <c r="C469" s="21"/>
      <c r="D469" s="21"/>
      <c r="E469" s="21"/>
      <c r="F469" s="275"/>
      <c r="G469" s="275"/>
      <c r="H469" s="275"/>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J469" s="275"/>
      <c r="AK469" s="275"/>
      <c r="AL469" s="275"/>
      <c r="AM469" s="275"/>
      <c r="AN469" s="275"/>
      <c r="AO469" s="275"/>
      <c r="AQ469" s="275"/>
      <c r="AR469" s="275"/>
      <c r="AS469" s="275"/>
      <c r="AT469" s="275"/>
      <c r="AU469" s="275"/>
      <c r="AV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D469" s="275"/>
      <c r="EE469" s="275"/>
      <c r="EF469" s="275"/>
      <c r="EG469" s="275"/>
      <c r="EH469" s="275"/>
      <c r="EI469" s="275"/>
      <c r="EJ469" s="275"/>
      <c r="EK469" s="275"/>
      <c r="EL469" s="275"/>
      <c r="EM469" s="275"/>
      <c r="EN469" s="275"/>
      <c r="EO469" s="275"/>
      <c r="EP469" s="275"/>
      <c r="EQ469" s="275"/>
      <c r="ER469" s="275"/>
      <c r="ES469" s="275"/>
      <c r="ET469" s="275"/>
      <c r="EU469"/>
      <c r="EV469"/>
      <c r="EW469" s="275"/>
      <c r="EX469" s="275"/>
      <c r="EY469" s="275"/>
      <c r="EZ469" s="275"/>
      <c r="FA469" s="275"/>
      <c r="FB469" s="275"/>
      <c r="FC469" s="275"/>
      <c r="FD469" s="275"/>
      <c r="FE469" s="275"/>
      <c r="FF469" s="275"/>
      <c r="FG469" s="275"/>
      <c r="FH469" s="275"/>
      <c r="FI469" s="275"/>
      <c r="FJ469" s="275"/>
      <c r="FK469" s="275"/>
      <c r="FL469" s="275"/>
      <c r="FM469" s="275"/>
      <c r="FN469" s="275"/>
      <c r="FO469" s="275"/>
      <c r="FP469" s="275"/>
      <c r="FQ469" s="275"/>
      <c r="FR469" s="275"/>
      <c r="FS469" s="275"/>
      <c r="FT469" s="275"/>
      <c r="FU469" s="275"/>
      <c r="FV469" s="275"/>
      <c r="FW469" s="275"/>
      <c r="FX469" s="275"/>
      <c r="FY469" s="275"/>
      <c r="FZ469" s="275"/>
      <c r="GA469" s="275"/>
      <c r="GB469" s="275"/>
      <c r="GC469" s="275"/>
      <c r="GD469" s="275"/>
      <c r="GE469" s="275"/>
      <c r="GF469" s="275"/>
      <c r="GG469" s="275"/>
      <c r="GH469" s="275"/>
      <c r="GI469" s="275"/>
      <c r="GJ469" s="275"/>
      <c r="GK469" s="275"/>
      <c r="GL469" s="275"/>
      <c r="GM469" s="275"/>
      <c r="GN469" s="275"/>
      <c r="GO469" s="275"/>
      <c r="GP469" s="275"/>
      <c r="GQ469" s="275"/>
      <c r="GR469" s="275"/>
      <c r="GS469" s="275"/>
      <c r="GT469" s="275"/>
      <c r="GU469" s="275"/>
      <c r="GV469" s="275"/>
      <c r="GW469" s="275"/>
      <c r="GX469" s="275"/>
      <c r="GY469" s="275"/>
      <c r="GZ469" s="275"/>
      <c r="HA469" s="275"/>
      <c r="HB469" s="275"/>
      <c r="HC469" s="275"/>
      <c r="HD469" s="275"/>
      <c r="HE469" s="275"/>
      <c r="HF469" s="275"/>
      <c r="HG469" s="275"/>
      <c r="HH469" s="275"/>
      <c r="HI469" s="275"/>
      <c r="HJ469" s="275"/>
      <c r="HK469" s="275"/>
      <c r="HL469" s="275"/>
      <c r="HM469" s="275"/>
      <c r="HN469" s="275"/>
      <c r="HO469" s="275"/>
      <c r="HP469" s="275"/>
      <c r="HQ469" s="275"/>
      <c r="HR469" s="275"/>
    </row>
    <row r="470" spans="1:226" s="297" customFormat="1">
      <c r="A470" s="275"/>
      <c r="B470" s="21"/>
      <c r="C470" s="21"/>
      <c r="D470" s="21"/>
      <c r="E470" s="21"/>
      <c r="F470" s="275"/>
      <c r="G470" s="275"/>
      <c r="H470" s="275"/>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J470" s="275"/>
      <c r="AK470" s="275"/>
      <c r="AL470" s="275"/>
      <c r="AM470" s="275"/>
      <c r="AN470" s="275"/>
      <c r="AO470" s="275"/>
      <c r="AQ470" s="275"/>
      <c r="AR470" s="275"/>
      <c r="AS470" s="275"/>
      <c r="AT470" s="275"/>
      <c r="AU470" s="275"/>
      <c r="AV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D470" s="275"/>
      <c r="EE470" s="275"/>
      <c r="EF470" s="275"/>
      <c r="EG470" s="275"/>
      <c r="EH470" s="275"/>
      <c r="EI470" s="275"/>
      <c r="EJ470" s="275"/>
      <c r="EK470" s="275"/>
      <c r="EL470" s="275"/>
      <c r="EM470" s="275"/>
      <c r="EN470" s="275"/>
      <c r="EO470" s="275"/>
      <c r="EP470" s="275"/>
      <c r="EQ470" s="275"/>
      <c r="ER470" s="275"/>
      <c r="ES470" s="275"/>
      <c r="ET470" s="275"/>
      <c r="EU470"/>
      <c r="EV470"/>
      <c r="EW470" s="275"/>
      <c r="EX470" s="275"/>
      <c r="EY470" s="275"/>
      <c r="EZ470" s="275"/>
      <c r="FA470" s="275"/>
      <c r="FB470" s="275"/>
      <c r="FC470" s="275"/>
      <c r="FD470" s="275"/>
      <c r="FE470" s="275"/>
      <c r="FF470" s="275"/>
      <c r="FG470" s="275"/>
      <c r="FH470" s="275"/>
      <c r="FI470" s="275"/>
      <c r="FJ470" s="275"/>
      <c r="FK470" s="275"/>
      <c r="FL470" s="275"/>
      <c r="FM470" s="275"/>
      <c r="FN470" s="275"/>
      <c r="FO470" s="275"/>
      <c r="FP470" s="275"/>
      <c r="FQ470" s="275"/>
      <c r="FR470" s="275"/>
      <c r="FS470" s="275"/>
      <c r="FT470" s="275"/>
      <c r="FU470" s="275"/>
      <c r="FV470" s="275"/>
      <c r="FW470" s="275"/>
      <c r="FX470" s="275"/>
      <c r="FY470" s="275"/>
      <c r="FZ470" s="275"/>
      <c r="GA470" s="275"/>
      <c r="GB470" s="275"/>
      <c r="GC470" s="275"/>
      <c r="GD470" s="275"/>
      <c r="GE470" s="275"/>
      <c r="GF470" s="275"/>
      <c r="GG470" s="275"/>
      <c r="GH470" s="275"/>
      <c r="GI470" s="275"/>
      <c r="GJ470" s="275"/>
      <c r="GK470" s="275"/>
      <c r="GL470" s="275"/>
      <c r="GM470" s="275"/>
      <c r="GN470" s="275"/>
      <c r="GO470" s="275"/>
      <c r="GP470" s="275"/>
      <c r="GQ470" s="275"/>
      <c r="GR470" s="275"/>
      <c r="GS470" s="275"/>
      <c r="GT470" s="275"/>
      <c r="GU470" s="275"/>
      <c r="GV470" s="275"/>
      <c r="GW470" s="275"/>
      <c r="GX470" s="275"/>
      <c r="GY470" s="275"/>
      <c r="GZ470" s="275"/>
      <c r="HA470" s="275"/>
      <c r="HB470" s="275"/>
      <c r="HC470" s="275"/>
      <c r="HD470" s="275"/>
      <c r="HE470" s="275"/>
      <c r="HF470" s="275"/>
      <c r="HG470" s="275"/>
      <c r="HH470" s="275"/>
      <c r="HI470" s="275"/>
      <c r="HJ470" s="275"/>
      <c r="HK470" s="275"/>
      <c r="HL470" s="275"/>
      <c r="HM470" s="275"/>
      <c r="HN470" s="275"/>
      <c r="HO470" s="275"/>
      <c r="HP470" s="275"/>
      <c r="HQ470" s="275"/>
      <c r="HR470" s="275"/>
    </row>
    <row r="471" spans="1:226" s="297" customFormat="1">
      <c r="A471" s="275"/>
      <c r="B471" s="21"/>
      <c r="C471" s="21"/>
      <c r="D471" s="21"/>
      <c r="E471" s="21"/>
      <c r="F471" s="275"/>
      <c r="G471" s="275"/>
      <c r="H471" s="275"/>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J471" s="275"/>
      <c r="AK471" s="275"/>
      <c r="AL471" s="275"/>
      <c r="AM471" s="275"/>
      <c r="AN471" s="275"/>
      <c r="AO471" s="275"/>
      <c r="AQ471" s="275"/>
      <c r="AR471" s="275"/>
      <c r="AS471" s="275"/>
      <c r="AT471" s="275"/>
      <c r="AU471" s="275"/>
      <c r="AV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D471" s="275"/>
      <c r="EE471" s="275"/>
      <c r="EF471" s="275"/>
      <c r="EG471" s="275"/>
      <c r="EH471" s="275"/>
      <c r="EI471" s="275"/>
      <c r="EJ471" s="275"/>
      <c r="EK471" s="275"/>
      <c r="EL471" s="275"/>
      <c r="EM471" s="275"/>
      <c r="EN471" s="275"/>
      <c r="EO471" s="275"/>
      <c r="EP471" s="275"/>
      <c r="EQ471" s="275"/>
      <c r="ER471" s="275"/>
      <c r="ES471" s="275"/>
      <c r="ET471" s="275"/>
      <c r="EU471"/>
      <c r="EV471"/>
      <c r="EW471" s="275"/>
      <c r="EX471" s="275"/>
      <c r="EY471" s="275"/>
      <c r="EZ471" s="275"/>
      <c r="FA471" s="275"/>
      <c r="FB471" s="275"/>
      <c r="FC471" s="275"/>
      <c r="FD471" s="275"/>
      <c r="FE471" s="275"/>
      <c r="FF471" s="275"/>
      <c r="FG471" s="275"/>
      <c r="FH471" s="275"/>
      <c r="FI471" s="275"/>
      <c r="FJ471" s="275"/>
      <c r="FK471" s="275"/>
      <c r="FL471" s="275"/>
      <c r="FM471" s="275"/>
      <c r="FN471" s="275"/>
      <c r="FO471" s="275"/>
      <c r="FP471" s="275"/>
      <c r="FQ471" s="275"/>
      <c r="FR471" s="275"/>
      <c r="FS471" s="275"/>
      <c r="FT471" s="275"/>
      <c r="FU471" s="275"/>
      <c r="FV471" s="275"/>
      <c r="FW471" s="275"/>
      <c r="FX471" s="275"/>
      <c r="FY471" s="275"/>
      <c r="FZ471" s="275"/>
      <c r="GA471" s="275"/>
      <c r="GB471" s="275"/>
      <c r="GC471" s="275"/>
      <c r="GD471" s="275"/>
      <c r="GE471" s="275"/>
      <c r="GF471" s="275"/>
      <c r="GG471" s="275"/>
      <c r="GH471" s="275"/>
      <c r="GI471" s="275"/>
      <c r="GJ471" s="275"/>
      <c r="GK471" s="275"/>
      <c r="GL471" s="275"/>
      <c r="GM471" s="275"/>
      <c r="GN471" s="275"/>
      <c r="GO471" s="275"/>
      <c r="GP471" s="275"/>
      <c r="GQ471" s="275"/>
      <c r="GR471" s="275"/>
      <c r="GS471" s="275"/>
      <c r="GT471" s="275"/>
      <c r="GU471" s="275"/>
      <c r="GV471" s="275"/>
      <c r="GW471" s="275"/>
      <c r="GX471" s="275"/>
      <c r="GY471" s="275"/>
      <c r="GZ471" s="275"/>
      <c r="HA471" s="275"/>
      <c r="HB471" s="275"/>
      <c r="HC471" s="275"/>
      <c r="HD471" s="275"/>
      <c r="HE471" s="275"/>
      <c r="HF471" s="275"/>
      <c r="HG471" s="275"/>
      <c r="HH471" s="275"/>
      <c r="HI471" s="275"/>
      <c r="HJ471" s="275"/>
      <c r="HK471" s="275"/>
      <c r="HL471" s="275"/>
      <c r="HM471" s="275"/>
      <c r="HN471" s="275"/>
      <c r="HO471" s="275"/>
      <c r="HP471" s="275"/>
      <c r="HQ471" s="275"/>
      <c r="HR471" s="275"/>
    </row>
    <row r="472" spans="1:226" s="297" customFormat="1">
      <c r="A472" s="275"/>
      <c r="B472" s="21"/>
      <c r="C472" s="21"/>
      <c r="D472" s="21"/>
      <c r="E472" s="21"/>
      <c r="F472" s="275"/>
      <c r="G472" s="275"/>
      <c r="H472" s="275"/>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J472" s="275"/>
      <c r="AK472" s="275"/>
      <c r="AL472" s="275"/>
      <c r="AM472" s="275"/>
      <c r="AN472" s="275"/>
      <c r="AO472" s="275"/>
      <c r="AQ472" s="275"/>
      <c r="AR472" s="275"/>
      <c r="AS472" s="275"/>
      <c r="AT472" s="275"/>
      <c r="AU472" s="275"/>
      <c r="AV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D472" s="275"/>
      <c r="EE472" s="275"/>
      <c r="EF472" s="275"/>
      <c r="EG472" s="275"/>
      <c r="EH472" s="275"/>
      <c r="EI472" s="275"/>
      <c r="EJ472" s="275"/>
      <c r="EK472" s="275"/>
      <c r="EL472" s="275"/>
      <c r="EM472" s="275"/>
      <c r="EN472" s="275"/>
      <c r="EO472" s="275"/>
      <c r="EP472" s="275"/>
      <c r="EQ472" s="275"/>
      <c r="ER472" s="275"/>
      <c r="ES472" s="275"/>
      <c r="ET472" s="275"/>
      <c r="EU472"/>
      <c r="EV472"/>
      <c r="EW472" s="275"/>
      <c r="EX472" s="275"/>
      <c r="EY472" s="275"/>
      <c r="EZ472" s="275"/>
      <c r="FA472" s="275"/>
      <c r="FB472" s="275"/>
      <c r="FC472" s="275"/>
      <c r="FD472" s="275"/>
      <c r="FE472" s="275"/>
      <c r="FF472" s="275"/>
      <c r="FG472" s="275"/>
      <c r="FH472" s="275"/>
      <c r="FI472" s="275"/>
      <c r="FJ472" s="275"/>
      <c r="FK472" s="275"/>
      <c r="FL472" s="275"/>
      <c r="FM472" s="275"/>
      <c r="FN472" s="275"/>
      <c r="FO472" s="275"/>
      <c r="FP472" s="275"/>
      <c r="FQ472" s="275"/>
      <c r="FR472" s="275"/>
      <c r="FS472" s="275"/>
      <c r="FT472" s="275"/>
      <c r="FU472" s="275"/>
      <c r="FV472" s="275"/>
      <c r="FW472" s="275"/>
      <c r="FX472" s="275"/>
      <c r="FY472" s="275"/>
      <c r="FZ472" s="275"/>
      <c r="GA472" s="275"/>
      <c r="GB472" s="275"/>
      <c r="GC472" s="275"/>
      <c r="GD472" s="275"/>
      <c r="GE472" s="275"/>
      <c r="GF472" s="275"/>
      <c r="GG472" s="275"/>
      <c r="GH472" s="275"/>
      <c r="GI472" s="275"/>
      <c r="GJ472" s="275"/>
      <c r="GK472" s="275"/>
      <c r="GL472" s="275"/>
      <c r="GM472" s="275"/>
      <c r="GN472" s="275"/>
      <c r="GO472" s="275"/>
      <c r="GP472" s="275"/>
      <c r="GQ472" s="275"/>
      <c r="GR472" s="275"/>
      <c r="GS472" s="275"/>
      <c r="GT472" s="275"/>
      <c r="GU472" s="275"/>
      <c r="GV472" s="275"/>
      <c r="GW472" s="275"/>
      <c r="GX472" s="275"/>
      <c r="GY472" s="275"/>
      <c r="GZ472" s="275"/>
      <c r="HA472" s="275"/>
      <c r="HB472" s="275"/>
      <c r="HC472" s="275"/>
      <c r="HD472" s="275"/>
      <c r="HE472" s="275"/>
      <c r="HF472" s="275"/>
      <c r="HG472" s="275"/>
      <c r="HH472" s="275"/>
      <c r="HI472" s="275"/>
      <c r="HJ472" s="275"/>
      <c r="HK472" s="275"/>
      <c r="HL472" s="275"/>
      <c r="HM472" s="275"/>
      <c r="HN472" s="275"/>
      <c r="HO472" s="275"/>
      <c r="HP472" s="275"/>
      <c r="HQ472" s="275"/>
      <c r="HR472" s="275"/>
    </row>
    <row r="473" spans="1:226" s="297" customFormat="1">
      <c r="A473" s="275"/>
      <c r="B473" s="21"/>
      <c r="C473" s="21"/>
      <c r="D473" s="21"/>
      <c r="E473" s="21"/>
      <c r="F473" s="275"/>
      <c r="G473" s="275"/>
      <c r="H473" s="275"/>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J473" s="275"/>
      <c r="AK473" s="275"/>
      <c r="AL473" s="275"/>
      <c r="AM473" s="275"/>
      <c r="AN473" s="275"/>
      <c r="AO473" s="275"/>
      <c r="AQ473" s="275"/>
      <c r="AR473" s="275"/>
      <c r="AS473" s="275"/>
      <c r="AT473" s="275"/>
      <c r="AU473" s="275"/>
      <c r="AV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D473" s="275"/>
      <c r="EE473" s="275"/>
      <c r="EF473" s="275"/>
      <c r="EG473" s="275"/>
      <c r="EH473" s="275"/>
      <c r="EI473" s="275"/>
      <c r="EJ473" s="275"/>
      <c r="EK473" s="275"/>
      <c r="EL473" s="275"/>
      <c r="EM473" s="275"/>
      <c r="EN473" s="275"/>
      <c r="EO473" s="275"/>
      <c r="EP473" s="275"/>
      <c r="EQ473" s="275"/>
      <c r="ER473" s="275"/>
      <c r="ES473" s="275"/>
      <c r="ET473" s="275"/>
      <c r="EU473"/>
      <c r="EV473"/>
      <c r="EW473" s="275"/>
      <c r="EX473" s="275"/>
      <c r="EY473" s="275"/>
      <c r="EZ473" s="275"/>
      <c r="FA473" s="275"/>
      <c r="FB473" s="275"/>
      <c r="FC473" s="275"/>
      <c r="FD473" s="275"/>
      <c r="FE473" s="275"/>
      <c r="FF473" s="275"/>
      <c r="FG473" s="275"/>
      <c r="FH473" s="275"/>
      <c r="FI473" s="275"/>
      <c r="FJ473" s="275"/>
      <c r="FK473" s="275"/>
      <c r="FL473" s="275"/>
      <c r="FM473" s="275"/>
      <c r="FN473" s="275"/>
      <c r="FO473" s="275"/>
      <c r="FP473" s="275"/>
      <c r="FQ473" s="275"/>
      <c r="FR473" s="275"/>
      <c r="FS473" s="275"/>
      <c r="FT473" s="275"/>
      <c r="FU473" s="275"/>
      <c r="FV473" s="275"/>
      <c r="FW473" s="275"/>
      <c r="FX473" s="275"/>
      <c r="FY473" s="275"/>
      <c r="FZ473" s="275"/>
      <c r="GA473" s="275"/>
      <c r="GB473" s="275"/>
      <c r="GC473" s="275"/>
      <c r="GD473" s="275"/>
      <c r="GE473" s="275"/>
      <c r="GF473" s="275"/>
      <c r="GG473" s="275"/>
      <c r="GH473" s="275"/>
      <c r="GI473" s="275"/>
      <c r="GJ473" s="275"/>
      <c r="GK473" s="275"/>
      <c r="GL473" s="275"/>
      <c r="GM473" s="275"/>
      <c r="GN473" s="275"/>
      <c r="GO473" s="275"/>
      <c r="GP473" s="275"/>
      <c r="GQ473" s="275"/>
      <c r="GR473" s="275"/>
      <c r="GS473" s="275"/>
      <c r="GT473" s="275"/>
      <c r="GU473" s="275"/>
      <c r="GV473" s="275"/>
      <c r="GW473" s="275"/>
      <c r="GX473" s="275"/>
      <c r="GY473" s="275"/>
      <c r="GZ473" s="275"/>
      <c r="HA473" s="275"/>
      <c r="HB473" s="275"/>
      <c r="HC473" s="275"/>
      <c r="HD473" s="275"/>
      <c r="HE473" s="275"/>
      <c r="HF473" s="275"/>
      <c r="HG473" s="275"/>
      <c r="HH473" s="275"/>
      <c r="HI473" s="275"/>
      <c r="HJ473" s="275"/>
      <c r="HK473" s="275"/>
      <c r="HL473" s="275"/>
      <c r="HM473" s="275"/>
      <c r="HN473" s="275"/>
      <c r="HO473" s="275"/>
      <c r="HP473" s="275"/>
      <c r="HQ473" s="275"/>
      <c r="HR473" s="275"/>
    </row>
    <row r="474" spans="1:226" s="297" customFormat="1">
      <c r="A474" s="275"/>
      <c r="B474" s="21"/>
      <c r="C474" s="21"/>
      <c r="D474" s="21"/>
      <c r="E474" s="21"/>
      <c r="F474" s="275"/>
      <c r="G474" s="275"/>
      <c r="H474" s="275"/>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J474" s="275"/>
      <c r="AK474" s="275"/>
      <c r="AL474" s="275"/>
      <c r="AM474" s="275"/>
      <c r="AN474" s="275"/>
      <c r="AO474" s="275"/>
      <c r="AQ474" s="275"/>
      <c r="AR474" s="275"/>
      <c r="AS474" s="275"/>
      <c r="AT474" s="275"/>
      <c r="AU474" s="275"/>
      <c r="AV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D474" s="275"/>
      <c r="EE474" s="275"/>
      <c r="EF474" s="275"/>
      <c r="EG474" s="275"/>
      <c r="EH474" s="275"/>
      <c r="EI474" s="275"/>
      <c r="EJ474" s="275"/>
      <c r="EK474" s="275"/>
      <c r="EL474" s="275"/>
      <c r="EM474" s="275"/>
      <c r="EN474" s="275"/>
      <c r="EO474" s="275"/>
      <c r="EP474" s="275"/>
      <c r="EQ474" s="275"/>
      <c r="ER474" s="275"/>
      <c r="ES474" s="275"/>
      <c r="ET474" s="275"/>
      <c r="EU474"/>
      <c r="EV474"/>
      <c r="EW474" s="275"/>
      <c r="EX474" s="275"/>
      <c r="EY474" s="275"/>
      <c r="EZ474" s="275"/>
      <c r="FA474" s="275"/>
      <c r="FB474" s="275"/>
      <c r="FC474" s="275"/>
      <c r="FD474" s="275"/>
      <c r="FE474" s="275"/>
      <c r="FF474" s="275"/>
      <c r="FG474" s="275"/>
      <c r="FH474" s="275"/>
      <c r="FI474" s="275"/>
      <c r="FJ474" s="275"/>
      <c r="FK474" s="275"/>
      <c r="FL474" s="275"/>
      <c r="FM474" s="275"/>
      <c r="FN474" s="275"/>
      <c r="FO474" s="275"/>
      <c r="FP474" s="275"/>
      <c r="FQ474" s="275"/>
      <c r="FR474" s="275"/>
      <c r="FS474" s="275"/>
      <c r="FT474" s="275"/>
      <c r="FU474" s="275"/>
      <c r="FV474" s="275"/>
      <c r="FW474" s="275"/>
      <c r="FX474" s="275"/>
      <c r="FY474" s="275"/>
      <c r="FZ474" s="275"/>
      <c r="GA474" s="275"/>
      <c r="GB474" s="275"/>
      <c r="GC474" s="275"/>
      <c r="GD474" s="275"/>
      <c r="GE474" s="275"/>
      <c r="GF474" s="275"/>
      <c r="GG474" s="275"/>
      <c r="GH474" s="275"/>
      <c r="GI474" s="275"/>
      <c r="GJ474" s="275"/>
      <c r="GK474" s="275"/>
      <c r="GL474" s="275"/>
      <c r="GM474" s="275"/>
      <c r="GN474" s="275"/>
      <c r="GO474" s="275"/>
      <c r="GP474" s="275"/>
      <c r="GQ474" s="275"/>
      <c r="GR474" s="275"/>
      <c r="GS474" s="275"/>
      <c r="GT474" s="275"/>
      <c r="GU474" s="275"/>
      <c r="GV474" s="275"/>
      <c r="GW474" s="275"/>
      <c r="GX474" s="275"/>
      <c r="GY474" s="275"/>
      <c r="GZ474" s="275"/>
      <c r="HA474" s="275"/>
      <c r="HB474" s="275"/>
      <c r="HC474" s="275"/>
      <c r="HD474" s="275"/>
      <c r="HE474" s="275"/>
      <c r="HF474" s="275"/>
      <c r="HG474" s="275"/>
      <c r="HH474" s="275"/>
      <c r="HI474" s="275"/>
      <c r="HJ474" s="275"/>
      <c r="HK474" s="275"/>
      <c r="HL474" s="275"/>
      <c r="HM474" s="275"/>
      <c r="HN474" s="275"/>
      <c r="HO474" s="275"/>
      <c r="HP474" s="275"/>
      <c r="HQ474" s="275"/>
      <c r="HR474" s="275"/>
    </row>
    <row r="475" spans="1:226" s="297" customFormat="1">
      <c r="A475" s="275"/>
      <c r="B475" s="21"/>
      <c r="C475" s="21"/>
      <c r="D475" s="21"/>
      <c r="E475" s="21"/>
      <c r="F475" s="275"/>
      <c r="G475" s="275"/>
      <c r="H475" s="275"/>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J475" s="275"/>
      <c r="AK475" s="275"/>
      <c r="AL475" s="275"/>
      <c r="AM475" s="275"/>
      <c r="AN475" s="275"/>
      <c r="AO475" s="275"/>
      <c r="AQ475" s="275"/>
      <c r="AR475" s="275"/>
      <c r="AS475" s="275"/>
      <c r="AT475" s="275"/>
      <c r="AU475" s="275"/>
      <c r="AV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D475" s="275"/>
      <c r="EE475" s="275"/>
      <c r="EF475" s="275"/>
      <c r="EG475" s="275"/>
      <c r="EH475" s="275"/>
      <c r="EI475" s="275"/>
      <c r="EJ475" s="275"/>
      <c r="EK475" s="275"/>
      <c r="EL475" s="275"/>
      <c r="EM475" s="275"/>
      <c r="EN475" s="275"/>
      <c r="EO475" s="275"/>
      <c r="EP475" s="275"/>
      <c r="EQ475" s="275"/>
      <c r="ER475" s="275"/>
      <c r="ES475" s="275"/>
      <c r="ET475" s="275"/>
      <c r="EU475"/>
      <c r="EV475"/>
      <c r="EW475" s="275"/>
      <c r="EX475" s="275"/>
      <c r="EY475" s="275"/>
      <c r="EZ475" s="275"/>
      <c r="FA475" s="275"/>
      <c r="FB475" s="275"/>
      <c r="FC475" s="275"/>
      <c r="FD475" s="275"/>
      <c r="FE475" s="275"/>
      <c r="FF475" s="275"/>
      <c r="FG475" s="275"/>
      <c r="FH475" s="275"/>
      <c r="FI475" s="275"/>
      <c r="FJ475" s="275"/>
      <c r="FK475" s="275"/>
      <c r="FL475" s="275"/>
      <c r="FM475" s="275"/>
      <c r="FN475" s="275"/>
      <c r="FO475" s="275"/>
      <c r="FP475" s="275"/>
      <c r="FQ475" s="275"/>
      <c r="FR475" s="275"/>
      <c r="FS475" s="275"/>
      <c r="FT475" s="275"/>
      <c r="FU475" s="275"/>
      <c r="FV475" s="275"/>
      <c r="FW475" s="275"/>
      <c r="FX475" s="275"/>
      <c r="FY475" s="275"/>
      <c r="FZ475" s="275"/>
      <c r="GA475" s="275"/>
      <c r="GB475" s="275"/>
      <c r="GC475" s="275"/>
      <c r="GD475" s="275"/>
      <c r="GE475" s="275"/>
      <c r="GF475" s="275"/>
      <c r="GG475" s="275"/>
      <c r="GH475" s="275"/>
      <c r="GI475" s="275"/>
      <c r="GJ475" s="275"/>
      <c r="GK475" s="275"/>
      <c r="GL475" s="275"/>
      <c r="GM475" s="275"/>
      <c r="GN475" s="275"/>
      <c r="GO475" s="275"/>
      <c r="GP475" s="275"/>
      <c r="GQ475" s="275"/>
      <c r="GR475" s="275"/>
      <c r="GS475" s="275"/>
      <c r="GT475" s="275"/>
      <c r="GU475" s="275"/>
      <c r="GV475" s="275"/>
      <c r="GW475" s="275"/>
      <c r="GX475" s="275"/>
      <c r="GY475" s="275"/>
      <c r="GZ475" s="275"/>
      <c r="HA475" s="275"/>
      <c r="HB475" s="275"/>
      <c r="HC475" s="275"/>
      <c r="HD475" s="275"/>
      <c r="HE475" s="275"/>
      <c r="HF475" s="275"/>
      <c r="HG475" s="275"/>
      <c r="HH475" s="275"/>
      <c r="HI475" s="275"/>
      <c r="HJ475" s="275"/>
      <c r="HK475" s="275"/>
      <c r="HL475" s="275"/>
      <c r="HM475" s="275"/>
      <c r="HN475" s="275"/>
      <c r="HO475" s="275"/>
      <c r="HP475" s="275"/>
      <c r="HQ475" s="275"/>
      <c r="HR475" s="275"/>
    </row>
    <row r="476" spans="1:226" s="297" customFormat="1">
      <c r="A476" s="275"/>
      <c r="B476" s="21"/>
      <c r="C476" s="21"/>
      <c r="D476" s="21"/>
      <c r="E476" s="21"/>
      <c r="F476" s="275"/>
      <c r="G476" s="275"/>
      <c r="H476" s="275"/>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J476" s="275"/>
      <c r="AK476" s="275"/>
      <c r="AL476" s="275"/>
      <c r="AM476" s="275"/>
      <c r="AN476" s="275"/>
      <c r="AO476" s="275"/>
      <c r="AQ476" s="275"/>
      <c r="AR476" s="275"/>
      <c r="AS476" s="275"/>
      <c r="AT476" s="275"/>
      <c r="AU476" s="275"/>
      <c r="AV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D476" s="275"/>
      <c r="EE476" s="275"/>
      <c r="EF476" s="275"/>
      <c r="EG476" s="275"/>
      <c r="EH476" s="275"/>
      <c r="EI476" s="275"/>
      <c r="EJ476" s="275"/>
      <c r="EK476" s="275"/>
      <c r="EL476" s="275"/>
      <c r="EM476" s="275"/>
      <c r="EN476" s="275"/>
      <c r="EO476" s="275"/>
      <c r="EP476" s="275"/>
      <c r="EQ476" s="275"/>
      <c r="ER476" s="275"/>
      <c r="ES476" s="275"/>
      <c r="ET476" s="275"/>
      <c r="EU476"/>
      <c r="EV476"/>
      <c r="EW476" s="275"/>
      <c r="EX476" s="275"/>
      <c r="EY476" s="275"/>
      <c r="EZ476" s="275"/>
      <c r="FA476" s="275"/>
      <c r="FB476" s="275"/>
      <c r="FC476" s="275"/>
      <c r="FD476" s="275"/>
      <c r="FE476" s="275"/>
      <c r="FF476" s="275"/>
      <c r="FG476" s="275"/>
      <c r="FH476" s="275"/>
      <c r="FI476" s="275"/>
      <c r="FJ476" s="275"/>
      <c r="FK476" s="275"/>
      <c r="FL476" s="275"/>
      <c r="FM476" s="275"/>
      <c r="FN476" s="275"/>
      <c r="FO476" s="275"/>
      <c r="FP476" s="275"/>
      <c r="FQ476" s="275"/>
      <c r="FR476" s="275"/>
      <c r="FS476" s="275"/>
      <c r="FT476" s="275"/>
      <c r="FU476" s="275"/>
      <c r="FV476" s="275"/>
      <c r="FW476" s="275"/>
      <c r="FX476" s="275"/>
      <c r="FY476" s="275"/>
      <c r="FZ476" s="275"/>
      <c r="GA476" s="275"/>
      <c r="GB476" s="275"/>
      <c r="GC476" s="275"/>
      <c r="GD476" s="275"/>
      <c r="GE476" s="275"/>
      <c r="GF476" s="275"/>
      <c r="GG476" s="275"/>
      <c r="GH476" s="275"/>
      <c r="GI476" s="275"/>
      <c r="GJ476" s="275"/>
      <c r="GK476" s="275"/>
      <c r="GL476" s="275"/>
      <c r="GM476" s="275"/>
      <c r="GN476" s="275"/>
      <c r="GO476" s="275"/>
      <c r="GP476" s="275"/>
      <c r="GQ476" s="275"/>
      <c r="GR476" s="275"/>
      <c r="GS476" s="275"/>
      <c r="GT476" s="275"/>
      <c r="GU476" s="275"/>
      <c r="GV476" s="275"/>
      <c r="GW476" s="275"/>
      <c r="GX476" s="275"/>
      <c r="GY476" s="275"/>
      <c r="GZ476" s="275"/>
      <c r="HA476" s="275"/>
      <c r="HB476" s="275"/>
      <c r="HC476" s="275"/>
      <c r="HD476" s="275"/>
      <c r="HE476" s="275"/>
      <c r="HF476" s="275"/>
      <c r="HG476" s="275"/>
      <c r="HH476" s="275"/>
      <c r="HI476" s="275"/>
      <c r="HJ476" s="275"/>
      <c r="HK476" s="275"/>
      <c r="HL476" s="275"/>
      <c r="HM476" s="275"/>
      <c r="HN476" s="275"/>
      <c r="HO476" s="275"/>
      <c r="HP476" s="275"/>
      <c r="HQ476" s="275"/>
      <c r="HR476" s="275"/>
    </row>
    <row r="477" spans="1:226" s="297" customFormat="1">
      <c r="A477" s="275"/>
      <c r="B477" s="21"/>
      <c r="C477" s="21"/>
      <c r="D477" s="21"/>
      <c r="E477" s="21"/>
      <c r="F477" s="275"/>
      <c r="G477" s="275"/>
      <c r="H477" s="275"/>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J477" s="275"/>
      <c r="AK477" s="275"/>
      <c r="AL477" s="275"/>
      <c r="AM477" s="275"/>
      <c r="AN477" s="275"/>
      <c r="AO477" s="275"/>
      <c r="AQ477" s="275"/>
      <c r="AR477" s="275"/>
      <c r="AS477" s="275"/>
      <c r="AT477" s="275"/>
      <c r="AU477" s="275"/>
      <c r="AV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D477" s="275"/>
      <c r="EE477" s="275"/>
      <c r="EF477" s="275"/>
      <c r="EG477" s="275"/>
      <c r="EH477" s="275"/>
      <c r="EI477" s="275"/>
      <c r="EJ477" s="275"/>
      <c r="EK477" s="275"/>
      <c r="EL477" s="275"/>
      <c r="EM477" s="275"/>
      <c r="EN477" s="275"/>
      <c r="EO477" s="275"/>
      <c r="EP477" s="275"/>
      <c r="EQ477" s="275"/>
      <c r="ER477" s="275"/>
      <c r="ES477" s="275"/>
      <c r="ET477" s="275"/>
      <c r="EU477"/>
      <c r="EV477"/>
      <c r="EW477" s="275"/>
      <c r="EX477" s="275"/>
      <c r="EY477" s="275"/>
      <c r="EZ477" s="275"/>
      <c r="FA477" s="275"/>
      <c r="FB477" s="275"/>
      <c r="FC477" s="275"/>
      <c r="FD477" s="275"/>
      <c r="FE477" s="275"/>
      <c r="FF477" s="275"/>
      <c r="FG477" s="275"/>
      <c r="FH477" s="275"/>
      <c r="FI477" s="275"/>
      <c r="FJ477" s="275"/>
      <c r="FK477" s="275"/>
      <c r="FL477" s="275"/>
      <c r="FM477" s="275"/>
      <c r="FN477" s="275"/>
      <c r="FO477" s="275"/>
      <c r="FP477" s="275"/>
      <c r="FQ477" s="275"/>
      <c r="FR477" s="275"/>
      <c r="FS477" s="275"/>
      <c r="FT477" s="275"/>
      <c r="FU477" s="275"/>
      <c r="FV477" s="275"/>
      <c r="FW477" s="275"/>
      <c r="FX477" s="275"/>
      <c r="FY477" s="275"/>
      <c r="FZ477" s="275"/>
      <c r="GA477" s="275"/>
      <c r="GB477" s="275"/>
      <c r="GC477" s="275"/>
      <c r="GD477" s="275"/>
      <c r="GE477" s="275"/>
      <c r="GF477" s="275"/>
      <c r="GG477" s="275"/>
      <c r="GH477" s="275"/>
      <c r="GI477" s="275"/>
      <c r="GJ477" s="275"/>
      <c r="GK477" s="275"/>
      <c r="GL477" s="275"/>
      <c r="GM477" s="275"/>
      <c r="GN477" s="275"/>
      <c r="GO477" s="275"/>
      <c r="GP477" s="275"/>
      <c r="GQ477" s="275"/>
      <c r="GR477" s="275"/>
      <c r="GS477" s="275"/>
      <c r="GT477" s="275"/>
      <c r="GU477" s="275"/>
      <c r="GV477" s="275"/>
      <c r="GW477" s="275"/>
      <c r="GX477" s="275"/>
      <c r="GY477" s="275"/>
      <c r="GZ477" s="275"/>
      <c r="HA477" s="275"/>
      <c r="HB477" s="275"/>
      <c r="HC477" s="275"/>
      <c r="HD477" s="275"/>
      <c r="HE477" s="275"/>
      <c r="HF477" s="275"/>
      <c r="HG477" s="275"/>
      <c r="HH477" s="275"/>
      <c r="HI477" s="275"/>
      <c r="HJ477" s="275"/>
      <c r="HK477" s="275"/>
      <c r="HL477" s="275"/>
      <c r="HM477" s="275"/>
      <c r="HN477" s="275"/>
      <c r="HO477" s="275"/>
      <c r="HP477" s="275"/>
      <c r="HQ477" s="275"/>
      <c r="HR477" s="275"/>
    </row>
    <row r="478" spans="1:226" s="297" customFormat="1">
      <c r="A478" s="275"/>
      <c r="B478" s="21"/>
      <c r="C478" s="21"/>
      <c r="D478" s="21"/>
      <c r="E478" s="21"/>
      <c r="F478" s="275"/>
      <c r="G478" s="275"/>
      <c r="H478" s="275"/>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J478" s="275"/>
      <c r="AK478" s="275"/>
      <c r="AL478" s="275"/>
      <c r="AM478" s="275"/>
      <c r="AN478" s="275"/>
      <c r="AO478" s="275"/>
      <c r="AQ478" s="275"/>
      <c r="AR478" s="275"/>
      <c r="AS478" s="275"/>
      <c r="AT478" s="275"/>
      <c r="AU478" s="275"/>
      <c r="AV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D478" s="275"/>
      <c r="EE478" s="275"/>
      <c r="EF478" s="275"/>
      <c r="EG478" s="275"/>
      <c r="EH478" s="275"/>
      <c r="EI478" s="275"/>
      <c r="EJ478" s="275"/>
      <c r="EK478" s="275"/>
      <c r="EL478" s="275"/>
      <c r="EM478" s="275"/>
      <c r="EN478" s="275"/>
      <c r="EO478" s="275"/>
      <c r="EP478" s="275"/>
      <c r="EQ478" s="275"/>
      <c r="ER478" s="275"/>
      <c r="ES478" s="275"/>
      <c r="ET478" s="275"/>
      <c r="EU478"/>
      <c r="EV478"/>
      <c r="EW478" s="275"/>
      <c r="EX478" s="275"/>
      <c r="EY478" s="275"/>
      <c r="EZ478" s="275"/>
      <c r="FA478" s="275"/>
      <c r="FB478" s="275"/>
      <c r="FC478" s="275"/>
      <c r="FD478" s="275"/>
      <c r="FE478" s="275"/>
      <c r="FF478" s="275"/>
      <c r="FG478" s="275"/>
      <c r="FH478" s="275"/>
      <c r="FI478" s="275"/>
      <c r="FJ478" s="275"/>
      <c r="FK478" s="275"/>
      <c r="FL478" s="275"/>
      <c r="FM478" s="275"/>
      <c r="FN478" s="275"/>
      <c r="FO478" s="275"/>
      <c r="FP478" s="275"/>
      <c r="FQ478" s="275"/>
      <c r="FR478" s="275"/>
      <c r="FS478" s="275"/>
      <c r="FT478" s="275"/>
      <c r="FU478" s="275"/>
      <c r="FV478" s="275"/>
      <c r="FW478" s="275"/>
      <c r="FX478" s="275"/>
      <c r="FY478" s="275"/>
      <c r="FZ478" s="275"/>
      <c r="GA478" s="275"/>
      <c r="GB478" s="275"/>
      <c r="GC478" s="275"/>
      <c r="GD478" s="275"/>
      <c r="GE478" s="275"/>
      <c r="GF478" s="275"/>
      <c r="GG478" s="275"/>
      <c r="GH478" s="275"/>
      <c r="GI478" s="275"/>
      <c r="GJ478" s="275"/>
      <c r="GK478" s="275"/>
      <c r="GL478" s="275"/>
      <c r="GM478" s="275"/>
      <c r="GN478" s="275"/>
      <c r="GO478" s="275"/>
      <c r="GP478" s="275"/>
      <c r="GQ478" s="275"/>
      <c r="GR478" s="275"/>
      <c r="GS478" s="275"/>
      <c r="GT478" s="275"/>
      <c r="GU478" s="275"/>
      <c r="GV478" s="275"/>
      <c r="GW478" s="275"/>
      <c r="GX478" s="275"/>
      <c r="GY478" s="275"/>
      <c r="GZ478" s="275"/>
      <c r="HA478" s="275"/>
      <c r="HB478" s="275"/>
      <c r="HC478" s="275"/>
      <c r="HD478" s="275"/>
      <c r="HE478" s="275"/>
      <c r="HF478" s="275"/>
      <c r="HG478" s="275"/>
      <c r="HH478" s="275"/>
      <c r="HI478" s="275"/>
      <c r="HJ478" s="275"/>
      <c r="HK478" s="275"/>
      <c r="HL478" s="275"/>
      <c r="HM478" s="275"/>
      <c r="HN478" s="275"/>
      <c r="HO478" s="275"/>
      <c r="HP478" s="275"/>
      <c r="HQ478" s="275"/>
      <c r="HR478" s="275"/>
    </row>
    <row r="479" spans="1:226" s="297" customFormat="1">
      <c r="A479" s="275"/>
      <c r="B479" s="21"/>
      <c r="C479" s="21"/>
      <c r="D479" s="21"/>
      <c r="E479" s="21"/>
      <c r="F479" s="275"/>
      <c r="G479" s="275"/>
      <c r="H479" s="275"/>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J479" s="275"/>
      <c r="AK479" s="275"/>
      <c r="AL479" s="275"/>
      <c r="AM479" s="275"/>
      <c r="AN479" s="275"/>
      <c r="AO479" s="275"/>
      <c r="AQ479" s="275"/>
      <c r="AR479" s="275"/>
      <c r="AS479" s="275"/>
      <c r="AT479" s="275"/>
      <c r="AU479" s="275"/>
      <c r="AV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c r="EV479"/>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c r="HR479" s="275"/>
    </row>
    <row r="480" spans="1:226" s="297" customFormat="1">
      <c r="A480" s="275"/>
      <c r="B480" s="21"/>
      <c r="C480" s="21"/>
      <c r="D480" s="21"/>
      <c r="E480" s="21"/>
      <c r="F480" s="275"/>
      <c r="G480" s="275"/>
      <c r="H480" s="275"/>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J480" s="275"/>
      <c r="AK480" s="275"/>
      <c r="AL480" s="275"/>
      <c r="AM480" s="275"/>
      <c r="AN480" s="275"/>
      <c r="AO480" s="275"/>
      <c r="AQ480" s="275"/>
      <c r="AR480" s="275"/>
      <c r="AS480" s="275"/>
      <c r="AT480" s="275"/>
      <c r="AU480" s="275"/>
      <c r="AV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D480" s="275"/>
      <c r="EE480" s="275"/>
      <c r="EF480" s="275"/>
      <c r="EG480" s="275"/>
      <c r="EH480" s="275"/>
      <c r="EI480" s="275"/>
      <c r="EJ480" s="275"/>
      <c r="EK480" s="275"/>
      <c r="EL480" s="275"/>
      <c r="EM480" s="275"/>
      <c r="EN480" s="275"/>
      <c r="EO480" s="275"/>
      <c r="EP480" s="275"/>
      <c r="EQ480" s="275"/>
      <c r="ER480" s="275"/>
      <c r="ES480" s="275"/>
      <c r="ET480" s="275"/>
      <c r="EU480"/>
      <c r="EV480"/>
      <c r="EW480" s="275"/>
      <c r="EX480" s="275"/>
      <c r="EY480" s="275"/>
      <c r="EZ480" s="275"/>
      <c r="FA480" s="275"/>
      <c r="FB480" s="275"/>
      <c r="FC480" s="275"/>
      <c r="FD480" s="275"/>
      <c r="FE480" s="275"/>
      <c r="FF480" s="275"/>
      <c r="FG480" s="275"/>
      <c r="FH480" s="275"/>
      <c r="FI480" s="275"/>
      <c r="FJ480" s="275"/>
      <c r="FK480" s="275"/>
      <c r="FL480" s="275"/>
      <c r="FM480" s="275"/>
      <c r="FN480" s="275"/>
      <c r="FO480" s="275"/>
      <c r="FP480" s="275"/>
      <c r="FQ480" s="275"/>
      <c r="FR480" s="275"/>
      <c r="FS480" s="275"/>
      <c r="FT480" s="275"/>
      <c r="FU480" s="275"/>
      <c r="FV480" s="275"/>
      <c r="FW480" s="275"/>
      <c r="FX480" s="275"/>
      <c r="FY480" s="275"/>
      <c r="FZ480" s="275"/>
      <c r="GA480" s="275"/>
      <c r="GB480" s="275"/>
      <c r="GC480" s="275"/>
      <c r="GD480" s="275"/>
      <c r="GE480" s="275"/>
      <c r="GF480" s="275"/>
      <c r="GG480" s="275"/>
      <c r="GH480" s="275"/>
      <c r="GI480" s="275"/>
      <c r="GJ480" s="275"/>
      <c r="GK480" s="275"/>
      <c r="GL480" s="275"/>
      <c r="GM480" s="275"/>
      <c r="GN480" s="275"/>
      <c r="GO480" s="275"/>
      <c r="GP480" s="275"/>
      <c r="GQ480" s="275"/>
      <c r="GR480" s="275"/>
      <c r="GS480" s="275"/>
      <c r="GT480" s="275"/>
      <c r="GU480" s="275"/>
      <c r="GV480" s="275"/>
      <c r="GW480" s="275"/>
      <c r="GX480" s="275"/>
      <c r="GY480" s="275"/>
      <c r="GZ480" s="275"/>
      <c r="HA480" s="275"/>
      <c r="HB480" s="275"/>
      <c r="HC480" s="275"/>
      <c r="HD480" s="275"/>
      <c r="HE480" s="275"/>
      <c r="HF480" s="275"/>
      <c r="HG480" s="275"/>
      <c r="HH480" s="275"/>
      <c r="HI480" s="275"/>
      <c r="HJ480" s="275"/>
      <c r="HK480" s="275"/>
      <c r="HL480" s="275"/>
      <c r="HM480" s="275"/>
      <c r="HN480" s="275"/>
      <c r="HO480" s="275"/>
      <c r="HP480" s="275"/>
      <c r="HQ480" s="275"/>
      <c r="HR480" s="275"/>
    </row>
    <row r="481" spans="1:226" s="297" customFormat="1">
      <c r="A481" s="275"/>
      <c r="B481" s="21"/>
      <c r="C481" s="21"/>
      <c r="D481" s="21"/>
      <c r="E481" s="21"/>
      <c r="F481" s="275"/>
      <c r="G481" s="275"/>
      <c r="H481" s="275"/>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J481" s="275"/>
      <c r="AK481" s="275"/>
      <c r="AL481" s="275"/>
      <c r="AM481" s="275"/>
      <c r="AN481" s="275"/>
      <c r="AO481" s="275"/>
      <c r="AQ481" s="275"/>
      <c r="AR481" s="275"/>
      <c r="AS481" s="275"/>
      <c r="AT481" s="275"/>
      <c r="AU481" s="275"/>
      <c r="AV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D481" s="275"/>
      <c r="EE481" s="275"/>
      <c r="EF481" s="275"/>
      <c r="EG481" s="275"/>
      <c r="EH481" s="275"/>
      <c r="EI481" s="275"/>
      <c r="EJ481" s="275"/>
      <c r="EK481" s="275"/>
      <c r="EL481" s="275"/>
      <c r="EM481" s="275"/>
      <c r="EN481" s="275"/>
      <c r="EO481" s="275"/>
      <c r="EP481" s="275"/>
      <c r="EQ481" s="275"/>
      <c r="ER481" s="275"/>
      <c r="ES481" s="275"/>
      <c r="ET481" s="275"/>
      <c r="EU481"/>
      <c r="EV481"/>
      <c r="EW481" s="275"/>
      <c r="EX481" s="275"/>
      <c r="EY481" s="275"/>
      <c r="EZ481" s="275"/>
      <c r="FA481" s="275"/>
      <c r="FB481" s="275"/>
      <c r="FC481" s="275"/>
      <c r="FD481" s="275"/>
      <c r="FE481" s="275"/>
      <c r="FF481" s="275"/>
      <c r="FG481" s="275"/>
      <c r="FH481" s="275"/>
      <c r="FI481" s="275"/>
      <c r="FJ481" s="275"/>
      <c r="FK481" s="275"/>
      <c r="FL481" s="275"/>
      <c r="FM481" s="275"/>
      <c r="FN481" s="275"/>
      <c r="FO481" s="275"/>
      <c r="FP481" s="275"/>
      <c r="FQ481" s="275"/>
      <c r="FR481" s="275"/>
      <c r="FS481" s="275"/>
      <c r="FT481" s="275"/>
      <c r="FU481" s="275"/>
      <c r="FV481" s="275"/>
      <c r="FW481" s="275"/>
      <c r="FX481" s="275"/>
      <c r="FY481" s="275"/>
      <c r="FZ481" s="275"/>
      <c r="GA481" s="275"/>
      <c r="GB481" s="275"/>
      <c r="GC481" s="275"/>
      <c r="GD481" s="275"/>
      <c r="GE481" s="275"/>
      <c r="GF481" s="275"/>
      <c r="GG481" s="275"/>
      <c r="GH481" s="275"/>
      <c r="GI481" s="275"/>
      <c r="GJ481" s="275"/>
      <c r="GK481" s="275"/>
      <c r="GL481" s="275"/>
      <c r="GM481" s="275"/>
      <c r="GN481" s="275"/>
      <c r="GO481" s="275"/>
      <c r="GP481" s="275"/>
      <c r="GQ481" s="275"/>
      <c r="GR481" s="275"/>
      <c r="GS481" s="275"/>
      <c r="GT481" s="275"/>
      <c r="GU481" s="275"/>
      <c r="GV481" s="275"/>
      <c r="GW481" s="275"/>
      <c r="GX481" s="275"/>
      <c r="GY481" s="275"/>
      <c r="GZ481" s="275"/>
      <c r="HA481" s="275"/>
      <c r="HB481" s="275"/>
      <c r="HC481" s="275"/>
      <c r="HD481" s="275"/>
      <c r="HE481" s="275"/>
      <c r="HF481" s="275"/>
      <c r="HG481" s="275"/>
      <c r="HH481" s="275"/>
      <c r="HI481" s="275"/>
      <c r="HJ481" s="275"/>
      <c r="HK481" s="275"/>
      <c r="HL481" s="275"/>
      <c r="HM481" s="275"/>
      <c r="HN481" s="275"/>
      <c r="HO481" s="275"/>
      <c r="HP481" s="275"/>
      <c r="HQ481" s="275"/>
      <c r="HR481" s="275"/>
    </row>
    <row r="482" spans="1:226" s="297" customFormat="1">
      <c r="A482" s="275"/>
      <c r="B482" s="21"/>
      <c r="C482" s="21"/>
      <c r="D482" s="21"/>
      <c r="E482" s="21"/>
      <c r="F482" s="275"/>
      <c r="G482" s="275"/>
      <c r="H482" s="275"/>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J482" s="275"/>
      <c r="AK482" s="275"/>
      <c r="AL482" s="275"/>
      <c r="AM482" s="275"/>
      <c r="AN482" s="275"/>
      <c r="AO482" s="275"/>
      <c r="AQ482" s="275"/>
      <c r="AR482" s="275"/>
      <c r="AS482" s="275"/>
      <c r="AT482" s="275"/>
      <c r="AU482" s="275"/>
      <c r="AV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D482" s="275"/>
      <c r="EE482" s="275"/>
      <c r="EF482" s="275"/>
      <c r="EG482" s="275"/>
      <c r="EH482" s="275"/>
      <c r="EI482" s="275"/>
      <c r="EJ482" s="275"/>
      <c r="EK482" s="275"/>
      <c r="EL482" s="275"/>
      <c r="EM482" s="275"/>
      <c r="EN482" s="275"/>
      <c r="EO482" s="275"/>
      <c r="EP482" s="275"/>
      <c r="EQ482" s="275"/>
      <c r="ER482" s="275"/>
      <c r="ES482" s="275"/>
      <c r="ET482" s="275"/>
      <c r="EU482"/>
      <c r="EV482"/>
      <c r="EW482" s="275"/>
      <c r="EX482" s="275"/>
      <c r="EY482" s="275"/>
      <c r="EZ482" s="275"/>
      <c r="FA482" s="275"/>
      <c r="FB482" s="275"/>
      <c r="FC482" s="275"/>
      <c r="FD482" s="275"/>
      <c r="FE482" s="275"/>
      <c r="FF482" s="275"/>
      <c r="FG482" s="275"/>
      <c r="FH482" s="275"/>
      <c r="FI482" s="275"/>
      <c r="FJ482" s="275"/>
      <c r="FK482" s="275"/>
      <c r="FL482" s="275"/>
      <c r="FM482" s="275"/>
      <c r="FN482" s="275"/>
      <c r="FO482" s="275"/>
      <c r="FP482" s="275"/>
      <c r="FQ482" s="275"/>
      <c r="FR482" s="275"/>
      <c r="FS482" s="275"/>
      <c r="FT482" s="275"/>
      <c r="FU482" s="275"/>
      <c r="FV482" s="275"/>
      <c r="FW482" s="275"/>
      <c r="FX482" s="275"/>
      <c r="FY482" s="275"/>
      <c r="FZ482" s="275"/>
      <c r="GA482" s="275"/>
      <c r="GB482" s="275"/>
      <c r="GC482" s="275"/>
      <c r="GD482" s="275"/>
      <c r="GE482" s="275"/>
      <c r="GF482" s="275"/>
      <c r="GG482" s="275"/>
      <c r="GH482" s="275"/>
      <c r="GI482" s="275"/>
      <c r="GJ482" s="275"/>
      <c r="GK482" s="275"/>
      <c r="GL482" s="275"/>
      <c r="GM482" s="275"/>
      <c r="GN482" s="275"/>
      <c r="GO482" s="275"/>
      <c r="GP482" s="275"/>
      <c r="GQ482" s="275"/>
      <c r="GR482" s="275"/>
      <c r="GS482" s="275"/>
      <c r="GT482" s="275"/>
      <c r="GU482" s="275"/>
      <c r="GV482" s="275"/>
      <c r="GW482" s="275"/>
      <c r="GX482" s="275"/>
      <c r="GY482" s="275"/>
      <c r="GZ482" s="275"/>
      <c r="HA482" s="275"/>
      <c r="HB482" s="275"/>
      <c r="HC482" s="275"/>
      <c r="HD482" s="275"/>
      <c r="HE482" s="275"/>
      <c r="HF482" s="275"/>
      <c r="HG482" s="275"/>
      <c r="HH482" s="275"/>
      <c r="HI482" s="275"/>
      <c r="HJ482" s="275"/>
      <c r="HK482" s="275"/>
      <c r="HL482" s="275"/>
      <c r="HM482" s="275"/>
      <c r="HN482" s="275"/>
      <c r="HO482" s="275"/>
      <c r="HP482" s="275"/>
      <c r="HQ482" s="275"/>
      <c r="HR482" s="275"/>
    </row>
    <row r="483" spans="1:226" s="297" customFormat="1">
      <c r="A483" s="275"/>
      <c r="B483" s="21"/>
      <c r="C483" s="21"/>
      <c r="D483" s="21"/>
      <c r="E483" s="21"/>
      <c r="F483" s="275"/>
      <c r="G483" s="275"/>
      <c r="H483" s="275"/>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J483" s="275"/>
      <c r="AK483" s="275"/>
      <c r="AL483" s="275"/>
      <c r="AM483" s="275"/>
      <c r="AN483" s="275"/>
      <c r="AO483" s="275"/>
      <c r="AQ483" s="275"/>
      <c r="AR483" s="275"/>
      <c r="AS483" s="275"/>
      <c r="AT483" s="275"/>
      <c r="AU483" s="275"/>
      <c r="AV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D483" s="275"/>
      <c r="EE483" s="275"/>
      <c r="EF483" s="275"/>
      <c r="EG483" s="275"/>
      <c r="EH483" s="275"/>
      <c r="EI483" s="275"/>
      <c r="EJ483" s="275"/>
      <c r="EK483" s="275"/>
      <c r="EL483" s="275"/>
      <c r="EM483" s="275"/>
      <c r="EN483" s="275"/>
      <c r="EO483" s="275"/>
      <c r="EP483" s="275"/>
      <c r="EQ483" s="275"/>
      <c r="ER483" s="275"/>
      <c r="ES483" s="275"/>
      <c r="ET483" s="275"/>
      <c r="EU483"/>
      <c r="EV483"/>
      <c r="EW483" s="275"/>
      <c r="EX483" s="275"/>
      <c r="EY483" s="275"/>
      <c r="EZ483" s="275"/>
      <c r="FA483" s="275"/>
      <c r="FB483" s="275"/>
      <c r="FC483" s="275"/>
      <c r="FD483" s="275"/>
      <c r="FE483" s="275"/>
      <c r="FF483" s="275"/>
      <c r="FG483" s="275"/>
      <c r="FH483" s="275"/>
      <c r="FI483" s="275"/>
      <c r="FJ483" s="275"/>
      <c r="FK483" s="275"/>
      <c r="FL483" s="275"/>
      <c r="FM483" s="275"/>
      <c r="FN483" s="275"/>
      <c r="FO483" s="275"/>
      <c r="FP483" s="275"/>
      <c r="FQ483" s="275"/>
      <c r="FR483" s="275"/>
      <c r="FS483" s="275"/>
      <c r="FT483" s="275"/>
      <c r="FU483" s="275"/>
      <c r="FV483" s="275"/>
      <c r="FW483" s="275"/>
      <c r="FX483" s="275"/>
      <c r="FY483" s="275"/>
      <c r="FZ483" s="275"/>
      <c r="GA483" s="275"/>
      <c r="GB483" s="275"/>
      <c r="GC483" s="275"/>
      <c r="GD483" s="275"/>
      <c r="GE483" s="275"/>
      <c r="GF483" s="275"/>
      <c r="GG483" s="275"/>
      <c r="GH483" s="275"/>
      <c r="GI483" s="275"/>
      <c r="GJ483" s="275"/>
      <c r="GK483" s="275"/>
      <c r="GL483" s="275"/>
      <c r="GM483" s="275"/>
      <c r="GN483" s="275"/>
      <c r="GO483" s="275"/>
      <c r="GP483" s="275"/>
      <c r="GQ483" s="275"/>
      <c r="GR483" s="275"/>
      <c r="GS483" s="275"/>
      <c r="GT483" s="275"/>
      <c r="GU483" s="275"/>
      <c r="GV483" s="275"/>
      <c r="GW483" s="275"/>
      <c r="GX483" s="275"/>
      <c r="GY483" s="275"/>
      <c r="GZ483" s="275"/>
      <c r="HA483" s="275"/>
      <c r="HB483" s="275"/>
      <c r="HC483" s="275"/>
      <c r="HD483" s="275"/>
      <c r="HE483" s="275"/>
      <c r="HF483" s="275"/>
      <c r="HG483" s="275"/>
      <c r="HH483" s="275"/>
      <c r="HI483" s="275"/>
      <c r="HJ483" s="275"/>
      <c r="HK483" s="275"/>
      <c r="HL483" s="275"/>
      <c r="HM483" s="275"/>
      <c r="HN483" s="275"/>
      <c r="HO483" s="275"/>
      <c r="HP483" s="275"/>
      <c r="HQ483" s="275"/>
      <c r="HR483" s="275"/>
    </row>
    <row r="484" spans="1:226" s="297" customFormat="1">
      <c r="A484" s="275"/>
      <c r="B484" s="21"/>
      <c r="C484" s="21"/>
      <c r="D484" s="21"/>
      <c r="E484" s="21"/>
      <c r="F484" s="275"/>
      <c r="G484" s="275"/>
      <c r="H484" s="275"/>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J484" s="275"/>
      <c r="AK484" s="275"/>
      <c r="AL484" s="275"/>
      <c r="AM484" s="275"/>
      <c r="AN484" s="275"/>
      <c r="AO484" s="275"/>
      <c r="AQ484" s="275"/>
      <c r="AR484" s="275"/>
      <c r="AS484" s="275"/>
      <c r="AT484" s="275"/>
      <c r="AU484" s="275"/>
      <c r="AV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D484" s="275"/>
      <c r="EE484" s="275"/>
      <c r="EF484" s="275"/>
      <c r="EG484" s="275"/>
      <c r="EH484" s="275"/>
      <c r="EI484" s="275"/>
      <c r="EJ484" s="275"/>
      <c r="EK484" s="275"/>
      <c r="EL484" s="275"/>
      <c r="EM484" s="275"/>
      <c r="EN484" s="275"/>
      <c r="EO484" s="275"/>
      <c r="EP484" s="275"/>
      <c r="EQ484" s="275"/>
      <c r="ER484" s="275"/>
      <c r="ES484" s="275"/>
      <c r="ET484" s="275"/>
      <c r="EU484"/>
      <c r="EV484"/>
      <c r="EW484" s="275"/>
      <c r="EX484" s="275"/>
      <c r="EY484" s="275"/>
      <c r="EZ484" s="275"/>
      <c r="FA484" s="275"/>
      <c r="FB484" s="275"/>
      <c r="FC484" s="275"/>
      <c r="FD484" s="275"/>
      <c r="FE484" s="275"/>
      <c r="FF484" s="275"/>
      <c r="FG484" s="275"/>
      <c r="FH484" s="275"/>
      <c r="FI484" s="275"/>
      <c r="FJ484" s="275"/>
      <c r="FK484" s="275"/>
      <c r="FL484" s="275"/>
      <c r="FM484" s="275"/>
      <c r="FN484" s="275"/>
      <c r="FO484" s="275"/>
      <c r="FP484" s="275"/>
      <c r="FQ484" s="275"/>
      <c r="FR484" s="275"/>
      <c r="FS484" s="275"/>
      <c r="FT484" s="275"/>
      <c r="FU484" s="275"/>
      <c r="FV484" s="275"/>
      <c r="FW484" s="275"/>
      <c r="FX484" s="275"/>
      <c r="FY484" s="275"/>
      <c r="FZ484" s="275"/>
      <c r="GA484" s="275"/>
      <c r="GB484" s="275"/>
      <c r="GC484" s="275"/>
      <c r="GD484" s="275"/>
      <c r="GE484" s="275"/>
      <c r="GF484" s="275"/>
      <c r="GG484" s="275"/>
      <c r="GH484" s="275"/>
      <c r="GI484" s="275"/>
      <c r="GJ484" s="275"/>
      <c r="GK484" s="275"/>
      <c r="GL484" s="275"/>
      <c r="GM484" s="275"/>
      <c r="GN484" s="275"/>
      <c r="GO484" s="275"/>
      <c r="GP484" s="275"/>
      <c r="GQ484" s="275"/>
      <c r="GR484" s="275"/>
      <c r="GS484" s="275"/>
      <c r="GT484" s="275"/>
      <c r="GU484" s="275"/>
      <c r="GV484" s="275"/>
      <c r="GW484" s="275"/>
      <c r="GX484" s="275"/>
      <c r="GY484" s="275"/>
      <c r="GZ484" s="275"/>
      <c r="HA484" s="275"/>
      <c r="HB484" s="275"/>
      <c r="HC484" s="275"/>
      <c r="HD484" s="275"/>
      <c r="HE484" s="275"/>
      <c r="HF484" s="275"/>
      <c r="HG484" s="275"/>
      <c r="HH484" s="275"/>
      <c r="HI484" s="275"/>
      <c r="HJ484" s="275"/>
      <c r="HK484" s="275"/>
      <c r="HL484" s="275"/>
      <c r="HM484" s="275"/>
      <c r="HN484" s="275"/>
      <c r="HO484" s="275"/>
      <c r="HP484" s="275"/>
      <c r="HQ484" s="275"/>
      <c r="HR484" s="275"/>
    </row>
    <row r="485" spans="1:226" s="297" customFormat="1">
      <c r="A485" s="275"/>
      <c r="B485" s="21"/>
      <c r="C485" s="21"/>
      <c r="D485" s="21"/>
      <c r="E485" s="21"/>
      <c r="F485" s="275"/>
      <c r="G485" s="275"/>
      <c r="H485" s="275"/>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J485" s="275"/>
      <c r="AK485" s="275"/>
      <c r="AL485" s="275"/>
      <c r="AM485" s="275"/>
      <c r="AN485" s="275"/>
      <c r="AO485" s="275"/>
      <c r="AQ485" s="275"/>
      <c r="AR485" s="275"/>
      <c r="AS485" s="275"/>
      <c r="AT485" s="275"/>
      <c r="AU485" s="275"/>
      <c r="AV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D485" s="275"/>
      <c r="EE485" s="275"/>
      <c r="EF485" s="275"/>
      <c r="EG485" s="275"/>
      <c r="EH485" s="275"/>
      <c r="EI485" s="275"/>
      <c r="EJ485" s="275"/>
      <c r="EK485" s="275"/>
      <c r="EL485" s="275"/>
      <c r="EM485" s="275"/>
      <c r="EN485" s="275"/>
      <c r="EO485" s="275"/>
      <c r="EP485" s="275"/>
      <c r="EQ485" s="275"/>
      <c r="ER485" s="275"/>
      <c r="ES485" s="275"/>
      <c r="ET485" s="275"/>
      <c r="EU485"/>
      <c r="EV485"/>
      <c r="EW485" s="275"/>
      <c r="EX485" s="275"/>
      <c r="EY485" s="275"/>
      <c r="EZ485" s="275"/>
      <c r="FA485" s="275"/>
      <c r="FB485" s="275"/>
      <c r="FC485" s="275"/>
      <c r="FD485" s="275"/>
      <c r="FE485" s="275"/>
      <c r="FF485" s="275"/>
      <c r="FG485" s="275"/>
      <c r="FH485" s="275"/>
      <c r="FI485" s="275"/>
      <c r="FJ485" s="275"/>
      <c r="FK485" s="275"/>
      <c r="FL485" s="275"/>
      <c r="FM485" s="275"/>
      <c r="FN485" s="275"/>
      <c r="FO485" s="275"/>
      <c r="FP485" s="275"/>
      <c r="FQ485" s="275"/>
      <c r="FR485" s="275"/>
      <c r="FS485" s="275"/>
      <c r="FT485" s="275"/>
      <c r="FU485" s="275"/>
      <c r="FV485" s="275"/>
      <c r="FW485" s="275"/>
      <c r="FX485" s="275"/>
      <c r="FY485" s="275"/>
      <c r="FZ485" s="275"/>
      <c r="GA485" s="275"/>
      <c r="GB485" s="275"/>
      <c r="GC485" s="275"/>
      <c r="GD485" s="275"/>
      <c r="GE485" s="275"/>
      <c r="GF485" s="275"/>
      <c r="GG485" s="275"/>
      <c r="GH485" s="275"/>
      <c r="GI485" s="275"/>
      <c r="GJ485" s="275"/>
      <c r="GK485" s="275"/>
      <c r="GL485" s="275"/>
      <c r="GM485" s="275"/>
      <c r="GN485" s="275"/>
      <c r="GO485" s="275"/>
      <c r="GP485" s="275"/>
      <c r="GQ485" s="275"/>
      <c r="GR485" s="275"/>
      <c r="GS485" s="275"/>
      <c r="GT485" s="275"/>
      <c r="GU485" s="275"/>
      <c r="GV485" s="275"/>
      <c r="GW485" s="275"/>
      <c r="GX485" s="275"/>
      <c r="GY485" s="275"/>
      <c r="GZ485" s="275"/>
      <c r="HA485" s="275"/>
      <c r="HB485" s="275"/>
      <c r="HC485" s="275"/>
      <c r="HD485" s="275"/>
      <c r="HE485" s="275"/>
      <c r="HF485" s="275"/>
      <c r="HG485" s="275"/>
      <c r="HH485" s="275"/>
      <c r="HI485" s="275"/>
      <c r="HJ485" s="275"/>
      <c r="HK485" s="275"/>
      <c r="HL485" s="275"/>
      <c r="HM485" s="275"/>
      <c r="HN485" s="275"/>
      <c r="HO485" s="275"/>
      <c r="HP485" s="275"/>
      <c r="HQ485" s="275"/>
      <c r="HR485" s="275"/>
    </row>
    <row r="486" spans="1:226" s="297" customFormat="1">
      <c r="A486" s="275"/>
      <c r="B486" s="21"/>
      <c r="C486" s="21"/>
      <c r="D486" s="21"/>
      <c r="E486" s="21"/>
      <c r="F486" s="275"/>
      <c r="G486" s="275"/>
      <c r="H486" s="275"/>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J486" s="275"/>
      <c r="AK486" s="275"/>
      <c r="AL486" s="275"/>
      <c r="AM486" s="275"/>
      <c r="AN486" s="275"/>
      <c r="AO486" s="275"/>
      <c r="AQ486" s="275"/>
      <c r="AR486" s="275"/>
      <c r="AS486" s="275"/>
      <c r="AT486" s="275"/>
      <c r="AU486" s="275"/>
      <c r="AV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D486" s="275"/>
      <c r="EE486" s="275"/>
      <c r="EF486" s="275"/>
      <c r="EG486" s="275"/>
      <c r="EH486" s="275"/>
      <c r="EI486" s="275"/>
      <c r="EJ486" s="275"/>
      <c r="EK486" s="275"/>
      <c r="EL486" s="275"/>
      <c r="EM486" s="275"/>
      <c r="EN486" s="275"/>
      <c r="EO486" s="275"/>
      <c r="EP486" s="275"/>
      <c r="EQ486" s="275"/>
      <c r="ER486" s="275"/>
      <c r="ES486" s="275"/>
      <c r="ET486" s="275"/>
      <c r="EU486"/>
      <c r="EV486"/>
      <c r="EW486" s="275"/>
      <c r="EX486" s="275"/>
      <c r="EY486" s="275"/>
      <c r="EZ486" s="275"/>
      <c r="FA486" s="275"/>
      <c r="FB486" s="275"/>
      <c r="FC486" s="275"/>
      <c r="FD486" s="275"/>
      <c r="FE486" s="275"/>
      <c r="FF486" s="275"/>
      <c r="FG486" s="275"/>
      <c r="FH486" s="275"/>
      <c r="FI486" s="275"/>
      <c r="FJ486" s="275"/>
      <c r="FK486" s="275"/>
      <c r="FL486" s="275"/>
      <c r="FM486" s="275"/>
      <c r="FN486" s="275"/>
      <c r="FO486" s="275"/>
      <c r="FP486" s="275"/>
      <c r="FQ486" s="275"/>
      <c r="FR486" s="275"/>
      <c r="FS486" s="275"/>
      <c r="FT486" s="275"/>
      <c r="FU486" s="275"/>
      <c r="FV486" s="275"/>
      <c r="FW486" s="275"/>
      <c r="FX486" s="275"/>
      <c r="FY486" s="275"/>
      <c r="FZ486" s="275"/>
      <c r="GA486" s="275"/>
      <c r="GB486" s="275"/>
      <c r="GC486" s="275"/>
      <c r="GD486" s="275"/>
      <c r="GE486" s="275"/>
      <c r="GF486" s="275"/>
      <c r="GG486" s="275"/>
      <c r="GH486" s="275"/>
      <c r="GI486" s="275"/>
      <c r="GJ486" s="275"/>
      <c r="GK486" s="275"/>
      <c r="GL486" s="275"/>
      <c r="GM486" s="275"/>
      <c r="GN486" s="275"/>
      <c r="GO486" s="275"/>
      <c r="GP486" s="275"/>
      <c r="GQ486" s="275"/>
      <c r="GR486" s="275"/>
      <c r="GS486" s="275"/>
      <c r="GT486" s="275"/>
      <c r="GU486" s="275"/>
      <c r="GV486" s="275"/>
      <c r="GW486" s="275"/>
      <c r="GX486" s="275"/>
      <c r="GY486" s="275"/>
      <c r="GZ486" s="275"/>
      <c r="HA486" s="275"/>
      <c r="HB486" s="275"/>
      <c r="HC486" s="275"/>
      <c r="HD486" s="275"/>
      <c r="HE486" s="275"/>
      <c r="HF486" s="275"/>
      <c r="HG486" s="275"/>
      <c r="HH486" s="275"/>
      <c r="HI486" s="275"/>
      <c r="HJ486" s="275"/>
      <c r="HK486" s="275"/>
      <c r="HL486" s="275"/>
      <c r="HM486" s="275"/>
      <c r="HN486" s="275"/>
      <c r="HO486" s="275"/>
      <c r="HP486" s="275"/>
      <c r="HQ486" s="275"/>
      <c r="HR486" s="275"/>
    </row>
    <row r="487" spans="1:226" s="297" customFormat="1">
      <c r="A487" s="275"/>
      <c r="B487" s="21"/>
      <c r="C487" s="21"/>
      <c r="D487" s="21"/>
      <c r="E487" s="21"/>
      <c r="F487" s="275"/>
      <c r="G487" s="275"/>
      <c r="H487" s="275"/>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J487" s="275"/>
      <c r="AK487" s="275"/>
      <c r="AL487" s="275"/>
      <c r="AM487" s="275"/>
      <c r="AN487" s="275"/>
      <c r="AO487" s="275"/>
      <c r="AQ487" s="275"/>
      <c r="AR487" s="275"/>
      <c r="AS487" s="275"/>
      <c r="AT487" s="275"/>
      <c r="AU487" s="275"/>
      <c r="AV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D487" s="275"/>
      <c r="EE487" s="275"/>
      <c r="EF487" s="275"/>
      <c r="EG487" s="275"/>
      <c r="EH487" s="275"/>
      <c r="EI487" s="275"/>
      <c r="EJ487" s="275"/>
      <c r="EK487" s="275"/>
      <c r="EL487" s="275"/>
      <c r="EM487" s="275"/>
      <c r="EN487" s="275"/>
      <c r="EO487" s="275"/>
      <c r="EP487" s="275"/>
      <c r="EQ487" s="275"/>
      <c r="ER487" s="275"/>
      <c r="ES487" s="275"/>
      <c r="ET487" s="275"/>
      <c r="EU487"/>
      <c r="EV487"/>
      <c r="EW487" s="275"/>
      <c r="EX487" s="275"/>
      <c r="EY487" s="275"/>
      <c r="EZ487" s="275"/>
      <c r="FA487" s="275"/>
      <c r="FB487" s="275"/>
      <c r="FC487" s="275"/>
      <c r="FD487" s="275"/>
      <c r="FE487" s="275"/>
      <c r="FF487" s="275"/>
      <c r="FG487" s="275"/>
      <c r="FH487" s="275"/>
      <c r="FI487" s="275"/>
      <c r="FJ487" s="275"/>
      <c r="FK487" s="275"/>
      <c r="FL487" s="275"/>
      <c r="FM487" s="275"/>
      <c r="FN487" s="275"/>
      <c r="FO487" s="275"/>
      <c r="FP487" s="275"/>
      <c r="FQ487" s="275"/>
      <c r="FR487" s="275"/>
      <c r="FS487" s="275"/>
      <c r="FT487" s="275"/>
      <c r="FU487" s="275"/>
      <c r="FV487" s="275"/>
      <c r="FW487" s="275"/>
      <c r="FX487" s="275"/>
      <c r="FY487" s="275"/>
      <c r="FZ487" s="275"/>
      <c r="GA487" s="275"/>
      <c r="GB487" s="275"/>
      <c r="GC487" s="275"/>
      <c r="GD487" s="275"/>
      <c r="GE487" s="275"/>
      <c r="GF487" s="275"/>
      <c r="GG487" s="275"/>
      <c r="GH487" s="275"/>
      <c r="GI487" s="275"/>
      <c r="GJ487" s="275"/>
      <c r="GK487" s="275"/>
      <c r="GL487" s="275"/>
      <c r="GM487" s="275"/>
      <c r="GN487" s="275"/>
      <c r="GO487" s="275"/>
      <c r="GP487" s="275"/>
      <c r="GQ487" s="275"/>
      <c r="GR487" s="275"/>
      <c r="GS487" s="275"/>
      <c r="GT487" s="275"/>
      <c r="GU487" s="275"/>
      <c r="GV487" s="275"/>
      <c r="GW487" s="275"/>
      <c r="GX487" s="275"/>
      <c r="GY487" s="275"/>
      <c r="GZ487" s="275"/>
      <c r="HA487" s="275"/>
      <c r="HB487" s="275"/>
      <c r="HC487" s="275"/>
      <c r="HD487" s="275"/>
      <c r="HE487" s="275"/>
      <c r="HF487" s="275"/>
      <c r="HG487" s="275"/>
      <c r="HH487" s="275"/>
      <c r="HI487" s="275"/>
      <c r="HJ487" s="275"/>
      <c r="HK487" s="275"/>
      <c r="HL487" s="275"/>
      <c r="HM487" s="275"/>
      <c r="HN487" s="275"/>
      <c r="HO487" s="275"/>
      <c r="HP487" s="275"/>
      <c r="HQ487" s="275"/>
      <c r="HR487" s="275"/>
    </row>
    <row r="488" spans="1:226" s="297" customFormat="1">
      <c r="A488" s="275"/>
      <c r="B488" s="21"/>
      <c r="C488" s="21"/>
      <c r="D488" s="21"/>
      <c r="E488" s="21"/>
      <c r="F488" s="275"/>
      <c r="G488" s="275"/>
      <c r="H488" s="275"/>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J488" s="275"/>
      <c r="AK488" s="275"/>
      <c r="AL488" s="275"/>
      <c r="AM488" s="275"/>
      <c r="AN488" s="275"/>
      <c r="AO488" s="275"/>
      <c r="AQ488" s="275"/>
      <c r="AR488" s="275"/>
      <c r="AS488" s="275"/>
      <c r="AT488" s="275"/>
      <c r="AU488" s="275"/>
      <c r="AV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D488" s="275"/>
      <c r="EE488" s="275"/>
      <c r="EF488" s="275"/>
      <c r="EG488" s="275"/>
      <c r="EH488" s="275"/>
      <c r="EI488" s="275"/>
      <c r="EJ488" s="275"/>
      <c r="EK488" s="275"/>
      <c r="EL488" s="275"/>
      <c r="EM488" s="275"/>
      <c r="EN488" s="275"/>
      <c r="EO488" s="275"/>
      <c r="EP488" s="275"/>
      <c r="EQ488" s="275"/>
      <c r="ER488" s="275"/>
      <c r="ES488" s="275"/>
      <c r="ET488" s="275"/>
      <c r="EU488"/>
      <c r="EV488"/>
      <c r="EW488" s="275"/>
      <c r="EX488" s="275"/>
      <c r="EY488" s="275"/>
      <c r="EZ488" s="275"/>
      <c r="FA488" s="275"/>
      <c r="FB488" s="275"/>
      <c r="FC488" s="275"/>
      <c r="FD488" s="275"/>
      <c r="FE488" s="275"/>
      <c r="FF488" s="275"/>
      <c r="FG488" s="275"/>
      <c r="FH488" s="275"/>
      <c r="FI488" s="275"/>
      <c r="FJ488" s="275"/>
      <c r="FK488" s="275"/>
      <c r="FL488" s="275"/>
      <c r="FM488" s="275"/>
      <c r="FN488" s="275"/>
      <c r="FO488" s="275"/>
      <c r="FP488" s="275"/>
      <c r="FQ488" s="275"/>
      <c r="FR488" s="275"/>
      <c r="FS488" s="275"/>
      <c r="FT488" s="275"/>
      <c r="FU488" s="275"/>
      <c r="FV488" s="275"/>
      <c r="FW488" s="275"/>
      <c r="FX488" s="275"/>
      <c r="FY488" s="275"/>
      <c r="FZ488" s="275"/>
      <c r="GA488" s="275"/>
      <c r="GB488" s="275"/>
      <c r="GC488" s="275"/>
      <c r="GD488" s="275"/>
      <c r="GE488" s="275"/>
      <c r="GF488" s="275"/>
      <c r="GG488" s="275"/>
      <c r="GH488" s="275"/>
      <c r="GI488" s="275"/>
      <c r="GJ488" s="275"/>
      <c r="GK488" s="275"/>
      <c r="GL488" s="275"/>
      <c r="GM488" s="275"/>
      <c r="GN488" s="275"/>
      <c r="GO488" s="275"/>
      <c r="GP488" s="275"/>
      <c r="GQ488" s="275"/>
      <c r="GR488" s="275"/>
      <c r="GS488" s="275"/>
      <c r="GT488" s="275"/>
      <c r="GU488" s="275"/>
      <c r="GV488" s="275"/>
      <c r="GW488" s="275"/>
      <c r="GX488" s="275"/>
      <c r="GY488" s="275"/>
      <c r="GZ488" s="275"/>
      <c r="HA488" s="275"/>
      <c r="HB488" s="275"/>
      <c r="HC488" s="275"/>
      <c r="HD488" s="275"/>
      <c r="HE488" s="275"/>
      <c r="HF488" s="275"/>
      <c r="HG488" s="275"/>
      <c r="HH488" s="275"/>
      <c r="HI488" s="275"/>
      <c r="HJ488" s="275"/>
      <c r="HK488" s="275"/>
      <c r="HL488" s="275"/>
      <c r="HM488" s="275"/>
      <c r="HN488" s="275"/>
      <c r="HO488" s="275"/>
      <c r="HP488" s="275"/>
      <c r="HQ488" s="275"/>
      <c r="HR488" s="275"/>
    </row>
    <row r="489" spans="1:226" s="297" customFormat="1">
      <c r="A489" s="275"/>
      <c r="B489" s="21"/>
      <c r="C489" s="21"/>
      <c r="D489" s="21"/>
      <c r="E489" s="21"/>
      <c r="F489" s="275"/>
      <c r="G489" s="275"/>
      <c r="H489" s="275"/>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J489" s="275"/>
      <c r="AK489" s="275"/>
      <c r="AL489" s="275"/>
      <c r="AM489" s="275"/>
      <c r="AN489" s="275"/>
      <c r="AO489" s="275"/>
      <c r="AQ489" s="275"/>
      <c r="AR489" s="275"/>
      <c r="AS489" s="275"/>
      <c r="AT489" s="275"/>
      <c r="AU489" s="275"/>
      <c r="AV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D489" s="275"/>
      <c r="EE489" s="275"/>
      <c r="EF489" s="275"/>
      <c r="EG489" s="275"/>
      <c r="EH489" s="275"/>
      <c r="EI489" s="275"/>
      <c r="EJ489" s="275"/>
      <c r="EK489" s="275"/>
      <c r="EL489" s="275"/>
      <c r="EM489" s="275"/>
      <c r="EN489" s="275"/>
      <c r="EO489" s="275"/>
      <c r="EP489" s="275"/>
      <c r="EQ489" s="275"/>
      <c r="ER489" s="275"/>
      <c r="ES489" s="275"/>
      <c r="ET489" s="275"/>
      <c r="EU489"/>
      <c r="EV489"/>
      <c r="EW489" s="275"/>
      <c r="EX489" s="275"/>
      <c r="EY489" s="275"/>
      <c r="EZ489" s="275"/>
      <c r="FA489" s="275"/>
      <c r="FB489" s="275"/>
      <c r="FC489" s="275"/>
      <c r="FD489" s="275"/>
      <c r="FE489" s="275"/>
      <c r="FF489" s="275"/>
      <c r="FG489" s="275"/>
      <c r="FH489" s="275"/>
      <c r="FI489" s="275"/>
      <c r="FJ489" s="275"/>
      <c r="FK489" s="275"/>
      <c r="FL489" s="275"/>
      <c r="FM489" s="275"/>
      <c r="FN489" s="275"/>
      <c r="FO489" s="275"/>
      <c r="FP489" s="275"/>
      <c r="FQ489" s="275"/>
      <c r="FR489" s="275"/>
      <c r="FS489" s="275"/>
      <c r="FT489" s="275"/>
      <c r="FU489" s="275"/>
      <c r="FV489" s="275"/>
      <c r="FW489" s="275"/>
      <c r="FX489" s="275"/>
      <c r="FY489" s="275"/>
      <c r="FZ489" s="275"/>
      <c r="GA489" s="275"/>
      <c r="GB489" s="275"/>
      <c r="GC489" s="275"/>
      <c r="GD489" s="275"/>
      <c r="GE489" s="275"/>
      <c r="GF489" s="275"/>
      <c r="GG489" s="275"/>
      <c r="GH489" s="275"/>
      <c r="GI489" s="275"/>
      <c r="GJ489" s="275"/>
      <c r="GK489" s="275"/>
      <c r="GL489" s="275"/>
      <c r="GM489" s="275"/>
      <c r="GN489" s="275"/>
      <c r="GO489" s="275"/>
      <c r="GP489" s="275"/>
      <c r="GQ489" s="275"/>
      <c r="GR489" s="275"/>
      <c r="GS489" s="275"/>
      <c r="GT489" s="275"/>
      <c r="GU489" s="275"/>
      <c r="GV489" s="275"/>
      <c r="GW489" s="275"/>
      <c r="GX489" s="275"/>
      <c r="GY489" s="275"/>
      <c r="GZ489" s="275"/>
      <c r="HA489" s="275"/>
      <c r="HB489" s="275"/>
      <c r="HC489" s="275"/>
      <c r="HD489" s="275"/>
      <c r="HE489" s="275"/>
      <c r="HF489" s="275"/>
      <c r="HG489" s="275"/>
      <c r="HH489" s="275"/>
      <c r="HI489" s="275"/>
      <c r="HJ489" s="275"/>
      <c r="HK489" s="275"/>
      <c r="HL489" s="275"/>
      <c r="HM489" s="275"/>
      <c r="HN489" s="275"/>
      <c r="HO489" s="275"/>
      <c r="HP489" s="275"/>
      <c r="HQ489" s="275"/>
      <c r="HR489" s="275"/>
    </row>
    <row r="490" spans="1:226" s="297" customFormat="1">
      <c r="A490" s="275"/>
      <c r="B490" s="21"/>
      <c r="C490" s="21"/>
      <c r="D490" s="21"/>
      <c r="E490" s="21"/>
      <c r="F490" s="275"/>
      <c r="G490" s="275"/>
      <c r="H490" s="275"/>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J490" s="275"/>
      <c r="AK490" s="275"/>
      <c r="AL490" s="275"/>
      <c r="AM490" s="275"/>
      <c r="AN490" s="275"/>
      <c r="AO490" s="275"/>
      <c r="AQ490" s="275"/>
      <c r="AR490" s="275"/>
      <c r="AS490" s="275"/>
      <c r="AT490" s="275"/>
      <c r="AU490" s="275"/>
      <c r="AV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D490" s="275"/>
      <c r="EE490" s="275"/>
      <c r="EF490" s="275"/>
      <c r="EG490" s="275"/>
      <c r="EH490" s="275"/>
      <c r="EI490" s="275"/>
      <c r="EJ490" s="275"/>
      <c r="EK490" s="275"/>
      <c r="EL490" s="275"/>
      <c r="EM490" s="275"/>
      <c r="EN490" s="275"/>
      <c r="EO490" s="275"/>
      <c r="EP490" s="275"/>
      <c r="EQ490" s="275"/>
      <c r="ER490" s="275"/>
      <c r="ES490" s="275"/>
      <c r="ET490" s="275"/>
      <c r="EU490"/>
      <c r="EV490"/>
      <c r="EW490" s="275"/>
      <c r="EX490" s="275"/>
      <c r="EY490" s="275"/>
      <c r="EZ490" s="275"/>
      <c r="FA490" s="275"/>
      <c r="FB490" s="275"/>
      <c r="FC490" s="275"/>
      <c r="FD490" s="275"/>
      <c r="FE490" s="275"/>
      <c r="FF490" s="275"/>
      <c r="FG490" s="275"/>
      <c r="FH490" s="275"/>
      <c r="FI490" s="275"/>
      <c r="FJ490" s="275"/>
      <c r="FK490" s="275"/>
      <c r="FL490" s="275"/>
      <c r="FM490" s="275"/>
      <c r="FN490" s="275"/>
      <c r="FO490" s="275"/>
      <c r="FP490" s="275"/>
      <c r="FQ490" s="275"/>
      <c r="FR490" s="275"/>
      <c r="FS490" s="275"/>
      <c r="FT490" s="275"/>
      <c r="FU490" s="275"/>
      <c r="FV490" s="275"/>
      <c r="FW490" s="275"/>
      <c r="FX490" s="275"/>
      <c r="FY490" s="275"/>
      <c r="FZ490" s="275"/>
      <c r="GA490" s="275"/>
      <c r="GB490" s="275"/>
      <c r="GC490" s="275"/>
      <c r="GD490" s="275"/>
      <c r="GE490" s="275"/>
      <c r="GF490" s="275"/>
      <c r="GG490" s="275"/>
      <c r="GH490" s="275"/>
      <c r="GI490" s="275"/>
      <c r="GJ490" s="275"/>
      <c r="GK490" s="275"/>
      <c r="GL490" s="275"/>
      <c r="GM490" s="275"/>
      <c r="GN490" s="275"/>
      <c r="GO490" s="275"/>
      <c r="GP490" s="275"/>
      <c r="GQ490" s="275"/>
      <c r="GR490" s="275"/>
      <c r="GS490" s="275"/>
      <c r="GT490" s="275"/>
      <c r="GU490" s="275"/>
      <c r="GV490" s="275"/>
      <c r="GW490" s="275"/>
      <c r="GX490" s="275"/>
      <c r="GY490" s="275"/>
      <c r="GZ490" s="275"/>
      <c r="HA490" s="275"/>
      <c r="HB490" s="275"/>
      <c r="HC490" s="275"/>
      <c r="HD490" s="275"/>
      <c r="HE490" s="275"/>
      <c r="HF490" s="275"/>
      <c r="HG490" s="275"/>
      <c r="HH490" s="275"/>
      <c r="HI490" s="275"/>
      <c r="HJ490" s="275"/>
      <c r="HK490" s="275"/>
      <c r="HL490" s="275"/>
      <c r="HM490" s="275"/>
      <c r="HN490" s="275"/>
      <c r="HO490" s="275"/>
      <c r="HP490" s="275"/>
      <c r="HQ490" s="275"/>
      <c r="HR490" s="275"/>
    </row>
    <row r="491" spans="1:226" s="297" customFormat="1">
      <c r="A491" s="275"/>
      <c r="B491" s="21"/>
      <c r="C491" s="21"/>
      <c r="D491" s="21"/>
      <c r="E491" s="21"/>
      <c r="F491" s="275"/>
      <c r="G491" s="275"/>
      <c r="H491" s="275"/>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J491" s="275"/>
      <c r="AK491" s="275"/>
      <c r="AL491" s="275"/>
      <c r="AM491" s="275"/>
      <c r="AN491" s="275"/>
      <c r="AO491" s="275"/>
      <c r="AQ491" s="275"/>
      <c r="AR491" s="275"/>
      <c r="AS491" s="275"/>
      <c r="AT491" s="275"/>
      <c r="AU491" s="275"/>
      <c r="AV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D491" s="275"/>
      <c r="EE491" s="275"/>
      <c r="EF491" s="275"/>
      <c r="EG491" s="275"/>
      <c r="EH491" s="275"/>
      <c r="EI491" s="275"/>
      <c r="EJ491" s="275"/>
      <c r="EK491" s="275"/>
      <c r="EL491" s="275"/>
      <c r="EM491" s="275"/>
      <c r="EN491" s="275"/>
      <c r="EO491" s="275"/>
      <c r="EP491" s="275"/>
      <c r="EQ491" s="275"/>
      <c r="ER491" s="275"/>
      <c r="ES491" s="275"/>
      <c r="ET491" s="275"/>
      <c r="EU491"/>
      <c r="EV491"/>
      <c r="EW491" s="275"/>
      <c r="EX491" s="275"/>
      <c r="EY491" s="275"/>
      <c r="EZ491" s="275"/>
      <c r="FA491" s="275"/>
      <c r="FB491" s="275"/>
      <c r="FC491" s="275"/>
      <c r="FD491" s="275"/>
      <c r="FE491" s="275"/>
      <c r="FF491" s="275"/>
      <c r="FG491" s="275"/>
      <c r="FH491" s="275"/>
      <c r="FI491" s="275"/>
      <c r="FJ491" s="275"/>
      <c r="FK491" s="275"/>
      <c r="FL491" s="275"/>
      <c r="FM491" s="275"/>
      <c r="FN491" s="275"/>
      <c r="FO491" s="275"/>
      <c r="FP491" s="275"/>
      <c r="FQ491" s="275"/>
      <c r="FR491" s="275"/>
      <c r="FS491" s="275"/>
      <c r="FT491" s="275"/>
      <c r="FU491" s="275"/>
      <c r="FV491" s="275"/>
      <c r="FW491" s="275"/>
      <c r="FX491" s="275"/>
      <c r="FY491" s="275"/>
      <c r="FZ491" s="275"/>
      <c r="GA491" s="275"/>
      <c r="GB491" s="275"/>
      <c r="GC491" s="275"/>
      <c r="GD491" s="275"/>
      <c r="GE491" s="275"/>
      <c r="GF491" s="275"/>
      <c r="GG491" s="275"/>
      <c r="GH491" s="275"/>
      <c r="GI491" s="275"/>
      <c r="GJ491" s="275"/>
      <c r="GK491" s="275"/>
      <c r="GL491" s="275"/>
      <c r="GM491" s="275"/>
      <c r="GN491" s="275"/>
      <c r="GO491" s="275"/>
      <c r="GP491" s="275"/>
      <c r="GQ491" s="275"/>
      <c r="GR491" s="275"/>
      <c r="GS491" s="275"/>
      <c r="GT491" s="275"/>
      <c r="GU491" s="275"/>
      <c r="GV491" s="275"/>
      <c r="GW491" s="275"/>
      <c r="GX491" s="275"/>
      <c r="GY491" s="275"/>
      <c r="GZ491" s="275"/>
      <c r="HA491" s="275"/>
      <c r="HB491" s="275"/>
      <c r="HC491" s="275"/>
      <c r="HD491" s="275"/>
      <c r="HE491" s="275"/>
      <c r="HF491" s="275"/>
      <c r="HG491" s="275"/>
      <c r="HH491" s="275"/>
      <c r="HI491" s="275"/>
      <c r="HJ491" s="275"/>
      <c r="HK491" s="275"/>
      <c r="HL491" s="275"/>
      <c r="HM491" s="275"/>
      <c r="HN491" s="275"/>
      <c r="HO491" s="275"/>
      <c r="HP491" s="275"/>
      <c r="HQ491" s="275"/>
      <c r="HR491" s="275"/>
    </row>
    <row r="492" spans="1:226" s="297" customFormat="1">
      <c r="A492" s="275"/>
      <c r="B492" s="21"/>
      <c r="C492" s="21"/>
      <c r="D492" s="21"/>
      <c r="E492" s="21"/>
      <c r="F492" s="275"/>
      <c r="G492" s="275"/>
      <c r="H492" s="275"/>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J492" s="275"/>
      <c r="AK492" s="275"/>
      <c r="AL492" s="275"/>
      <c r="AM492" s="275"/>
      <c r="AN492" s="275"/>
      <c r="AO492" s="275"/>
      <c r="AQ492" s="275"/>
      <c r="AR492" s="275"/>
      <c r="AS492" s="275"/>
      <c r="AT492" s="275"/>
      <c r="AU492" s="275"/>
      <c r="AV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D492" s="275"/>
      <c r="EE492" s="275"/>
      <c r="EF492" s="275"/>
      <c r="EG492" s="275"/>
      <c r="EH492" s="275"/>
      <c r="EI492" s="275"/>
      <c r="EJ492" s="275"/>
      <c r="EK492" s="275"/>
      <c r="EL492" s="275"/>
      <c r="EM492" s="275"/>
      <c r="EN492" s="275"/>
      <c r="EO492" s="275"/>
      <c r="EP492" s="275"/>
      <c r="EQ492" s="275"/>
      <c r="ER492" s="275"/>
      <c r="ES492" s="275"/>
      <c r="ET492" s="275"/>
      <c r="EU492"/>
      <c r="EV492"/>
      <c r="EW492" s="275"/>
      <c r="EX492" s="275"/>
      <c r="EY492" s="275"/>
      <c r="EZ492" s="275"/>
      <c r="FA492" s="275"/>
      <c r="FB492" s="275"/>
      <c r="FC492" s="275"/>
      <c r="FD492" s="275"/>
      <c r="FE492" s="275"/>
      <c r="FF492" s="275"/>
      <c r="FG492" s="275"/>
      <c r="FH492" s="275"/>
      <c r="FI492" s="275"/>
      <c r="FJ492" s="275"/>
      <c r="FK492" s="275"/>
      <c r="FL492" s="275"/>
      <c r="FM492" s="275"/>
      <c r="FN492" s="275"/>
      <c r="FO492" s="275"/>
      <c r="FP492" s="275"/>
      <c r="FQ492" s="275"/>
      <c r="FR492" s="275"/>
      <c r="FS492" s="275"/>
      <c r="FT492" s="275"/>
      <c r="FU492" s="275"/>
      <c r="FV492" s="275"/>
      <c r="FW492" s="275"/>
      <c r="FX492" s="275"/>
      <c r="FY492" s="275"/>
      <c r="FZ492" s="275"/>
      <c r="GA492" s="275"/>
      <c r="GB492" s="275"/>
      <c r="GC492" s="275"/>
      <c r="GD492" s="275"/>
      <c r="GE492" s="275"/>
      <c r="GF492" s="275"/>
      <c r="GG492" s="275"/>
      <c r="GH492" s="275"/>
      <c r="GI492" s="275"/>
      <c r="GJ492" s="275"/>
      <c r="GK492" s="275"/>
      <c r="GL492" s="275"/>
      <c r="GM492" s="275"/>
      <c r="GN492" s="275"/>
      <c r="GO492" s="275"/>
      <c r="GP492" s="275"/>
      <c r="GQ492" s="275"/>
      <c r="GR492" s="275"/>
      <c r="GS492" s="275"/>
      <c r="GT492" s="275"/>
      <c r="GU492" s="275"/>
      <c r="GV492" s="275"/>
      <c r="GW492" s="275"/>
      <c r="GX492" s="275"/>
      <c r="GY492" s="275"/>
      <c r="GZ492" s="275"/>
      <c r="HA492" s="275"/>
      <c r="HB492" s="275"/>
      <c r="HC492" s="275"/>
      <c r="HD492" s="275"/>
      <c r="HE492" s="275"/>
      <c r="HF492" s="275"/>
      <c r="HG492" s="275"/>
      <c r="HH492" s="275"/>
      <c r="HI492" s="275"/>
      <c r="HJ492" s="275"/>
      <c r="HK492" s="275"/>
      <c r="HL492" s="275"/>
      <c r="HM492" s="275"/>
      <c r="HN492" s="275"/>
      <c r="HO492" s="275"/>
      <c r="HP492" s="275"/>
      <c r="HQ492" s="275"/>
      <c r="HR492" s="275"/>
    </row>
    <row r="493" spans="1:226" s="297" customFormat="1">
      <c r="A493" s="275"/>
      <c r="B493" s="21"/>
      <c r="C493" s="21"/>
      <c r="D493" s="21"/>
      <c r="E493" s="21"/>
      <c r="F493" s="275"/>
      <c r="G493" s="275"/>
      <c r="H493" s="275"/>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J493" s="275"/>
      <c r="AK493" s="275"/>
      <c r="AL493" s="275"/>
      <c r="AM493" s="275"/>
      <c r="AN493" s="275"/>
      <c r="AO493" s="275"/>
      <c r="AQ493" s="275"/>
      <c r="AR493" s="275"/>
      <c r="AS493" s="275"/>
      <c r="AT493" s="275"/>
      <c r="AU493" s="275"/>
      <c r="AV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D493" s="275"/>
      <c r="EE493" s="275"/>
      <c r="EF493" s="275"/>
      <c r="EG493" s="275"/>
      <c r="EH493" s="275"/>
      <c r="EI493" s="275"/>
      <c r="EJ493" s="275"/>
      <c r="EK493" s="275"/>
      <c r="EL493" s="275"/>
      <c r="EM493" s="275"/>
      <c r="EN493" s="275"/>
      <c r="EO493" s="275"/>
      <c r="EP493" s="275"/>
      <c r="EQ493" s="275"/>
      <c r="ER493" s="275"/>
      <c r="ES493" s="275"/>
      <c r="ET493" s="275"/>
      <c r="EU493"/>
      <c r="EV493"/>
      <c r="EW493" s="275"/>
      <c r="EX493" s="275"/>
      <c r="EY493" s="275"/>
      <c r="EZ493" s="275"/>
      <c r="FA493" s="275"/>
      <c r="FB493" s="275"/>
      <c r="FC493" s="275"/>
      <c r="FD493" s="275"/>
      <c r="FE493" s="275"/>
      <c r="FF493" s="275"/>
      <c r="FG493" s="275"/>
      <c r="FH493" s="275"/>
      <c r="FI493" s="275"/>
      <c r="FJ493" s="275"/>
      <c r="FK493" s="275"/>
      <c r="FL493" s="275"/>
      <c r="FM493" s="275"/>
      <c r="FN493" s="275"/>
      <c r="FO493" s="275"/>
      <c r="FP493" s="275"/>
      <c r="FQ493" s="275"/>
      <c r="FR493" s="275"/>
      <c r="FS493" s="275"/>
      <c r="FT493" s="275"/>
      <c r="FU493" s="275"/>
      <c r="FV493" s="275"/>
      <c r="FW493" s="275"/>
      <c r="FX493" s="275"/>
      <c r="FY493" s="275"/>
      <c r="FZ493" s="275"/>
      <c r="GA493" s="275"/>
      <c r="GB493" s="275"/>
      <c r="GC493" s="275"/>
      <c r="GD493" s="275"/>
      <c r="GE493" s="275"/>
      <c r="GF493" s="275"/>
      <c r="GG493" s="275"/>
      <c r="GH493" s="275"/>
      <c r="GI493" s="275"/>
      <c r="GJ493" s="275"/>
      <c r="GK493" s="275"/>
      <c r="GL493" s="275"/>
      <c r="GM493" s="275"/>
      <c r="GN493" s="275"/>
      <c r="GO493" s="275"/>
      <c r="GP493" s="275"/>
      <c r="GQ493" s="275"/>
      <c r="GR493" s="275"/>
      <c r="GS493" s="275"/>
      <c r="GT493" s="275"/>
      <c r="GU493" s="275"/>
      <c r="GV493" s="275"/>
      <c r="GW493" s="275"/>
      <c r="GX493" s="275"/>
      <c r="GY493" s="275"/>
      <c r="GZ493" s="275"/>
      <c r="HA493" s="275"/>
      <c r="HB493" s="275"/>
      <c r="HC493" s="275"/>
      <c r="HD493" s="275"/>
      <c r="HE493" s="275"/>
      <c r="HF493" s="275"/>
      <c r="HG493" s="275"/>
      <c r="HH493" s="275"/>
      <c r="HI493" s="275"/>
      <c r="HJ493" s="275"/>
      <c r="HK493" s="275"/>
      <c r="HL493" s="275"/>
      <c r="HM493" s="275"/>
      <c r="HN493" s="275"/>
      <c r="HO493" s="275"/>
      <c r="HP493" s="275"/>
      <c r="HQ493" s="275"/>
      <c r="HR493" s="275"/>
    </row>
    <row r="494" spans="1:226" s="297" customFormat="1">
      <c r="A494" s="275"/>
      <c r="B494" s="21"/>
      <c r="C494" s="21"/>
      <c r="D494" s="21"/>
      <c r="E494" s="21"/>
      <c r="F494" s="275"/>
      <c r="G494" s="275"/>
      <c r="H494" s="275"/>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J494" s="275"/>
      <c r="AK494" s="275"/>
      <c r="AL494" s="275"/>
      <c r="AM494" s="275"/>
      <c r="AN494" s="275"/>
      <c r="AO494" s="275"/>
      <c r="AQ494" s="275"/>
      <c r="AR494" s="275"/>
      <c r="AS494" s="275"/>
      <c r="AT494" s="275"/>
      <c r="AU494" s="275"/>
      <c r="AV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D494" s="275"/>
      <c r="EE494" s="275"/>
      <c r="EF494" s="275"/>
      <c r="EG494" s="275"/>
      <c r="EH494" s="275"/>
      <c r="EI494" s="275"/>
      <c r="EJ494" s="275"/>
      <c r="EK494" s="275"/>
      <c r="EL494" s="275"/>
      <c r="EM494" s="275"/>
      <c r="EN494" s="275"/>
      <c r="EO494" s="275"/>
      <c r="EP494" s="275"/>
      <c r="EQ494" s="275"/>
      <c r="ER494" s="275"/>
      <c r="ES494" s="275"/>
      <c r="ET494" s="275"/>
      <c r="EU494"/>
      <c r="EV494"/>
      <c r="EW494" s="275"/>
      <c r="EX494" s="275"/>
      <c r="EY494" s="275"/>
      <c r="EZ494" s="275"/>
      <c r="FA494" s="275"/>
      <c r="FB494" s="275"/>
      <c r="FC494" s="275"/>
      <c r="FD494" s="275"/>
      <c r="FE494" s="275"/>
      <c r="FF494" s="275"/>
      <c r="FG494" s="275"/>
      <c r="FH494" s="275"/>
      <c r="FI494" s="275"/>
      <c r="FJ494" s="275"/>
      <c r="FK494" s="275"/>
      <c r="FL494" s="275"/>
      <c r="FM494" s="275"/>
      <c r="FN494" s="275"/>
      <c r="FO494" s="275"/>
      <c r="FP494" s="275"/>
      <c r="FQ494" s="275"/>
      <c r="FR494" s="275"/>
      <c r="FS494" s="275"/>
      <c r="FT494" s="275"/>
      <c r="FU494" s="275"/>
      <c r="FV494" s="275"/>
      <c r="FW494" s="275"/>
      <c r="FX494" s="275"/>
      <c r="FY494" s="275"/>
      <c r="FZ494" s="275"/>
      <c r="GA494" s="275"/>
      <c r="GB494" s="275"/>
      <c r="GC494" s="275"/>
      <c r="GD494" s="275"/>
      <c r="GE494" s="275"/>
      <c r="GF494" s="275"/>
      <c r="GG494" s="275"/>
      <c r="GH494" s="275"/>
      <c r="GI494" s="275"/>
      <c r="GJ494" s="275"/>
      <c r="GK494" s="275"/>
      <c r="GL494" s="275"/>
      <c r="GM494" s="275"/>
      <c r="GN494" s="275"/>
      <c r="GO494" s="275"/>
      <c r="GP494" s="275"/>
      <c r="GQ494" s="275"/>
      <c r="GR494" s="275"/>
      <c r="GS494" s="275"/>
      <c r="GT494" s="275"/>
      <c r="GU494" s="275"/>
      <c r="GV494" s="275"/>
      <c r="GW494" s="275"/>
      <c r="GX494" s="275"/>
      <c r="GY494" s="275"/>
      <c r="GZ494" s="275"/>
      <c r="HA494" s="275"/>
      <c r="HB494" s="275"/>
      <c r="HC494" s="275"/>
      <c r="HD494" s="275"/>
      <c r="HE494" s="275"/>
      <c r="HF494" s="275"/>
      <c r="HG494" s="275"/>
      <c r="HH494" s="275"/>
      <c r="HI494" s="275"/>
      <c r="HJ494" s="275"/>
      <c r="HK494" s="275"/>
      <c r="HL494" s="275"/>
      <c r="HM494" s="275"/>
      <c r="HN494" s="275"/>
      <c r="HO494" s="275"/>
      <c r="HP494" s="275"/>
      <c r="HQ494" s="275"/>
      <c r="HR494" s="275"/>
    </row>
    <row r="495" spans="1:226" s="297" customFormat="1">
      <c r="A495" s="275"/>
      <c r="B495" s="21"/>
      <c r="C495" s="21"/>
      <c r="D495" s="21"/>
      <c r="E495" s="21"/>
      <c r="F495" s="275"/>
      <c r="G495" s="275"/>
      <c r="H495" s="275"/>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J495" s="275"/>
      <c r="AK495" s="275"/>
      <c r="AL495" s="275"/>
      <c r="AM495" s="275"/>
      <c r="AN495" s="275"/>
      <c r="AO495" s="275"/>
      <c r="AQ495" s="275"/>
      <c r="AR495" s="275"/>
      <c r="AS495" s="275"/>
      <c r="AT495" s="275"/>
      <c r="AU495" s="275"/>
      <c r="AV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D495" s="275"/>
      <c r="EE495" s="275"/>
      <c r="EF495" s="275"/>
      <c r="EG495" s="275"/>
      <c r="EH495" s="275"/>
      <c r="EI495" s="275"/>
      <c r="EJ495" s="275"/>
      <c r="EK495" s="275"/>
      <c r="EL495" s="275"/>
      <c r="EM495" s="275"/>
      <c r="EN495" s="275"/>
      <c r="EO495" s="275"/>
      <c r="EP495" s="275"/>
      <c r="EQ495" s="275"/>
      <c r="ER495" s="275"/>
      <c r="ES495" s="275"/>
      <c r="ET495" s="275"/>
      <c r="EU495"/>
      <c r="EV495"/>
      <c r="EW495" s="275"/>
      <c r="EX495" s="275"/>
      <c r="EY495" s="275"/>
      <c r="EZ495" s="275"/>
      <c r="FA495" s="275"/>
      <c r="FB495" s="275"/>
      <c r="FC495" s="275"/>
      <c r="FD495" s="275"/>
      <c r="FE495" s="275"/>
      <c r="FF495" s="275"/>
      <c r="FG495" s="275"/>
      <c r="FH495" s="275"/>
      <c r="FI495" s="275"/>
      <c r="FJ495" s="275"/>
      <c r="FK495" s="275"/>
      <c r="FL495" s="275"/>
      <c r="FM495" s="275"/>
      <c r="FN495" s="275"/>
      <c r="FO495" s="275"/>
      <c r="FP495" s="275"/>
      <c r="FQ495" s="275"/>
      <c r="FR495" s="275"/>
      <c r="FS495" s="275"/>
      <c r="FT495" s="275"/>
      <c r="FU495" s="275"/>
      <c r="FV495" s="275"/>
      <c r="FW495" s="275"/>
      <c r="FX495" s="275"/>
      <c r="FY495" s="275"/>
      <c r="FZ495" s="275"/>
      <c r="GA495" s="275"/>
      <c r="GB495" s="275"/>
      <c r="GC495" s="275"/>
      <c r="GD495" s="275"/>
      <c r="GE495" s="275"/>
      <c r="GF495" s="275"/>
      <c r="GG495" s="275"/>
      <c r="GH495" s="275"/>
      <c r="GI495" s="275"/>
      <c r="GJ495" s="275"/>
      <c r="GK495" s="275"/>
      <c r="GL495" s="275"/>
      <c r="GM495" s="275"/>
      <c r="GN495" s="275"/>
      <c r="GO495" s="275"/>
      <c r="GP495" s="275"/>
      <c r="GQ495" s="275"/>
      <c r="GR495" s="275"/>
      <c r="GS495" s="275"/>
      <c r="GT495" s="275"/>
      <c r="GU495" s="275"/>
      <c r="GV495" s="275"/>
      <c r="GW495" s="275"/>
      <c r="GX495" s="275"/>
      <c r="GY495" s="275"/>
      <c r="GZ495" s="275"/>
      <c r="HA495" s="275"/>
      <c r="HB495" s="275"/>
      <c r="HC495" s="275"/>
      <c r="HD495" s="275"/>
      <c r="HE495" s="275"/>
      <c r="HF495" s="275"/>
      <c r="HG495" s="275"/>
      <c r="HH495" s="275"/>
      <c r="HI495" s="275"/>
      <c r="HJ495" s="275"/>
      <c r="HK495" s="275"/>
      <c r="HL495" s="275"/>
      <c r="HM495" s="275"/>
      <c r="HN495" s="275"/>
      <c r="HO495" s="275"/>
      <c r="HP495" s="275"/>
      <c r="HQ495" s="275"/>
      <c r="HR495" s="275"/>
    </row>
    <row r="496" spans="1:226" s="297" customFormat="1">
      <c r="A496" s="275"/>
      <c r="B496" s="21"/>
      <c r="C496" s="21"/>
      <c r="D496" s="21"/>
      <c r="E496" s="21"/>
      <c r="F496" s="275"/>
      <c r="G496" s="275"/>
      <c r="H496" s="275"/>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J496" s="275"/>
      <c r="AK496" s="275"/>
      <c r="AL496" s="275"/>
      <c r="AM496" s="275"/>
      <c r="AN496" s="275"/>
      <c r="AO496" s="275"/>
      <c r="AQ496" s="275"/>
      <c r="AR496" s="275"/>
      <c r="AS496" s="275"/>
      <c r="AT496" s="275"/>
      <c r="AU496" s="275"/>
      <c r="AV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D496" s="275"/>
      <c r="EE496" s="275"/>
      <c r="EF496" s="275"/>
      <c r="EG496" s="275"/>
      <c r="EH496" s="275"/>
      <c r="EI496" s="275"/>
      <c r="EJ496" s="275"/>
      <c r="EK496" s="275"/>
      <c r="EL496" s="275"/>
      <c r="EM496" s="275"/>
      <c r="EN496" s="275"/>
      <c r="EO496" s="275"/>
      <c r="EP496" s="275"/>
      <c r="EQ496" s="275"/>
      <c r="ER496" s="275"/>
      <c r="ES496" s="275"/>
      <c r="ET496" s="275"/>
      <c r="EU496"/>
      <c r="EV496"/>
      <c r="EW496" s="275"/>
      <c r="EX496" s="275"/>
      <c r="EY496" s="275"/>
      <c r="EZ496" s="275"/>
      <c r="FA496" s="275"/>
      <c r="FB496" s="275"/>
      <c r="FC496" s="275"/>
      <c r="FD496" s="275"/>
      <c r="FE496" s="275"/>
      <c r="FF496" s="275"/>
      <c r="FG496" s="275"/>
      <c r="FH496" s="275"/>
      <c r="FI496" s="275"/>
      <c r="FJ496" s="275"/>
      <c r="FK496" s="275"/>
      <c r="FL496" s="275"/>
      <c r="FM496" s="275"/>
      <c r="FN496" s="275"/>
      <c r="FO496" s="275"/>
      <c r="FP496" s="275"/>
      <c r="FQ496" s="275"/>
      <c r="FR496" s="275"/>
      <c r="FS496" s="275"/>
      <c r="FT496" s="275"/>
      <c r="FU496" s="275"/>
      <c r="FV496" s="275"/>
      <c r="FW496" s="275"/>
      <c r="FX496" s="275"/>
      <c r="FY496" s="275"/>
      <c r="FZ496" s="275"/>
      <c r="GA496" s="275"/>
      <c r="GB496" s="275"/>
      <c r="GC496" s="275"/>
      <c r="GD496" s="275"/>
      <c r="GE496" s="275"/>
      <c r="GF496" s="275"/>
      <c r="GG496" s="275"/>
      <c r="GH496" s="275"/>
      <c r="GI496" s="275"/>
      <c r="GJ496" s="275"/>
      <c r="GK496" s="275"/>
      <c r="GL496" s="275"/>
      <c r="GM496" s="275"/>
      <c r="GN496" s="275"/>
      <c r="GO496" s="275"/>
      <c r="GP496" s="275"/>
      <c r="GQ496" s="275"/>
      <c r="GR496" s="275"/>
      <c r="GS496" s="275"/>
      <c r="GT496" s="275"/>
      <c r="GU496" s="275"/>
      <c r="GV496" s="275"/>
      <c r="GW496" s="275"/>
      <c r="GX496" s="275"/>
      <c r="GY496" s="275"/>
      <c r="GZ496" s="275"/>
      <c r="HA496" s="275"/>
      <c r="HB496" s="275"/>
      <c r="HC496" s="275"/>
      <c r="HD496" s="275"/>
      <c r="HE496" s="275"/>
      <c r="HF496" s="275"/>
      <c r="HG496" s="275"/>
      <c r="HH496" s="275"/>
      <c r="HI496" s="275"/>
      <c r="HJ496" s="275"/>
      <c r="HK496" s="275"/>
      <c r="HL496" s="275"/>
      <c r="HM496" s="275"/>
      <c r="HN496" s="275"/>
      <c r="HO496" s="275"/>
      <c r="HP496" s="275"/>
      <c r="HQ496" s="275"/>
      <c r="HR496" s="275"/>
    </row>
    <row r="497" spans="1:226" s="297" customFormat="1">
      <c r="A497" s="275"/>
      <c r="B497" s="21"/>
      <c r="C497" s="21"/>
      <c r="D497" s="21"/>
      <c r="E497" s="21"/>
      <c r="F497" s="275"/>
      <c r="G497" s="275"/>
      <c r="H497" s="275"/>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J497" s="275"/>
      <c r="AK497" s="275"/>
      <c r="AL497" s="275"/>
      <c r="AM497" s="275"/>
      <c r="AN497" s="275"/>
      <c r="AO497" s="275"/>
      <c r="AQ497" s="275"/>
      <c r="AR497" s="275"/>
      <c r="AS497" s="275"/>
      <c r="AT497" s="275"/>
      <c r="AU497" s="275"/>
      <c r="AV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D497" s="275"/>
      <c r="EE497" s="275"/>
      <c r="EF497" s="275"/>
      <c r="EG497" s="275"/>
      <c r="EH497" s="275"/>
      <c r="EI497" s="275"/>
      <c r="EJ497" s="275"/>
      <c r="EK497" s="275"/>
      <c r="EL497" s="275"/>
      <c r="EM497" s="275"/>
      <c r="EN497" s="275"/>
      <c r="EO497" s="275"/>
      <c r="EP497" s="275"/>
      <c r="EQ497" s="275"/>
      <c r="ER497" s="275"/>
      <c r="ES497" s="275"/>
      <c r="ET497" s="275"/>
      <c r="EU497"/>
      <c r="EV497"/>
      <c r="EW497" s="275"/>
      <c r="EX497" s="275"/>
      <c r="EY497" s="275"/>
      <c r="EZ497" s="275"/>
      <c r="FA497" s="275"/>
      <c r="FB497" s="275"/>
      <c r="FC497" s="275"/>
      <c r="FD497" s="275"/>
      <c r="FE497" s="275"/>
      <c r="FF497" s="275"/>
      <c r="FG497" s="275"/>
      <c r="FH497" s="275"/>
      <c r="FI497" s="275"/>
      <c r="FJ497" s="275"/>
      <c r="FK497" s="275"/>
      <c r="FL497" s="275"/>
      <c r="FM497" s="275"/>
      <c r="FN497" s="275"/>
      <c r="FO497" s="275"/>
      <c r="FP497" s="275"/>
      <c r="FQ497" s="275"/>
      <c r="FR497" s="275"/>
      <c r="FS497" s="275"/>
      <c r="FT497" s="275"/>
      <c r="FU497" s="275"/>
      <c r="FV497" s="275"/>
      <c r="FW497" s="275"/>
      <c r="FX497" s="275"/>
      <c r="FY497" s="275"/>
      <c r="FZ497" s="275"/>
      <c r="GA497" s="275"/>
      <c r="GB497" s="275"/>
      <c r="GC497" s="275"/>
      <c r="GD497" s="275"/>
      <c r="GE497" s="275"/>
      <c r="GF497" s="275"/>
      <c r="GG497" s="275"/>
      <c r="GH497" s="275"/>
      <c r="GI497" s="275"/>
      <c r="GJ497" s="275"/>
      <c r="GK497" s="275"/>
      <c r="GL497" s="275"/>
      <c r="GM497" s="275"/>
      <c r="GN497" s="275"/>
      <c r="GO497" s="275"/>
      <c r="GP497" s="275"/>
      <c r="GQ497" s="275"/>
      <c r="GR497" s="275"/>
      <c r="GS497" s="275"/>
      <c r="GT497" s="275"/>
      <c r="GU497" s="275"/>
      <c r="GV497" s="275"/>
      <c r="GW497" s="275"/>
      <c r="GX497" s="275"/>
      <c r="GY497" s="275"/>
      <c r="GZ497" s="275"/>
      <c r="HA497" s="275"/>
      <c r="HB497" s="275"/>
      <c r="HC497" s="275"/>
      <c r="HD497" s="275"/>
      <c r="HE497" s="275"/>
      <c r="HF497" s="275"/>
      <c r="HG497" s="275"/>
      <c r="HH497" s="275"/>
      <c r="HI497" s="275"/>
      <c r="HJ497" s="275"/>
      <c r="HK497" s="275"/>
      <c r="HL497" s="275"/>
      <c r="HM497" s="275"/>
      <c r="HN497" s="275"/>
      <c r="HO497" s="275"/>
      <c r="HP497" s="275"/>
      <c r="HQ497" s="275"/>
      <c r="HR497" s="275"/>
    </row>
    <row r="498" spans="1:226" s="297" customFormat="1">
      <c r="A498" s="275"/>
      <c r="B498" s="21"/>
      <c r="C498" s="21"/>
      <c r="D498" s="21"/>
      <c r="E498" s="21"/>
      <c r="F498" s="275"/>
      <c r="G498" s="275"/>
      <c r="H498" s="275"/>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J498" s="275"/>
      <c r="AK498" s="275"/>
      <c r="AL498" s="275"/>
      <c r="AM498" s="275"/>
      <c r="AN498" s="275"/>
      <c r="AO498" s="275"/>
      <c r="AQ498" s="275"/>
      <c r="AR498" s="275"/>
      <c r="AS498" s="275"/>
      <c r="AT498" s="275"/>
      <c r="AU498" s="275"/>
      <c r="AV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D498" s="275"/>
      <c r="EE498" s="275"/>
      <c r="EF498" s="275"/>
      <c r="EG498" s="275"/>
      <c r="EH498" s="275"/>
      <c r="EI498" s="275"/>
      <c r="EJ498" s="275"/>
      <c r="EK498" s="275"/>
      <c r="EL498" s="275"/>
      <c r="EM498" s="275"/>
      <c r="EN498" s="275"/>
      <c r="EO498" s="275"/>
      <c r="EP498" s="275"/>
      <c r="EQ498" s="275"/>
      <c r="ER498" s="275"/>
      <c r="ES498" s="275"/>
      <c r="ET498" s="275"/>
      <c r="EU498"/>
      <c r="EV498"/>
      <c r="EW498" s="275"/>
      <c r="EX498" s="275"/>
      <c r="EY498" s="275"/>
      <c r="EZ498" s="275"/>
      <c r="FA498" s="275"/>
      <c r="FB498" s="275"/>
      <c r="FC498" s="275"/>
      <c r="FD498" s="275"/>
      <c r="FE498" s="275"/>
      <c r="FF498" s="275"/>
      <c r="FG498" s="275"/>
      <c r="FH498" s="275"/>
      <c r="FI498" s="275"/>
      <c r="FJ498" s="275"/>
      <c r="FK498" s="275"/>
      <c r="FL498" s="275"/>
      <c r="FM498" s="275"/>
      <c r="FN498" s="275"/>
      <c r="FO498" s="275"/>
      <c r="FP498" s="275"/>
      <c r="FQ498" s="275"/>
      <c r="FR498" s="275"/>
      <c r="FS498" s="275"/>
      <c r="FT498" s="275"/>
      <c r="FU498" s="275"/>
      <c r="FV498" s="275"/>
      <c r="FW498" s="275"/>
      <c r="FX498" s="275"/>
      <c r="FY498" s="275"/>
      <c r="FZ498" s="275"/>
      <c r="GA498" s="275"/>
      <c r="GB498" s="275"/>
      <c r="GC498" s="275"/>
      <c r="GD498" s="275"/>
      <c r="GE498" s="275"/>
      <c r="GF498" s="275"/>
      <c r="GG498" s="275"/>
      <c r="GH498" s="275"/>
      <c r="GI498" s="275"/>
      <c r="GJ498" s="275"/>
      <c r="GK498" s="275"/>
      <c r="GL498" s="275"/>
      <c r="GM498" s="275"/>
      <c r="GN498" s="275"/>
      <c r="GO498" s="275"/>
      <c r="GP498" s="275"/>
      <c r="GQ498" s="275"/>
      <c r="GR498" s="275"/>
      <c r="GS498" s="275"/>
      <c r="GT498" s="275"/>
      <c r="GU498" s="275"/>
      <c r="GV498" s="275"/>
      <c r="GW498" s="275"/>
      <c r="GX498" s="275"/>
      <c r="GY498" s="275"/>
      <c r="GZ498" s="275"/>
      <c r="HA498" s="275"/>
      <c r="HB498" s="275"/>
      <c r="HC498" s="275"/>
      <c r="HD498" s="275"/>
      <c r="HE498" s="275"/>
      <c r="HF498" s="275"/>
      <c r="HG498" s="275"/>
      <c r="HH498" s="275"/>
      <c r="HI498" s="275"/>
      <c r="HJ498" s="275"/>
      <c r="HK498" s="275"/>
      <c r="HL498" s="275"/>
      <c r="HM498" s="275"/>
      <c r="HN498" s="275"/>
      <c r="HO498" s="275"/>
      <c r="HP498" s="275"/>
      <c r="HQ498" s="275"/>
      <c r="HR498" s="275"/>
    </row>
    <row r="499" spans="1:226" s="297" customFormat="1">
      <c r="A499" s="275"/>
      <c r="B499" s="21"/>
      <c r="C499" s="21"/>
      <c r="D499" s="21"/>
      <c r="E499" s="21"/>
      <c r="F499" s="275"/>
      <c r="G499" s="275"/>
      <c r="H499" s="275"/>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J499" s="275"/>
      <c r="AK499" s="275"/>
      <c r="AL499" s="275"/>
      <c r="AM499" s="275"/>
      <c r="AN499" s="275"/>
      <c r="AO499" s="275"/>
      <c r="AQ499" s="275"/>
      <c r="AR499" s="275"/>
      <c r="AS499" s="275"/>
      <c r="AT499" s="275"/>
      <c r="AU499" s="275"/>
      <c r="AV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D499" s="275"/>
      <c r="EE499" s="275"/>
      <c r="EF499" s="275"/>
      <c r="EG499" s="275"/>
      <c r="EH499" s="275"/>
      <c r="EI499" s="275"/>
      <c r="EJ499" s="275"/>
      <c r="EK499" s="275"/>
      <c r="EL499" s="275"/>
      <c r="EM499" s="275"/>
      <c r="EN499" s="275"/>
      <c r="EO499" s="275"/>
      <c r="EP499" s="275"/>
      <c r="EQ499" s="275"/>
      <c r="ER499" s="275"/>
      <c r="ES499" s="275"/>
      <c r="ET499" s="275"/>
      <c r="EU499"/>
      <c r="EV499"/>
      <c r="EW499" s="275"/>
      <c r="EX499" s="275"/>
      <c r="EY499" s="275"/>
      <c r="EZ499" s="275"/>
      <c r="FA499" s="275"/>
      <c r="FB499" s="275"/>
      <c r="FC499" s="275"/>
      <c r="FD499" s="275"/>
      <c r="FE499" s="275"/>
      <c r="FF499" s="275"/>
      <c r="FG499" s="275"/>
      <c r="FH499" s="275"/>
      <c r="FI499" s="275"/>
      <c r="FJ499" s="275"/>
      <c r="FK499" s="275"/>
      <c r="FL499" s="275"/>
      <c r="FM499" s="275"/>
      <c r="FN499" s="275"/>
      <c r="FO499" s="275"/>
      <c r="FP499" s="275"/>
      <c r="FQ499" s="275"/>
      <c r="FR499" s="275"/>
      <c r="FS499" s="275"/>
      <c r="FT499" s="275"/>
      <c r="FU499" s="275"/>
      <c r="FV499" s="275"/>
      <c r="FW499" s="275"/>
      <c r="FX499" s="275"/>
      <c r="FY499" s="275"/>
      <c r="FZ499" s="275"/>
      <c r="GA499" s="275"/>
      <c r="GB499" s="275"/>
      <c r="GC499" s="275"/>
      <c r="GD499" s="275"/>
      <c r="GE499" s="275"/>
      <c r="GF499" s="275"/>
      <c r="GG499" s="275"/>
      <c r="GH499" s="275"/>
      <c r="GI499" s="275"/>
      <c r="GJ499" s="275"/>
      <c r="GK499" s="275"/>
      <c r="GL499" s="275"/>
      <c r="GM499" s="275"/>
      <c r="GN499" s="275"/>
      <c r="GO499" s="275"/>
      <c r="GP499" s="275"/>
      <c r="GQ499" s="275"/>
      <c r="GR499" s="275"/>
      <c r="GS499" s="275"/>
      <c r="GT499" s="275"/>
      <c r="GU499" s="275"/>
      <c r="GV499" s="275"/>
      <c r="GW499" s="275"/>
      <c r="GX499" s="275"/>
      <c r="GY499" s="275"/>
      <c r="GZ499" s="275"/>
      <c r="HA499" s="275"/>
      <c r="HB499" s="275"/>
      <c r="HC499" s="275"/>
      <c r="HD499" s="275"/>
      <c r="HE499" s="275"/>
      <c r="HF499" s="275"/>
      <c r="HG499" s="275"/>
      <c r="HH499" s="275"/>
      <c r="HI499" s="275"/>
      <c r="HJ499" s="275"/>
      <c r="HK499" s="275"/>
      <c r="HL499" s="275"/>
      <c r="HM499" s="275"/>
      <c r="HN499" s="275"/>
      <c r="HO499" s="275"/>
      <c r="HP499" s="275"/>
      <c r="HQ499" s="275"/>
      <c r="HR499" s="275"/>
    </row>
    <row r="500" spans="1:226" s="297" customFormat="1">
      <c r="A500" s="275"/>
      <c r="B500" s="21"/>
      <c r="C500" s="21"/>
      <c r="D500" s="21"/>
      <c r="E500" s="21"/>
      <c r="F500" s="275"/>
      <c r="G500" s="275"/>
      <c r="H500" s="275"/>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J500" s="275"/>
      <c r="AK500" s="275"/>
      <c r="AL500" s="275"/>
      <c r="AM500" s="275"/>
      <c r="AN500" s="275"/>
      <c r="AO500" s="275"/>
      <c r="AQ500" s="275"/>
      <c r="AR500" s="275"/>
      <c r="AS500" s="275"/>
      <c r="AT500" s="275"/>
      <c r="AU500" s="275"/>
      <c r="AV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D500" s="275"/>
      <c r="EE500" s="275"/>
      <c r="EF500" s="275"/>
      <c r="EG500" s="275"/>
      <c r="EH500" s="275"/>
      <c r="EI500" s="275"/>
      <c r="EJ500" s="275"/>
      <c r="EK500" s="275"/>
      <c r="EL500" s="275"/>
      <c r="EM500" s="275"/>
      <c r="EN500" s="275"/>
      <c r="EO500" s="275"/>
      <c r="EP500" s="275"/>
      <c r="EQ500" s="275"/>
      <c r="ER500" s="275"/>
      <c r="ES500" s="275"/>
      <c r="ET500" s="275"/>
      <c r="EU500"/>
      <c r="EV500"/>
      <c r="EW500" s="275"/>
      <c r="EX500" s="275"/>
      <c r="EY500" s="275"/>
      <c r="EZ500" s="275"/>
      <c r="FA500" s="275"/>
      <c r="FB500" s="275"/>
      <c r="FC500" s="275"/>
      <c r="FD500" s="275"/>
      <c r="FE500" s="275"/>
      <c r="FF500" s="275"/>
      <c r="FG500" s="275"/>
      <c r="FH500" s="275"/>
      <c r="FI500" s="275"/>
      <c r="FJ500" s="275"/>
      <c r="FK500" s="275"/>
      <c r="FL500" s="275"/>
      <c r="FM500" s="275"/>
      <c r="FN500" s="275"/>
      <c r="FO500" s="275"/>
      <c r="FP500" s="275"/>
      <c r="FQ500" s="275"/>
      <c r="FR500" s="275"/>
      <c r="FS500" s="275"/>
      <c r="FT500" s="275"/>
      <c r="FU500" s="275"/>
      <c r="FV500" s="275"/>
      <c r="FW500" s="275"/>
      <c r="FX500" s="275"/>
      <c r="FY500" s="275"/>
      <c r="FZ500" s="275"/>
      <c r="GA500" s="275"/>
      <c r="GB500" s="275"/>
      <c r="GC500" s="275"/>
      <c r="GD500" s="275"/>
      <c r="GE500" s="275"/>
      <c r="GF500" s="275"/>
      <c r="GG500" s="275"/>
      <c r="GH500" s="275"/>
      <c r="GI500" s="275"/>
      <c r="GJ500" s="275"/>
      <c r="GK500" s="275"/>
      <c r="GL500" s="275"/>
      <c r="GM500" s="275"/>
      <c r="GN500" s="275"/>
      <c r="GO500" s="275"/>
      <c r="GP500" s="275"/>
      <c r="GQ500" s="275"/>
      <c r="GR500" s="275"/>
      <c r="GS500" s="275"/>
      <c r="GT500" s="275"/>
      <c r="GU500" s="275"/>
      <c r="GV500" s="275"/>
      <c r="GW500" s="275"/>
      <c r="GX500" s="275"/>
      <c r="GY500" s="275"/>
      <c r="GZ500" s="275"/>
      <c r="HA500" s="275"/>
      <c r="HB500" s="275"/>
      <c r="HC500" s="275"/>
      <c r="HD500" s="275"/>
      <c r="HE500" s="275"/>
      <c r="HF500" s="275"/>
      <c r="HG500" s="275"/>
      <c r="HH500" s="275"/>
      <c r="HI500" s="275"/>
      <c r="HJ500" s="275"/>
      <c r="HK500" s="275"/>
      <c r="HL500" s="275"/>
      <c r="HM500" s="275"/>
      <c r="HN500" s="275"/>
      <c r="HO500" s="275"/>
      <c r="HP500" s="275"/>
      <c r="HQ500" s="275"/>
      <c r="HR500" s="275"/>
    </row>
    <row r="501" spans="1:226" s="297" customFormat="1">
      <c r="A501" s="275"/>
      <c r="B501" s="21"/>
      <c r="C501" s="21"/>
      <c r="D501" s="21"/>
      <c r="E501" s="21"/>
      <c r="F501" s="275"/>
      <c r="G501" s="275"/>
      <c r="H501" s="275"/>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J501" s="275"/>
      <c r="AK501" s="275"/>
      <c r="AL501" s="275"/>
      <c r="AM501" s="275"/>
      <c r="AN501" s="275"/>
      <c r="AO501" s="275"/>
      <c r="AQ501" s="275"/>
      <c r="AR501" s="275"/>
      <c r="AS501" s="275"/>
      <c r="AT501" s="275"/>
      <c r="AU501" s="275"/>
      <c r="AV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D501" s="275"/>
      <c r="EE501" s="275"/>
      <c r="EF501" s="275"/>
      <c r="EG501" s="275"/>
      <c r="EH501" s="275"/>
      <c r="EI501" s="275"/>
      <c r="EJ501" s="275"/>
      <c r="EK501" s="275"/>
      <c r="EL501" s="275"/>
      <c r="EM501" s="275"/>
      <c r="EN501" s="275"/>
      <c r="EO501" s="275"/>
      <c r="EP501" s="275"/>
      <c r="EQ501" s="275"/>
      <c r="ER501" s="275"/>
      <c r="ES501" s="275"/>
      <c r="ET501" s="275"/>
      <c r="EU501"/>
      <c r="EV501"/>
      <c r="EW501" s="275"/>
      <c r="EX501" s="275"/>
      <c r="EY501" s="275"/>
      <c r="EZ501" s="275"/>
      <c r="FA501" s="275"/>
      <c r="FB501" s="275"/>
      <c r="FC501" s="275"/>
      <c r="FD501" s="275"/>
      <c r="FE501" s="275"/>
      <c r="FF501" s="275"/>
      <c r="FG501" s="275"/>
      <c r="FH501" s="275"/>
      <c r="FI501" s="275"/>
      <c r="FJ501" s="275"/>
      <c r="FK501" s="275"/>
      <c r="FL501" s="275"/>
      <c r="FM501" s="275"/>
      <c r="FN501" s="275"/>
      <c r="FO501" s="275"/>
      <c r="FP501" s="275"/>
      <c r="FQ501" s="275"/>
      <c r="FR501" s="275"/>
      <c r="FS501" s="275"/>
      <c r="FT501" s="275"/>
      <c r="FU501" s="275"/>
      <c r="FV501" s="275"/>
      <c r="FW501" s="275"/>
      <c r="FX501" s="275"/>
      <c r="FY501" s="275"/>
      <c r="FZ501" s="275"/>
      <c r="GA501" s="275"/>
      <c r="GB501" s="275"/>
      <c r="GC501" s="275"/>
      <c r="GD501" s="275"/>
      <c r="GE501" s="275"/>
      <c r="GF501" s="275"/>
      <c r="GG501" s="275"/>
      <c r="GH501" s="275"/>
      <c r="GI501" s="275"/>
      <c r="GJ501" s="275"/>
      <c r="GK501" s="275"/>
      <c r="GL501" s="275"/>
      <c r="GM501" s="275"/>
      <c r="GN501" s="275"/>
      <c r="GO501" s="275"/>
      <c r="GP501" s="275"/>
      <c r="GQ501" s="275"/>
      <c r="GR501" s="275"/>
      <c r="GS501" s="275"/>
      <c r="GT501" s="275"/>
      <c r="GU501" s="275"/>
      <c r="GV501" s="275"/>
      <c r="GW501" s="275"/>
      <c r="GX501" s="275"/>
      <c r="GY501" s="275"/>
      <c r="GZ501" s="275"/>
      <c r="HA501" s="275"/>
      <c r="HB501" s="275"/>
      <c r="HC501" s="275"/>
      <c r="HD501" s="275"/>
      <c r="HE501" s="275"/>
      <c r="HF501" s="275"/>
      <c r="HG501" s="275"/>
      <c r="HH501" s="275"/>
      <c r="HI501" s="275"/>
      <c r="HJ501" s="275"/>
      <c r="HK501" s="275"/>
      <c r="HL501" s="275"/>
      <c r="HM501" s="275"/>
      <c r="HN501" s="275"/>
      <c r="HO501" s="275"/>
      <c r="HP501" s="275"/>
      <c r="HQ501" s="275"/>
      <c r="HR501" s="275"/>
    </row>
    <row r="502" spans="1:226" s="297" customFormat="1">
      <c r="A502" s="275"/>
      <c r="B502" s="21"/>
      <c r="C502" s="21"/>
      <c r="D502" s="21"/>
      <c r="E502" s="21"/>
      <c r="F502" s="275"/>
      <c r="G502" s="275"/>
      <c r="H502" s="275"/>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J502" s="275"/>
      <c r="AK502" s="275"/>
      <c r="AL502" s="275"/>
      <c r="AM502" s="275"/>
      <c r="AN502" s="275"/>
      <c r="AO502" s="275"/>
      <c r="AQ502" s="275"/>
      <c r="AR502" s="275"/>
      <c r="AS502" s="275"/>
      <c r="AT502" s="275"/>
      <c r="AU502" s="275"/>
      <c r="AV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D502" s="275"/>
      <c r="EE502" s="275"/>
      <c r="EF502" s="275"/>
      <c r="EG502" s="275"/>
      <c r="EH502" s="275"/>
      <c r="EI502" s="275"/>
      <c r="EJ502" s="275"/>
      <c r="EK502" s="275"/>
      <c r="EL502" s="275"/>
      <c r="EM502" s="275"/>
      <c r="EN502" s="275"/>
      <c r="EO502" s="275"/>
      <c r="EP502" s="275"/>
      <c r="EQ502" s="275"/>
      <c r="ER502" s="275"/>
      <c r="ES502" s="275"/>
      <c r="ET502" s="275"/>
      <c r="EU502"/>
      <c r="EV502"/>
      <c r="EW502" s="275"/>
      <c r="EX502" s="275"/>
      <c r="EY502" s="275"/>
      <c r="EZ502" s="275"/>
      <c r="FA502" s="275"/>
      <c r="FB502" s="275"/>
      <c r="FC502" s="275"/>
      <c r="FD502" s="275"/>
      <c r="FE502" s="275"/>
      <c r="FF502" s="275"/>
      <c r="FG502" s="275"/>
      <c r="FH502" s="275"/>
      <c r="FI502" s="275"/>
      <c r="FJ502" s="275"/>
      <c r="FK502" s="275"/>
      <c r="FL502" s="275"/>
      <c r="FM502" s="275"/>
      <c r="FN502" s="275"/>
      <c r="FO502" s="275"/>
      <c r="FP502" s="275"/>
      <c r="FQ502" s="275"/>
      <c r="FR502" s="275"/>
      <c r="FS502" s="275"/>
      <c r="FT502" s="275"/>
      <c r="FU502" s="275"/>
      <c r="FV502" s="275"/>
      <c r="FW502" s="275"/>
      <c r="FX502" s="275"/>
      <c r="FY502" s="275"/>
      <c r="FZ502" s="275"/>
      <c r="GA502" s="275"/>
      <c r="GB502" s="275"/>
      <c r="GC502" s="275"/>
      <c r="GD502" s="275"/>
      <c r="GE502" s="275"/>
      <c r="GF502" s="275"/>
      <c r="GG502" s="275"/>
      <c r="GH502" s="275"/>
      <c r="GI502" s="275"/>
      <c r="GJ502" s="275"/>
      <c r="GK502" s="275"/>
      <c r="GL502" s="275"/>
      <c r="GM502" s="275"/>
      <c r="GN502" s="275"/>
      <c r="GO502" s="275"/>
      <c r="GP502" s="275"/>
      <c r="GQ502" s="275"/>
      <c r="GR502" s="275"/>
      <c r="GS502" s="275"/>
      <c r="GT502" s="275"/>
      <c r="GU502" s="275"/>
      <c r="GV502" s="275"/>
      <c r="GW502" s="275"/>
      <c r="GX502" s="275"/>
      <c r="GY502" s="275"/>
      <c r="GZ502" s="275"/>
      <c r="HA502" s="275"/>
      <c r="HB502" s="275"/>
      <c r="HC502" s="275"/>
      <c r="HD502" s="275"/>
      <c r="HE502" s="275"/>
      <c r="HF502" s="275"/>
      <c r="HG502" s="275"/>
      <c r="HH502" s="275"/>
      <c r="HI502" s="275"/>
      <c r="HJ502" s="275"/>
      <c r="HK502" s="275"/>
      <c r="HL502" s="275"/>
      <c r="HM502" s="275"/>
      <c r="HN502" s="275"/>
      <c r="HO502" s="275"/>
      <c r="HP502" s="275"/>
      <c r="HQ502" s="275"/>
      <c r="HR502" s="275"/>
    </row>
    <row r="503" spans="1:226" s="297" customFormat="1">
      <c r="A503" s="275"/>
      <c r="B503" s="21"/>
      <c r="C503" s="21"/>
      <c r="D503" s="21"/>
      <c r="E503" s="21"/>
      <c r="F503" s="275"/>
      <c r="G503" s="275"/>
      <c r="H503" s="275"/>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J503" s="275"/>
      <c r="AK503" s="275"/>
      <c r="AL503" s="275"/>
      <c r="AM503" s="275"/>
      <c r="AN503" s="275"/>
      <c r="AO503" s="275"/>
      <c r="AQ503" s="275"/>
      <c r="AR503" s="275"/>
      <c r="AS503" s="275"/>
      <c r="AT503" s="275"/>
      <c r="AU503" s="275"/>
      <c r="AV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D503" s="275"/>
      <c r="EE503" s="275"/>
      <c r="EF503" s="275"/>
      <c r="EG503" s="275"/>
      <c r="EH503" s="275"/>
      <c r="EI503" s="275"/>
      <c r="EJ503" s="275"/>
      <c r="EK503" s="275"/>
      <c r="EL503" s="275"/>
      <c r="EM503" s="275"/>
      <c r="EN503" s="275"/>
      <c r="EO503" s="275"/>
      <c r="EP503" s="275"/>
      <c r="EQ503" s="275"/>
      <c r="ER503" s="275"/>
      <c r="ES503" s="275"/>
      <c r="ET503" s="275"/>
      <c r="EU503"/>
      <c r="EV503"/>
      <c r="EW503" s="275"/>
      <c r="EX503" s="275"/>
      <c r="EY503" s="275"/>
      <c r="EZ503" s="275"/>
      <c r="FA503" s="275"/>
      <c r="FB503" s="275"/>
      <c r="FC503" s="275"/>
      <c r="FD503" s="275"/>
      <c r="FE503" s="275"/>
      <c r="FF503" s="275"/>
      <c r="FG503" s="275"/>
      <c r="FH503" s="275"/>
      <c r="FI503" s="275"/>
      <c r="FJ503" s="275"/>
      <c r="FK503" s="275"/>
      <c r="FL503" s="275"/>
      <c r="FM503" s="275"/>
      <c r="FN503" s="275"/>
      <c r="FO503" s="275"/>
      <c r="FP503" s="275"/>
      <c r="FQ503" s="275"/>
      <c r="FR503" s="275"/>
      <c r="FS503" s="275"/>
      <c r="FT503" s="275"/>
      <c r="FU503" s="275"/>
      <c r="FV503" s="275"/>
      <c r="FW503" s="275"/>
      <c r="FX503" s="275"/>
      <c r="FY503" s="275"/>
      <c r="FZ503" s="275"/>
      <c r="GA503" s="275"/>
      <c r="GB503" s="275"/>
      <c r="GC503" s="275"/>
      <c r="GD503" s="275"/>
      <c r="GE503" s="275"/>
      <c r="GF503" s="275"/>
      <c r="GG503" s="275"/>
      <c r="GH503" s="275"/>
      <c r="GI503" s="275"/>
      <c r="GJ503" s="275"/>
      <c r="GK503" s="275"/>
      <c r="GL503" s="275"/>
      <c r="GM503" s="275"/>
      <c r="GN503" s="275"/>
      <c r="GO503" s="275"/>
      <c r="GP503" s="275"/>
      <c r="GQ503" s="275"/>
      <c r="GR503" s="275"/>
      <c r="GS503" s="275"/>
      <c r="GT503" s="275"/>
      <c r="GU503" s="275"/>
      <c r="GV503" s="275"/>
      <c r="GW503" s="275"/>
      <c r="GX503" s="275"/>
      <c r="GY503" s="275"/>
      <c r="GZ503" s="275"/>
      <c r="HA503" s="275"/>
      <c r="HB503" s="275"/>
      <c r="HC503" s="275"/>
      <c r="HD503" s="275"/>
      <c r="HE503" s="275"/>
      <c r="HF503" s="275"/>
      <c r="HG503" s="275"/>
      <c r="HH503" s="275"/>
      <c r="HI503" s="275"/>
      <c r="HJ503" s="275"/>
      <c r="HK503" s="275"/>
      <c r="HL503" s="275"/>
      <c r="HM503" s="275"/>
      <c r="HN503" s="275"/>
      <c r="HO503" s="275"/>
      <c r="HP503" s="275"/>
      <c r="HQ503" s="275"/>
      <c r="HR503" s="275"/>
    </row>
    <row r="504" spans="1:226" s="297" customFormat="1">
      <c r="A504" s="275"/>
      <c r="B504" s="21"/>
      <c r="C504" s="21"/>
      <c r="D504" s="21"/>
      <c r="E504" s="21"/>
      <c r="F504" s="275"/>
      <c r="G504" s="275"/>
      <c r="H504" s="275"/>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J504" s="275"/>
      <c r="AK504" s="275"/>
      <c r="AL504" s="275"/>
      <c r="AM504" s="275"/>
      <c r="AN504" s="275"/>
      <c r="AO504" s="275"/>
      <c r="AQ504" s="275"/>
      <c r="AR504" s="275"/>
      <c r="AS504" s="275"/>
      <c r="AT504" s="275"/>
      <c r="AU504" s="275"/>
      <c r="AV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D504" s="275"/>
      <c r="EE504" s="275"/>
      <c r="EF504" s="275"/>
      <c r="EG504" s="275"/>
      <c r="EH504" s="275"/>
      <c r="EI504" s="275"/>
      <c r="EJ504" s="275"/>
      <c r="EK504" s="275"/>
      <c r="EL504" s="275"/>
      <c r="EM504" s="275"/>
      <c r="EN504" s="275"/>
      <c r="EO504" s="275"/>
      <c r="EP504" s="275"/>
      <c r="EQ504" s="275"/>
      <c r="ER504" s="275"/>
      <c r="ES504" s="275"/>
      <c r="ET504" s="275"/>
      <c r="EU504"/>
      <c r="EV504"/>
      <c r="EW504" s="275"/>
      <c r="EX504" s="275"/>
      <c r="EY504" s="275"/>
      <c r="EZ504" s="275"/>
      <c r="FA504" s="275"/>
      <c r="FB504" s="275"/>
      <c r="FC504" s="275"/>
      <c r="FD504" s="275"/>
      <c r="FE504" s="275"/>
      <c r="FF504" s="275"/>
      <c r="FG504" s="275"/>
      <c r="FH504" s="275"/>
      <c r="FI504" s="275"/>
      <c r="FJ504" s="275"/>
      <c r="FK504" s="275"/>
      <c r="FL504" s="275"/>
      <c r="FM504" s="275"/>
      <c r="FN504" s="275"/>
      <c r="FO504" s="275"/>
      <c r="FP504" s="275"/>
      <c r="FQ504" s="275"/>
      <c r="FR504" s="275"/>
      <c r="FS504" s="275"/>
      <c r="FT504" s="275"/>
      <c r="FU504" s="275"/>
      <c r="FV504" s="275"/>
      <c r="FW504" s="275"/>
      <c r="FX504" s="275"/>
      <c r="FY504" s="275"/>
      <c r="FZ504" s="275"/>
      <c r="GA504" s="275"/>
      <c r="GB504" s="275"/>
      <c r="GC504" s="275"/>
      <c r="GD504" s="275"/>
      <c r="GE504" s="275"/>
      <c r="GF504" s="275"/>
      <c r="GG504" s="275"/>
      <c r="GH504" s="275"/>
      <c r="GI504" s="275"/>
      <c r="GJ504" s="275"/>
      <c r="GK504" s="275"/>
      <c r="GL504" s="275"/>
      <c r="GM504" s="275"/>
      <c r="GN504" s="275"/>
      <c r="GO504" s="275"/>
      <c r="GP504" s="275"/>
      <c r="GQ504" s="275"/>
      <c r="GR504" s="275"/>
      <c r="GS504" s="275"/>
      <c r="GT504" s="275"/>
      <c r="GU504" s="275"/>
      <c r="GV504" s="275"/>
      <c r="GW504" s="275"/>
      <c r="GX504" s="275"/>
      <c r="GY504" s="275"/>
      <c r="GZ504" s="275"/>
      <c r="HA504" s="275"/>
      <c r="HB504" s="275"/>
      <c r="HC504" s="275"/>
      <c r="HD504" s="275"/>
      <c r="HE504" s="275"/>
      <c r="HF504" s="275"/>
      <c r="HG504" s="275"/>
      <c r="HH504" s="275"/>
      <c r="HI504" s="275"/>
      <c r="HJ504" s="275"/>
      <c r="HK504" s="275"/>
      <c r="HL504" s="275"/>
      <c r="HM504" s="275"/>
      <c r="HN504" s="275"/>
      <c r="HO504" s="275"/>
      <c r="HP504" s="275"/>
      <c r="HQ504" s="275"/>
      <c r="HR504" s="275"/>
    </row>
    <row r="505" spans="1:226" s="297" customFormat="1">
      <c r="A505" s="275"/>
      <c r="B505" s="21"/>
      <c r="C505" s="21"/>
      <c r="D505" s="21"/>
      <c r="E505" s="21"/>
      <c r="F505" s="275"/>
      <c r="G505" s="275"/>
      <c r="H505" s="275"/>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J505" s="275"/>
      <c r="AK505" s="275"/>
      <c r="AL505" s="275"/>
      <c r="AM505" s="275"/>
      <c r="AN505" s="275"/>
      <c r="AO505" s="275"/>
      <c r="AQ505" s="275"/>
      <c r="AR505" s="275"/>
      <c r="AS505" s="275"/>
      <c r="AT505" s="275"/>
      <c r="AU505" s="275"/>
      <c r="AV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D505" s="275"/>
      <c r="EE505" s="275"/>
      <c r="EF505" s="275"/>
      <c r="EG505" s="275"/>
      <c r="EH505" s="275"/>
      <c r="EI505" s="275"/>
      <c r="EJ505" s="275"/>
      <c r="EK505" s="275"/>
      <c r="EL505" s="275"/>
      <c r="EM505" s="275"/>
      <c r="EN505" s="275"/>
      <c r="EO505" s="275"/>
      <c r="EP505" s="275"/>
      <c r="EQ505" s="275"/>
      <c r="ER505" s="275"/>
      <c r="ES505" s="275"/>
      <c r="ET505" s="275"/>
      <c r="EU505"/>
      <c r="EV505"/>
      <c r="EW505" s="275"/>
      <c r="EX505" s="275"/>
      <c r="EY505" s="275"/>
      <c r="EZ505" s="275"/>
      <c r="FA505" s="275"/>
      <c r="FB505" s="275"/>
      <c r="FC505" s="275"/>
      <c r="FD505" s="275"/>
      <c r="FE505" s="275"/>
      <c r="FF505" s="275"/>
      <c r="FG505" s="275"/>
      <c r="FH505" s="275"/>
      <c r="FI505" s="275"/>
      <c r="FJ505" s="275"/>
      <c r="FK505" s="275"/>
      <c r="FL505" s="275"/>
      <c r="FM505" s="275"/>
      <c r="FN505" s="275"/>
      <c r="FO505" s="275"/>
      <c r="FP505" s="275"/>
      <c r="FQ505" s="275"/>
      <c r="FR505" s="275"/>
      <c r="FS505" s="275"/>
      <c r="FT505" s="275"/>
      <c r="FU505" s="275"/>
      <c r="FV505" s="275"/>
      <c r="FW505" s="275"/>
      <c r="FX505" s="275"/>
      <c r="FY505" s="275"/>
      <c r="FZ505" s="275"/>
      <c r="GA505" s="275"/>
      <c r="GB505" s="275"/>
      <c r="GC505" s="275"/>
      <c r="GD505" s="275"/>
      <c r="GE505" s="275"/>
      <c r="GF505" s="275"/>
      <c r="GG505" s="275"/>
      <c r="GH505" s="275"/>
      <c r="GI505" s="275"/>
      <c r="GJ505" s="275"/>
      <c r="GK505" s="275"/>
      <c r="GL505" s="275"/>
      <c r="GM505" s="275"/>
      <c r="GN505" s="275"/>
      <c r="GO505" s="275"/>
      <c r="GP505" s="275"/>
      <c r="GQ505" s="275"/>
      <c r="GR505" s="275"/>
      <c r="GS505" s="275"/>
      <c r="GT505" s="275"/>
      <c r="GU505" s="275"/>
      <c r="GV505" s="275"/>
      <c r="GW505" s="275"/>
      <c r="GX505" s="275"/>
      <c r="GY505" s="275"/>
      <c r="GZ505" s="275"/>
      <c r="HA505" s="275"/>
      <c r="HB505" s="275"/>
      <c r="HC505" s="275"/>
      <c r="HD505" s="275"/>
      <c r="HE505" s="275"/>
      <c r="HF505" s="275"/>
      <c r="HG505" s="275"/>
      <c r="HH505" s="275"/>
      <c r="HI505" s="275"/>
      <c r="HJ505" s="275"/>
      <c r="HK505" s="275"/>
      <c r="HL505" s="275"/>
      <c r="HM505" s="275"/>
      <c r="HN505" s="275"/>
      <c r="HO505" s="275"/>
      <c r="HP505" s="275"/>
      <c r="HQ505" s="275"/>
      <c r="HR505" s="275"/>
    </row>
    <row r="506" spans="1:226" s="297" customFormat="1">
      <c r="A506" s="275"/>
      <c r="B506" s="21"/>
      <c r="C506" s="21"/>
      <c r="D506" s="21"/>
      <c r="E506" s="21"/>
      <c r="F506" s="275"/>
      <c r="G506" s="275"/>
      <c r="H506" s="275"/>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J506" s="275"/>
      <c r="AK506" s="275"/>
      <c r="AL506" s="275"/>
      <c r="AM506" s="275"/>
      <c r="AN506" s="275"/>
      <c r="AO506" s="275"/>
      <c r="AQ506" s="275"/>
      <c r="AR506" s="275"/>
      <c r="AS506" s="275"/>
      <c r="AT506" s="275"/>
      <c r="AU506" s="275"/>
      <c r="AV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D506" s="275"/>
      <c r="EE506" s="275"/>
      <c r="EF506" s="275"/>
      <c r="EG506" s="275"/>
      <c r="EH506" s="275"/>
      <c r="EI506" s="275"/>
      <c r="EJ506" s="275"/>
      <c r="EK506" s="275"/>
      <c r="EL506" s="275"/>
      <c r="EM506" s="275"/>
      <c r="EN506" s="275"/>
      <c r="EO506" s="275"/>
      <c r="EP506" s="275"/>
      <c r="EQ506" s="275"/>
      <c r="ER506" s="275"/>
      <c r="ES506" s="275"/>
      <c r="ET506" s="275"/>
      <c r="EU506"/>
      <c r="EV506"/>
      <c r="EW506" s="275"/>
      <c r="EX506" s="275"/>
      <c r="EY506" s="275"/>
      <c r="EZ506" s="275"/>
      <c r="FA506" s="275"/>
      <c r="FB506" s="275"/>
      <c r="FC506" s="275"/>
      <c r="FD506" s="275"/>
      <c r="FE506" s="275"/>
      <c r="FF506" s="275"/>
      <c r="FG506" s="275"/>
      <c r="FH506" s="275"/>
      <c r="FI506" s="275"/>
      <c r="FJ506" s="275"/>
      <c r="FK506" s="275"/>
      <c r="FL506" s="275"/>
      <c r="FM506" s="275"/>
      <c r="FN506" s="275"/>
      <c r="FO506" s="275"/>
      <c r="FP506" s="275"/>
      <c r="FQ506" s="275"/>
      <c r="FR506" s="275"/>
      <c r="FS506" s="275"/>
      <c r="FT506" s="275"/>
      <c r="FU506" s="275"/>
      <c r="FV506" s="275"/>
      <c r="FW506" s="275"/>
      <c r="FX506" s="275"/>
      <c r="FY506" s="275"/>
      <c r="FZ506" s="275"/>
      <c r="GA506" s="275"/>
      <c r="GB506" s="275"/>
      <c r="GC506" s="275"/>
      <c r="GD506" s="275"/>
      <c r="GE506" s="275"/>
      <c r="GF506" s="275"/>
      <c r="GG506" s="275"/>
      <c r="GH506" s="275"/>
      <c r="GI506" s="275"/>
      <c r="GJ506" s="275"/>
      <c r="GK506" s="275"/>
      <c r="GL506" s="275"/>
      <c r="GM506" s="275"/>
      <c r="GN506" s="275"/>
      <c r="GO506" s="275"/>
      <c r="GP506" s="275"/>
      <c r="GQ506" s="275"/>
      <c r="GR506" s="275"/>
      <c r="GS506" s="275"/>
      <c r="GT506" s="275"/>
      <c r="GU506" s="275"/>
      <c r="GV506" s="275"/>
      <c r="GW506" s="275"/>
      <c r="GX506" s="275"/>
      <c r="GY506" s="275"/>
      <c r="GZ506" s="275"/>
      <c r="HA506" s="275"/>
      <c r="HB506" s="275"/>
      <c r="HC506" s="275"/>
      <c r="HD506" s="275"/>
      <c r="HE506" s="275"/>
      <c r="HF506" s="275"/>
      <c r="HG506" s="275"/>
      <c r="HH506" s="275"/>
      <c r="HI506" s="275"/>
      <c r="HJ506" s="275"/>
      <c r="HK506" s="275"/>
      <c r="HL506" s="275"/>
      <c r="HM506" s="275"/>
      <c r="HN506" s="275"/>
      <c r="HO506" s="275"/>
      <c r="HP506" s="275"/>
      <c r="HQ506" s="275"/>
      <c r="HR506" s="275"/>
    </row>
    <row r="507" spans="1:226" s="297" customFormat="1">
      <c r="A507" s="275"/>
      <c r="B507" s="21"/>
      <c r="C507" s="21"/>
      <c r="D507" s="21"/>
      <c r="E507" s="21"/>
      <c r="F507" s="275"/>
      <c r="G507" s="275"/>
      <c r="H507" s="275"/>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J507" s="275"/>
      <c r="AK507" s="275"/>
      <c r="AL507" s="275"/>
      <c r="AM507" s="275"/>
      <c r="AN507" s="275"/>
      <c r="AO507" s="275"/>
      <c r="AQ507" s="275"/>
      <c r="AR507" s="275"/>
      <c r="AS507" s="275"/>
      <c r="AT507" s="275"/>
      <c r="AU507" s="275"/>
      <c r="AV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D507" s="275"/>
      <c r="EE507" s="275"/>
      <c r="EF507" s="275"/>
      <c r="EG507" s="275"/>
      <c r="EH507" s="275"/>
      <c r="EI507" s="275"/>
      <c r="EJ507" s="275"/>
      <c r="EK507" s="275"/>
      <c r="EL507" s="275"/>
      <c r="EM507" s="275"/>
      <c r="EN507" s="275"/>
      <c r="EO507" s="275"/>
      <c r="EP507" s="275"/>
      <c r="EQ507" s="275"/>
      <c r="ER507" s="275"/>
      <c r="ES507" s="275"/>
      <c r="ET507" s="275"/>
      <c r="EU507"/>
      <c r="EV507"/>
      <c r="EW507" s="275"/>
      <c r="EX507" s="275"/>
      <c r="EY507" s="275"/>
      <c r="EZ507" s="275"/>
      <c r="FA507" s="275"/>
      <c r="FB507" s="275"/>
      <c r="FC507" s="275"/>
      <c r="FD507" s="275"/>
      <c r="FE507" s="275"/>
      <c r="FF507" s="275"/>
      <c r="FG507" s="275"/>
      <c r="FH507" s="275"/>
      <c r="FI507" s="275"/>
      <c r="FJ507" s="275"/>
      <c r="FK507" s="275"/>
      <c r="FL507" s="275"/>
      <c r="FM507" s="275"/>
      <c r="FN507" s="275"/>
      <c r="FO507" s="275"/>
      <c r="FP507" s="275"/>
      <c r="FQ507" s="275"/>
      <c r="FR507" s="275"/>
      <c r="FS507" s="275"/>
      <c r="FT507" s="275"/>
      <c r="FU507" s="275"/>
      <c r="FV507" s="275"/>
      <c r="FW507" s="275"/>
      <c r="FX507" s="275"/>
      <c r="FY507" s="275"/>
      <c r="FZ507" s="275"/>
      <c r="GA507" s="275"/>
      <c r="GB507" s="275"/>
      <c r="GC507" s="275"/>
      <c r="GD507" s="275"/>
      <c r="GE507" s="275"/>
      <c r="GF507" s="275"/>
      <c r="GG507" s="275"/>
      <c r="GH507" s="275"/>
      <c r="GI507" s="275"/>
      <c r="GJ507" s="275"/>
      <c r="GK507" s="275"/>
      <c r="GL507" s="275"/>
      <c r="GM507" s="275"/>
      <c r="GN507" s="275"/>
      <c r="GO507" s="275"/>
      <c r="GP507" s="275"/>
      <c r="GQ507" s="275"/>
      <c r="GR507" s="275"/>
      <c r="GS507" s="275"/>
      <c r="GT507" s="275"/>
      <c r="GU507" s="275"/>
      <c r="GV507" s="275"/>
      <c r="GW507" s="275"/>
      <c r="GX507" s="275"/>
      <c r="GY507" s="275"/>
      <c r="GZ507" s="275"/>
      <c r="HA507" s="275"/>
      <c r="HB507" s="275"/>
      <c r="HC507" s="275"/>
      <c r="HD507" s="275"/>
      <c r="HE507" s="275"/>
      <c r="HF507" s="275"/>
      <c r="HG507" s="275"/>
      <c r="HH507" s="275"/>
      <c r="HI507" s="275"/>
      <c r="HJ507" s="275"/>
      <c r="HK507" s="275"/>
      <c r="HL507" s="275"/>
      <c r="HM507" s="275"/>
      <c r="HN507" s="275"/>
      <c r="HO507" s="275"/>
      <c r="HP507" s="275"/>
      <c r="HQ507" s="275"/>
      <c r="HR507" s="275"/>
    </row>
    <row r="508" spans="1:226" s="297" customFormat="1">
      <c r="A508" s="275"/>
      <c r="B508" s="21"/>
      <c r="C508" s="21"/>
      <c r="D508" s="21"/>
      <c r="E508" s="21"/>
      <c r="F508" s="275"/>
      <c r="G508" s="275"/>
      <c r="H508" s="275"/>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J508" s="275"/>
      <c r="AK508" s="275"/>
      <c r="AL508" s="275"/>
      <c r="AM508" s="275"/>
      <c r="AN508" s="275"/>
      <c r="AO508" s="275"/>
      <c r="AQ508" s="275"/>
      <c r="AR508" s="275"/>
      <c r="AS508" s="275"/>
      <c r="AT508" s="275"/>
      <c r="AU508" s="275"/>
      <c r="AV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D508" s="275"/>
      <c r="EE508" s="275"/>
      <c r="EF508" s="275"/>
      <c r="EG508" s="275"/>
      <c r="EH508" s="275"/>
      <c r="EI508" s="275"/>
      <c r="EJ508" s="275"/>
      <c r="EK508" s="275"/>
      <c r="EL508" s="275"/>
      <c r="EM508" s="275"/>
      <c r="EN508" s="275"/>
      <c r="EO508" s="275"/>
      <c r="EP508" s="275"/>
      <c r="EQ508" s="275"/>
      <c r="ER508" s="275"/>
      <c r="ES508" s="275"/>
      <c r="ET508" s="275"/>
      <c r="EU508"/>
      <c r="EV508"/>
      <c r="EW508" s="275"/>
      <c r="EX508" s="275"/>
      <c r="EY508" s="275"/>
      <c r="EZ508" s="275"/>
      <c r="FA508" s="275"/>
      <c r="FB508" s="275"/>
      <c r="FC508" s="275"/>
      <c r="FD508" s="275"/>
      <c r="FE508" s="275"/>
      <c r="FF508" s="275"/>
      <c r="FG508" s="275"/>
      <c r="FH508" s="275"/>
      <c r="FI508" s="275"/>
      <c r="FJ508" s="275"/>
      <c r="FK508" s="275"/>
      <c r="FL508" s="275"/>
      <c r="FM508" s="275"/>
      <c r="FN508" s="275"/>
      <c r="FO508" s="275"/>
      <c r="FP508" s="275"/>
      <c r="FQ508" s="275"/>
      <c r="FR508" s="275"/>
      <c r="FS508" s="275"/>
      <c r="FT508" s="275"/>
      <c r="FU508" s="275"/>
      <c r="FV508" s="275"/>
      <c r="FW508" s="275"/>
      <c r="FX508" s="275"/>
      <c r="FY508" s="275"/>
      <c r="FZ508" s="275"/>
      <c r="GA508" s="275"/>
      <c r="GB508" s="275"/>
      <c r="GC508" s="275"/>
      <c r="GD508" s="275"/>
      <c r="GE508" s="275"/>
      <c r="GF508" s="275"/>
      <c r="GG508" s="275"/>
      <c r="GH508" s="275"/>
      <c r="GI508" s="275"/>
      <c r="GJ508" s="275"/>
      <c r="GK508" s="275"/>
      <c r="GL508" s="275"/>
      <c r="GM508" s="275"/>
      <c r="GN508" s="275"/>
      <c r="GO508" s="275"/>
      <c r="GP508" s="275"/>
      <c r="GQ508" s="275"/>
      <c r="GR508" s="275"/>
      <c r="GS508" s="275"/>
      <c r="GT508" s="275"/>
      <c r="GU508" s="275"/>
      <c r="GV508" s="275"/>
      <c r="GW508" s="275"/>
      <c r="GX508" s="275"/>
      <c r="GY508" s="275"/>
      <c r="GZ508" s="275"/>
      <c r="HA508" s="275"/>
      <c r="HB508" s="275"/>
      <c r="HC508" s="275"/>
      <c r="HD508" s="275"/>
      <c r="HE508" s="275"/>
      <c r="HF508" s="275"/>
      <c r="HG508" s="275"/>
      <c r="HH508" s="275"/>
      <c r="HI508" s="275"/>
      <c r="HJ508" s="275"/>
      <c r="HK508" s="275"/>
      <c r="HL508" s="275"/>
      <c r="HM508" s="275"/>
      <c r="HN508" s="275"/>
      <c r="HO508" s="275"/>
      <c r="HP508" s="275"/>
      <c r="HQ508" s="275"/>
      <c r="HR508" s="275"/>
    </row>
    <row r="509" spans="1:226" s="297" customFormat="1">
      <c r="A509" s="275"/>
      <c r="B509" s="21"/>
      <c r="C509" s="21"/>
      <c r="D509" s="21"/>
      <c r="E509" s="21"/>
      <c r="F509" s="275"/>
      <c r="G509" s="275"/>
      <c r="H509" s="275"/>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J509" s="275"/>
      <c r="AK509" s="275"/>
      <c r="AL509" s="275"/>
      <c r="AM509" s="275"/>
      <c r="AN509" s="275"/>
      <c r="AO509" s="275"/>
      <c r="AQ509" s="275"/>
      <c r="AR509" s="275"/>
      <c r="AS509" s="275"/>
      <c r="AT509" s="275"/>
      <c r="AU509" s="275"/>
      <c r="AV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D509" s="275"/>
      <c r="EE509" s="275"/>
      <c r="EF509" s="275"/>
      <c r="EG509" s="275"/>
      <c r="EH509" s="275"/>
      <c r="EI509" s="275"/>
      <c r="EJ509" s="275"/>
      <c r="EK509" s="275"/>
      <c r="EL509" s="275"/>
      <c r="EM509" s="275"/>
      <c r="EN509" s="275"/>
      <c r="EO509" s="275"/>
      <c r="EP509" s="275"/>
      <c r="EQ509" s="275"/>
      <c r="ER509" s="275"/>
      <c r="ES509" s="275"/>
      <c r="ET509" s="275"/>
      <c r="EU509"/>
      <c r="EV509"/>
      <c r="EW509" s="275"/>
      <c r="EX509" s="275"/>
      <c r="EY509" s="275"/>
      <c r="EZ509" s="275"/>
      <c r="FA509" s="275"/>
      <c r="FB509" s="275"/>
      <c r="FC509" s="275"/>
      <c r="FD509" s="275"/>
      <c r="FE509" s="275"/>
      <c r="FF509" s="275"/>
      <c r="FG509" s="275"/>
      <c r="FH509" s="275"/>
      <c r="FI509" s="275"/>
      <c r="FJ509" s="275"/>
      <c r="FK509" s="275"/>
      <c r="FL509" s="275"/>
      <c r="FM509" s="275"/>
      <c r="FN509" s="275"/>
      <c r="FO509" s="275"/>
      <c r="FP509" s="275"/>
      <c r="FQ509" s="275"/>
      <c r="FR509" s="275"/>
      <c r="FS509" s="275"/>
      <c r="FT509" s="275"/>
      <c r="FU509" s="275"/>
      <c r="FV509" s="275"/>
      <c r="FW509" s="275"/>
      <c r="FX509" s="275"/>
      <c r="FY509" s="275"/>
      <c r="FZ509" s="275"/>
      <c r="GA509" s="275"/>
      <c r="GB509" s="275"/>
      <c r="GC509" s="275"/>
      <c r="GD509" s="275"/>
      <c r="GE509" s="275"/>
      <c r="GF509" s="275"/>
      <c r="GG509" s="275"/>
      <c r="GH509" s="275"/>
      <c r="GI509" s="275"/>
      <c r="GJ509" s="275"/>
      <c r="GK509" s="275"/>
      <c r="GL509" s="275"/>
      <c r="GM509" s="275"/>
      <c r="GN509" s="275"/>
      <c r="GO509" s="275"/>
      <c r="GP509" s="275"/>
      <c r="GQ509" s="275"/>
      <c r="GR509" s="275"/>
      <c r="GS509" s="275"/>
      <c r="GT509" s="275"/>
      <c r="GU509" s="275"/>
      <c r="GV509" s="275"/>
      <c r="GW509" s="275"/>
      <c r="GX509" s="275"/>
      <c r="GY509" s="275"/>
      <c r="GZ509" s="275"/>
      <c r="HA509" s="275"/>
      <c r="HB509" s="275"/>
      <c r="HC509" s="275"/>
      <c r="HD509" s="275"/>
      <c r="HE509" s="275"/>
      <c r="HF509" s="275"/>
      <c r="HG509" s="275"/>
      <c r="HH509" s="275"/>
      <c r="HI509" s="275"/>
      <c r="HJ509" s="275"/>
      <c r="HK509" s="275"/>
      <c r="HL509" s="275"/>
      <c r="HM509" s="275"/>
      <c r="HN509" s="275"/>
      <c r="HO509" s="275"/>
      <c r="HP509" s="275"/>
      <c r="HQ509" s="275"/>
      <c r="HR509" s="275"/>
    </row>
    <row r="510" spans="1:226" s="297" customFormat="1">
      <c r="A510" s="275"/>
      <c r="B510" s="21"/>
      <c r="C510" s="21"/>
      <c r="D510" s="21"/>
      <c r="E510" s="21"/>
      <c r="F510" s="275"/>
      <c r="G510" s="275"/>
      <c r="H510" s="275"/>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J510" s="275"/>
      <c r="AK510" s="275"/>
      <c r="AL510" s="275"/>
      <c r="AM510" s="275"/>
      <c r="AN510" s="275"/>
      <c r="AO510" s="275"/>
      <c r="AQ510" s="275"/>
      <c r="AR510" s="275"/>
      <c r="AS510" s="275"/>
      <c r="AT510" s="275"/>
      <c r="AU510" s="275"/>
      <c r="AV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D510" s="275"/>
      <c r="EE510" s="275"/>
      <c r="EF510" s="275"/>
      <c r="EG510" s="275"/>
      <c r="EH510" s="275"/>
      <c r="EI510" s="275"/>
      <c r="EJ510" s="275"/>
      <c r="EK510" s="275"/>
      <c r="EL510" s="275"/>
      <c r="EM510" s="275"/>
      <c r="EN510" s="275"/>
      <c r="EO510" s="275"/>
      <c r="EP510" s="275"/>
      <c r="EQ510" s="275"/>
      <c r="ER510" s="275"/>
      <c r="ES510" s="275"/>
      <c r="ET510" s="275"/>
      <c r="EU510"/>
      <c r="EV510"/>
      <c r="EW510" s="275"/>
      <c r="EX510" s="275"/>
      <c r="EY510" s="275"/>
      <c r="EZ510" s="275"/>
      <c r="FA510" s="275"/>
      <c r="FB510" s="275"/>
      <c r="FC510" s="275"/>
      <c r="FD510" s="275"/>
      <c r="FE510" s="275"/>
      <c r="FF510" s="275"/>
      <c r="FG510" s="275"/>
      <c r="FH510" s="275"/>
      <c r="FI510" s="275"/>
      <c r="FJ510" s="275"/>
      <c r="FK510" s="275"/>
      <c r="FL510" s="275"/>
      <c r="FM510" s="275"/>
      <c r="FN510" s="275"/>
      <c r="FO510" s="275"/>
      <c r="FP510" s="275"/>
      <c r="FQ510" s="275"/>
      <c r="FR510" s="275"/>
      <c r="FS510" s="275"/>
      <c r="FT510" s="275"/>
      <c r="FU510" s="275"/>
      <c r="FV510" s="275"/>
      <c r="FW510" s="275"/>
      <c r="FX510" s="275"/>
      <c r="FY510" s="275"/>
      <c r="FZ510" s="275"/>
      <c r="GA510" s="275"/>
      <c r="GB510" s="275"/>
      <c r="GC510" s="275"/>
      <c r="GD510" s="275"/>
      <c r="GE510" s="275"/>
      <c r="GF510" s="275"/>
      <c r="GG510" s="275"/>
      <c r="GH510" s="275"/>
      <c r="GI510" s="275"/>
      <c r="GJ510" s="275"/>
      <c r="GK510" s="275"/>
      <c r="GL510" s="275"/>
      <c r="GM510" s="275"/>
      <c r="GN510" s="275"/>
      <c r="GO510" s="275"/>
      <c r="GP510" s="275"/>
      <c r="GQ510" s="275"/>
      <c r="GR510" s="275"/>
      <c r="GS510" s="275"/>
      <c r="GT510" s="275"/>
      <c r="GU510" s="275"/>
      <c r="GV510" s="275"/>
      <c r="GW510" s="275"/>
      <c r="GX510" s="275"/>
      <c r="GY510" s="275"/>
      <c r="GZ510" s="275"/>
      <c r="HA510" s="275"/>
      <c r="HB510" s="275"/>
      <c r="HC510" s="275"/>
      <c r="HD510" s="275"/>
      <c r="HE510" s="275"/>
      <c r="HF510" s="275"/>
      <c r="HG510" s="275"/>
      <c r="HH510" s="275"/>
      <c r="HI510" s="275"/>
      <c r="HJ510" s="275"/>
      <c r="HK510" s="275"/>
      <c r="HL510" s="275"/>
      <c r="HM510" s="275"/>
      <c r="HN510" s="275"/>
      <c r="HO510" s="275"/>
      <c r="HP510" s="275"/>
      <c r="HQ510" s="275"/>
      <c r="HR510" s="275"/>
    </row>
    <row r="511" spans="1:226" s="297" customFormat="1">
      <c r="A511" s="275"/>
      <c r="B511" s="21"/>
      <c r="C511" s="21"/>
      <c r="D511" s="21"/>
      <c r="E511" s="21"/>
      <c r="F511" s="275"/>
      <c r="G511" s="275"/>
      <c r="H511" s="275"/>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J511" s="275"/>
      <c r="AK511" s="275"/>
      <c r="AL511" s="275"/>
      <c r="AM511" s="275"/>
      <c r="AN511" s="275"/>
      <c r="AO511" s="275"/>
      <c r="AQ511" s="275"/>
      <c r="AR511" s="275"/>
      <c r="AS511" s="275"/>
      <c r="AT511" s="275"/>
      <c r="AU511" s="275"/>
      <c r="AV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D511" s="275"/>
      <c r="EE511" s="275"/>
      <c r="EF511" s="275"/>
      <c r="EG511" s="275"/>
      <c r="EH511" s="275"/>
      <c r="EI511" s="275"/>
      <c r="EJ511" s="275"/>
      <c r="EK511" s="275"/>
      <c r="EL511" s="275"/>
      <c r="EM511" s="275"/>
      <c r="EN511" s="275"/>
      <c r="EO511" s="275"/>
      <c r="EP511" s="275"/>
      <c r="EQ511" s="275"/>
      <c r="ER511" s="275"/>
      <c r="ES511" s="275"/>
      <c r="ET511" s="275"/>
      <c r="EU511"/>
      <c r="EV511"/>
      <c r="EW511" s="275"/>
      <c r="EX511" s="275"/>
      <c r="EY511" s="275"/>
      <c r="EZ511" s="275"/>
      <c r="FA511" s="275"/>
      <c r="FB511" s="275"/>
      <c r="FC511" s="275"/>
      <c r="FD511" s="275"/>
      <c r="FE511" s="275"/>
      <c r="FF511" s="275"/>
      <c r="FG511" s="275"/>
      <c r="FH511" s="275"/>
      <c r="FI511" s="275"/>
      <c r="FJ511" s="275"/>
      <c r="FK511" s="275"/>
      <c r="FL511" s="275"/>
      <c r="FM511" s="275"/>
      <c r="FN511" s="275"/>
      <c r="FO511" s="275"/>
      <c r="FP511" s="275"/>
      <c r="FQ511" s="275"/>
      <c r="FR511" s="275"/>
      <c r="FS511" s="275"/>
      <c r="FT511" s="275"/>
      <c r="FU511" s="275"/>
      <c r="FV511" s="275"/>
      <c r="FW511" s="275"/>
      <c r="FX511" s="275"/>
      <c r="FY511" s="275"/>
      <c r="FZ511" s="275"/>
      <c r="GA511" s="275"/>
      <c r="GB511" s="275"/>
      <c r="GC511" s="275"/>
      <c r="GD511" s="275"/>
      <c r="GE511" s="275"/>
      <c r="GF511" s="275"/>
      <c r="GG511" s="275"/>
      <c r="GH511" s="275"/>
      <c r="GI511" s="275"/>
      <c r="GJ511" s="275"/>
      <c r="GK511" s="275"/>
      <c r="GL511" s="275"/>
      <c r="GM511" s="275"/>
      <c r="GN511" s="275"/>
      <c r="GO511" s="275"/>
      <c r="GP511" s="275"/>
      <c r="GQ511" s="275"/>
      <c r="GR511" s="275"/>
      <c r="GS511" s="275"/>
      <c r="GT511" s="275"/>
      <c r="GU511" s="275"/>
      <c r="GV511" s="275"/>
      <c r="GW511" s="275"/>
      <c r="GX511" s="275"/>
      <c r="GY511" s="275"/>
      <c r="GZ511" s="275"/>
      <c r="HA511" s="275"/>
      <c r="HB511" s="275"/>
      <c r="HC511" s="275"/>
      <c r="HD511" s="275"/>
      <c r="HE511" s="275"/>
      <c r="HF511" s="275"/>
      <c r="HG511" s="275"/>
      <c r="HH511" s="275"/>
      <c r="HI511" s="275"/>
      <c r="HJ511" s="275"/>
      <c r="HK511" s="275"/>
      <c r="HL511" s="275"/>
      <c r="HM511" s="275"/>
      <c r="HN511" s="275"/>
      <c r="HO511" s="275"/>
      <c r="HP511" s="275"/>
      <c r="HQ511" s="275"/>
      <c r="HR511" s="275"/>
    </row>
    <row r="512" spans="1:226" s="297" customFormat="1">
      <c r="A512" s="275"/>
      <c r="B512" s="21"/>
      <c r="C512" s="21"/>
      <c r="D512" s="21"/>
      <c r="E512" s="21"/>
      <c r="F512" s="275"/>
      <c r="G512" s="275"/>
      <c r="H512" s="275"/>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J512" s="275"/>
      <c r="AK512" s="275"/>
      <c r="AL512" s="275"/>
      <c r="AM512" s="275"/>
      <c r="AN512" s="275"/>
      <c r="AO512" s="275"/>
      <c r="AQ512" s="275"/>
      <c r="AR512" s="275"/>
      <c r="AS512" s="275"/>
      <c r="AT512" s="275"/>
      <c r="AU512" s="275"/>
      <c r="AV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D512" s="275"/>
      <c r="EE512" s="275"/>
      <c r="EF512" s="275"/>
      <c r="EG512" s="275"/>
      <c r="EH512" s="275"/>
      <c r="EI512" s="275"/>
      <c r="EJ512" s="275"/>
      <c r="EK512" s="275"/>
      <c r="EL512" s="275"/>
      <c r="EM512" s="275"/>
      <c r="EN512" s="275"/>
      <c r="EO512" s="275"/>
      <c r="EP512" s="275"/>
      <c r="EQ512" s="275"/>
      <c r="ER512" s="275"/>
      <c r="ES512" s="275"/>
      <c r="ET512" s="275"/>
      <c r="EU512"/>
      <c r="EV512"/>
      <c r="EW512" s="275"/>
      <c r="EX512" s="275"/>
      <c r="EY512" s="275"/>
      <c r="EZ512" s="275"/>
      <c r="FA512" s="275"/>
      <c r="FB512" s="275"/>
      <c r="FC512" s="275"/>
      <c r="FD512" s="275"/>
      <c r="FE512" s="275"/>
      <c r="FF512" s="275"/>
      <c r="FG512" s="275"/>
      <c r="FH512" s="275"/>
      <c r="FI512" s="275"/>
      <c r="FJ512" s="275"/>
      <c r="FK512" s="275"/>
      <c r="FL512" s="275"/>
      <c r="FM512" s="275"/>
      <c r="FN512" s="275"/>
      <c r="FO512" s="275"/>
      <c r="FP512" s="275"/>
      <c r="FQ512" s="275"/>
      <c r="FR512" s="275"/>
      <c r="FS512" s="275"/>
      <c r="FT512" s="275"/>
      <c r="FU512" s="275"/>
      <c r="FV512" s="275"/>
      <c r="FW512" s="275"/>
      <c r="FX512" s="275"/>
      <c r="FY512" s="275"/>
      <c r="FZ512" s="275"/>
      <c r="GA512" s="275"/>
      <c r="GB512" s="275"/>
      <c r="GC512" s="275"/>
      <c r="GD512" s="275"/>
      <c r="GE512" s="275"/>
      <c r="GF512" s="275"/>
      <c r="GG512" s="275"/>
      <c r="GH512" s="275"/>
      <c r="GI512" s="275"/>
      <c r="GJ512" s="275"/>
      <c r="GK512" s="275"/>
      <c r="GL512" s="275"/>
      <c r="GM512" s="275"/>
      <c r="GN512" s="275"/>
      <c r="GO512" s="275"/>
      <c r="GP512" s="275"/>
      <c r="GQ512" s="275"/>
      <c r="GR512" s="275"/>
      <c r="GS512" s="275"/>
      <c r="GT512" s="275"/>
      <c r="GU512" s="275"/>
      <c r="GV512" s="275"/>
      <c r="GW512" s="275"/>
      <c r="GX512" s="275"/>
      <c r="GY512" s="275"/>
      <c r="GZ512" s="275"/>
      <c r="HA512" s="275"/>
      <c r="HB512" s="275"/>
      <c r="HC512" s="275"/>
      <c r="HD512" s="275"/>
      <c r="HE512" s="275"/>
      <c r="HF512" s="275"/>
      <c r="HG512" s="275"/>
      <c r="HH512" s="275"/>
      <c r="HI512" s="275"/>
      <c r="HJ512" s="275"/>
      <c r="HK512" s="275"/>
      <c r="HL512" s="275"/>
      <c r="HM512" s="275"/>
      <c r="HN512" s="275"/>
      <c r="HO512" s="275"/>
      <c r="HP512" s="275"/>
      <c r="HQ512" s="275"/>
      <c r="HR512" s="275"/>
    </row>
    <row r="513" spans="1:226" s="297" customFormat="1">
      <c r="A513" s="275"/>
      <c r="B513" s="21"/>
      <c r="C513" s="21"/>
      <c r="D513" s="21"/>
      <c r="E513" s="21"/>
      <c r="F513" s="275"/>
      <c r="G513" s="275"/>
      <c r="H513" s="275"/>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J513" s="275"/>
      <c r="AK513" s="275"/>
      <c r="AL513" s="275"/>
      <c r="AM513" s="275"/>
      <c r="AN513" s="275"/>
      <c r="AO513" s="275"/>
      <c r="AQ513" s="275"/>
      <c r="AR513" s="275"/>
      <c r="AS513" s="275"/>
      <c r="AT513" s="275"/>
      <c r="AU513" s="275"/>
      <c r="AV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D513" s="275"/>
      <c r="EE513" s="275"/>
      <c r="EF513" s="275"/>
      <c r="EG513" s="275"/>
      <c r="EH513" s="275"/>
      <c r="EI513" s="275"/>
      <c r="EJ513" s="275"/>
      <c r="EK513" s="275"/>
      <c r="EL513" s="275"/>
      <c r="EM513" s="275"/>
      <c r="EN513" s="275"/>
      <c r="EO513" s="275"/>
      <c r="EP513" s="275"/>
      <c r="EQ513" s="275"/>
      <c r="ER513" s="275"/>
      <c r="ES513" s="275"/>
      <c r="ET513" s="275"/>
      <c r="EU513"/>
      <c r="EV513"/>
      <c r="EW513" s="275"/>
      <c r="EX513" s="275"/>
      <c r="EY513" s="275"/>
      <c r="EZ513" s="275"/>
      <c r="FA513" s="275"/>
      <c r="FB513" s="275"/>
      <c r="FC513" s="275"/>
      <c r="FD513" s="275"/>
      <c r="FE513" s="275"/>
      <c r="FF513" s="275"/>
      <c r="FG513" s="275"/>
      <c r="FH513" s="275"/>
      <c r="FI513" s="275"/>
      <c r="FJ513" s="275"/>
      <c r="FK513" s="275"/>
      <c r="FL513" s="275"/>
      <c r="FM513" s="275"/>
      <c r="FN513" s="275"/>
      <c r="FO513" s="275"/>
      <c r="FP513" s="275"/>
      <c r="FQ513" s="275"/>
      <c r="FR513" s="275"/>
      <c r="FS513" s="275"/>
      <c r="FT513" s="275"/>
      <c r="FU513" s="275"/>
      <c r="FV513" s="275"/>
      <c r="FW513" s="275"/>
      <c r="FX513" s="275"/>
      <c r="FY513" s="275"/>
      <c r="FZ513" s="275"/>
      <c r="GA513" s="275"/>
      <c r="GB513" s="275"/>
      <c r="GC513" s="275"/>
      <c r="GD513" s="275"/>
      <c r="GE513" s="275"/>
      <c r="GF513" s="275"/>
      <c r="GG513" s="275"/>
      <c r="GH513" s="275"/>
      <c r="GI513" s="275"/>
      <c r="GJ513" s="275"/>
      <c r="GK513" s="275"/>
      <c r="GL513" s="275"/>
      <c r="GM513" s="275"/>
      <c r="GN513" s="275"/>
      <c r="GO513" s="275"/>
      <c r="GP513" s="275"/>
      <c r="GQ513" s="275"/>
      <c r="GR513" s="275"/>
      <c r="GS513" s="275"/>
      <c r="GT513" s="275"/>
      <c r="GU513" s="275"/>
      <c r="GV513" s="275"/>
      <c r="GW513" s="275"/>
      <c r="GX513" s="275"/>
      <c r="GY513" s="275"/>
      <c r="GZ513" s="275"/>
      <c r="HA513" s="275"/>
      <c r="HB513" s="275"/>
      <c r="HC513" s="275"/>
      <c r="HD513" s="275"/>
      <c r="HE513" s="275"/>
      <c r="HF513" s="275"/>
      <c r="HG513" s="275"/>
      <c r="HH513" s="275"/>
      <c r="HI513" s="275"/>
      <c r="HJ513" s="275"/>
      <c r="HK513" s="275"/>
      <c r="HL513" s="275"/>
      <c r="HM513" s="275"/>
      <c r="HN513" s="275"/>
      <c r="HO513" s="275"/>
      <c r="HP513" s="275"/>
      <c r="HQ513" s="275"/>
      <c r="HR513" s="275"/>
    </row>
    <row r="514" spans="1:226" s="297" customFormat="1">
      <c r="A514" s="275"/>
      <c r="B514" s="21"/>
      <c r="C514" s="21"/>
      <c r="D514" s="21"/>
      <c r="E514" s="21"/>
      <c r="F514" s="275"/>
      <c r="G514" s="275"/>
      <c r="H514" s="275"/>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J514" s="275"/>
      <c r="AK514" s="275"/>
      <c r="AL514" s="275"/>
      <c r="AM514" s="275"/>
      <c r="AN514" s="275"/>
      <c r="AO514" s="275"/>
      <c r="AQ514" s="275"/>
      <c r="AR514" s="275"/>
      <c r="AS514" s="275"/>
      <c r="AT514" s="275"/>
      <c r="AU514" s="275"/>
      <c r="AV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D514" s="275"/>
      <c r="EE514" s="275"/>
      <c r="EF514" s="275"/>
      <c r="EG514" s="275"/>
      <c r="EH514" s="275"/>
      <c r="EI514" s="275"/>
      <c r="EJ514" s="275"/>
      <c r="EK514" s="275"/>
      <c r="EL514" s="275"/>
      <c r="EM514" s="275"/>
      <c r="EN514" s="275"/>
      <c r="EO514" s="275"/>
      <c r="EP514" s="275"/>
      <c r="EQ514" s="275"/>
      <c r="ER514" s="275"/>
      <c r="ES514" s="275"/>
      <c r="ET514" s="275"/>
      <c r="EU514"/>
      <c r="EV514"/>
      <c r="EW514" s="275"/>
      <c r="EX514" s="275"/>
      <c r="EY514" s="275"/>
      <c r="EZ514" s="275"/>
      <c r="FA514" s="275"/>
      <c r="FB514" s="275"/>
      <c r="FC514" s="275"/>
      <c r="FD514" s="275"/>
      <c r="FE514" s="275"/>
      <c r="FF514" s="275"/>
      <c r="FG514" s="275"/>
      <c r="FH514" s="275"/>
      <c r="FI514" s="275"/>
      <c r="FJ514" s="275"/>
      <c r="FK514" s="275"/>
      <c r="FL514" s="275"/>
      <c r="FM514" s="275"/>
      <c r="FN514" s="275"/>
      <c r="FO514" s="275"/>
      <c r="FP514" s="275"/>
      <c r="FQ514" s="275"/>
      <c r="FR514" s="275"/>
      <c r="FS514" s="275"/>
      <c r="FT514" s="275"/>
      <c r="FU514" s="275"/>
      <c r="FV514" s="275"/>
      <c r="FW514" s="275"/>
      <c r="FX514" s="275"/>
      <c r="FY514" s="275"/>
      <c r="FZ514" s="275"/>
      <c r="GA514" s="275"/>
      <c r="GB514" s="275"/>
      <c r="GC514" s="275"/>
      <c r="GD514" s="275"/>
      <c r="GE514" s="275"/>
      <c r="GF514" s="275"/>
      <c r="GG514" s="275"/>
      <c r="GH514" s="275"/>
      <c r="GI514" s="275"/>
      <c r="GJ514" s="275"/>
      <c r="GK514" s="275"/>
      <c r="GL514" s="275"/>
      <c r="GM514" s="275"/>
      <c r="GN514" s="275"/>
      <c r="GO514" s="275"/>
      <c r="GP514" s="275"/>
      <c r="GQ514" s="275"/>
      <c r="GR514" s="275"/>
      <c r="GS514" s="275"/>
      <c r="GT514" s="275"/>
      <c r="GU514" s="275"/>
      <c r="GV514" s="275"/>
      <c r="GW514" s="275"/>
      <c r="GX514" s="275"/>
      <c r="GY514" s="275"/>
      <c r="GZ514" s="275"/>
      <c r="HA514" s="275"/>
      <c r="HB514" s="275"/>
      <c r="HC514" s="275"/>
      <c r="HD514" s="275"/>
      <c r="HE514" s="275"/>
      <c r="HF514" s="275"/>
      <c r="HG514" s="275"/>
      <c r="HH514" s="275"/>
      <c r="HI514" s="275"/>
      <c r="HJ514" s="275"/>
      <c r="HK514" s="275"/>
      <c r="HL514" s="275"/>
      <c r="HM514" s="275"/>
      <c r="HN514" s="275"/>
      <c r="HO514" s="275"/>
      <c r="HP514" s="275"/>
      <c r="HQ514" s="275"/>
      <c r="HR514" s="275"/>
    </row>
    <row r="515" spans="1:226" s="297" customFormat="1">
      <c r="A515" s="275"/>
      <c r="B515" s="21"/>
      <c r="C515" s="21"/>
      <c r="D515" s="21"/>
      <c r="E515" s="21"/>
      <c r="F515" s="275"/>
      <c r="G515" s="275"/>
      <c r="H515" s="275"/>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J515" s="275"/>
      <c r="AK515" s="275"/>
      <c r="AL515" s="275"/>
      <c r="AM515" s="275"/>
      <c r="AN515" s="275"/>
      <c r="AO515" s="275"/>
      <c r="AQ515" s="275"/>
      <c r="AR515" s="275"/>
      <c r="AS515" s="275"/>
      <c r="AT515" s="275"/>
      <c r="AU515" s="275"/>
      <c r="AV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D515" s="275"/>
      <c r="EE515" s="275"/>
      <c r="EF515" s="275"/>
      <c r="EG515" s="275"/>
      <c r="EH515" s="275"/>
      <c r="EI515" s="275"/>
      <c r="EJ515" s="275"/>
      <c r="EK515" s="275"/>
      <c r="EL515" s="275"/>
      <c r="EM515" s="275"/>
      <c r="EN515" s="275"/>
      <c r="EO515" s="275"/>
      <c r="EP515" s="275"/>
      <c r="EQ515" s="275"/>
      <c r="ER515" s="275"/>
      <c r="ES515" s="275"/>
      <c r="ET515" s="275"/>
      <c r="EU515"/>
      <c r="EV515"/>
      <c r="EW515" s="275"/>
      <c r="EX515" s="275"/>
      <c r="EY515" s="275"/>
      <c r="EZ515" s="275"/>
      <c r="FA515" s="275"/>
      <c r="FB515" s="275"/>
      <c r="FC515" s="275"/>
      <c r="FD515" s="275"/>
      <c r="FE515" s="275"/>
      <c r="FF515" s="275"/>
      <c r="FG515" s="275"/>
      <c r="FH515" s="275"/>
      <c r="FI515" s="275"/>
      <c r="FJ515" s="275"/>
      <c r="FK515" s="275"/>
      <c r="FL515" s="275"/>
      <c r="FM515" s="275"/>
      <c r="FN515" s="275"/>
      <c r="FO515" s="275"/>
      <c r="FP515" s="275"/>
      <c r="FQ515" s="275"/>
      <c r="FR515" s="275"/>
      <c r="FS515" s="275"/>
      <c r="FT515" s="275"/>
      <c r="FU515" s="275"/>
      <c r="FV515" s="275"/>
      <c r="FW515" s="275"/>
      <c r="FX515" s="275"/>
      <c r="FY515" s="275"/>
      <c r="FZ515" s="275"/>
      <c r="GA515" s="275"/>
      <c r="GB515" s="275"/>
      <c r="GC515" s="275"/>
      <c r="GD515" s="275"/>
      <c r="GE515" s="275"/>
      <c r="GF515" s="275"/>
      <c r="GG515" s="275"/>
      <c r="GH515" s="275"/>
      <c r="GI515" s="275"/>
      <c r="GJ515" s="275"/>
      <c r="GK515" s="275"/>
      <c r="GL515" s="275"/>
      <c r="GM515" s="275"/>
      <c r="GN515" s="275"/>
      <c r="GO515" s="275"/>
      <c r="GP515" s="275"/>
      <c r="GQ515" s="275"/>
      <c r="GR515" s="275"/>
      <c r="GS515" s="275"/>
      <c r="GT515" s="275"/>
      <c r="GU515" s="275"/>
      <c r="GV515" s="275"/>
      <c r="GW515" s="275"/>
      <c r="GX515" s="275"/>
      <c r="GY515" s="275"/>
      <c r="GZ515" s="275"/>
      <c r="HA515" s="275"/>
      <c r="HB515" s="275"/>
      <c r="HC515" s="275"/>
      <c r="HD515" s="275"/>
      <c r="HE515" s="275"/>
      <c r="HF515" s="275"/>
      <c r="HG515" s="275"/>
      <c r="HH515" s="275"/>
      <c r="HI515" s="275"/>
      <c r="HJ515" s="275"/>
      <c r="HK515" s="275"/>
      <c r="HL515" s="275"/>
      <c r="HM515" s="275"/>
      <c r="HN515" s="275"/>
      <c r="HO515" s="275"/>
      <c r="HP515" s="275"/>
      <c r="HQ515" s="275"/>
      <c r="HR515" s="275"/>
    </row>
    <row r="516" spans="1:226" s="297" customFormat="1">
      <c r="A516" s="275"/>
      <c r="B516" s="21"/>
      <c r="C516" s="21"/>
      <c r="D516" s="21"/>
      <c r="E516" s="21"/>
      <c r="F516" s="275"/>
      <c r="G516" s="275"/>
      <c r="H516" s="275"/>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J516" s="275"/>
      <c r="AK516" s="275"/>
      <c r="AL516" s="275"/>
      <c r="AM516" s="275"/>
      <c r="AN516" s="275"/>
      <c r="AO516" s="275"/>
      <c r="AQ516" s="275"/>
      <c r="AR516" s="275"/>
      <c r="AS516" s="275"/>
      <c r="AT516" s="275"/>
      <c r="AU516" s="275"/>
      <c r="AV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D516" s="275"/>
      <c r="EE516" s="275"/>
      <c r="EF516" s="275"/>
      <c r="EG516" s="275"/>
      <c r="EH516" s="275"/>
      <c r="EI516" s="275"/>
      <c r="EJ516" s="275"/>
      <c r="EK516" s="275"/>
      <c r="EL516" s="275"/>
      <c r="EM516" s="275"/>
      <c r="EN516" s="275"/>
      <c r="EO516" s="275"/>
      <c r="EP516" s="275"/>
      <c r="EQ516" s="275"/>
      <c r="ER516" s="275"/>
      <c r="ES516" s="275"/>
      <c r="ET516" s="275"/>
      <c r="EU516"/>
      <c r="EV516"/>
      <c r="EW516" s="275"/>
      <c r="EX516" s="275"/>
      <c r="EY516" s="275"/>
      <c r="EZ516" s="275"/>
      <c r="FA516" s="275"/>
      <c r="FB516" s="275"/>
      <c r="FC516" s="275"/>
      <c r="FD516" s="275"/>
      <c r="FE516" s="275"/>
      <c r="FF516" s="275"/>
      <c r="FG516" s="275"/>
      <c r="FH516" s="275"/>
      <c r="FI516" s="275"/>
      <c r="FJ516" s="275"/>
      <c r="FK516" s="275"/>
      <c r="FL516" s="275"/>
      <c r="FM516" s="275"/>
      <c r="FN516" s="275"/>
      <c r="FO516" s="275"/>
      <c r="FP516" s="275"/>
      <c r="FQ516" s="275"/>
      <c r="FR516" s="275"/>
      <c r="FS516" s="275"/>
      <c r="FT516" s="275"/>
      <c r="FU516" s="275"/>
      <c r="FV516" s="275"/>
      <c r="FW516" s="275"/>
      <c r="FX516" s="275"/>
      <c r="FY516" s="275"/>
      <c r="FZ516" s="275"/>
      <c r="GA516" s="275"/>
      <c r="GB516" s="275"/>
      <c r="GC516" s="275"/>
      <c r="GD516" s="275"/>
      <c r="GE516" s="275"/>
      <c r="GF516" s="275"/>
      <c r="GG516" s="275"/>
      <c r="GH516" s="275"/>
      <c r="GI516" s="275"/>
      <c r="GJ516" s="275"/>
      <c r="GK516" s="275"/>
      <c r="GL516" s="275"/>
      <c r="GM516" s="275"/>
      <c r="GN516" s="275"/>
      <c r="GO516" s="275"/>
      <c r="GP516" s="275"/>
      <c r="GQ516" s="275"/>
      <c r="GR516" s="275"/>
      <c r="GS516" s="275"/>
      <c r="GT516" s="275"/>
      <c r="GU516" s="275"/>
      <c r="GV516" s="275"/>
      <c r="GW516" s="275"/>
      <c r="GX516" s="275"/>
      <c r="GY516" s="275"/>
      <c r="GZ516" s="275"/>
      <c r="HA516" s="275"/>
      <c r="HB516" s="275"/>
      <c r="HC516" s="275"/>
      <c r="HD516" s="275"/>
      <c r="HE516" s="275"/>
      <c r="HF516" s="275"/>
      <c r="HG516" s="275"/>
      <c r="HH516" s="275"/>
      <c r="HI516" s="275"/>
      <c r="HJ516" s="275"/>
      <c r="HK516" s="275"/>
      <c r="HL516" s="275"/>
      <c r="HM516" s="275"/>
      <c r="HN516" s="275"/>
      <c r="HO516" s="275"/>
      <c r="HP516" s="275"/>
      <c r="HQ516" s="275"/>
      <c r="HR516" s="275"/>
    </row>
    <row r="517" spans="1:226" s="297" customFormat="1">
      <c r="A517" s="275"/>
      <c r="B517" s="21"/>
      <c r="C517" s="21"/>
      <c r="D517" s="21"/>
      <c r="E517" s="21"/>
      <c r="F517" s="275"/>
      <c r="G517" s="275"/>
      <c r="H517" s="275"/>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J517" s="275"/>
      <c r="AK517" s="275"/>
      <c r="AL517" s="275"/>
      <c r="AM517" s="275"/>
      <c r="AN517" s="275"/>
      <c r="AO517" s="275"/>
      <c r="AQ517" s="275"/>
      <c r="AR517" s="275"/>
      <c r="AS517" s="275"/>
      <c r="AT517" s="275"/>
      <c r="AU517" s="275"/>
      <c r="AV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D517" s="275"/>
      <c r="EE517" s="275"/>
      <c r="EF517" s="275"/>
      <c r="EG517" s="275"/>
      <c r="EH517" s="275"/>
      <c r="EI517" s="275"/>
      <c r="EJ517" s="275"/>
      <c r="EK517" s="275"/>
      <c r="EL517" s="275"/>
      <c r="EM517" s="275"/>
      <c r="EN517" s="275"/>
      <c r="EO517" s="275"/>
      <c r="EP517" s="275"/>
      <c r="EQ517" s="275"/>
      <c r="ER517" s="275"/>
      <c r="ES517" s="275"/>
      <c r="ET517" s="275"/>
      <c r="EU517"/>
      <c r="EV517"/>
      <c r="EW517" s="275"/>
      <c r="EX517" s="275"/>
      <c r="EY517" s="275"/>
      <c r="EZ517" s="275"/>
      <c r="FA517" s="275"/>
      <c r="FB517" s="275"/>
      <c r="FC517" s="275"/>
      <c r="FD517" s="275"/>
      <c r="FE517" s="275"/>
      <c r="FF517" s="275"/>
      <c r="FG517" s="275"/>
      <c r="FH517" s="275"/>
      <c r="FI517" s="275"/>
      <c r="FJ517" s="275"/>
      <c r="FK517" s="275"/>
      <c r="FL517" s="275"/>
      <c r="FM517" s="275"/>
      <c r="FN517" s="275"/>
      <c r="FO517" s="275"/>
      <c r="FP517" s="275"/>
      <c r="FQ517" s="275"/>
      <c r="FR517" s="275"/>
      <c r="FS517" s="275"/>
      <c r="FT517" s="275"/>
      <c r="FU517" s="275"/>
      <c r="FV517" s="275"/>
      <c r="FW517" s="275"/>
      <c r="FX517" s="275"/>
      <c r="FY517" s="275"/>
      <c r="FZ517" s="275"/>
      <c r="GA517" s="275"/>
      <c r="GB517" s="275"/>
      <c r="GC517" s="275"/>
      <c r="GD517" s="275"/>
      <c r="GE517" s="275"/>
      <c r="GF517" s="275"/>
      <c r="GG517" s="275"/>
      <c r="GH517" s="275"/>
      <c r="GI517" s="275"/>
      <c r="GJ517" s="275"/>
      <c r="GK517" s="275"/>
      <c r="GL517" s="275"/>
      <c r="GM517" s="275"/>
      <c r="GN517" s="275"/>
      <c r="GO517" s="275"/>
      <c r="GP517" s="275"/>
      <c r="GQ517" s="275"/>
      <c r="GR517" s="275"/>
      <c r="GS517" s="275"/>
      <c r="GT517" s="275"/>
      <c r="GU517" s="275"/>
      <c r="GV517" s="275"/>
      <c r="GW517" s="275"/>
      <c r="GX517" s="275"/>
      <c r="GY517" s="275"/>
      <c r="GZ517" s="275"/>
      <c r="HA517" s="275"/>
      <c r="HB517" s="275"/>
      <c r="HC517" s="275"/>
      <c r="HD517" s="275"/>
      <c r="HE517" s="275"/>
      <c r="HF517" s="275"/>
      <c r="HG517" s="275"/>
      <c r="HH517" s="275"/>
      <c r="HI517" s="275"/>
      <c r="HJ517" s="275"/>
      <c r="HK517" s="275"/>
      <c r="HL517" s="275"/>
      <c r="HM517" s="275"/>
      <c r="HN517" s="275"/>
      <c r="HO517" s="275"/>
      <c r="HP517" s="275"/>
      <c r="HQ517" s="275"/>
      <c r="HR517" s="275"/>
    </row>
    <row r="518" spans="1:226" s="297" customFormat="1">
      <c r="A518" s="275"/>
      <c r="B518" s="21"/>
      <c r="C518" s="21"/>
      <c r="D518" s="21"/>
      <c r="E518" s="21"/>
      <c r="F518" s="275"/>
      <c r="G518" s="275"/>
      <c r="H518" s="275"/>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J518" s="275"/>
      <c r="AK518" s="275"/>
      <c r="AL518" s="275"/>
      <c r="AM518" s="275"/>
      <c r="AN518" s="275"/>
      <c r="AO518" s="275"/>
      <c r="AQ518" s="275"/>
      <c r="AR518" s="275"/>
      <c r="AS518" s="275"/>
      <c r="AT518" s="275"/>
      <c r="AU518" s="275"/>
      <c r="AV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D518" s="275"/>
      <c r="EE518" s="275"/>
      <c r="EF518" s="275"/>
      <c r="EG518" s="275"/>
      <c r="EH518" s="275"/>
      <c r="EI518" s="275"/>
      <c r="EJ518" s="275"/>
      <c r="EK518" s="275"/>
      <c r="EL518" s="275"/>
      <c r="EM518" s="275"/>
      <c r="EN518" s="275"/>
      <c r="EO518" s="275"/>
      <c r="EP518" s="275"/>
      <c r="EQ518" s="275"/>
      <c r="ER518" s="275"/>
      <c r="ES518" s="275"/>
      <c r="ET518" s="275"/>
      <c r="EU518"/>
      <c r="EV518"/>
      <c r="EW518" s="275"/>
      <c r="EX518" s="275"/>
      <c r="EY518" s="275"/>
      <c r="EZ518" s="275"/>
      <c r="FA518" s="275"/>
      <c r="FB518" s="275"/>
      <c r="FC518" s="275"/>
      <c r="FD518" s="275"/>
      <c r="FE518" s="275"/>
      <c r="FF518" s="275"/>
      <c r="FG518" s="275"/>
      <c r="FH518" s="275"/>
      <c r="FI518" s="275"/>
      <c r="FJ518" s="275"/>
      <c r="FK518" s="275"/>
      <c r="FL518" s="275"/>
      <c r="FM518" s="275"/>
      <c r="FN518" s="275"/>
      <c r="FO518" s="275"/>
      <c r="FP518" s="275"/>
      <c r="FQ518" s="275"/>
      <c r="FR518" s="275"/>
      <c r="FS518" s="275"/>
      <c r="FT518" s="275"/>
      <c r="FU518" s="275"/>
      <c r="FV518" s="275"/>
      <c r="FW518" s="275"/>
      <c r="FX518" s="275"/>
      <c r="FY518" s="275"/>
      <c r="FZ518" s="275"/>
      <c r="GA518" s="275"/>
      <c r="GB518" s="275"/>
      <c r="GC518" s="275"/>
      <c r="GD518" s="275"/>
      <c r="GE518" s="275"/>
      <c r="GF518" s="275"/>
      <c r="GG518" s="275"/>
      <c r="GH518" s="275"/>
      <c r="GI518" s="275"/>
      <c r="GJ518" s="275"/>
      <c r="GK518" s="275"/>
      <c r="GL518" s="275"/>
      <c r="GM518" s="275"/>
      <c r="GN518" s="275"/>
      <c r="GO518" s="275"/>
      <c r="GP518" s="275"/>
      <c r="GQ518" s="275"/>
      <c r="GR518" s="275"/>
      <c r="GS518" s="275"/>
      <c r="GT518" s="275"/>
      <c r="GU518" s="275"/>
      <c r="GV518" s="275"/>
      <c r="GW518" s="275"/>
      <c r="GX518" s="275"/>
      <c r="GY518" s="275"/>
      <c r="GZ518" s="275"/>
      <c r="HA518" s="275"/>
      <c r="HB518" s="275"/>
      <c r="HC518" s="275"/>
      <c r="HD518" s="275"/>
      <c r="HE518" s="275"/>
      <c r="HF518" s="275"/>
      <c r="HG518" s="275"/>
      <c r="HH518" s="275"/>
      <c r="HI518" s="275"/>
      <c r="HJ518" s="275"/>
      <c r="HK518" s="275"/>
      <c r="HL518" s="275"/>
      <c r="HM518" s="275"/>
      <c r="HN518" s="275"/>
      <c r="HO518" s="275"/>
      <c r="HP518" s="275"/>
      <c r="HQ518" s="275"/>
      <c r="HR518" s="275"/>
    </row>
    <row r="519" spans="1:226" s="297" customFormat="1">
      <c r="A519" s="275"/>
      <c r="B519" s="21"/>
      <c r="C519" s="21"/>
      <c r="D519" s="21"/>
      <c r="E519" s="21"/>
      <c r="F519" s="275"/>
      <c r="G519" s="275"/>
      <c r="H519" s="275"/>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J519" s="275"/>
      <c r="AK519" s="275"/>
      <c r="AL519" s="275"/>
      <c r="AM519" s="275"/>
      <c r="AN519" s="275"/>
      <c r="AO519" s="275"/>
      <c r="AQ519" s="275"/>
      <c r="AR519" s="275"/>
      <c r="AS519" s="275"/>
      <c r="AT519" s="275"/>
      <c r="AU519" s="275"/>
      <c r="AV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D519" s="275"/>
      <c r="EE519" s="275"/>
      <c r="EF519" s="275"/>
      <c r="EG519" s="275"/>
      <c r="EH519" s="275"/>
      <c r="EI519" s="275"/>
      <c r="EJ519" s="275"/>
      <c r="EK519" s="275"/>
      <c r="EL519" s="275"/>
      <c r="EM519" s="275"/>
      <c r="EN519" s="275"/>
      <c r="EO519" s="275"/>
      <c r="EP519" s="275"/>
      <c r="EQ519" s="275"/>
      <c r="ER519" s="275"/>
      <c r="ES519" s="275"/>
      <c r="ET519" s="275"/>
      <c r="EU519"/>
      <c r="EV519"/>
      <c r="EW519" s="275"/>
      <c r="EX519" s="275"/>
      <c r="EY519" s="275"/>
      <c r="EZ519" s="275"/>
      <c r="FA519" s="275"/>
      <c r="FB519" s="275"/>
      <c r="FC519" s="275"/>
      <c r="FD519" s="275"/>
      <c r="FE519" s="275"/>
      <c r="FF519" s="275"/>
      <c r="FG519" s="275"/>
      <c r="FH519" s="275"/>
      <c r="FI519" s="275"/>
      <c r="FJ519" s="275"/>
      <c r="FK519" s="275"/>
      <c r="FL519" s="275"/>
      <c r="FM519" s="275"/>
      <c r="FN519" s="275"/>
      <c r="FO519" s="275"/>
      <c r="FP519" s="275"/>
      <c r="FQ519" s="275"/>
      <c r="FR519" s="275"/>
      <c r="FS519" s="275"/>
      <c r="FT519" s="275"/>
      <c r="FU519" s="275"/>
      <c r="FV519" s="275"/>
      <c r="FW519" s="275"/>
      <c r="FX519" s="275"/>
      <c r="FY519" s="275"/>
      <c r="FZ519" s="275"/>
      <c r="GA519" s="275"/>
      <c r="GB519" s="275"/>
      <c r="GC519" s="275"/>
      <c r="GD519" s="275"/>
      <c r="GE519" s="275"/>
      <c r="GF519" s="275"/>
      <c r="GG519" s="275"/>
      <c r="GH519" s="275"/>
      <c r="GI519" s="275"/>
      <c r="GJ519" s="275"/>
      <c r="GK519" s="275"/>
      <c r="GL519" s="275"/>
      <c r="GM519" s="275"/>
      <c r="GN519" s="275"/>
      <c r="GO519" s="275"/>
      <c r="GP519" s="275"/>
      <c r="GQ519" s="275"/>
      <c r="GR519" s="275"/>
      <c r="GS519" s="275"/>
      <c r="GT519" s="275"/>
      <c r="GU519" s="275"/>
      <c r="GV519" s="275"/>
      <c r="GW519" s="275"/>
      <c r="GX519" s="275"/>
      <c r="GY519" s="275"/>
      <c r="GZ519" s="275"/>
      <c r="HA519" s="275"/>
      <c r="HB519" s="275"/>
      <c r="HC519" s="275"/>
      <c r="HD519" s="275"/>
      <c r="HE519" s="275"/>
      <c r="HF519" s="275"/>
      <c r="HG519" s="275"/>
      <c r="HH519" s="275"/>
      <c r="HI519" s="275"/>
      <c r="HJ519" s="275"/>
      <c r="HK519" s="275"/>
      <c r="HL519" s="275"/>
      <c r="HM519" s="275"/>
      <c r="HN519" s="275"/>
      <c r="HO519" s="275"/>
      <c r="HP519" s="275"/>
      <c r="HQ519" s="275"/>
      <c r="HR519" s="275"/>
    </row>
    <row r="520" spans="1:226" s="297" customFormat="1">
      <c r="A520" s="275"/>
      <c r="B520" s="21"/>
      <c r="C520" s="21"/>
      <c r="D520" s="21"/>
      <c r="E520" s="21"/>
      <c r="F520" s="275"/>
      <c r="G520" s="275"/>
      <c r="H520" s="275"/>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J520" s="275"/>
      <c r="AK520" s="275"/>
      <c r="AL520" s="275"/>
      <c r="AM520" s="275"/>
      <c r="AN520" s="275"/>
      <c r="AO520" s="275"/>
      <c r="AQ520" s="275"/>
      <c r="AR520" s="275"/>
      <c r="AS520" s="275"/>
      <c r="AT520" s="275"/>
      <c r="AU520" s="275"/>
      <c r="AV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D520" s="275"/>
      <c r="EE520" s="275"/>
      <c r="EF520" s="275"/>
      <c r="EG520" s="275"/>
      <c r="EH520" s="275"/>
      <c r="EI520" s="275"/>
      <c r="EJ520" s="275"/>
      <c r="EK520" s="275"/>
      <c r="EL520" s="275"/>
      <c r="EM520" s="275"/>
      <c r="EN520" s="275"/>
      <c r="EO520" s="275"/>
      <c r="EP520" s="275"/>
      <c r="EQ520" s="275"/>
      <c r="ER520" s="275"/>
      <c r="ES520" s="275"/>
      <c r="ET520" s="275"/>
      <c r="EU520"/>
      <c r="EV520"/>
      <c r="EW520" s="275"/>
      <c r="EX520" s="275"/>
      <c r="EY520" s="275"/>
      <c r="EZ520" s="275"/>
      <c r="FA520" s="275"/>
      <c r="FB520" s="275"/>
      <c r="FC520" s="275"/>
      <c r="FD520" s="275"/>
      <c r="FE520" s="275"/>
      <c r="FF520" s="275"/>
      <c r="FG520" s="275"/>
      <c r="FH520" s="275"/>
      <c r="FI520" s="275"/>
      <c r="FJ520" s="275"/>
      <c r="FK520" s="275"/>
      <c r="FL520" s="275"/>
      <c r="FM520" s="275"/>
      <c r="FN520" s="275"/>
      <c r="FO520" s="275"/>
      <c r="FP520" s="275"/>
      <c r="FQ520" s="275"/>
      <c r="FR520" s="275"/>
      <c r="FS520" s="275"/>
      <c r="FT520" s="275"/>
      <c r="FU520" s="275"/>
      <c r="FV520" s="275"/>
      <c r="FW520" s="275"/>
      <c r="FX520" s="275"/>
      <c r="FY520" s="275"/>
      <c r="FZ520" s="275"/>
      <c r="GA520" s="275"/>
      <c r="GB520" s="275"/>
      <c r="GC520" s="275"/>
      <c r="GD520" s="275"/>
      <c r="GE520" s="275"/>
      <c r="GF520" s="275"/>
      <c r="GG520" s="275"/>
      <c r="GH520" s="275"/>
      <c r="GI520" s="275"/>
      <c r="GJ520" s="275"/>
      <c r="GK520" s="275"/>
      <c r="GL520" s="275"/>
      <c r="GM520" s="275"/>
      <c r="GN520" s="275"/>
      <c r="GO520" s="275"/>
      <c r="GP520" s="275"/>
      <c r="GQ520" s="275"/>
      <c r="GR520" s="275"/>
      <c r="GS520" s="275"/>
      <c r="GT520" s="275"/>
      <c r="GU520" s="275"/>
      <c r="GV520" s="275"/>
      <c r="GW520" s="275"/>
      <c r="GX520" s="275"/>
      <c r="GY520" s="275"/>
      <c r="GZ520" s="275"/>
      <c r="HA520" s="275"/>
      <c r="HB520" s="275"/>
      <c r="HC520" s="275"/>
      <c r="HD520" s="275"/>
      <c r="HE520" s="275"/>
      <c r="HF520" s="275"/>
      <c r="HG520" s="275"/>
      <c r="HH520" s="275"/>
      <c r="HI520" s="275"/>
      <c r="HJ520" s="275"/>
      <c r="HK520" s="275"/>
      <c r="HL520" s="275"/>
      <c r="HM520" s="275"/>
      <c r="HN520" s="275"/>
      <c r="HO520" s="275"/>
      <c r="HP520" s="275"/>
      <c r="HQ520" s="275"/>
      <c r="HR520" s="275"/>
    </row>
    <row r="521" spans="1:226" s="297" customFormat="1">
      <c r="A521" s="275"/>
      <c r="B521" s="21"/>
      <c r="C521" s="21"/>
      <c r="D521" s="21"/>
      <c r="E521" s="21"/>
      <c r="F521" s="275"/>
      <c r="G521" s="275"/>
      <c r="H521" s="275"/>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J521" s="275"/>
      <c r="AK521" s="275"/>
      <c r="AL521" s="275"/>
      <c r="AM521" s="275"/>
      <c r="AN521" s="275"/>
      <c r="AO521" s="275"/>
      <c r="AQ521" s="275"/>
      <c r="AR521" s="275"/>
      <c r="AS521" s="275"/>
      <c r="AT521" s="275"/>
      <c r="AU521" s="275"/>
      <c r="AV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D521" s="275"/>
      <c r="EE521" s="275"/>
      <c r="EF521" s="275"/>
      <c r="EG521" s="275"/>
      <c r="EH521" s="275"/>
      <c r="EI521" s="275"/>
      <c r="EJ521" s="275"/>
      <c r="EK521" s="275"/>
      <c r="EL521" s="275"/>
      <c r="EM521" s="275"/>
      <c r="EN521" s="275"/>
      <c r="EO521" s="275"/>
      <c r="EP521" s="275"/>
      <c r="EQ521" s="275"/>
      <c r="ER521" s="275"/>
      <c r="ES521" s="275"/>
      <c r="ET521" s="275"/>
      <c r="EU521"/>
      <c r="EV521"/>
      <c r="EW521" s="275"/>
      <c r="EX521" s="275"/>
      <c r="EY521" s="275"/>
      <c r="EZ521" s="275"/>
      <c r="FA521" s="275"/>
      <c r="FB521" s="275"/>
      <c r="FC521" s="275"/>
      <c r="FD521" s="275"/>
      <c r="FE521" s="275"/>
      <c r="FF521" s="275"/>
      <c r="FG521" s="275"/>
      <c r="FH521" s="275"/>
      <c r="FI521" s="275"/>
      <c r="FJ521" s="275"/>
      <c r="FK521" s="275"/>
      <c r="FL521" s="275"/>
      <c r="FM521" s="275"/>
      <c r="FN521" s="275"/>
      <c r="FO521" s="275"/>
      <c r="FP521" s="275"/>
      <c r="FQ521" s="275"/>
      <c r="FR521" s="275"/>
      <c r="FS521" s="275"/>
      <c r="FT521" s="275"/>
      <c r="FU521" s="275"/>
      <c r="FV521" s="275"/>
      <c r="FW521" s="275"/>
      <c r="FX521" s="275"/>
      <c r="FY521" s="275"/>
      <c r="FZ521" s="275"/>
      <c r="GA521" s="275"/>
      <c r="GB521" s="275"/>
      <c r="GC521" s="275"/>
      <c r="GD521" s="275"/>
      <c r="GE521" s="275"/>
      <c r="GF521" s="275"/>
      <c r="GG521" s="275"/>
      <c r="GH521" s="275"/>
      <c r="GI521" s="275"/>
      <c r="GJ521" s="275"/>
      <c r="GK521" s="275"/>
      <c r="GL521" s="275"/>
      <c r="GM521" s="275"/>
      <c r="GN521" s="275"/>
      <c r="GO521" s="275"/>
      <c r="GP521" s="275"/>
      <c r="GQ521" s="275"/>
      <c r="GR521" s="275"/>
      <c r="GS521" s="275"/>
      <c r="GT521" s="275"/>
      <c r="GU521" s="275"/>
      <c r="GV521" s="275"/>
      <c r="GW521" s="275"/>
      <c r="GX521" s="275"/>
      <c r="GY521" s="275"/>
      <c r="GZ521" s="275"/>
      <c r="HA521" s="275"/>
      <c r="HB521" s="275"/>
      <c r="HC521" s="275"/>
      <c r="HD521" s="275"/>
      <c r="HE521" s="275"/>
      <c r="HF521" s="275"/>
      <c r="HG521" s="275"/>
      <c r="HH521" s="275"/>
      <c r="HI521" s="275"/>
      <c r="HJ521" s="275"/>
      <c r="HK521" s="275"/>
      <c r="HL521" s="275"/>
      <c r="HM521" s="275"/>
      <c r="HN521" s="275"/>
      <c r="HO521" s="275"/>
      <c r="HP521" s="275"/>
      <c r="HQ521" s="275"/>
      <c r="HR521" s="275"/>
    </row>
    <row r="522" spans="1:226" s="297" customFormat="1">
      <c r="A522" s="275"/>
      <c r="B522" s="21"/>
      <c r="C522" s="21"/>
      <c r="D522" s="21"/>
      <c r="E522" s="21"/>
      <c r="F522" s="275"/>
      <c r="G522" s="275"/>
      <c r="H522" s="275"/>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J522" s="275"/>
      <c r="AK522" s="275"/>
      <c r="AL522" s="275"/>
      <c r="AM522" s="275"/>
      <c r="AN522" s="275"/>
      <c r="AO522" s="275"/>
      <c r="AQ522" s="275"/>
      <c r="AR522" s="275"/>
      <c r="AS522" s="275"/>
      <c r="AT522" s="275"/>
      <c r="AU522" s="275"/>
      <c r="AV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D522" s="275"/>
      <c r="EE522" s="275"/>
      <c r="EF522" s="275"/>
      <c r="EG522" s="275"/>
      <c r="EH522" s="275"/>
      <c r="EI522" s="275"/>
      <c r="EJ522" s="275"/>
      <c r="EK522" s="275"/>
      <c r="EL522" s="275"/>
      <c r="EM522" s="275"/>
      <c r="EN522" s="275"/>
      <c r="EO522" s="275"/>
      <c r="EP522" s="275"/>
      <c r="EQ522" s="275"/>
      <c r="ER522" s="275"/>
      <c r="ES522" s="275"/>
      <c r="ET522" s="275"/>
      <c r="EU522"/>
      <c r="EV522"/>
      <c r="EW522" s="275"/>
      <c r="EX522" s="275"/>
      <c r="EY522" s="275"/>
      <c r="EZ522" s="275"/>
      <c r="FA522" s="275"/>
      <c r="FB522" s="275"/>
      <c r="FC522" s="275"/>
      <c r="FD522" s="275"/>
      <c r="FE522" s="275"/>
      <c r="FF522" s="275"/>
      <c r="FG522" s="275"/>
      <c r="FH522" s="275"/>
      <c r="FI522" s="275"/>
      <c r="FJ522" s="275"/>
      <c r="FK522" s="275"/>
      <c r="FL522" s="275"/>
      <c r="FM522" s="275"/>
      <c r="FN522" s="275"/>
      <c r="FO522" s="275"/>
      <c r="FP522" s="275"/>
      <c r="FQ522" s="275"/>
      <c r="FR522" s="275"/>
      <c r="FS522" s="275"/>
      <c r="FT522" s="275"/>
      <c r="FU522" s="275"/>
      <c r="FV522" s="275"/>
      <c r="FW522" s="275"/>
      <c r="FX522" s="275"/>
      <c r="FY522" s="275"/>
      <c r="FZ522" s="275"/>
      <c r="GA522" s="275"/>
      <c r="GB522" s="275"/>
      <c r="GC522" s="275"/>
      <c r="GD522" s="275"/>
      <c r="GE522" s="275"/>
      <c r="GF522" s="275"/>
      <c r="GG522" s="275"/>
      <c r="GH522" s="275"/>
      <c r="GI522" s="275"/>
      <c r="GJ522" s="275"/>
      <c r="GK522" s="275"/>
      <c r="GL522" s="275"/>
      <c r="GM522" s="275"/>
      <c r="GN522" s="275"/>
      <c r="GO522" s="275"/>
      <c r="GP522" s="275"/>
      <c r="GQ522" s="275"/>
      <c r="GR522" s="275"/>
      <c r="GS522" s="275"/>
      <c r="GT522" s="275"/>
      <c r="GU522" s="275"/>
      <c r="GV522" s="275"/>
      <c r="GW522" s="275"/>
      <c r="GX522" s="275"/>
      <c r="GY522" s="275"/>
      <c r="GZ522" s="275"/>
      <c r="HA522" s="275"/>
      <c r="HB522" s="275"/>
      <c r="HC522" s="275"/>
      <c r="HD522" s="275"/>
      <c r="HE522" s="275"/>
      <c r="HF522" s="275"/>
      <c r="HG522" s="275"/>
      <c r="HH522" s="275"/>
      <c r="HI522" s="275"/>
      <c r="HJ522" s="275"/>
      <c r="HK522" s="275"/>
      <c r="HL522" s="275"/>
      <c r="HM522" s="275"/>
      <c r="HN522" s="275"/>
      <c r="HO522" s="275"/>
      <c r="HP522" s="275"/>
      <c r="HQ522" s="275"/>
      <c r="HR522" s="275"/>
    </row>
    <row r="523" spans="1:226" s="297" customFormat="1">
      <c r="A523" s="275"/>
      <c r="B523" s="21"/>
      <c r="C523" s="21"/>
      <c r="D523" s="21"/>
      <c r="E523" s="21"/>
      <c r="F523" s="275"/>
      <c r="G523" s="275"/>
      <c r="H523" s="275"/>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J523" s="275"/>
      <c r="AK523" s="275"/>
      <c r="AL523" s="275"/>
      <c r="AM523" s="275"/>
      <c r="AN523" s="275"/>
      <c r="AO523" s="275"/>
      <c r="AQ523" s="275"/>
      <c r="AR523" s="275"/>
      <c r="AS523" s="275"/>
      <c r="AT523" s="275"/>
      <c r="AU523" s="275"/>
      <c r="AV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D523" s="275"/>
      <c r="EE523" s="275"/>
      <c r="EF523" s="275"/>
      <c r="EG523" s="275"/>
      <c r="EH523" s="275"/>
      <c r="EI523" s="275"/>
      <c r="EJ523" s="275"/>
      <c r="EK523" s="275"/>
      <c r="EL523" s="275"/>
      <c r="EM523" s="275"/>
      <c r="EN523" s="275"/>
      <c r="EO523" s="275"/>
      <c r="EP523" s="275"/>
      <c r="EQ523" s="275"/>
      <c r="ER523" s="275"/>
      <c r="ES523" s="275"/>
      <c r="ET523" s="275"/>
      <c r="EU523"/>
      <c r="EV523"/>
      <c r="EW523" s="275"/>
      <c r="EX523" s="275"/>
      <c r="EY523" s="275"/>
      <c r="EZ523" s="275"/>
      <c r="FA523" s="275"/>
      <c r="FB523" s="275"/>
      <c r="FC523" s="275"/>
      <c r="FD523" s="275"/>
      <c r="FE523" s="275"/>
      <c r="FF523" s="275"/>
      <c r="FG523" s="275"/>
      <c r="FH523" s="275"/>
      <c r="FI523" s="275"/>
      <c r="FJ523" s="275"/>
      <c r="FK523" s="275"/>
      <c r="FL523" s="275"/>
      <c r="FM523" s="275"/>
      <c r="FN523" s="275"/>
      <c r="FO523" s="275"/>
      <c r="FP523" s="275"/>
      <c r="FQ523" s="275"/>
      <c r="FR523" s="275"/>
      <c r="FS523" s="275"/>
      <c r="FT523" s="275"/>
      <c r="FU523" s="275"/>
      <c r="FV523" s="275"/>
      <c r="FW523" s="275"/>
      <c r="FX523" s="275"/>
      <c r="FY523" s="275"/>
      <c r="FZ523" s="275"/>
      <c r="GA523" s="275"/>
      <c r="GB523" s="275"/>
      <c r="GC523" s="275"/>
      <c r="GD523" s="275"/>
      <c r="GE523" s="275"/>
      <c r="GF523" s="275"/>
      <c r="GG523" s="275"/>
      <c r="GH523" s="275"/>
      <c r="GI523" s="275"/>
      <c r="GJ523" s="275"/>
      <c r="GK523" s="275"/>
      <c r="GL523" s="275"/>
      <c r="GM523" s="275"/>
      <c r="GN523" s="275"/>
      <c r="GO523" s="275"/>
      <c r="GP523" s="275"/>
      <c r="GQ523" s="275"/>
      <c r="GR523" s="275"/>
      <c r="GS523" s="275"/>
      <c r="GT523" s="275"/>
      <c r="GU523" s="275"/>
      <c r="GV523" s="275"/>
      <c r="GW523" s="275"/>
      <c r="GX523" s="275"/>
      <c r="GY523" s="275"/>
      <c r="GZ523" s="275"/>
      <c r="HA523" s="275"/>
      <c r="HB523" s="275"/>
      <c r="HC523" s="275"/>
      <c r="HD523" s="275"/>
      <c r="HE523" s="275"/>
      <c r="HF523" s="275"/>
      <c r="HG523" s="275"/>
      <c r="HH523" s="275"/>
      <c r="HI523" s="275"/>
      <c r="HJ523" s="275"/>
      <c r="HK523" s="275"/>
      <c r="HL523" s="275"/>
      <c r="HM523" s="275"/>
      <c r="HN523" s="275"/>
      <c r="HO523" s="275"/>
      <c r="HP523" s="275"/>
      <c r="HQ523" s="275"/>
      <c r="HR523" s="275"/>
    </row>
    <row r="524" spans="1:226" s="297" customFormat="1">
      <c r="A524" s="275"/>
      <c r="B524" s="21"/>
      <c r="C524" s="21"/>
      <c r="D524" s="21"/>
      <c r="E524" s="21"/>
      <c r="F524" s="275"/>
      <c r="G524" s="275"/>
      <c r="H524" s="275"/>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J524" s="275"/>
      <c r="AK524" s="275"/>
      <c r="AL524" s="275"/>
      <c r="AM524" s="275"/>
      <c r="AN524" s="275"/>
      <c r="AO524" s="275"/>
      <c r="AQ524" s="275"/>
      <c r="AR524" s="275"/>
      <c r="AS524" s="275"/>
      <c r="AT524" s="275"/>
      <c r="AU524" s="275"/>
      <c r="AV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D524" s="275"/>
      <c r="EE524" s="275"/>
      <c r="EF524" s="275"/>
      <c r="EG524" s="275"/>
      <c r="EH524" s="275"/>
      <c r="EI524" s="275"/>
      <c r="EJ524" s="275"/>
      <c r="EK524" s="275"/>
      <c r="EL524" s="275"/>
      <c r="EM524" s="275"/>
      <c r="EN524" s="275"/>
      <c r="EO524" s="275"/>
      <c r="EP524" s="275"/>
      <c r="EQ524" s="275"/>
      <c r="ER524" s="275"/>
      <c r="ES524" s="275"/>
      <c r="ET524" s="275"/>
      <c r="EU524"/>
      <c r="EV524"/>
      <c r="EW524" s="275"/>
      <c r="EX524" s="275"/>
      <c r="EY524" s="275"/>
      <c r="EZ524" s="275"/>
      <c r="FA524" s="275"/>
      <c r="FB524" s="275"/>
      <c r="FC524" s="275"/>
      <c r="FD524" s="275"/>
      <c r="FE524" s="275"/>
      <c r="FF524" s="275"/>
      <c r="FG524" s="275"/>
      <c r="FH524" s="275"/>
      <c r="FI524" s="275"/>
      <c r="FJ524" s="275"/>
      <c r="FK524" s="275"/>
      <c r="FL524" s="275"/>
      <c r="FM524" s="275"/>
      <c r="FN524" s="275"/>
      <c r="FO524" s="275"/>
      <c r="FP524" s="275"/>
      <c r="FQ524" s="275"/>
      <c r="FR524" s="275"/>
      <c r="FS524" s="275"/>
      <c r="FT524" s="275"/>
      <c r="FU524" s="275"/>
      <c r="FV524" s="275"/>
      <c r="FW524" s="275"/>
      <c r="FX524" s="275"/>
      <c r="FY524" s="275"/>
      <c r="FZ524" s="275"/>
      <c r="GA524" s="275"/>
      <c r="GB524" s="275"/>
      <c r="GC524" s="275"/>
      <c r="GD524" s="275"/>
      <c r="GE524" s="275"/>
      <c r="GF524" s="275"/>
      <c r="GG524" s="275"/>
      <c r="GH524" s="275"/>
      <c r="GI524" s="275"/>
      <c r="GJ524" s="275"/>
      <c r="GK524" s="275"/>
      <c r="GL524" s="275"/>
      <c r="GM524" s="275"/>
      <c r="GN524" s="275"/>
      <c r="GO524" s="275"/>
      <c r="GP524" s="275"/>
      <c r="GQ524" s="275"/>
      <c r="GR524" s="275"/>
      <c r="GS524" s="275"/>
      <c r="GT524" s="275"/>
      <c r="GU524" s="275"/>
      <c r="GV524" s="275"/>
      <c r="GW524" s="275"/>
      <c r="GX524" s="275"/>
      <c r="GY524" s="275"/>
      <c r="GZ524" s="275"/>
      <c r="HA524" s="275"/>
      <c r="HB524" s="275"/>
      <c r="HC524" s="275"/>
      <c r="HD524" s="275"/>
      <c r="HE524" s="275"/>
      <c r="HF524" s="275"/>
      <c r="HG524" s="275"/>
      <c r="HH524" s="275"/>
      <c r="HI524" s="275"/>
      <c r="HJ524" s="275"/>
      <c r="HK524" s="275"/>
      <c r="HL524" s="275"/>
      <c r="HM524" s="275"/>
      <c r="HN524" s="275"/>
      <c r="HO524" s="275"/>
      <c r="HP524" s="275"/>
      <c r="HQ524" s="275"/>
      <c r="HR524" s="275"/>
    </row>
    <row r="525" spans="1:226" s="297" customFormat="1">
      <c r="A525" s="275"/>
      <c r="B525" s="21"/>
      <c r="C525" s="21"/>
      <c r="D525" s="21"/>
      <c r="E525" s="21"/>
      <c r="F525" s="275"/>
      <c r="G525" s="275"/>
      <c r="H525" s="275"/>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J525" s="275"/>
      <c r="AK525" s="275"/>
      <c r="AL525" s="275"/>
      <c r="AM525" s="275"/>
      <c r="AN525" s="275"/>
      <c r="AO525" s="275"/>
      <c r="AQ525" s="275"/>
      <c r="AR525" s="275"/>
      <c r="AS525" s="275"/>
      <c r="AT525" s="275"/>
      <c r="AU525" s="275"/>
      <c r="AV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D525" s="275"/>
      <c r="EE525" s="275"/>
      <c r="EF525" s="275"/>
      <c r="EG525" s="275"/>
      <c r="EH525" s="275"/>
      <c r="EI525" s="275"/>
      <c r="EJ525" s="275"/>
      <c r="EK525" s="275"/>
      <c r="EL525" s="275"/>
      <c r="EM525" s="275"/>
      <c r="EN525" s="275"/>
      <c r="EO525" s="275"/>
      <c r="EP525" s="275"/>
      <c r="EQ525" s="275"/>
      <c r="ER525" s="275"/>
      <c r="ES525" s="275"/>
      <c r="ET525" s="275"/>
      <c r="EU525"/>
      <c r="EV525"/>
      <c r="EW525" s="275"/>
      <c r="EX525" s="275"/>
      <c r="EY525" s="275"/>
      <c r="EZ525" s="275"/>
      <c r="FA525" s="275"/>
      <c r="FB525" s="275"/>
      <c r="FC525" s="275"/>
      <c r="FD525" s="275"/>
      <c r="FE525" s="275"/>
      <c r="FF525" s="275"/>
      <c r="FG525" s="275"/>
      <c r="FH525" s="275"/>
      <c r="FI525" s="275"/>
      <c r="FJ525" s="275"/>
      <c r="FK525" s="275"/>
      <c r="FL525" s="275"/>
      <c r="FM525" s="275"/>
      <c r="FN525" s="275"/>
      <c r="FO525" s="275"/>
      <c r="FP525" s="275"/>
      <c r="FQ525" s="275"/>
      <c r="FR525" s="275"/>
      <c r="FS525" s="275"/>
      <c r="FT525" s="275"/>
      <c r="FU525" s="275"/>
      <c r="FV525" s="275"/>
      <c r="FW525" s="275"/>
      <c r="FX525" s="275"/>
      <c r="FY525" s="275"/>
      <c r="FZ525" s="275"/>
      <c r="GA525" s="275"/>
      <c r="GB525" s="275"/>
      <c r="GC525" s="275"/>
      <c r="GD525" s="275"/>
      <c r="GE525" s="275"/>
      <c r="GF525" s="275"/>
      <c r="GG525" s="275"/>
      <c r="GH525" s="275"/>
      <c r="GI525" s="275"/>
      <c r="GJ525" s="275"/>
      <c r="GK525" s="275"/>
      <c r="GL525" s="275"/>
      <c r="GM525" s="275"/>
      <c r="GN525" s="275"/>
      <c r="GO525" s="275"/>
      <c r="GP525" s="275"/>
      <c r="GQ525" s="275"/>
      <c r="GR525" s="275"/>
      <c r="GS525" s="275"/>
      <c r="GT525" s="275"/>
      <c r="GU525" s="275"/>
      <c r="GV525" s="275"/>
      <c r="GW525" s="275"/>
      <c r="GX525" s="275"/>
      <c r="GY525" s="275"/>
      <c r="GZ525" s="275"/>
      <c r="HA525" s="275"/>
      <c r="HB525" s="275"/>
      <c r="HC525" s="275"/>
      <c r="HD525" s="275"/>
      <c r="HE525" s="275"/>
      <c r="HF525" s="275"/>
      <c r="HG525" s="275"/>
      <c r="HH525" s="275"/>
      <c r="HI525" s="275"/>
      <c r="HJ525" s="275"/>
      <c r="HK525" s="275"/>
      <c r="HL525" s="275"/>
      <c r="HM525" s="275"/>
      <c r="HN525" s="275"/>
      <c r="HO525" s="275"/>
      <c r="HP525" s="275"/>
      <c r="HQ525" s="275"/>
      <c r="HR525" s="275"/>
    </row>
    <row r="526" spans="1:226" s="297" customFormat="1">
      <c r="A526" s="275"/>
      <c r="B526" s="21"/>
      <c r="C526" s="21"/>
      <c r="D526" s="21"/>
      <c r="E526" s="21"/>
      <c r="F526" s="275"/>
      <c r="G526" s="275"/>
      <c r="H526" s="275"/>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J526" s="275"/>
      <c r="AK526" s="275"/>
      <c r="AL526" s="275"/>
      <c r="AM526" s="275"/>
      <c r="AN526" s="275"/>
      <c r="AO526" s="275"/>
      <c r="AQ526" s="275"/>
      <c r="AR526" s="275"/>
      <c r="AS526" s="275"/>
      <c r="AT526" s="275"/>
      <c r="AU526" s="275"/>
      <c r="AV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D526" s="275"/>
      <c r="EE526" s="275"/>
      <c r="EF526" s="275"/>
      <c r="EG526" s="275"/>
      <c r="EH526" s="275"/>
      <c r="EI526" s="275"/>
      <c r="EJ526" s="275"/>
      <c r="EK526" s="275"/>
      <c r="EL526" s="275"/>
      <c r="EM526" s="275"/>
      <c r="EN526" s="275"/>
      <c r="EO526" s="275"/>
      <c r="EP526" s="275"/>
      <c r="EQ526" s="275"/>
      <c r="ER526" s="275"/>
      <c r="ES526" s="275"/>
      <c r="ET526" s="275"/>
      <c r="EU526"/>
      <c r="EV526"/>
      <c r="EW526" s="275"/>
      <c r="EX526" s="275"/>
      <c r="EY526" s="275"/>
      <c r="EZ526" s="275"/>
      <c r="FA526" s="275"/>
      <c r="FB526" s="275"/>
      <c r="FC526" s="275"/>
      <c r="FD526" s="275"/>
      <c r="FE526" s="275"/>
      <c r="FF526" s="275"/>
      <c r="FG526" s="275"/>
      <c r="FH526" s="275"/>
      <c r="FI526" s="275"/>
      <c r="FJ526" s="275"/>
      <c r="FK526" s="275"/>
      <c r="FL526" s="275"/>
      <c r="FM526" s="275"/>
      <c r="FN526" s="275"/>
      <c r="FO526" s="275"/>
      <c r="FP526" s="275"/>
      <c r="FQ526" s="275"/>
      <c r="FR526" s="275"/>
      <c r="FS526" s="275"/>
      <c r="FT526" s="275"/>
      <c r="FU526" s="275"/>
      <c r="FV526" s="275"/>
      <c r="FW526" s="275"/>
      <c r="FX526" s="275"/>
      <c r="FY526" s="275"/>
      <c r="FZ526" s="275"/>
      <c r="GA526" s="275"/>
      <c r="GB526" s="275"/>
      <c r="GC526" s="275"/>
      <c r="GD526" s="275"/>
      <c r="GE526" s="275"/>
      <c r="GF526" s="275"/>
      <c r="GG526" s="275"/>
      <c r="GH526" s="275"/>
      <c r="GI526" s="275"/>
      <c r="GJ526" s="275"/>
      <c r="GK526" s="275"/>
      <c r="GL526" s="275"/>
      <c r="GM526" s="275"/>
      <c r="GN526" s="275"/>
      <c r="GO526" s="275"/>
      <c r="GP526" s="275"/>
      <c r="GQ526" s="275"/>
      <c r="GR526" s="275"/>
      <c r="GS526" s="275"/>
      <c r="GT526" s="275"/>
      <c r="GU526" s="275"/>
      <c r="GV526" s="275"/>
      <c r="GW526" s="275"/>
      <c r="GX526" s="275"/>
      <c r="GY526" s="275"/>
      <c r="GZ526" s="275"/>
      <c r="HA526" s="275"/>
      <c r="HB526" s="275"/>
      <c r="HC526" s="275"/>
      <c r="HD526" s="275"/>
      <c r="HE526" s="275"/>
      <c r="HF526" s="275"/>
      <c r="HG526" s="275"/>
      <c r="HH526" s="275"/>
      <c r="HI526" s="275"/>
      <c r="HJ526" s="275"/>
      <c r="HK526" s="275"/>
      <c r="HL526" s="275"/>
      <c r="HM526" s="275"/>
      <c r="HN526" s="275"/>
      <c r="HO526" s="275"/>
      <c r="HP526" s="275"/>
      <c r="HQ526" s="275"/>
      <c r="HR526" s="275"/>
    </row>
    <row r="527" spans="1:226" s="297" customFormat="1">
      <c r="A527" s="275"/>
      <c r="B527" s="21"/>
      <c r="C527" s="21"/>
      <c r="D527" s="21"/>
      <c r="E527" s="21"/>
      <c r="F527" s="275"/>
      <c r="G527" s="275"/>
      <c r="H527" s="275"/>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J527" s="275"/>
      <c r="AK527" s="275"/>
      <c r="AL527" s="275"/>
      <c r="AM527" s="275"/>
      <c r="AN527" s="275"/>
      <c r="AO527" s="275"/>
      <c r="AQ527" s="275"/>
      <c r="AR527" s="275"/>
      <c r="AS527" s="275"/>
      <c r="AT527" s="275"/>
      <c r="AU527" s="275"/>
      <c r="AV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D527" s="275"/>
      <c r="EE527" s="275"/>
      <c r="EF527" s="275"/>
      <c r="EG527" s="275"/>
      <c r="EH527" s="275"/>
      <c r="EI527" s="275"/>
      <c r="EJ527" s="275"/>
      <c r="EK527" s="275"/>
      <c r="EL527" s="275"/>
      <c r="EM527" s="275"/>
      <c r="EN527" s="275"/>
      <c r="EO527" s="275"/>
      <c r="EP527" s="275"/>
      <c r="EQ527" s="275"/>
      <c r="ER527" s="275"/>
      <c r="ES527" s="275"/>
      <c r="ET527" s="275"/>
      <c r="EU527"/>
      <c r="EV527"/>
      <c r="EW527" s="275"/>
      <c r="EX527" s="275"/>
      <c r="EY527" s="275"/>
      <c r="EZ527" s="275"/>
      <c r="FA527" s="275"/>
      <c r="FB527" s="275"/>
      <c r="FC527" s="275"/>
      <c r="FD527" s="275"/>
      <c r="FE527" s="275"/>
      <c r="FF527" s="275"/>
      <c r="FG527" s="275"/>
      <c r="FH527" s="275"/>
      <c r="FI527" s="275"/>
      <c r="FJ527" s="275"/>
      <c r="FK527" s="275"/>
      <c r="FL527" s="275"/>
      <c r="FM527" s="275"/>
      <c r="FN527" s="275"/>
      <c r="FO527" s="275"/>
      <c r="FP527" s="275"/>
      <c r="FQ527" s="275"/>
      <c r="FR527" s="275"/>
      <c r="FS527" s="275"/>
      <c r="FT527" s="275"/>
      <c r="FU527" s="275"/>
      <c r="FV527" s="275"/>
      <c r="FW527" s="275"/>
      <c r="FX527" s="275"/>
      <c r="FY527" s="275"/>
      <c r="FZ527" s="275"/>
      <c r="GA527" s="275"/>
      <c r="GB527" s="275"/>
      <c r="GC527" s="275"/>
      <c r="GD527" s="275"/>
      <c r="GE527" s="275"/>
      <c r="GF527" s="275"/>
      <c r="GG527" s="275"/>
      <c r="GH527" s="275"/>
      <c r="GI527" s="275"/>
      <c r="GJ527" s="275"/>
      <c r="GK527" s="275"/>
      <c r="GL527" s="275"/>
      <c r="GM527" s="275"/>
      <c r="GN527" s="275"/>
      <c r="GO527" s="275"/>
      <c r="GP527" s="275"/>
      <c r="GQ527" s="275"/>
      <c r="GR527" s="275"/>
      <c r="GS527" s="275"/>
      <c r="GT527" s="275"/>
      <c r="GU527" s="275"/>
      <c r="GV527" s="275"/>
      <c r="GW527" s="275"/>
      <c r="GX527" s="275"/>
      <c r="GY527" s="275"/>
      <c r="GZ527" s="275"/>
      <c r="HA527" s="275"/>
      <c r="HB527" s="275"/>
      <c r="HC527" s="275"/>
      <c r="HD527" s="275"/>
      <c r="HE527" s="275"/>
      <c r="HF527" s="275"/>
      <c r="HG527" s="275"/>
      <c r="HH527" s="275"/>
      <c r="HI527" s="275"/>
      <c r="HJ527" s="275"/>
      <c r="HK527" s="275"/>
      <c r="HL527" s="275"/>
      <c r="HM527" s="275"/>
      <c r="HN527" s="275"/>
      <c r="HO527" s="275"/>
      <c r="HP527" s="275"/>
      <c r="HQ527" s="275"/>
      <c r="HR527" s="275"/>
    </row>
    <row r="528" spans="1:226" s="297" customFormat="1">
      <c r="A528" s="275"/>
      <c r="B528" s="21"/>
      <c r="C528" s="21"/>
      <c r="D528" s="21"/>
      <c r="E528" s="21"/>
      <c r="F528" s="275"/>
      <c r="G528" s="275"/>
      <c r="H528" s="275"/>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J528" s="275"/>
      <c r="AK528" s="275"/>
      <c r="AL528" s="275"/>
      <c r="AM528" s="275"/>
      <c r="AN528" s="275"/>
      <c r="AO528" s="275"/>
      <c r="AQ528" s="275"/>
      <c r="AR528" s="275"/>
      <c r="AS528" s="275"/>
      <c r="AT528" s="275"/>
      <c r="AU528" s="275"/>
      <c r="AV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D528" s="275"/>
      <c r="EE528" s="275"/>
      <c r="EF528" s="275"/>
      <c r="EG528" s="275"/>
      <c r="EH528" s="275"/>
      <c r="EI528" s="275"/>
      <c r="EJ528" s="275"/>
      <c r="EK528" s="275"/>
      <c r="EL528" s="275"/>
      <c r="EM528" s="275"/>
      <c r="EN528" s="275"/>
      <c r="EO528" s="275"/>
      <c r="EP528" s="275"/>
      <c r="EQ528" s="275"/>
      <c r="ER528" s="275"/>
      <c r="ES528" s="275"/>
      <c r="ET528" s="275"/>
      <c r="EU528"/>
      <c r="EV528"/>
      <c r="EW528" s="275"/>
      <c r="EX528" s="275"/>
      <c r="EY528" s="275"/>
      <c r="EZ528" s="275"/>
      <c r="FA528" s="275"/>
      <c r="FB528" s="275"/>
      <c r="FC528" s="275"/>
      <c r="FD528" s="275"/>
      <c r="FE528" s="275"/>
      <c r="FF528" s="275"/>
      <c r="FG528" s="275"/>
      <c r="FH528" s="275"/>
      <c r="FI528" s="275"/>
      <c r="FJ528" s="275"/>
      <c r="FK528" s="275"/>
      <c r="FL528" s="275"/>
      <c r="FM528" s="275"/>
      <c r="FN528" s="275"/>
      <c r="FO528" s="275"/>
      <c r="FP528" s="275"/>
      <c r="FQ528" s="275"/>
      <c r="FR528" s="275"/>
      <c r="FS528" s="275"/>
      <c r="FT528" s="275"/>
      <c r="FU528" s="275"/>
      <c r="FV528" s="275"/>
      <c r="FW528" s="275"/>
      <c r="FX528" s="275"/>
      <c r="FY528" s="275"/>
      <c r="FZ528" s="275"/>
      <c r="GA528" s="275"/>
      <c r="GB528" s="275"/>
      <c r="GC528" s="275"/>
      <c r="GD528" s="275"/>
      <c r="GE528" s="275"/>
      <c r="GF528" s="275"/>
      <c r="GG528" s="275"/>
      <c r="GH528" s="275"/>
      <c r="GI528" s="275"/>
      <c r="GJ528" s="275"/>
      <c r="GK528" s="275"/>
      <c r="GL528" s="275"/>
      <c r="GM528" s="275"/>
      <c r="GN528" s="275"/>
      <c r="GO528" s="275"/>
      <c r="GP528" s="275"/>
      <c r="GQ528" s="275"/>
      <c r="GR528" s="275"/>
      <c r="GS528" s="275"/>
      <c r="GT528" s="275"/>
      <c r="GU528" s="275"/>
      <c r="GV528" s="275"/>
      <c r="GW528" s="275"/>
      <c r="GX528" s="275"/>
      <c r="GY528" s="275"/>
      <c r="GZ528" s="275"/>
      <c r="HA528" s="275"/>
      <c r="HB528" s="275"/>
      <c r="HC528" s="275"/>
      <c r="HD528" s="275"/>
      <c r="HE528" s="275"/>
      <c r="HF528" s="275"/>
      <c r="HG528" s="275"/>
      <c r="HH528" s="275"/>
      <c r="HI528" s="275"/>
      <c r="HJ528" s="275"/>
      <c r="HK528" s="275"/>
      <c r="HL528" s="275"/>
      <c r="HM528" s="275"/>
      <c r="HN528" s="275"/>
      <c r="HO528" s="275"/>
      <c r="HP528" s="275"/>
      <c r="HQ528" s="275"/>
      <c r="HR528" s="275"/>
    </row>
    <row r="529" spans="1:226" s="297" customFormat="1">
      <c r="A529" s="275"/>
      <c r="B529" s="21"/>
      <c r="C529" s="21"/>
      <c r="D529" s="21"/>
      <c r="E529" s="21"/>
      <c r="F529" s="275"/>
      <c r="G529" s="275"/>
      <c r="H529" s="275"/>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J529" s="275"/>
      <c r="AK529" s="275"/>
      <c r="AL529" s="275"/>
      <c r="AM529" s="275"/>
      <c r="AN529" s="275"/>
      <c r="AO529" s="275"/>
      <c r="AQ529" s="275"/>
      <c r="AR529" s="275"/>
      <c r="AS529" s="275"/>
      <c r="AT529" s="275"/>
      <c r="AU529" s="275"/>
      <c r="AV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D529" s="275"/>
      <c r="EE529" s="275"/>
      <c r="EF529" s="275"/>
      <c r="EG529" s="275"/>
      <c r="EH529" s="275"/>
      <c r="EI529" s="275"/>
      <c r="EJ529" s="275"/>
      <c r="EK529" s="275"/>
      <c r="EL529" s="275"/>
      <c r="EM529" s="275"/>
      <c r="EN529" s="275"/>
      <c r="EO529" s="275"/>
      <c r="EP529" s="275"/>
      <c r="EQ529" s="275"/>
      <c r="ER529" s="275"/>
      <c r="ES529" s="275"/>
      <c r="ET529" s="275"/>
      <c r="EU529"/>
      <c r="EV529"/>
      <c r="EW529" s="275"/>
      <c r="EX529" s="275"/>
      <c r="EY529" s="275"/>
      <c r="EZ529" s="275"/>
      <c r="FA529" s="275"/>
      <c r="FB529" s="275"/>
      <c r="FC529" s="275"/>
      <c r="FD529" s="275"/>
      <c r="FE529" s="275"/>
      <c r="FF529" s="275"/>
      <c r="FG529" s="275"/>
      <c r="FH529" s="275"/>
      <c r="FI529" s="275"/>
      <c r="FJ529" s="275"/>
      <c r="FK529" s="275"/>
      <c r="FL529" s="275"/>
      <c r="FM529" s="275"/>
      <c r="FN529" s="275"/>
      <c r="FO529" s="275"/>
      <c r="FP529" s="275"/>
      <c r="FQ529" s="275"/>
      <c r="FR529" s="275"/>
      <c r="FS529" s="275"/>
      <c r="FT529" s="275"/>
      <c r="FU529" s="275"/>
      <c r="FV529" s="275"/>
      <c r="FW529" s="275"/>
      <c r="FX529" s="275"/>
      <c r="FY529" s="275"/>
      <c r="FZ529" s="275"/>
      <c r="GA529" s="275"/>
      <c r="GB529" s="275"/>
      <c r="GC529" s="275"/>
      <c r="GD529" s="275"/>
      <c r="GE529" s="275"/>
      <c r="GF529" s="275"/>
      <c r="GG529" s="275"/>
      <c r="GH529" s="275"/>
      <c r="GI529" s="275"/>
      <c r="GJ529" s="275"/>
      <c r="GK529" s="275"/>
      <c r="GL529" s="275"/>
      <c r="GM529" s="275"/>
      <c r="GN529" s="275"/>
      <c r="GO529" s="275"/>
      <c r="GP529" s="275"/>
      <c r="GQ529" s="275"/>
      <c r="GR529" s="275"/>
      <c r="GS529" s="275"/>
      <c r="GT529" s="275"/>
      <c r="GU529" s="275"/>
      <c r="GV529" s="275"/>
      <c r="GW529" s="275"/>
      <c r="GX529" s="275"/>
      <c r="GY529" s="275"/>
      <c r="GZ529" s="275"/>
      <c r="HA529" s="275"/>
      <c r="HB529" s="275"/>
      <c r="HC529" s="275"/>
      <c r="HD529" s="275"/>
      <c r="HE529" s="275"/>
      <c r="HF529" s="275"/>
      <c r="HG529" s="275"/>
      <c r="HH529" s="275"/>
      <c r="HI529" s="275"/>
      <c r="HJ529" s="275"/>
      <c r="HK529" s="275"/>
      <c r="HL529" s="275"/>
      <c r="HM529" s="275"/>
      <c r="HN529" s="275"/>
      <c r="HO529" s="275"/>
      <c r="HP529" s="275"/>
      <c r="HQ529" s="275"/>
      <c r="HR529" s="275"/>
    </row>
    <row r="530" spans="1:226" s="297" customFormat="1">
      <c r="A530" s="275"/>
      <c r="B530" s="21"/>
      <c r="C530" s="21"/>
      <c r="D530" s="21"/>
      <c r="E530" s="21"/>
      <c r="F530" s="275"/>
      <c r="G530" s="275"/>
      <c r="H530" s="275"/>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J530" s="275"/>
      <c r="AK530" s="275"/>
      <c r="AL530" s="275"/>
      <c r="AM530" s="275"/>
      <c r="AN530" s="275"/>
      <c r="AO530" s="275"/>
      <c r="AQ530" s="275"/>
      <c r="AR530" s="275"/>
      <c r="AS530" s="275"/>
      <c r="AT530" s="275"/>
      <c r="AU530" s="275"/>
      <c r="AV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D530" s="275"/>
      <c r="EE530" s="275"/>
      <c r="EF530" s="275"/>
      <c r="EG530" s="275"/>
      <c r="EH530" s="275"/>
      <c r="EI530" s="275"/>
      <c r="EJ530" s="275"/>
      <c r="EK530" s="275"/>
      <c r="EL530" s="275"/>
      <c r="EM530" s="275"/>
      <c r="EN530" s="275"/>
      <c r="EO530" s="275"/>
      <c r="EP530" s="275"/>
      <c r="EQ530" s="275"/>
      <c r="ER530" s="275"/>
      <c r="ES530" s="275"/>
      <c r="ET530" s="275"/>
      <c r="EU530"/>
      <c r="EV530"/>
      <c r="EW530" s="275"/>
      <c r="EX530" s="275"/>
      <c r="EY530" s="275"/>
      <c r="EZ530" s="275"/>
      <c r="FA530" s="275"/>
      <c r="FB530" s="275"/>
      <c r="FC530" s="275"/>
      <c r="FD530" s="275"/>
      <c r="FE530" s="275"/>
      <c r="FF530" s="275"/>
      <c r="FG530" s="275"/>
      <c r="FH530" s="275"/>
      <c r="FI530" s="275"/>
      <c r="FJ530" s="275"/>
      <c r="FK530" s="275"/>
      <c r="FL530" s="275"/>
      <c r="FM530" s="275"/>
      <c r="FN530" s="275"/>
      <c r="FO530" s="275"/>
      <c r="FP530" s="275"/>
      <c r="FQ530" s="275"/>
      <c r="FR530" s="275"/>
      <c r="FS530" s="275"/>
      <c r="FT530" s="275"/>
      <c r="FU530" s="275"/>
      <c r="FV530" s="275"/>
      <c r="FW530" s="275"/>
      <c r="FX530" s="275"/>
      <c r="FY530" s="275"/>
      <c r="FZ530" s="275"/>
      <c r="GA530" s="275"/>
      <c r="GB530" s="275"/>
      <c r="GC530" s="275"/>
      <c r="GD530" s="275"/>
      <c r="GE530" s="275"/>
      <c r="GF530" s="275"/>
      <c r="GG530" s="275"/>
      <c r="GH530" s="275"/>
      <c r="GI530" s="275"/>
      <c r="GJ530" s="275"/>
      <c r="GK530" s="275"/>
      <c r="GL530" s="275"/>
      <c r="GM530" s="275"/>
      <c r="GN530" s="275"/>
      <c r="GO530" s="275"/>
      <c r="GP530" s="275"/>
      <c r="GQ530" s="275"/>
      <c r="GR530" s="275"/>
      <c r="GS530" s="275"/>
      <c r="GT530" s="275"/>
      <c r="GU530" s="275"/>
      <c r="GV530" s="275"/>
      <c r="GW530" s="275"/>
      <c r="GX530" s="275"/>
      <c r="GY530" s="275"/>
      <c r="GZ530" s="275"/>
      <c r="HA530" s="275"/>
      <c r="HB530" s="275"/>
      <c r="HC530" s="275"/>
      <c r="HD530" s="275"/>
      <c r="HE530" s="275"/>
      <c r="HF530" s="275"/>
      <c r="HG530" s="275"/>
      <c r="HH530" s="275"/>
      <c r="HI530" s="275"/>
      <c r="HJ530" s="275"/>
      <c r="HK530" s="275"/>
      <c r="HL530" s="275"/>
      <c r="HM530" s="275"/>
      <c r="HN530" s="275"/>
      <c r="HO530" s="275"/>
      <c r="HP530" s="275"/>
      <c r="HQ530" s="275"/>
      <c r="HR530" s="275"/>
    </row>
    <row r="531" spans="1:226" s="297" customFormat="1">
      <c r="A531" s="275"/>
      <c r="B531" s="21"/>
      <c r="C531" s="21"/>
      <c r="D531" s="21"/>
      <c r="E531" s="21"/>
      <c r="F531" s="275"/>
      <c r="G531" s="275"/>
      <c r="H531" s="275"/>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J531" s="275"/>
      <c r="AK531" s="275"/>
      <c r="AL531" s="275"/>
      <c r="AM531" s="275"/>
      <c r="AN531" s="275"/>
      <c r="AO531" s="275"/>
      <c r="AQ531" s="275"/>
      <c r="AR531" s="275"/>
      <c r="AS531" s="275"/>
      <c r="AT531" s="275"/>
      <c r="AU531" s="275"/>
      <c r="AV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D531" s="275"/>
      <c r="EE531" s="275"/>
      <c r="EF531" s="275"/>
      <c r="EG531" s="275"/>
      <c r="EH531" s="275"/>
      <c r="EI531" s="275"/>
      <c r="EJ531" s="275"/>
      <c r="EK531" s="275"/>
      <c r="EL531" s="275"/>
      <c r="EM531" s="275"/>
      <c r="EN531" s="275"/>
      <c r="EO531" s="275"/>
      <c r="EP531" s="275"/>
      <c r="EQ531" s="275"/>
      <c r="ER531" s="275"/>
      <c r="ES531" s="275"/>
      <c r="ET531" s="275"/>
      <c r="EU531"/>
      <c r="EV531"/>
      <c r="EW531" s="275"/>
      <c r="EX531" s="275"/>
      <c r="EY531" s="275"/>
      <c r="EZ531" s="275"/>
      <c r="FA531" s="275"/>
      <c r="FB531" s="275"/>
      <c r="FC531" s="275"/>
      <c r="FD531" s="275"/>
      <c r="FE531" s="275"/>
      <c r="FF531" s="275"/>
      <c r="FG531" s="275"/>
      <c r="FH531" s="275"/>
      <c r="FI531" s="275"/>
      <c r="FJ531" s="275"/>
      <c r="FK531" s="275"/>
      <c r="FL531" s="275"/>
      <c r="FM531" s="275"/>
      <c r="FN531" s="275"/>
      <c r="FO531" s="275"/>
      <c r="FP531" s="275"/>
      <c r="FQ531" s="275"/>
      <c r="FR531" s="275"/>
      <c r="FS531" s="275"/>
      <c r="FT531" s="275"/>
      <c r="FU531" s="275"/>
      <c r="FV531" s="275"/>
      <c r="FW531" s="275"/>
      <c r="FX531" s="275"/>
      <c r="FY531" s="275"/>
      <c r="FZ531" s="275"/>
      <c r="GA531" s="275"/>
      <c r="GB531" s="275"/>
      <c r="GC531" s="275"/>
      <c r="GD531" s="275"/>
      <c r="GE531" s="275"/>
      <c r="GF531" s="275"/>
      <c r="GG531" s="275"/>
      <c r="GH531" s="275"/>
      <c r="GI531" s="275"/>
      <c r="GJ531" s="275"/>
      <c r="GK531" s="275"/>
      <c r="GL531" s="275"/>
      <c r="GM531" s="275"/>
      <c r="GN531" s="275"/>
      <c r="GO531" s="275"/>
      <c r="GP531" s="275"/>
      <c r="GQ531" s="275"/>
      <c r="GR531" s="275"/>
      <c r="GS531" s="275"/>
      <c r="GT531" s="275"/>
      <c r="GU531" s="275"/>
      <c r="GV531" s="275"/>
      <c r="GW531" s="275"/>
      <c r="GX531" s="275"/>
      <c r="GY531" s="275"/>
      <c r="GZ531" s="275"/>
      <c r="HA531" s="275"/>
      <c r="HB531" s="275"/>
      <c r="HC531" s="275"/>
      <c r="HD531" s="275"/>
      <c r="HE531" s="275"/>
      <c r="HF531" s="275"/>
      <c r="HG531" s="275"/>
      <c r="HH531" s="275"/>
      <c r="HI531" s="275"/>
      <c r="HJ531" s="275"/>
      <c r="HK531" s="275"/>
      <c r="HL531" s="275"/>
      <c r="HM531" s="275"/>
      <c r="HN531" s="275"/>
      <c r="HO531" s="275"/>
      <c r="HP531" s="275"/>
      <c r="HQ531" s="275"/>
      <c r="HR531" s="275"/>
    </row>
    <row r="532" spans="1:226" s="297" customFormat="1">
      <c r="A532" s="275"/>
      <c r="B532" s="21"/>
      <c r="C532" s="21"/>
      <c r="D532" s="21"/>
      <c r="E532" s="21"/>
      <c r="F532" s="275"/>
      <c r="G532" s="275"/>
      <c r="H532" s="275"/>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J532" s="275"/>
      <c r="AK532" s="275"/>
      <c r="AL532" s="275"/>
      <c r="AM532" s="275"/>
      <c r="AN532" s="275"/>
      <c r="AO532" s="275"/>
      <c r="AQ532" s="275"/>
      <c r="AR532" s="275"/>
      <c r="AS532" s="275"/>
      <c r="AT532" s="275"/>
      <c r="AU532" s="275"/>
      <c r="AV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D532" s="275"/>
      <c r="EE532" s="275"/>
      <c r="EF532" s="275"/>
      <c r="EG532" s="275"/>
      <c r="EH532" s="275"/>
      <c r="EI532" s="275"/>
      <c r="EJ532" s="275"/>
      <c r="EK532" s="275"/>
      <c r="EL532" s="275"/>
      <c r="EM532" s="275"/>
      <c r="EN532" s="275"/>
      <c r="EO532" s="275"/>
      <c r="EP532" s="275"/>
      <c r="EQ532" s="275"/>
      <c r="ER532" s="275"/>
      <c r="ES532" s="275"/>
      <c r="ET532" s="275"/>
      <c r="EU532"/>
      <c r="EV532"/>
      <c r="EW532" s="275"/>
      <c r="EX532" s="275"/>
      <c r="EY532" s="275"/>
      <c r="EZ532" s="275"/>
      <c r="FA532" s="275"/>
      <c r="FB532" s="275"/>
      <c r="FC532" s="275"/>
      <c r="FD532" s="275"/>
      <c r="FE532" s="275"/>
      <c r="FF532" s="275"/>
      <c r="FG532" s="275"/>
      <c r="FH532" s="275"/>
      <c r="FI532" s="275"/>
      <c r="FJ532" s="275"/>
      <c r="FK532" s="275"/>
      <c r="FL532" s="275"/>
      <c r="FM532" s="275"/>
      <c r="FN532" s="275"/>
      <c r="FO532" s="275"/>
      <c r="FP532" s="275"/>
      <c r="FQ532" s="275"/>
      <c r="FR532" s="275"/>
      <c r="FS532" s="275"/>
      <c r="FT532" s="275"/>
      <c r="FU532" s="275"/>
      <c r="FV532" s="275"/>
      <c r="FW532" s="275"/>
      <c r="FX532" s="275"/>
      <c r="FY532" s="275"/>
      <c r="FZ532" s="275"/>
      <c r="GA532" s="275"/>
      <c r="GB532" s="275"/>
      <c r="GC532" s="275"/>
      <c r="GD532" s="275"/>
      <c r="GE532" s="275"/>
      <c r="GF532" s="275"/>
      <c r="GG532" s="275"/>
      <c r="GH532" s="275"/>
      <c r="GI532" s="275"/>
      <c r="GJ532" s="275"/>
      <c r="GK532" s="275"/>
      <c r="GL532" s="275"/>
      <c r="GM532" s="275"/>
      <c r="GN532" s="275"/>
      <c r="GO532" s="275"/>
      <c r="GP532" s="275"/>
      <c r="GQ532" s="275"/>
      <c r="GR532" s="275"/>
      <c r="GS532" s="275"/>
      <c r="GT532" s="275"/>
      <c r="GU532" s="275"/>
      <c r="GV532" s="275"/>
      <c r="GW532" s="275"/>
      <c r="GX532" s="275"/>
      <c r="GY532" s="275"/>
      <c r="GZ532" s="275"/>
      <c r="HA532" s="275"/>
      <c r="HB532" s="275"/>
      <c r="HC532" s="275"/>
      <c r="HD532" s="275"/>
      <c r="HE532" s="275"/>
      <c r="HF532" s="275"/>
      <c r="HG532" s="275"/>
      <c r="HH532" s="275"/>
      <c r="HI532" s="275"/>
      <c r="HJ532" s="275"/>
      <c r="HK532" s="275"/>
      <c r="HL532" s="275"/>
      <c r="HM532" s="275"/>
      <c r="HN532" s="275"/>
      <c r="HO532" s="275"/>
      <c r="HP532" s="275"/>
      <c r="HQ532" s="275"/>
      <c r="HR532" s="275"/>
    </row>
    <row r="533" spans="1:226" s="297" customFormat="1">
      <c r="A533" s="275"/>
      <c r="B533" s="21"/>
      <c r="C533" s="21"/>
      <c r="D533" s="21"/>
      <c r="E533" s="21"/>
      <c r="F533" s="275"/>
      <c r="G533" s="275"/>
      <c r="H533" s="275"/>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J533" s="275"/>
      <c r="AK533" s="275"/>
      <c r="AL533" s="275"/>
      <c r="AM533" s="275"/>
      <c r="AN533" s="275"/>
      <c r="AO533" s="275"/>
      <c r="AQ533" s="275"/>
      <c r="AR533" s="275"/>
      <c r="AS533" s="275"/>
      <c r="AT533" s="275"/>
      <c r="AU533" s="275"/>
      <c r="AV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D533" s="275"/>
      <c r="EE533" s="275"/>
      <c r="EF533" s="275"/>
      <c r="EG533" s="275"/>
      <c r="EH533" s="275"/>
      <c r="EI533" s="275"/>
      <c r="EJ533" s="275"/>
      <c r="EK533" s="275"/>
      <c r="EL533" s="275"/>
      <c r="EM533" s="275"/>
      <c r="EN533" s="275"/>
      <c r="EO533" s="275"/>
      <c r="EP533" s="275"/>
      <c r="EQ533" s="275"/>
      <c r="ER533" s="275"/>
      <c r="ES533" s="275"/>
      <c r="ET533" s="275"/>
      <c r="EU533"/>
      <c r="EV533"/>
      <c r="EW533" s="275"/>
      <c r="EX533" s="275"/>
      <c r="EY533" s="275"/>
      <c r="EZ533" s="275"/>
      <c r="FA533" s="275"/>
      <c r="FB533" s="275"/>
      <c r="FC533" s="275"/>
      <c r="FD533" s="275"/>
      <c r="FE533" s="275"/>
      <c r="FF533" s="275"/>
      <c r="FG533" s="275"/>
      <c r="FH533" s="275"/>
      <c r="FI533" s="275"/>
      <c r="FJ533" s="275"/>
      <c r="FK533" s="275"/>
      <c r="FL533" s="275"/>
      <c r="FM533" s="275"/>
      <c r="FN533" s="275"/>
      <c r="FO533" s="275"/>
      <c r="FP533" s="275"/>
      <c r="FQ533" s="275"/>
      <c r="FR533" s="275"/>
      <c r="FS533" s="275"/>
      <c r="FT533" s="275"/>
      <c r="FU533" s="275"/>
      <c r="FV533" s="275"/>
      <c r="FW533" s="275"/>
      <c r="FX533" s="275"/>
      <c r="FY533" s="275"/>
      <c r="FZ533" s="275"/>
      <c r="GA533" s="275"/>
      <c r="GB533" s="275"/>
      <c r="GC533" s="275"/>
      <c r="GD533" s="275"/>
      <c r="GE533" s="275"/>
      <c r="GF533" s="275"/>
      <c r="GG533" s="275"/>
      <c r="GH533" s="275"/>
      <c r="GI533" s="275"/>
      <c r="GJ533" s="275"/>
      <c r="GK533" s="275"/>
      <c r="GL533" s="275"/>
      <c r="GM533" s="275"/>
      <c r="GN533" s="275"/>
      <c r="GO533" s="275"/>
      <c r="GP533" s="275"/>
      <c r="GQ533" s="275"/>
      <c r="GR533" s="275"/>
      <c r="GS533" s="275"/>
      <c r="GT533" s="275"/>
      <c r="GU533" s="275"/>
      <c r="GV533" s="275"/>
      <c r="GW533" s="275"/>
      <c r="GX533" s="275"/>
      <c r="GY533" s="275"/>
      <c r="GZ533" s="275"/>
      <c r="HA533" s="275"/>
      <c r="HB533" s="275"/>
      <c r="HC533" s="275"/>
      <c r="HD533" s="275"/>
      <c r="HE533" s="275"/>
      <c r="HF533" s="275"/>
      <c r="HG533" s="275"/>
      <c r="HH533" s="275"/>
      <c r="HI533" s="275"/>
      <c r="HJ533" s="275"/>
      <c r="HK533" s="275"/>
      <c r="HL533" s="275"/>
      <c r="HM533" s="275"/>
      <c r="HN533" s="275"/>
      <c r="HO533" s="275"/>
      <c r="HP533" s="275"/>
      <c r="HQ533" s="275"/>
      <c r="HR533" s="275"/>
    </row>
    <row r="534" spans="1:226" s="297" customFormat="1">
      <c r="A534" s="275"/>
      <c r="B534" s="21"/>
      <c r="C534" s="21"/>
      <c r="D534" s="21"/>
      <c r="E534" s="21"/>
      <c r="F534" s="275"/>
      <c r="G534" s="275"/>
      <c r="H534" s="275"/>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J534" s="275"/>
      <c r="AK534" s="275"/>
      <c r="AL534" s="275"/>
      <c r="AM534" s="275"/>
      <c r="AN534" s="275"/>
      <c r="AO534" s="275"/>
      <c r="AQ534" s="275"/>
      <c r="AR534" s="275"/>
      <c r="AS534" s="275"/>
      <c r="AT534" s="275"/>
      <c r="AU534" s="275"/>
      <c r="AV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D534" s="275"/>
      <c r="EE534" s="275"/>
      <c r="EF534" s="275"/>
      <c r="EG534" s="275"/>
      <c r="EH534" s="275"/>
      <c r="EI534" s="275"/>
      <c r="EJ534" s="275"/>
      <c r="EK534" s="275"/>
      <c r="EL534" s="275"/>
      <c r="EM534" s="275"/>
      <c r="EN534" s="275"/>
      <c r="EO534" s="275"/>
      <c r="EP534" s="275"/>
      <c r="EQ534" s="275"/>
      <c r="ER534" s="275"/>
      <c r="ES534" s="275"/>
      <c r="ET534" s="275"/>
      <c r="EU534"/>
      <c r="EV534"/>
      <c r="EW534" s="275"/>
      <c r="EX534" s="275"/>
      <c r="EY534" s="275"/>
      <c r="EZ534" s="275"/>
      <c r="FA534" s="275"/>
      <c r="FB534" s="275"/>
      <c r="FC534" s="275"/>
      <c r="FD534" s="275"/>
      <c r="FE534" s="275"/>
      <c r="FF534" s="275"/>
      <c r="FG534" s="275"/>
      <c r="FH534" s="275"/>
      <c r="FI534" s="275"/>
      <c r="FJ534" s="275"/>
      <c r="FK534" s="275"/>
      <c r="FL534" s="275"/>
      <c r="FM534" s="275"/>
      <c r="FN534" s="275"/>
      <c r="FO534" s="275"/>
      <c r="FP534" s="275"/>
      <c r="FQ534" s="275"/>
      <c r="FR534" s="275"/>
      <c r="FS534" s="275"/>
      <c r="FT534" s="275"/>
      <c r="FU534" s="275"/>
      <c r="FV534" s="275"/>
      <c r="FW534" s="275"/>
      <c r="FX534" s="275"/>
      <c r="FY534" s="275"/>
      <c r="FZ534" s="275"/>
      <c r="GA534" s="275"/>
      <c r="GB534" s="275"/>
      <c r="GC534" s="275"/>
      <c r="GD534" s="275"/>
      <c r="GE534" s="275"/>
      <c r="GF534" s="275"/>
      <c r="GG534" s="275"/>
      <c r="GH534" s="275"/>
      <c r="GI534" s="275"/>
      <c r="GJ534" s="275"/>
      <c r="GK534" s="275"/>
      <c r="GL534" s="275"/>
      <c r="GM534" s="275"/>
      <c r="GN534" s="275"/>
      <c r="GO534" s="275"/>
      <c r="GP534" s="275"/>
      <c r="GQ534" s="275"/>
      <c r="GR534" s="275"/>
      <c r="GS534" s="275"/>
      <c r="GT534" s="275"/>
      <c r="GU534" s="275"/>
      <c r="GV534" s="275"/>
      <c r="GW534" s="275"/>
      <c r="GX534" s="275"/>
      <c r="GY534" s="275"/>
      <c r="GZ534" s="275"/>
      <c r="HA534" s="275"/>
      <c r="HB534" s="275"/>
      <c r="HC534" s="275"/>
      <c r="HD534" s="275"/>
      <c r="HE534" s="275"/>
      <c r="HF534" s="275"/>
      <c r="HG534" s="275"/>
      <c r="HH534" s="275"/>
      <c r="HI534" s="275"/>
      <c r="HJ534" s="275"/>
      <c r="HK534" s="275"/>
      <c r="HL534" s="275"/>
      <c r="HM534" s="275"/>
      <c r="HN534" s="275"/>
      <c r="HO534" s="275"/>
      <c r="HP534" s="275"/>
      <c r="HQ534" s="275"/>
      <c r="HR534" s="275"/>
    </row>
    <row r="535" spans="1:226" s="297" customFormat="1">
      <c r="A535" s="275"/>
      <c r="B535" s="21"/>
      <c r="C535" s="21"/>
      <c r="D535" s="21"/>
      <c r="E535" s="21"/>
      <c r="F535" s="275"/>
      <c r="G535" s="275"/>
      <c r="H535" s="275"/>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J535" s="275"/>
      <c r="AK535" s="275"/>
      <c r="AL535" s="275"/>
      <c r="AM535" s="275"/>
      <c r="AN535" s="275"/>
      <c r="AO535" s="275"/>
      <c r="AQ535" s="275"/>
      <c r="AR535" s="275"/>
      <c r="AS535" s="275"/>
      <c r="AT535" s="275"/>
      <c r="AU535" s="275"/>
      <c r="AV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D535" s="275"/>
      <c r="EE535" s="275"/>
      <c r="EF535" s="275"/>
      <c r="EG535" s="275"/>
      <c r="EH535" s="275"/>
      <c r="EI535" s="275"/>
      <c r="EJ535" s="275"/>
      <c r="EK535" s="275"/>
      <c r="EL535" s="275"/>
      <c r="EM535" s="275"/>
      <c r="EN535" s="275"/>
      <c r="EO535" s="275"/>
      <c r="EP535" s="275"/>
      <c r="EQ535" s="275"/>
      <c r="ER535" s="275"/>
      <c r="ES535" s="275"/>
      <c r="ET535" s="275"/>
      <c r="EU535"/>
      <c r="EV535"/>
      <c r="EW535" s="275"/>
      <c r="EX535" s="275"/>
      <c r="EY535" s="275"/>
      <c r="EZ535" s="275"/>
      <c r="FA535" s="275"/>
      <c r="FB535" s="275"/>
      <c r="FC535" s="275"/>
      <c r="FD535" s="275"/>
      <c r="FE535" s="275"/>
      <c r="FF535" s="275"/>
      <c r="FG535" s="275"/>
      <c r="FH535" s="275"/>
      <c r="FI535" s="275"/>
      <c r="FJ535" s="275"/>
      <c r="FK535" s="275"/>
      <c r="FL535" s="275"/>
      <c r="FM535" s="275"/>
      <c r="FN535" s="275"/>
      <c r="FO535" s="275"/>
      <c r="FP535" s="275"/>
      <c r="FQ535" s="275"/>
      <c r="FR535" s="275"/>
      <c r="FS535" s="275"/>
      <c r="FT535" s="275"/>
      <c r="FU535" s="275"/>
      <c r="FV535" s="275"/>
      <c r="FW535" s="275"/>
      <c r="FX535" s="275"/>
      <c r="FY535" s="275"/>
      <c r="FZ535" s="275"/>
      <c r="GA535" s="275"/>
      <c r="GB535" s="275"/>
      <c r="GC535" s="275"/>
      <c r="GD535" s="275"/>
      <c r="GE535" s="275"/>
      <c r="GF535" s="275"/>
      <c r="GG535" s="275"/>
      <c r="GH535" s="275"/>
      <c r="GI535" s="275"/>
      <c r="GJ535" s="275"/>
      <c r="GK535" s="275"/>
      <c r="GL535" s="275"/>
      <c r="GM535" s="275"/>
      <c r="GN535" s="275"/>
      <c r="GO535" s="275"/>
      <c r="GP535" s="275"/>
      <c r="GQ535" s="275"/>
      <c r="GR535" s="275"/>
      <c r="GS535" s="275"/>
      <c r="GT535" s="275"/>
      <c r="GU535" s="275"/>
      <c r="GV535" s="275"/>
      <c r="GW535" s="275"/>
      <c r="GX535" s="275"/>
      <c r="GY535" s="275"/>
      <c r="GZ535" s="275"/>
      <c r="HA535" s="275"/>
      <c r="HB535" s="275"/>
      <c r="HC535" s="275"/>
      <c r="HD535" s="275"/>
      <c r="HE535" s="275"/>
      <c r="HF535" s="275"/>
      <c r="HG535" s="275"/>
      <c r="HH535" s="275"/>
      <c r="HI535" s="275"/>
      <c r="HJ535" s="275"/>
      <c r="HK535" s="275"/>
      <c r="HL535" s="275"/>
      <c r="HM535" s="275"/>
      <c r="HN535" s="275"/>
      <c r="HO535" s="275"/>
      <c r="HP535" s="275"/>
      <c r="HQ535" s="275"/>
      <c r="HR535" s="275"/>
    </row>
    <row r="536" spans="1:226" s="297" customFormat="1">
      <c r="A536" s="275"/>
      <c r="B536" s="21"/>
      <c r="C536" s="21"/>
      <c r="D536" s="21"/>
      <c r="E536" s="21"/>
      <c r="F536" s="275"/>
      <c r="G536" s="275"/>
      <c r="H536" s="275"/>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J536" s="275"/>
      <c r="AK536" s="275"/>
      <c r="AL536" s="275"/>
      <c r="AM536" s="275"/>
      <c r="AN536" s="275"/>
      <c r="AO536" s="275"/>
      <c r="AQ536" s="275"/>
      <c r="AR536" s="275"/>
      <c r="AS536" s="275"/>
      <c r="AT536" s="275"/>
      <c r="AU536" s="275"/>
      <c r="AV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D536" s="275"/>
      <c r="EE536" s="275"/>
      <c r="EF536" s="275"/>
      <c r="EG536" s="275"/>
      <c r="EH536" s="275"/>
      <c r="EI536" s="275"/>
      <c r="EJ536" s="275"/>
      <c r="EK536" s="275"/>
      <c r="EL536" s="275"/>
      <c r="EM536" s="275"/>
      <c r="EN536" s="275"/>
      <c r="EO536" s="275"/>
      <c r="EP536" s="275"/>
      <c r="EQ536" s="275"/>
      <c r="ER536" s="275"/>
      <c r="ES536" s="275"/>
      <c r="ET536" s="275"/>
      <c r="EU536"/>
      <c r="EV536"/>
      <c r="EW536" s="275"/>
      <c r="EX536" s="275"/>
      <c r="EY536" s="275"/>
      <c r="EZ536" s="275"/>
      <c r="FA536" s="275"/>
      <c r="FB536" s="275"/>
      <c r="FC536" s="275"/>
      <c r="FD536" s="275"/>
      <c r="FE536" s="275"/>
      <c r="FF536" s="275"/>
      <c r="FG536" s="275"/>
      <c r="FH536" s="275"/>
      <c r="FI536" s="275"/>
      <c r="FJ536" s="275"/>
      <c r="FK536" s="275"/>
      <c r="FL536" s="275"/>
      <c r="FM536" s="275"/>
      <c r="FN536" s="275"/>
      <c r="FO536" s="275"/>
      <c r="FP536" s="275"/>
      <c r="FQ536" s="275"/>
      <c r="FR536" s="275"/>
      <c r="FS536" s="275"/>
      <c r="FT536" s="275"/>
      <c r="FU536" s="275"/>
      <c r="FV536" s="275"/>
      <c r="FW536" s="275"/>
      <c r="FX536" s="275"/>
      <c r="FY536" s="275"/>
      <c r="FZ536" s="275"/>
      <c r="GA536" s="275"/>
      <c r="GB536" s="275"/>
      <c r="GC536" s="275"/>
      <c r="GD536" s="275"/>
      <c r="GE536" s="275"/>
      <c r="GF536" s="275"/>
      <c r="GG536" s="275"/>
      <c r="GH536" s="275"/>
      <c r="GI536" s="275"/>
      <c r="GJ536" s="275"/>
      <c r="GK536" s="275"/>
      <c r="GL536" s="275"/>
      <c r="GM536" s="275"/>
      <c r="GN536" s="275"/>
      <c r="GO536" s="275"/>
      <c r="GP536" s="275"/>
      <c r="GQ536" s="275"/>
      <c r="GR536" s="275"/>
      <c r="GS536" s="275"/>
      <c r="GT536" s="275"/>
      <c r="GU536" s="275"/>
      <c r="GV536" s="275"/>
      <c r="GW536" s="275"/>
      <c r="GX536" s="275"/>
      <c r="GY536" s="275"/>
      <c r="GZ536" s="275"/>
      <c r="HA536" s="275"/>
      <c r="HB536" s="275"/>
      <c r="HC536" s="275"/>
      <c r="HD536" s="275"/>
      <c r="HE536" s="275"/>
      <c r="HF536" s="275"/>
      <c r="HG536" s="275"/>
      <c r="HH536" s="275"/>
      <c r="HI536" s="275"/>
      <c r="HJ536" s="275"/>
      <c r="HK536" s="275"/>
      <c r="HL536" s="275"/>
      <c r="HM536" s="275"/>
      <c r="HN536" s="275"/>
      <c r="HO536" s="275"/>
      <c r="HP536" s="275"/>
      <c r="HQ536" s="275"/>
      <c r="HR536" s="275"/>
    </row>
    <row r="537" spans="1:226" s="297" customFormat="1">
      <c r="A537" s="275"/>
      <c r="B537" s="21"/>
      <c r="C537" s="21"/>
      <c r="D537" s="21"/>
      <c r="E537" s="21"/>
      <c r="F537" s="275"/>
      <c r="G537" s="275"/>
      <c r="H537" s="275"/>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J537" s="275"/>
      <c r="AK537" s="275"/>
      <c r="AL537" s="275"/>
      <c r="AM537" s="275"/>
      <c r="AN537" s="275"/>
      <c r="AO537" s="275"/>
      <c r="AQ537" s="275"/>
      <c r="AR537" s="275"/>
      <c r="AS537" s="275"/>
      <c r="AT537" s="275"/>
      <c r="AU537" s="275"/>
      <c r="AV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D537" s="275"/>
      <c r="EE537" s="275"/>
      <c r="EF537" s="275"/>
      <c r="EG537" s="275"/>
      <c r="EH537" s="275"/>
      <c r="EI537" s="275"/>
      <c r="EJ537" s="275"/>
      <c r="EK537" s="275"/>
      <c r="EL537" s="275"/>
      <c r="EM537" s="275"/>
      <c r="EN537" s="275"/>
      <c r="EO537" s="275"/>
      <c r="EP537" s="275"/>
      <c r="EQ537" s="275"/>
      <c r="ER537" s="275"/>
      <c r="ES537" s="275"/>
      <c r="ET537" s="275"/>
      <c r="EU537"/>
      <c r="EV537"/>
      <c r="EW537" s="275"/>
      <c r="EX537" s="275"/>
      <c r="EY537" s="275"/>
      <c r="EZ537" s="275"/>
      <c r="FA537" s="275"/>
      <c r="FB537" s="275"/>
      <c r="FC537" s="275"/>
      <c r="FD537" s="275"/>
      <c r="FE537" s="275"/>
      <c r="FF537" s="275"/>
      <c r="FG537" s="275"/>
      <c r="FH537" s="275"/>
      <c r="FI537" s="275"/>
      <c r="FJ537" s="275"/>
      <c r="FK537" s="275"/>
      <c r="FL537" s="275"/>
      <c r="FM537" s="275"/>
      <c r="FN537" s="275"/>
      <c r="FO537" s="275"/>
      <c r="FP537" s="275"/>
      <c r="FQ537" s="275"/>
      <c r="FR537" s="275"/>
      <c r="FS537" s="275"/>
      <c r="FT537" s="275"/>
      <c r="FU537" s="275"/>
      <c r="FV537" s="275"/>
      <c r="FW537" s="275"/>
      <c r="FX537" s="275"/>
      <c r="FY537" s="275"/>
      <c r="FZ537" s="275"/>
      <c r="GA537" s="275"/>
      <c r="GB537" s="275"/>
      <c r="GC537" s="275"/>
      <c r="GD537" s="275"/>
      <c r="GE537" s="275"/>
      <c r="GF537" s="275"/>
      <c r="GG537" s="275"/>
      <c r="GH537" s="275"/>
      <c r="GI537" s="275"/>
      <c r="GJ537" s="275"/>
      <c r="GK537" s="275"/>
      <c r="GL537" s="275"/>
      <c r="GM537" s="275"/>
      <c r="GN537" s="275"/>
      <c r="GO537" s="275"/>
      <c r="GP537" s="275"/>
      <c r="GQ537" s="275"/>
      <c r="GR537" s="275"/>
      <c r="GS537" s="275"/>
      <c r="GT537" s="275"/>
      <c r="GU537" s="275"/>
      <c r="GV537" s="275"/>
      <c r="GW537" s="275"/>
      <c r="GX537" s="275"/>
      <c r="GY537" s="275"/>
      <c r="GZ537" s="275"/>
      <c r="HA537" s="275"/>
      <c r="HB537" s="275"/>
      <c r="HC537" s="275"/>
      <c r="HD537" s="275"/>
      <c r="HE537" s="275"/>
      <c r="HF537" s="275"/>
      <c r="HG537" s="275"/>
      <c r="HH537" s="275"/>
      <c r="HI537" s="275"/>
      <c r="HJ537" s="275"/>
      <c r="HK537" s="275"/>
      <c r="HL537" s="275"/>
      <c r="HM537" s="275"/>
      <c r="HN537" s="275"/>
      <c r="HO537" s="275"/>
      <c r="HP537" s="275"/>
      <c r="HQ537" s="275"/>
      <c r="HR537" s="275"/>
    </row>
    <row r="538" spans="1:226" s="297" customFormat="1">
      <c r="A538" s="275"/>
      <c r="B538" s="21"/>
      <c r="C538" s="21"/>
      <c r="D538" s="21"/>
      <c r="E538" s="21"/>
      <c r="F538" s="275"/>
      <c r="G538" s="275"/>
      <c r="H538" s="275"/>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J538" s="275"/>
      <c r="AK538" s="275"/>
      <c r="AL538" s="275"/>
      <c r="AM538" s="275"/>
      <c r="AN538" s="275"/>
      <c r="AO538" s="275"/>
      <c r="AQ538" s="275"/>
      <c r="AR538" s="275"/>
      <c r="AS538" s="275"/>
      <c r="AT538" s="275"/>
      <c r="AU538" s="275"/>
      <c r="AV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D538" s="275"/>
      <c r="EE538" s="275"/>
      <c r="EF538" s="275"/>
      <c r="EG538" s="275"/>
      <c r="EH538" s="275"/>
      <c r="EI538" s="275"/>
      <c r="EJ538" s="275"/>
      <c r="EK538" s="275"/>
      <c r="EL538" s="275"/>
      <c r="EM538" s="275"/>
      <c r="EN538" s="275"/>
      <c r="EO538" s="275"/>
      <c r="EP538" s="275"/>
      <c r="EQ538" s="275"/>
      <c r="ER538" s="275"/>
      <c r="ES538" s="275"/>
      <c r="ET538" s="275"/>
      <c r="EU538"/>
      <c r="EV538"/>
      <c r="EW538" s="275"/>
      <c r="EX538" s="275"/>
      <c r="EY538" s="275"/>
      <c r="EZ538" s="275"/>
      <c r="FA538" s="275"/>
      <c r="FB538" s="275"/>
      <c r="FC538" s="275"/>
      <c r="FD538" s="275"/>
      <c r="FE538" s="275"/>
      <c r="FF538" s="275"/>
      <c r="FG538" s="275"/>
      <c r="FH538" s="275"/>
      <c r="FI538" s="275"/>
      <c r="FJ538" s="275"/>
      <c r="FK538" s="275"/>
      <c r="FL538" s="275"/>
      <c r="FM538" s="275"/>
      <c r="FN538" s="275"/>
      <c r="FO538" s="275"/>
      <c r="FP538" s="275"/>
      <c r="FQ538" s="275"/>
      <c r="FR538" s="275"/>
      <c r="FS538" s="275"/>
      <c r="FT538" s="275"/>
      <c r="FU538" s="275"/>
      <c r="FV538" s="275"/>
      <c r="FW538" s="275"/>
      <c r="FX538" s="275"/>
      <c r="FY538" s="275"/>
      <c r="FZ538" s="275"/>
      <c r="GA538" s="275"/>
      <c r="GB538" s="275"/>
      <c r="GC538" s="275"/>
      <c r="GD538" s="275"/>
      <c r="GE538" s="275"/>
      <c r="GF538" s="275"/>
      <c r="GG538" s="275"/>
      <c r="GH538" s="275"/>
      <c r="GI538" s="275"/>
      <c r="GJ538" s="275"/>
      <c r="GK538" s="275"/>
      <c r="GL538" s="275"/>
      <c r="GM538" s="275"/>
      <c r="GN538" s="275"/>
      <c r="GO538" s="275"/>
      <c r="GP538" s="275"/>
      <c r="GQ538" s="275"/>
      <c r="GR538" s="275"/>
      <c r="GS538" s="275"/>
      <c r="GT538" s="275"/>
      <c r="GU538" s="275"/>
      <c r="GV538" s="275"/>
      <c r="GW538" s="275"/>
      <c r="GX538" s="275"/>
      <c r="GY538" s="275"/>
      <c r="GZ538" s="275"/>
      <c r="HA538" s="275"/>
      <c r="HB538" s="275"/>
      <c r="HC538" s="275"/>
      <c r="HD538" s="275"/>
      <c r="HE538" s="275"/>
      <c r="HF538" s="275"/>
      <c r="HG538" s="275"/>
      <c r="HH538" s="275"/>
      <c r="HI538" s="275"/>
      <c r="HJ538" s="275"/>
      <c r="HK538" s="275"/>
      <c r="HL538" s="275"/>
      <c r="HM538" s="275"/>
      <c r="HN538" s="275"/>
      <c r="HO538" s="275"/>
      <c r="HP538" s="275"/>
      <c r="HQ538" s="275"/>
      <c r="HR538" s="275"/>
    </row>
    <row r="539" spans="1:226" s="297" customFormat="1">
      <c r="A539" s="275"/>
      <c r="B539" s="21"/>
      <c r="C539" s="21"/>
      <c r="D539" s="21"/>
      <c r="E539" s="21"/>
      <c r="F539" s="275"/>
      <c r="G539" s="275"/>
      <c r="H539" s="275"/>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J539" s="275"/>
      <c r="AK539" s="275"/>
      <c r="AL539" s="275"/>
      <c r="AM539" s="275"/>
      <c r="AN539" s="275"/>
      <c r="AO539" s="275"/>
      <c r="AQ539" s="275"/>
      <c r="AR539" s="275"/>
      <c r="AS539" s="275"/>
      <c r="AT539" s="275"/>
      <c r="AU539" s="275"/>
      <c r="AV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D539" s="275"/>
      <c r="EE539" s="275"/>
      <c r="EF539" s="275"/>
      <c r="EG539" s="275"/>
      <c r="EH539" s="275"/>
      <c r="EI539" s="275"/>
      <c r="EJ539" s="275"/>
      <c r="EK539" s="275"/>
      <c r="EL539" s="275"/>
      <c r="EM539" s="275"/>
      <c r="EN539" s="275"/>
      <c r="EO539" s="275"/>
      <c r="EP539" s="275"/>
      <c r="EQ539" s="275"/>
      <c r="ER539" s="275"/>
      <c r="ES539" s="275"/>
      <c r="ET539" s="275"/>
      <c r="EU539"/>
      <c r="EV539"/>
      <c r="EW539" s="275"/>
      <c r="EX539" s="275"/>
      <c r="EY539" s="275"/>
      <c r="EZ539" s="275"/>
      <c r="FA539" s="275"/>
      <c r="FB539" s="275"/>
      <c r="FC539" s="275"/>
      <c r="FD539" s="275"/>
      <c r="FE539" s="275"/>
      <c r="FF539" s="275"/>
      <c r="FG539" s="275"/>
      <c r="FH539" s="275"/>
      <c r="FI539" s="275"/>
      <c r="FJ539" s="275"/>
      <c r="FK539" s="275"/>
      <c r="FL539" s="275"/>
      <c r="FM539" s="275"/>
      <c r="FN539" s="275"/>
      <c r="FO539" s="275"/>
      <c r="FP539" s="275"/>
      <c r="FQ539" s="275"/>
      <c r="FR539" s="275"/>
      <c r="FS539" s="275"/>
      <c r="FT539" s="275"/>
      <c r="FU539" s="275"/>
      <c r="FV539" s="275"/>
      <c r="FW539" s="275"/>
      <c r="FX539" s="275"/>
      <c r="FY539" s="275"/>
      <c r="FZ539" s="275"/>
      <c r="GA539" s="275"/>
      <c r="GB539" s="275"/>
      <c r="GC539" s="275"/>
      <c r="GD539" s="275"/>
      <c r="GE539" s="275"/>
      <c r="GF539" s="275"/>
      <c r="GG539" s="275"/>
      <c r="GH539" s="275"/>
      <c r="GI539" s="275"/>
      <c r="GJ539" s="275"/>
      <c r="GK539" s="275"/>
      <c r="GL539" s="275"/>
      <c r="GM539" s="275"/>
      <c r="GN539" s="275"/>
      <c r="GO539" s="275"/>
      <c r="GP539" s="275"/>
      <c r="GQ539" s="275"/>
      <c r="GR539" s="275"/>
      <c r="GS539" s="275"/>
      <c r="GT539" s="275"/>
      <c r="GU539" s="275"/>
      <c r="GV539" s="275"/>
      <c r="GW539" s="275"/>
      <c r="GX539" s="275"/>
      <c r="GY539" s="275"/>
      <c r="GZ539" s="275"/>
      <c r="HA539" s="275"/>
      <c r="HB539" s="275"/>
      <c r="HC539" s="275"/>
      <c r="HD539" s="275"/>
      <c r="HE539" s="275"/>
      <c r="HF539" s="275"/>
      <c r="HG539" s="275"/>
      <c r="HH539" s="275"/>
      <c r="HI539" s="275"/>
      <c r="HJ539" s="275"/>
      <c r="HK539" s="275"/>
      <c r="HL539" s="275"/>
      <c r="HM539" s="275"/>
      <c r="HN539" s="275"/>
      <c r="HO539" s="275"/>
      <c r="HP539" s="275"/>
      <c r="HQ539" s="275"/>
      <c r="HR539" s="275"/>
    </row>
    <row r="540" spans="1:226" s="297" customFormat="1">
      <c r="A540" s="275"/>
      <c r="B540" s="21"/>
      <c r="C540" s="21"/>
      <c r="D540" s="21"/>
      <c r="E540" s="21"/>
      <c r="F540" s="275"/>
      <c r="G540" s="275"/>
      <c r="H540" s="275"/>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J540" s="275"/>
      <c r="AK540" s="275"/>
      <c r="AL540" s="275"/>
      <c r="AM540" s="275"/>
      <c r="AN540" s="275"/>
      <c r="AO540" s="275"/>
      <c r="AQ540" s="275"/>
      <c r="AR540" s="275"/>
      <c r="AS540" s="275"/>
      <c r="AT540" s="275"/>
      <c r="AU540" s="275"/>
      <c r="AV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D540" s="275"/>
      <c r="EE540" s="275"/>
      <c r="EF540" s="275"/>
      <c r="EG540" s="275"/>
      <c r="EH540" s="275"/>
      <c r="EI540" s="275"/>
      <c r="EJ540" s="275"/>
      <c r="EK540" s="275"/>
      <c r="EL540" s="275"/>
      <c r="EM540" s="275"/>
      <c r="EN540" s="275"/>
      <c r="EO540" s="275"/>
      <c r="EP540" s="275"/>
      <c r="EQ540" s="275"/>
      <c r="ER540" s="275"/>
      <c r="ES540" s="275"/>
      <c r="ET540" s="275"/>
      <c r="EU540"/>
      <c r="EV540"/>
      <c r="EW540" s="275"/>
      <c r="EX540" s="275"/>
      <c r="EY540" s="275"/>
      <c r="EZ540" s="275"/>
      <c r="FA540" s="275"/>
      <c r="FB540" s="275"/>
      <c r="FC540" s="275"/>
      <c r="FD540" s="275"/>
      <c r="FE540" s="275"/>
      <c r="FF540" s="275"/>
      <c r="FG540" s="275"/>
      <c r="FH540" s="275"/>
      <c r="FI540" s="275"/>
      <c r="FJ540" s="275"/>
      <c r="FK540" s="275"/>
      <c r="FL540" s="275"/>
      <c r="FM540" s="275"/>
      <c r="FN540" s="275"/>
      <c r="FO540" s="275"/>
      <c r="FP540" s="275"/>
      <c r="FQ540" s="275"/>
      <c r="FR540" s="275"/>
      <c r="FS540" s="275"/>
      <c r="FT540" s="275"/>
      <c r="FU540" s="275"/>
      <c r="FV540" s="275"/>
      <c r="FW540" s="275"/>
      <c r="FX540" s="275"/>
      <c r="FY540" s="275"/>
      <c r="FZ540" s="275"/>
      <c r="GA540" s="275"/>
      <c r="GB540" s="275"/>
      <c r="GC540" s="275"/>
      <c r="GD540" s="275"/>
      <c r="GE540" s="275"/>
      <c r="GF540" s="275"/>
      <c r="GG540" s="275"/>
      <c r="GH540" s="275"/>
      <c r="GI540" s="275"/>
      <c r="GJ540" s="275"/>
      <c r="GK540" s="275"/>
      <c r="GL540" s="275"/>
      <c r="GM540" s="275"/>
      <c r="GN540" s="275"/>
      <c r="GO540" s="275"/>
      <c r="GP540" s="275"/>
      <c r="GQ540" s="275"/>
      <c r="GR540" s="275"/>
      <c r="GS540" s="275"/>
      <c r="GT540" s="275"/>
      <c r="GU540" s="275"/>
      <c r="GV540" s="275"/>
      <c r="GW540" s="275"/>
      <c r="GX540" s="275"/>
      <c r="GY540" s="275"/>
      <c r="GZ540" s="275"/>
      <c r="HA540" s="275"/>
      <c r="HB540" s="275"/>
      <c r="HC540" s="275"/>
      <c r="HD540" s="275"/>
      <c r="HE540" s="275"/>
      <c r="HF540" s="275"/>
      <c r="HG540" s="275"/>
      <c r="HH540" s="275"/>
      <c r="HI540" s="275"/>
      <c r="HJ540" s="275"/>
      <c r="HK540" s="275"/>
      <c r="HL540" s="275"/>
      <c r="HM540" s="275"/>
      <c r="HN540" s="275"/>
      <c r="HO540" s="275"/>
      <c r="HP540" s="275"/>
      <c r="HQ540" s="275"/>
      <c r="HR540" s="275"/>
    </row>
    <row r="541" spans="1:226" s="297" customFormat="1">
      <c r="A541" s="275"/>
      <c r="B541" s="21"/>
      <c r="C541" s="21"/>
      <c r="D541" s="21"/>
      <c r="E541" s="21"/>
      <c r="F541" s="275"/>
      <c r="G541" s="275"/>
      <c r="H541" s="275"/>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J541" s="275"/>
      <c r="AK541" s="275"/>
      <c r="AL541" s="275"/>
      <c r="AM541" s="275"/>
      <c r="AN541" s="275"/>
      <c r="AO541" s="275"/>
      <c r="AQ541" s="275"/>
      <c r="AR541" s="275"/>
      <c r="AS541" s="275"/>
      <c r="AT541" s="275"/>
      <c r="AU541" s="275"/>
      <c r="AV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D541" s="275"/>
      <c r="EE541" s="275"/>
      <c r="EF541" s="275"/>
      <c r="EG541" s="275"/>
      <c r="EH541" s="275"/>
      <c r="EI541" s="275"/>
      <c r="EJ541" s="275"/>
      <c r="EK541" s="275"/>
      <c r="EL541" s="275"/>
      <c r="EM541" s="275"/>
      <c r="EN541" s="275"/>
      <c r="EO541" s="275"/>
      <c r="EP541" s="275"/>
      <c r="EQ541" s="275"/>
      <c r="ER541" s="275"/>
      <c r="ES541" s="275"/>
      <c r="ET541" s="275"/>
      <c r="EU541"/>
      <c r="EV541"/>
      <c r="EW541" s="275"/>
      <c r="EX541" s="275"/>
      <c r="EY541" s="275"/>
      <c r="EZ541" s="275"/>
      <c r="FA541" s="275"/>
      <c r="FB541" s="275"/>
      <c r="FC541" s="275"/>
      <c r="FD541" s="275"/>
      <c r="FE541" s="275"/>
      <c r="FF541" s="275"/>
      <c r="FG541" s="275"/>
      <c r="FH541" s="275"/>
      <c r="FI541" s="275"/>
      <c r="FJ541" s="275"/>
      <c r="FK541" s="275"/>
      <c r="FL541" s="275"/>
      <c r="FM541" s="275"/>
      <c r="FN541" s="275"/>
      <c r="FO541" s="275"/>
      <c r="FP541" s="275"/>
      <c r="FQ541" s="275"/>
      <c r="FR541" s="275"/>
      <c r="FS541" s="275"/>
      <c r="FT541" s="275"/>
      <c r="FU541" s="275"/>
      <c r="FV541" s="275"/>
      <c r="FW541" s="275"/>
      <c r="FX541" s="275"/>
      <c r="FY541" s="275"/>
      <c r="FZ541" s="275"/>
      <c r="GA541" s="275"/>
      <c r="GB541" s="275"/>
      <c r="GC541" s="275"/>
      <c r="GD541" s="275"/>
      <c r="GE541" s="275"/>
      <c r="GF541" s="275"/>
      <c r="GG541" s="275"/>
      <c r="GH541" s="275"/>
      <c r="GI541" s="275"/>
      <c r="GJ541" s="275"/>
      <c r="GK541" s="275"/>
      <c r="GL541" s="275"/>
      <c r="GM541" s="275"/>
      <c r="GN541" s="275"/>
      <c r="GO541" s="275"/>
      <c r="GP541" s="275"/>
      <c r="GQ541" s="275"/>
      <c r="GR541" s="275"/>
      <c r="GS541" s="275"/>
      <c r="GT541" s="275"/>
      <c r="GU541" s="275"/>
      <c r="GV541" s="275"/>
      <c r="GW541" s="275"/>
      <c r="GX541" s="275"/>
      <c r="GY541" s="275"/>
      <c r="GZ541" s="275"/>
      <c r="HA541" s="275"/>
      <c r="HB541" s="275"/>
      <c r="HC541" s="275"/>
      <c r="HD541" s="275"/>
      <c r="HE541" s="275"/>
      <c r="HF541" s="275"/>
      <c r="HG541" s="275"/>
      <c r="HH541" s="275"/>
      <c r="HI541" s="275"/>
      <c r="HJ541" s="275"/>
      <c r="HK541" s="275"/>
      <c r="HL541" s="275"/>
      <c r="HM541" s="275"/>
      <c r="HN541" s="275"/>
      <c r="HO541" s="275"/>
      <c r="HP541" s="275"/>
      <c r="HQ541" s="275"/>
      <c r="HR541" s="275"/>
    </row>
    <row r="542" spans="1:226" s="297" customFormat="1">
      <c r="A542" s="275"/>
      <c r="B542" s="21"/>
      <c r="C542" s="21"/>
      <c r="D542" s="21"/>
      <c r="E542" s="21"/>
      <c r="F542" s="275"/>
      <c r="G542" s="275"/>
      <c r="H542" s="275"/>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J542" s="275"/>
      <c r="AK542" s="275"/>
      <c r="AL542" s="275"/>
      <c r="AM542" s="275"/>
      <c r="AN542" s="275"/>
      <c r="AO542" s="275"/>
      <c r="AQ542" s="275"/>
      <c r="AR542" s="275"/>
      <c r="AS542" s="275"/>
      <c r="AT542" s="275"/>
      <c r="AU542" s="275"/>
      <c r="AV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D542" s="275"/>
      <c r="EE542" s="275"/>
      <c r="EF542" s="275"/>
      <c r="EG542" s="275"/>
      <c r="EH542" s="275"/>
      <c r="EI542" s="275"/>
      <c r="EJ542" s="275"/>
      <c r="EK542" s="275"/>
      <c r="EL542" s="275"/>
      <c r="EM542" s="275"/>
      <c r="EN542" s="275"/>
      <c r="EO542" s="275"/>
      <c r="EP542" s="275"/>
      <c r="EQ542" s="275"/>
      <c r="ER542" s="275"/>
      <c r="ES542" s="275"/>
      <c r="ET542" s="275"/>
      <c r="EU542"/>
      <c r="EV542"/>
      <c r="EW542" s="275"/>
      <c r="EX542" s="275"/>
      <c r="EY542" s="275"/>
      <c r="EZ542" s="275"/>
      <c r="FA542" s="275"/>
      <c r="FB542" s="275"/>
      <c r="FC542" s="275"/>
      <c r="FD542" s="275"/>
      <c r="FE542" s="275"/>
      <c r="FF542" s="275"/>
      <c r="FG542" s="275"/>
      <c r="FH542" s="275"/>
      <c r="FI542" s="275"/>
      <c r="FJ542" s="275"/>
      <c r="FK542" s="275"/>
      <c r="FL542" s="275"/>
      <c r="FM542" s="275"/>
      <c r="FN542" s="275"/>
      <c r="FO542" s="275"/>
      <c r="FP542" s="275"/>
      <c r="FQ542" s="275"/>
      <c r="FR542" s="275"/>
      <c r="FS542" s="275"/>
      <c r="FT542" s="275"/>
      <c r="FU542" s="275"/>
      <c r="FV542" s="275"/>
      <c r="FW542" s="275"/>
      <c r="FX542" s="275"/>
      <c r="FY542" s="275"/>
      <c r="FZ542" s="275"/>
      <c r="GA542" s="275"/>
      <c r="GB542" s="275"/>
      <c r="GC542" s="275"/>
      <c r="GD542" s="275"/>
      <c r="GE542" s="275"/>
      <c r="GF542" s="275"/>
      <c r="GG542" s="275"/>
      <c r="GH542" s="275"/>
      <c r="GI542" s="275"/>
      <c r="GJ542" s="275"/>
      <c r="GK542" s="275"/>
      <c r="GL542" s="275"/>
      <c r="GM542" s="275"/>
      <c r="GN542" s="275"/>
      <c r="GO542" s="275"/>
      <c r="GP542" s="275"/>
      <c r="GQ542" s="275"/>
      <c r="GR542" s="275"/>
      <c r="GS542" s="275"/>
      <c r="GT542" s="275"/>
      <c r="GU542" s="275"/>
      <c r="GV542" s="275"/>
      <c r="GW542" s="275"/>
      <c r="GX542" s="275"/>
      <c r="GY542" s="275"/>
      <c r="GZ542" s="275"/>
      <c r="HA542" s="275"/>
      <c r="HB542" s="275"/>
      <c r="HC542" s="275"/>
      <c r="HD542" s="275"/>
      <c r="HE542" s="275"/>
      <c r="HF542" s="275"/>
      <c r="HG542" s="275"/>
      <c r="HH542" s="275"/>
      <c r="HI542" s="275"/>
      <c r="HJ542" s="275"/>
      <c r="HK542" s="275"/>
      <c r="HL542" s="275"/>
      <c r="HM542" s="275"/>
      <c r="HN542" s="275"/>
      <c r="HO542" s="275"/>
      <c r="HP542" s="275"/>
      <c r="HQ542" s="275"/>
      <c r="HR542" s="275"/>
    </row>
    <row r="543" spans="1:226" s="297" customFormat="1">
      <c r="A543" s="275"/>
      <c r="B543" s="21"/>
      <c r="C543" s="21"/>
      <c r="D543" s="21"/>
      <c r="E543" s="21"/>
      <c r="F543" s="275"/>
      <c r="G543" s="275"/>
      <c r="H543" s="275"/>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J543" s="275"/>
      <c r="AK543" s="275"/>
      <c r="AL543" s="275"/>
      <c r="AM543" s="275"/>
      <c r="AN543" s="275"/>
      <c r="AO543" s="275"/>
      <c r="AQ543" s="275"/>
      <c r="AR543" s="275"/>
      <c r="AS543" s="275"/>
      <c r="AT543" s="275"/>
      <c r="AU543" s="275"/>
      <c r="AV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D543" s="275"/>
      <c r="EE543" s="275"/>
      <c r="EF543" s="275"/>
      <c r="EG543" s="275"/>
      <c r="EH543" s="275"/>
      <c r="EI543" s="275"/>
      <c r="EJ543" s="275"/>
      <c r="EK543" s="275"/>
      <c r="EL543" s="275"/>
      <c r="EM543" s="275"/>
      <c r="EN543" s="275"/>
      <c r="EO543" s="275"/>
      <c r="EP543" s="275"/>
      <c r="EQ543" s="275"/>
      <c r="ER543" s="275"/>
      <c r="ES543" s="275"/>
      <c r="ET543" s="275"/>
      <c r="EU543"/>
      <c r="EV543"/>
      <c r="EW543" s="275"/>
      <c r="EX543" s="275"/>
      <c r="EY543" s="275"/>
      <c r="EZ543" s="275"/>
      <c r="FA543" s="275"/>
      <c r="FB543" s="275"/>
      <c r="FC543" s="275"/>
      <c r="FD543" s="275"/>
      <c r="FE543" s="275"/>
      <c r="FF543" s="275"/>
      <c r="FG543" s="275"/>
      <c r="FH543" s="275"/>
      <c r="FI543" s="275"/>
      <c r="FJ543" s="275"/>
      <c r="FK543" s="275"/>
      <c r="FL543" s="275"/>
      <c r="FM543" s="275"/>
      <c r="FN543" s="275"/>
      <c r="FO543" s="275"/>
      <c r="FP543" s="275"/>
      <c r="FQ543" s="275"/>
      <c r="FR543" s="275"/>
      <c r="FS543" s="275"/>
      <c r="FT543" s="275"/>
      <c r="FU543" s="275"/>
      <c r="FV543" s="275"/>
      <c r="FW543" s="275"/>
      <c r="FX543" s="275"/>
      <c r="FY543" s="275"/>
      <c r="FZ543" s="275"/>
      <c r="GA543" s="275"/>
      <c r="GB543" s="275"/>
      <c r="GC543" s="275"/>
      <c r="GD543" s="275"/>
      <c r="GE543" s="275"/>
      <c r="GF543" s="275"/>
      <c r="GG543" s="275"/>
      <c r="GH543" s="275"/>
      <c r="GI543" s="275"/>
      <c r="GJ543" s="275"/>
      <c r="GK543" s="275"/>
      <c r="GL543" s="275"/>
      <c r="GM543" s="275"/>
      <c r="GN543" s="275"/>
      <c r="GO543" s="275"/>
      <c r="GP543" s="275"/>
      <c r="GQ543" s="275"/>
      <c r="GR543" s="275"/>
      <c r="GS543" s="275"/>
      <c r="GT543" s="275"/>
      <c r="GU543" s="275"/>
      <c r="GV543" s="275"/>
      <c r="GW543" s="275"/>
      <c r="GX543" s="275"/>
      <c r="GY543" s="275"/>
      <c r="GZ543" s="275"/>
      <c r="HA543" s="275"/>
      <c r="HB543" s="275"/>
      <c r="HC543" s="275"/>
      <c r="HD543" s="275"/>
      <c r="HE543" s="275"/>
      <c r="HF543" s="275"/>
      <c r="HG543" s="275"/>
      <c r="HH543" s="275"/>
      <c r="HI543" s="275"/>
      <c r="HJ543" s="275"/>
      <c r="HK543" s="275"/>
      <c r="HL543" s="275"/>
      <c r="HM543" s="275"/>
      <c r="HN543" s="275"/>
      <c r="HO543" s="275"/>
      <c r="HP543" s="275"/>
      <c r="HQ543" s="275"/>
      <c r="HR543" s="275"/>
    </row>
    <row r="544" spans="1:226" s="297" customFormat="1">
      <c r="A544" s="275"/>
      <c r="B544" s="21"/>
      <c r="C544" s="21"/>
      <c r="D544" s="21"/>
      <c r="E544" s="21"/>
      <c r="F544" s="275"/>
      <c r="G544" s="275"/>
      <c r="H544" s="275"/>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J544" s="275"/>
      <c r="AK544" s="275"/>
      <c r="AL544" s="275"/>
      <c r="AM544" s="275"/>
      <c r="AN544" s="275"/>
      <c r="AO544" s="275"/>
      <c r="AQ544" s="275"/>
      <c r="AR544" s="275"/>
      <c r="AS544" s="275"/>
      <c r="AT544" s="275"/>
      <c r="AU544" s="275"/>
      <c r="AV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D544" s="275"/>
      <c r="EE544" s="275"/>
      <c r="EF544" s="275"/>
      <c r="EG544" s="275"/>
      <c r="EH544" s="275"/>
      <c r="EI544" s="275"/>
      <c r="EJ544" s="275"/>
      <c r="EK544" s="275"/>
      <c r="EL544" s="275"/>
      <c r="EM544" s="275"/>
      <c r="EN544" s="275"/>
      <c r="EO544" s="275"/>
      <c r="EP544" s="275"/>
      <c r="EQ544" s="275"/>
      <c r="ER544" s="275"/>
      <c r="ES544" s="275"/>
      <c r="ET544" s="275"/>
      <c r="EU544"/>
      <c r="EV544"/>
      <c r="EW544" s="275"/>
      <c r="EX544" s="275"/>
      <c r="EY544" s="275"/>
      <c r="EZ544" s="275"/>
      <c r="FA544" s="275"/>
      <c r="FB544" s="275"/>
      <c r="FC544" s="275"/>
      <c r="FD544" s="275"/>
      <c r="FE544" s="275"/>
      <c r="FF544" s="275"/>
      <c r="FG544" s="275"/>
      <c r="FH544" s="275"/>
      <c r="FI544" s="275"/>
      <c r="FJ544" s="275"/>
      <c r="FK544" s="275"/>
      <c r="FL544" s="275"/>
      <c r="FM544" s="275"/>
      <c r="FN544" s="275"/>
      <c r="FO544" s="275"/>
      <c r="FP544" s="275"/>
      <c r="FQ544" s="275"/>
      <c r="FR544" s="275"/>
      <c r="FS544" s="275"/>
      <c r="FT544" s="275"/>
      <c r="FU544" s="275"/>
      <c r="FV544" s="275"/>
      <c r="FW544" s="275"/>
      <c r="FX544" s="275"/>
      <c r="FY544" s="275"/>
      <c r="FZ544" s="275"/>
      <c r="GA544" s="275"/>
      <c r="GB544" s="275"/>
      <c r="GC544" s="275"/>
      <c r="GD544" s="275"/>
      <c r="GE544" s="275"/>
      <c r="GF544" s="275"/>
      <c r="GG544" s="275"/>
      <c r="GH544" s="275"/>
      <c r="GI544" s="275"/>
      <c r="GJ544" s="275"/>
      <c r="GK544" s="275"/>
      <c r="GL544" s="275"/>
      <c r="GM544" s="275"/>
      <c r="GN544" s="275"/>
      <c r="GO544" s="275"/>
      <c r="GP544" s="275"/>
      <c r="GQ544" s="275"/>
      <c r="GR544" s="275"/>
      <c r="GS544" s="275"/>
      <c r="GT544" s="275"/>
      <c r="GU544" s="275"/>
      <c r="GV544" s="275"/>
      <c r="GW544" s="275"/>
      <c r="GX544" s="275"/>
      <c r="GY544" s="275"/>
      <c r="GZ544" s="275"/>
      <c r="HA544" s="275"/>
      <c r="HB544" s="275"/>
      <c r="HC544" s="275"/>
      <c r="HD544" s="275"/>
      <c r="HE544" s="275"/>
      <c r="HF544" s="275"/>
      <c r="HG544" s="275"/>
      <c r="HH544" s="275"/>
      <c r="HI544" s="275"/>
      <c r="HJ544" s="275"/>
      <c r="HK544" s="275"/>
      <c r="HL544" s="275"/>
      <c r="HM544" s="275"/>
      <c r="HN544" s="275"/>
      <c r="HO544" s="275"/>
      <c r="HP544" s="275"/>
      <c r="HQ544" s="275"/>
      <c r="HR544" s="275"/>
    </row>
    <row r="545" spans="1:226" s="297" customFormat="1">
      <c r="A545" s="275"/>
      <c r="B545" s="21"/>
      <c r="C545" s="21"/>
      <c r="D545" s="21"/>
      <c r="E545" s="21"/>
      <c r="F545" s="275"/>
      <c r="G545" s="275"/>
      <c r="H545" s="275"/>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J545" s="275"/>
      <c r="AK545" s="275"/>
      <c r="AL545" s="275"/>
      <c r="AM545" s="275"/>
      <c r="AN545" s="275"/>
      <c r="AO545" s="275"/>
      <c r="AQ545" s="275"/>
      <c r="AR545" s="275"/>
      <c r="AS545" s="275"/>
      <c r="AT545" s="275"/>
      <c r="AU545" s="275"/>
      <c r="AV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D545" s="275"/>
      <c r="EE545" s="275"/>
      <c r="EF545" s="275"/>
      <c r="EG545" s="275"/>
      <c r="EH545" s="275"/>
      <c r="EI545" s="275"/>
      <c r="EJ545" s="275"/>
      <c r="EK545" s="275"/>
      <c r="EL545" s="275"/>
      <c r="EM545" s="275"/>
      <c r="EN545" s="275"/>
      <c r="EO545" s="275"/>
      <c r="EP545" s="275"/>
      <c r="EQ545" s="275"/>
      <c r="ER545" s="275"/>
      <c r="ES545" s="275"/>
      <c r="ET545" s="275"/>
      <c r="EU545"/>
      <c r="EV545"/>
      <c r="EW545" s="275"/>
      <c r="EX545" s="275"/>
      <c r="EY545" s="275"/>
      <c r="EZ545" s="275"/>
      <c r="FA545" s="275"/>
      <c r="FB545" s="275"/>
      <c r="FC545" s="275"/>
      <c r="FD545" s="275"/>
      <c r="FE545" s="275"/>
      <c r="FF545" s="275"/>
      <c r="FG545" s="275"/>
      <c r="FH545" s="275"/>
      <c r="FI545" s="275"/>
      <c r="FJ545" s="275"/>
      <c r="FK545" s="275"/>
      <c r="FL545" s="275"/>
      <c r="FM545" s="275"/>
      <c r="FN545" s="275"/>
      <c r="FO545" s="275"/>
      <c r="FP545" s="275"/>
      <c r="FQ545" s="275"/>
      <c r="FR545" s="275"/>
      <c r="FS545" s="275"/>
      <c r="FT545" s="275"/>
      <c r="FU545" s="275"/>
      <c r="FV545" s="275"/>
      <c r="FW545" s="275"/>
      <c r="FX545" s="275"/>
      <c r="FY545" s="275"/>
      <c r="FZ545" s="275"/>
      <c r="GA545" s="275"/>
      <c r="GB545" s="275"/>
      <c r="GC545" s="275"/>
      <c r="GD545" s="275"/>
      <c r="GE545" s="275"/>
      <c r="GF545" s="275"/>
      <c r="GG545" s="275"/>
      <c r="GH545" s="275"/>
      <c r="GI545" s="275"/>
      <c r="GJ545" s="275"/>
      <c r="GK545" s="275"/>
      <c r="GL545" s="275"/>
      <c r="GM545" s="275"/>
      <c r="GN545" s="275"/>
      <c r="GO545" s="275"/>
      <c r="GP545" s="275"/>
      <c r="GQ545" s="275"/>
      <c r="GR545" s="275"/>
      <c r="GS545" s="275"/>
      <c r="GT545" s="275"/>
      <c r="GU545" s="275"/>
      <c r="GV545" s="275"/>
      <c r="GW545" s="275"/>
      <c r="GX545" s="275"/>
      <c r="GY545" s="275"/>
      <c r="GZ545" s="275"/>
      <c r="HA545" s="275"/>
      <c r="HB545" s="275"/>
      <c r="HC545" s="275"/>
      <c r="HD545" s="275"/>
      <c r="HE545" s="275"/>
      <c r="HF545" s="275"/>
      <c r="HG545" s="275"/>
      <c r="HH545" s="275"/>
      <c r="HI545" s="275"/>
      <c r="HJ545" s="275"/>
      <c r="HK545" s="275"/>
      <c r="HL545" s="275"/>
      <c r="HM545" s="275"/>
      <c r="HN545" s="275"/>
      <c r="HO545" s="275"/>
      <c r="HP545" s="275"/>
      <c r="HQ545" s="275"/>
      <c r="HR545" s="275"/>
    </row>
    <row r="546" spans="1:226" s="297" customFormat="1">
      <c r="A546" s="275"/>
      <c r="B546" s="21"/>
      <c r="C546" s="21"/>
      <c r="D546" s="21"/>
      <c r="E546" s="21"/>
      <c r="F546" s="275"/>
      <c r="G546" s="275"/>
      <c r="H546" s="275"/>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J546" s="275"/>
      <c r="AK546" s="275"/>
      <c r="AL546" s="275"/>
      <c r="AM546" s="275"/>
      <c r="AN546" s="275"/>
      <c r="AO546" s="275"/>
      <c r="AQ546" s="275"/>
      <c r="AR546" s="275"/>
      <c r="AS546" s="275"/>
      <c r="AT546" s="275"/>
      <c r="AU546" s="275"/>
      <c r="AV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D546" s="275"/>
      <c r="EE546" s="275"/>
      <c r="EF546" s="275"/>
      <c r="EG546" s="275"/>
      <c r="EH546" s="275"/>
      <c r="EI546" s="275"/>
      <c r="EJ546" s="275"/>
      <c r="EK546" s="275"/>
      <c r="EL546" s="275"/>
      <c r="EM546" s="275"/>
      <c r="EN546" s="275"/>
      <c r="EO546" s="275"/>
      <c r="EP546" s="275"/>
      <c r="EQ546" s="275"/>
      <c r="ER546" s="275"/>
      <c r="ES546" s="275"/>
      <c r="ET546" s="275"/>
      <c r="EU546"/>
      <c r="EV546"/>
      <c r="EW546" s="275"/>
      <c r="EX546" s="275"/>
      <c r="EY546" s="275"/>
      <c r="EZ546" s="275"/>
      <c r="FA546" s="275"/>
      <c r="FB546" s="275"/>
      <c r="FC546" s="275"/>
      <c r="FD546" s="275"/>
      <c r="FE546" s="275"/>
      <c r="FF546" s="275"/>
      <c r="FG546" s="275"/>
      <c r="FH546" s="275"/>
      <c r="FI546" s="275"/>
      <c r="FJ546" s="275"/>
      <c r="FK546" s="275"/>
      <c r="FL546" s="275"/>
      <c r="FM546" s="275"/>
      <c r="FN546" s="275"/>
      <c r="FO546" s="275"/>
      <c r="FP546" s="275"/>
      <c r="FQ546" s="275"/>
      <c r="FR546" s="275"/>
      <c r="FS546" s="275"/>
      <c r="FT546" s="275"/>
      <c r="FU546" s="275"/>
      <c r="FV546" s="275"/>
      <c r="FW546" s="275"/>
      <c r="FX546" s="275"/>
      <c r="FY546" s="275"/>
      <c r="FZ546" s="275"/>
      <c r="GA546" s="275"/>
      <c r="GB546" s="275"/>
      <c r="GC546" s="275"/>
      <c r="GD546" s="275"/>
      <c r="GE546" s="275"/>
      <c r="GF546" s="275"/>
      <c r="GG546" s="275"/>
      <c r="GH546" s="275"/>
      <c r="GI546" s="275"/>
      <c r="GJ546" s="275"/>
      <c r="GK546" s="275"/>
      <c r="GL546" s="275"/>
      <c r="GM546" s="275"/>
      <c r="GN546" s="275"/>
      <c r="GO546" s="275"/>
      <c r="GP546" s="275"/>
      <c r="GQ546" s="275"/>
      <c r="GR546" s="275"/>
      <c r="GS546" s="275"/>
      <c r="GT546" s="275"/>
      <c r="GU546" s="275"/>
      <c r="GV546" s="275"/>
      <c r="GW546" s="275"/>
      <c r="GX546" s="275"/>
      <c r="GY546" s="275"/>
      <c r="GZ546" s="275"/>
      <c r="HA546" s="275"/>
      <c r="HB546" s="275"/>
      <c r="HC546" s="275"/>
      <c r="HD546" s="275"/>
      <c r="HE546" s="275"/>
      <c r="HF546" s="275"/>
      <c r="HG546" s="275"/>
      <c r="HH546" s="275"/>
      <c r="HI546" s="275"/>
      <c r="HJ546" s="275"/>
      <c r="HK546" s="275"/>
      <c r="HL546" s="275"/>
      <c r="HM546" s="275"/>
      <c r="HN546" s="275"/>
      <c r="HO546" s="275"/>
      <c r="HP546" s="275"/>
      <c r="HQ546" s="275"/>
      <c r="HR546" s="275"/>
    </row>
    <row r="547" spans="1:226" s="297" customFormat="1">
      <c r="A547" s="275"/>
      <c r="B547" s="21"/>
      <c r="C547" s="21"/>
      <c r="D547" s="21"/>
      <c r="E547" s="21"/>
      <c r="F547" s="275"/>
      <c r="G547" s="275"/>
      <c r="H547" s="275"/>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J547" s="275"/>
      <c r="AK547" s="275"/>
      <c r="AL547" s="275"/>
      <c r="AM547" s="275"/>
      <c r="AN547" s="275"/>
      <c r="AO547" s="275"/>
      <c r="AQ547" s="275"/>
      <c r="AR547" s="275"/>
      <c r="AS547" s="275"/>
      <c r="AT547" s="275"/>
      <c r="AU547" s="275"/>
      <c r="AV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D547" s="275"/>
      <c r="EE547" s="275"/>
      <c r="EF547" s="275"/>
      <c r="EG547" s="275"/>
      <c r="EH547" s="275"/>
      <c r="EI547" s="275"/>
      <c r="EJ547" s="275"/>
      <c r="EK547" s="275"/>
      <c r="EL547" s="275"/>
      <c r="EM547" s="275"/>
      <c r="EN547" s="275"/>
      <c r="EO547" s="275"/>
      <c r="EP547" s="275"/>
      <c r="EQ547" s="275"/>
      <c r="ER547" s="275"/>
      <c r="ES547" s="275"/>
      <c r="ET547" s="275"/>
      <c r="EU547"/>
      <c r="EV547"/>
      <c r="EW547" s="275"/>
      <c r="EX547" s="275"/>
      <c r="EY547" s="275"/>
      <c r="EZ547" s="275"/>
      <c r="FA547" s="275"/>
      <c r="FB547" s="275"/>
      <c r="FC547" s="275"/>
      <c r="FD547" s="275"/>
      <c r="FE547" s="275"/>
      <c r="FF547" s="275"/>
      <c r="FG547" s="275"/>
      <c r="FH547" s="275"/>
      <c r="FI547" s="275"/>
      <c r="FJ547" s="275"/>
      <c r="FK547" s="275"/>
      <c r="FL547" s="275"/>
      <c r="FM547" s="275"/>
      <c r="FN547" s="275"/>
      <c r="FO547" s="275"/>
      <c r="FP547" s="275"/>
      <c r="FQ547" s="275"/>
      <c r="FR547" s="275"/>
      <c r="FS547" s="275"/>
      <c r="FT547" s="275"/>
      <c r="FU547" s="275"/>
      <c r="FV547" s="275"/>
      <c r="FW547" s="275"/>
      <c r="FX547" s="275"/>
      <c r="FY547" s="275"/>
      <c r="FZ547" s="275"/>
      <c r="GA547" s="275"/>
      <c r="GB547" s="275"/>
      <c r="GC547" s="275"/>
      <c r="GD547" s="275"/>
      <c r="GE547" s="275"/>
      <c r="GF547" s="275"/>
      <c r="GG547" s="275"/>
      <c r="GH547" s="275"/>
      <c r="GI547" s="275"/>
      <c r="GJ547" s="275"/>
      <c r="GK547" s="275"/>
      <c r="GL547" s="275"/>
      <c r="GM547" s="275"/>
      <c r="GN547" s="275"/>
      <c r="GO547" s="275"/>
      <c r="GP547" s="275"/>
      <c r="GQ547" s="275"/>
      <c r="GR547" s="275"/>
      <c r="GS547" s="275"/>
      <c r="GT547" s="275"/>
      <c r="GU547" s="275"/>
      <c r="GV547" s="275"/>
      <c r="GW547" s="275"/>
      <c r="GX547" s="275"/>
      <c r="GY547" s="275"/>
      <c r="GZ547" s="275"/>
      <c r="HA547" s="275"/>
      <c r="HB547" s="275"/>
      <c r="HC547" s="275"/>
      <c r="HD547" s="275"/>
      <c r="HE547" s="275"/>
      <c r="HF547" s="275"/>
      <c r="HG547" s="275"/>
      <c r="HH547" s="275"/>
      <c r="HI547" s="275"/>
      <c r="HJ547" s="275"/>
      <c r="HK547" s="275"/>
      <c r="HL547" s="275"/>
      <c r="HM547" s="275"/>
      <c r="HN547" s="275"/>
      <c r="HO547" s="275"/>
      <c r="HP547" s="275"/>
      <c r="HQ547" s="275"/>
      <c r="HR547" s="275"/>
    </row>
    <row r="548" spans="1:226" s="297" customFormat="1">
      <c r="A548" s="275"/>
      <c r="B548" s="21"/>
      <c r="C548" s="21"/>
      <c r="D548" s="21"/>
      <c r="E548" s="21"/>
      <c r="F548" s="275"/>
      <c r="G548" s="275"/>
      <c r="H548" s="275"/>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J548" s="275"/>
      <c r="AK548" s="275"/>
      <c r="AL548" s="275"/>
      <c r="AM548" s="275"/>
      <c r="AN548" s="275"/>
      <c r="AO548" s="275"/>
      <c r="AQ548" s="275"/>
      <c r="AR548" s="275"/>
      <c r="AS548" s="275"/>
      <c r="AT548" s="275"/>
      <c r="AU548" s="275"/>
      <c r="AV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D548" s="275"/>
      <c r="EE548" s="275"/>
      <c r="EF548" s="275"/>
      <c r="EG548" s="275"/>
      <c r="EH548" s="275"/>
      <c r="EI548" s="275"/>
      <c r="EJ548" s="275"/>
      <c r="EK548" s="275"/>
      <c r="EL548" s="275"/>
      <c r="EM548" s="275"/>
      <c r="EN548" s="275"/>
      <c r="EO548" s="275"/>
      <c r="EP548" s="275"/>
      <c r="EQ548" s="275"/>
      <c r="ER548" s="275"/>
      <c r="ES548" s="275"/>
      <c r="ET548" s="275"/>
      <c r="EU548"/>
      <c r="EV548"/>
      <c r="EW548" s="275"/>
      <c r="EX548" s="275"/>
      <c r="EY548" s="275"/>
      <c r="EZ548" s="275"/>
      <c r="FA548" s="275"/>
      <c r="FB548" s="275"/>
      <c r="FC548" s="275"/>
      <c r="FD548" s="275"/>
      <c r="FE548" s="275"/>
      <c r="FF548" s="275"/>
      <c r="FG548" s="275"/>
      <c r="FH548" s="275"/>
      <c r="FI548" s="275"/>
      <c r="FJ548" s="275"/>
      <c r="FK548" s="275"/>
      <c r="FL548" s="275"/>
      <c r="FM548" s="275"/>
      <c r="FN548" s="275"/>
      <c r="FO548" s="275"/>
      <c r="FP548" s="275"/>
      <c r="FQ548" s="275"/>
      <c r="FR548" s="275"/>
      <c r="FS548" s="275"/>
      <c r="FT548" s="275"/>
      <c r="FU548" s="275"/>
      <c r="FV548" s="275"/>
      <c r="FW548" s="275"/>
      <c r="FX548" s="275"/>
      <c r="FY548" s="275"/>
      <c r="FZ548" s="275"/>
      <c r="GA548" s="275"/>
      <c r="GB548" s="275"/>
      <c r="GC548" s="275"/>
      <c r="GD548" s="275"/>
      <c r="GE548" s="275"/>
      <c r="GF548" s="275"/>
      <c r="GG548" s="275"/>
      <c r="GH548" s="275"/>
      <c r="GI548" s="275"/>
      <c r="GJ548" s="275"/>
      <c r="GK548" s="275"/>
      <c r="GL548" s="275"/>
      <c r="GM548" s="275"/>
      <c r="GN548" s="275"/>
      <c r="GO548" s="275"/>
      <c r="GP548" s="275"/>
      <c r="GQ548" s="275"/>
      <c r="GR548" s="275"/>
      <c r="GS548" s="275"/>
      <c r="GT548" s="275"/>
      <c r="GU548" s="275"/>
      <c r="GV548" s="275"/>
      <c r="GW548" s="275"/>
      <c r="GX548" s="275"/>
      <c r="GY548" s="275"/>
      <c r="GZ548" s="275"/>
      <c r="HA548" s="275"/>
      <c r="HB548" s="275"/>
      <c r="HC548" s="275"/>
      <c r="HD548" s="275"/>
      <c r="HE548" s="275"/>
      <c r="HF548" s="275"/>
      <c r="HG548" s="275"/>
      <c r="HH548" s="275"/>
      <c r="HI548" s="275"/>
      <c r="HJ548" s="275"/>
      <c r="HK548" s="275"/>
      <c r="HL548" s="275"/>
      <c r="HM548" s="275"/>
      <c r="HN548" s="275"/>
      <c r="HO548" s="275"/>
      <c r="HP548" s="275"/>
      <c r="HQ548" s="275"/>
      <c r="HR548" s="275"/>
    </row>
    <row r="549" spans="1:226" s="297" customFormat="1">
      <c r="A549" s="275"/>
      <c r="B549" s="21"/>
      <c r="C549" s="21"/>
      <c r="D549" s="21"/>
      <c r="E549" s="21"/>
      <c r="F549" s="275"/>
      <c r="G549" s="275"/>
      <c r="H549" s="275"/>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J549" s="275"/>
      <c r="AK549" s="275"/>
      <c r="AL549" s="275"/>
      <c r="AM549" s="275"/>
      <c r="AN549" s="275"/>
      <c r="AO549" s="275"/>
      <c r="AQ549" s="275"/>
      <c r="AR549" s="275"/>
      <c r="AS549" s="275"/>
      <c r="AT549" s="275"/>
      <c r="AU549" s="275"/>
      <c r="AV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D549" s="275"/>
      <c r="EE549" s="275"/>
      <c r="EF549" s="275"/>
      <c r="EG549" s="275"/>
      <c r="EH549" s="275"/>
      <c r="EI549" s="275"/>
      <c r="EJ549" s="275"/>
      <c r="EK549" s="275"/>
      <c r="EL549" s="275"/>
      <c r="EM549" s="275"/>
      <c r="EN549" s="275"/>
      <c r="EO549" s="275"/>
      <c r="EP549" s="275"/>
      <c r="EQ549" s="275"/>
      <c r="ER549" s="275"/>
      <c r="ES549" s="275"/>
      <c r="ET549" s="275"/>
      <c r="EU549"/>
      <c r="EV549"/>
      <c r="EW549" s="275"/>
      <c r="EX549" s="275"/>
      <c r="EY549" s="275"/>
      <c r="EZ549" s="275"/>
      <c r="FA549" s="275"/>
      <c r="FB549" s="275"/>
      <c r="FC549" s="275"/>
      <c r="FD549" s="275"/>
      <c r="FE549" s="275"/>
      <c r="FF549" s="275"/>
      <c r="FG549" s="275"/>
      <c r="FH549" s="275"/>
      <c r="FI549" s="275"/>
      <c r="FJ549" s="275"/>
      <c r="FK549" s="275"/>
      <c r="FL549" s="275"/>
      <c r="FM549" s="275"/>
      <c r="FN549" s="275"/>
      <c r="FO549" s="275"/>
      <c r="FP549" s="275"/>
      <c r="FQ549" s="275"/>
      <c r="FR549" s="275"/>
      <c r="FS549" s="275"/>
      <c r="FT549" s="275"/>
      <c r="FU549" s="275"/>
      <c r="FV549" s="275"/>
      <c r="FW549" s="275"/>
      <c r="FX549" s="275"/>
      <c r="FY549" s="275"/>
      <c r="FZ549" s="275"/>
      <c r="GA549" s="275"/>
      <c r="GB549" s="275"/>
      <c r="GC549" s="275"/>
      <c r="GD549" s="275"/>
      <c r="GE549" s="275"/>
      <c r="GF549" s="275"/>
      <c r="GG549" s="275"/>
      <c r="GH549" s="275"/>
      <c r="GI549" s="275"/>
      <c r="GJ549" s="275"/>
      <c r="GK549" s="275"/>
      <c r="GL549" s="275"/>
      <c r="GM549" s="275"/>
      <c r="GN549" s="275"/>
      <c r="GO549" s="275"/>
      <c r="GP549" s="275"/>
      <c r="GQ549" s="275"/>
      <c r="GR549" s="275"/>
      <c r="GS549" s="275"/>
      <c r="GT549" s="275"/>
      <c r="GU549" s="275"/>
      <c r="GV549" s="275"/>
      <c r="GW549" s="275"/>
      <c r="GX549" s="275"/>
      <c r="GY549" s="275"/>
      <c r="GZ549" s="275"/>
      <c r="HA549" s="275"/>
      <c r="HB549" s="275"/>
      <c r="HC549" s="275"/>
      <c r="HD549" s="275"/>
      <c r="HE549" s="275"/>
      <c r="HF549" s="275"/>
      <c r="HG549" s="275"/>
      <c r="HH549" s="275"/>
      <c r="HI549" s="275"/>
      <c r="HJ549" s="275"/>
      <c r="HK549" s="275"/>
      <c r="HL549" s="275"/>
      <c r="HM549" s="275"/>
      <c r="HN549" s="275"/>
      <c r="HO549" s="275"/>
      <c r="HP549" s="275"/>
      <c r="HQ549" s="275"/>
      <c r="HR549" s="275"/>
    </row>
    <row r="550" spans="1:226" s="297" customFormat="1">
      <c r="A550" s="275"/>
      <c r="B550" s="21"/>
      <c r="C550" s="21"/>
      <c r="D550" s="21"/>
      <c r="E550" s="21"/>
      <c r="F550" s="275"/>
      <c r="G550" s="275"/>
      <c r="H550" s="275"/>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J550" s="275"/>
      <c r="AK550" s="275"/>
      <c r="AL550" s="275"/>
      <c r="AM550" s="275"/>
      <c r="AN550" s="275"/>
      <c r="AO550" s="275"/>
      <c r="AQ550" s="275"/>
      <c r="AR550" s="275"/>
      <c r="AS550" s="275"/>
      <c r="AT550" s="275"/>
      <c r="AU550" s="275"/>
      <c r="AV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D550" s="275"/>
      <c r="EE550" s="275"/>
      <c r="EF550" s="275"/>
      <c r="EG550" s="275"/>
      <c r="EH550" s="275"/>
      <c r="EI550" s="275"/>
      <c r="EJ550" s="275"/>
      <c r="EK550" s="275"/>
      <c r="EL550" s="275"/>
      <c r="EM550" s="275"/>
      <c r="EN550" s="275"/>
      <c r="EO550" s="275"/>
      <c r="EP550" s="275"/>
      <c r="EQ550" s="275"/>
      <c r="ER550" s="275"/>
      <c r="ES550" s="275"/>
      <c r="ET550" s="275"/>
      <c r="EU550"/>
      <c r="EV550"/>
      <c r="EW550" s="275"/>
      <c r="EX550" s="275"/>
      <c r="EY550" s="275"/>
      <c r="EZ550" s="275"/>
      <c r="FA550" s="275"/>
      <c r="FB550" s="275"/>
      <c r="FC550" s="275"/>
      <c r="FD550" s="275"/>
      <c r="FE550" s="275"/>
      <c r="FF550" s="275"/>
      <c r="FG550" s="275"/>
      <c r="FH550" s="275"/>
      <c r="FI550" s="275"/>
      <c r="FJ550" s="275"/>
      <c r="FK550" s="275"/>
      <c r="FL550" s="275"/>
      <c r="FM550" s="275"/>
      <c r="FN550" s="275"/>
      <c r="FO550" s="275"/>
      <c r="FP550" s="275"/>
      <c r="FQ550" s="275"/>
      <c r="FR550" s="275"/>
      <c r="FS550" s="275"/>
      <c r="FT550" s="275"/>
      <c r="FU550" s="275"/>
      <c r="FV550" s="275"/>
      <c r="FW550" s="275"/>
      <c r="FX550" s="275"/>
      <c r="FY550" s="275"/>
      <c r="FZ550" s="275"/>
      <c r="GA550" s="275"/>
      <c r="GB550" s="275"/>
      <c r="GC550" s="275"/>
      <c r="GD550" s="275"/>
      <c r="GE550" s="275"/>
      <c r="GF550" s="275"/>
      <c r="GG550" s="275"/>
      <c r="GH550" s="275"/>
      <c r="GI550" s="275"/>
      <c r="GJ550" s="275"/>
      <c r="GK550" s="275"/>
      <c r="GL550" s="275"/>
      <c r="GM550" s="275"/>
      <c r="GN550" s="275"/>
      <c r="GO550" s="275"/>
      <c r="GP550" s="275"/>
      <c r="GQ550" s="275"/>
      <c r="GR550" s="275"/>
      <c r="GS550" s="275"/>
      <c r="GT550" s="275"/>
      <c r="GU550" s="275"/>
      <c r="GV550" s="275"/>
      <c r="GW550" s="275"/>
      <c r="GX550" s="275"/>
      <c r="GY550" s="275"/>
      <c r="GZ550" s="275"/>
      <c r="HA550" s="275"/>
      <c r="HB550" s="275"/>
      <c r="HC550" s="275"/>
      <c r="HD550" s="275"/>
      <c r="HE550" s="275"/>
      <c r="HF550" s="275"/>
      <c r="HG550" s="275"/>
      <c r="HH550" s="275"/>
      <c r="HI550" s="275"/>
      <c r="HJ550" s="275"/>
      <c r="HK550" s="275"/>
      <c r="HL550" s="275"/>
      <c r="HM550" s="275"/>
      <c r="HN550" s="275"/>
      <c r="HO550" s="275"/>
      <c r="HP550" s="275"/>
      <c r="HQ550" s="275"/>
      <c r="HR550" s="275"/>
    </row>
    <row r="551" spans="1:226" s="297" customFormat="1">
      <c r="A551" s="275"/>
      <c r="B551" s="21"/>
      <c r="C551" s="21"/>
      <c r="D551" s="21"/>
      <c r="E551" s="21"/>
      <c r="F551" s="275"/>
      <c r="G551" s="275"/>
      <c r="H551" s="275"/>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J551" s="275"/>
      <c r="AK551" s="275"/>
      <c r="AL551" s="275"/>
      <c r="AM551" s="275"/>
      <c r="AN551" s="275"/>
      <c r="AO551" s="275"/>
      <c r="AQ551" s="275"/>
      <c r="AR551" s="275"/>
      <c r="AS551" s="275"/>
      <c r="AT551" s="275"/>
      <c r="AU551" s="275"/>
      <c r="AV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D551" s="275"/>
      <c r="EE551" s="275"/>
      <c r="EF551" s="275"/>
      <c r="EG551" s="275"/>
      <c r="EH551" s="275"/>
      <c r="EI551" s="275"/>
      <c r="EJ551" s="275"/>
      <c r="EK551" s="275"/>
      <c r="EL551" s="275"/>
      <c r="EM551" s="275"/>
      <c r="EN551" s="275"/>
      <c r="EO551" s="275"/>
      <c r="EP551" s="275"/>
      <c r="EQ551" s="275"/>
      <c r="ER551" s="275"/>
      <c r="ES551" s="275"/>
      <c r="ET551" s="275"/>
      <c r="EU551"/>
      <c r="EV551"/>
      <c r="EW551" s="275"/>
      <c r="EX551" s="275"/>
      <c r="EY551" s="275"/>
      <c r="EZ551" s="275"/>
      <c r="FA551" s="275"/>
      <c r="FB551" s="275"/>
      <c r="FC551" s="275"/>
      <c r="FD551" s="275"/>
      <c r="FE551" s="275"/>
      <c r="FF551" s="275"/>
      <c r="FG551" s="275"/>
      <c r="FH551" s="275"/>
      <c r="FI551" s="275"/>
      <c r="FJ551" s="275"/>
      <c r="FK551" s="275"/>
      <c r="FL551" s="275"/>
      <c r="FM551" s="275"/>
      <c r="FN551" s="275"/>
      <c r="FO551" s="275"/>
      <c r="FP551" s="275"/>
      <c r="FQ551" s="275"/>
      <c r="FR551" s="275"/>
      <c r="FS551" s="275"/>
      <c r="FT551" s="275"/>
      <c r="FU551" s="275"/>
      <c r="FV551" s="275"/>
      <c r="FW551" s="275"/>
      <c r="FX551" s="275"/>
      <c r="FY551" s="275"/>
      <c r="FZ551" s="275"/>
      <c r="GA551" s="275"/>
      <c r="GB551" s="275"/>
      <c r="GC551" s="275"/>
      <c r="GD551" s="275"/>
      <c r="GE551" s="275"/>
      <c r="GF551" s="275"/>
      <c r="GG551" s="275"/>
      <c r="GH551" s="275"/>
      <c r="GI551" s="275"/>
      <c r="GJ551" s="275"/>
      <c r="GK551" s="275"/>
      <c r="GL551" s="275"/>
      <c r="GM551" s="275"/>
      <c r="GN551" s="275"/>
      <c r="GO551" s="275"/>
      <c r="GP551" s="275"/>
      <c r="GQ551" s="275"/>
      <c r="GR551" s="275"/>
      <c r="GS551" s="275"/>
      <c r="GT551" s="275"/>
      <c r="GU551" s="275"/>
      <c r="GV551" s="275"/>
      <c r="GW551" s="275"/>
      <c r="GX551" s="275"/>
      <c r="GY551" s="275"/>
      <c r="GZ551" s="275"/>
      <c r="HA551" s="275"/>
      <c r="HB551" s="275"/>
      <c r="HC551" s="275"/>
      <c r="HD551" s="275"/>
      <c r="HE551" s="275"/>
      <c r="HF551" s="275"/>
      <c r="HG551" s="275"/>
      <c r="HH551" s="275"/>
      <c r="HI551" s="275"/>
      <c r="HJ551" s="275"/>
      <c r="HK551" s="275"/>
      <c r="HL551" s="275"/>
      <c r="HM551" s="275"/>
      <c r="HN551" s="275"/>
      <c r="HO551" s="275"/>
      <c r="HP551" s="275"/>
      <c r="HQ551" s="275"/>
      <c r="HR551" s="275"/>
    </row>
    <row r="552" spans="1:226" s="297" customFormat="1">
      <c r="A552" s="275"/>
      <c r="B552" s="21"/>
      <c r="C552" s="21"/>
      <c r="D552" s="21"/>
      <c r="E552" s="21"/>
      <c r="F552" s="275"/>
      <c r="G552" s="275"/>
      <c r="H552" s="275"/>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J552" s="275"/>
      <c r="AK552" s="275"/>
      <c r="AL552" s="275"/>
      <c r="AM552" s="275"/>
      <c r="AN552" s="275"/>
      <c r="AO552" s="275"/>
      <c r="AQ552" s="275"/>
      <c r="AR552" s="275"/>
      <c r="AS552" s="275"/>
      <c r="AT552" s="275"/>
      <c r="AU552" s="275"/>
      <c r="AV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D552" s="275"/>
      <c r="EE552" s="275"/>
      <c r="EF552" s="275"/>
      <c r="EG552" s="275"/>
      <c r="EH552" s="275"/>
      <c r="EI552" s="275"/>
      <c r="EJ552" s="275"/>
      <c r="EK552" s="275"/>
      <c r="EL552" s="275"/>
      <c r="EM552" s="275"/>
      <c r="EN552" s="275"/>
      <c r="EO552" s="275"/>
      <c r="EP552" s="275"/>
      <c r="EQ552" s="275"/>
      <c r="ER552" s="275"/>
      <c r="ES552" s="275"/>
      <c r="ET552" s="275"/>
      <c r="EU552"/>
      <c r="EV552"/>
      <c r="EW552" s="275"/>
      <c r="EX552" s="275"/>
      <c r="EY552" s="275"/>
      <c r="EZ552" s="275"/>
      <c r="FA552" s="275"/>
      <c r="FB552" s="275"/>
      <c r="FC552" s="275"/>
      <c r="FD552" s="275"/>
      <c r="FE552" s="275"/>
      <c r="FF552" s="275"/>
      <c r="FG552" s="275"/>
      <c r="FH552" s="275"/>
      <c r="FI552" s="275"/>
      <c r="FJ552" s="275"/>
      <c r="FK552" s="275"/>
      <c r="FL552" s="275"/>
      <c r="FM552" s="275"/>
      <c r="FN552" s="275"/>
      <c r="FO552" s="275"/>
      <c r="FP552" s="275"/>
      <c r="FQ552" s="275"/>
      <c r="FR552" s="275"/>
      <c r="FS552" s="275"/>
      <c r="FT552" s="275"/>
      <c r="FU552" s="275"/>
      <c r="FV552" s="275"/>
      <c r="FW552" s="275"/>
      <c r="FX552" s="275"/>
      <c r="FY552" s="275"/>
      <c r="FZ552" s="275"/>
      <c r="GA552" s="275"/>
      <c r="GB552" s="275"/>
      <c r="GC552" s="275"/>
      <c r="GD552" s="275"/>
      <c r="GE552" s="275"/>
      <c r="GF552" s="275"/>
      <c r="GG552" s="275"/>
      <c r="GH552" s="275"/>
      <c r="GI552" s="275"/>
      <c r="GJ552" s="275"/>
      <c r="GK552" s="275"/>
      <c r="GL552" s="275"/>
      <c r="GM552" s="275"/>
      <c r="GN552" s="275"/>
      <c r="GO552" s="275"/>
      <c r="GP552" s="275"/>
      <c r="GQ552" s="275"/>
      <c r="GR552" s="275"/>
      <c r="GS552" s="275"/>
      <c r="GT552" s="275"/>
      <c r="GU552" s="275"/>
      <c r="GV552" s="275"/>
      <c r="GW552" s="275"/>
      <c r="GX552" s="275"/>
      <c r="GY552" s="275"/>
      <c r="GZ552" s="275"/>
      <c r="HA552" s="275"/>
      <c r="HB552" s="275"/>
      <c r="HC552" s="275"/>
      <c r="HD552" s="275"/>
      <c r="HE552" s="275"/>
      <c r="HF552" s="275"/>
      <c r="HG552" s="275"/>
      <c r="HH552" s="275"/>
      <c r="HI552" s="275"/>
      <c r="HJ552" s="275"/>
      <c r="HK552" s="275"/>
      <c r="HL552" s="275"/>
      <c r="HM552" s="275"/>
      <c r="HN552" s="275"/>
      <c r="HO552" s="275"/>
      <c r="HP552" s="275"/>
      <c r="HQ552" s="275"/>
      <c r="HR552" s="275"/>
    </row>
    <row r="553" spans="1:226" s="297" customFormat="1">
      <c r="A553" s="275"/>
      <c r="B553" s="21"/>
      <c r="C553" s="21"/>
      <c r="D553" s="21"/>
      <c r="E553" s="21"/>
      <c r="F553" s="275"/>
      <c r="G553" s="275"/>
      <c r="H553" s="275"/>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J553" s="275"/>
      <c r="AK553" s="275"/>
      <c r="AL553" s="275"/>
      <c r="AM553" s="275"/>
      <c r="AN553" s="275"/>
      <c r="AO553" s="275"/>
      <c r="AQ553" s="275"/>
      <c r="AR553" s="275"/>
      <c r="AS553" s="275"/>
      <c r="AT553" s="275"/>
      <c r="AU553" s="275"/>
      <c r="AV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D553" s="275"/>
      <c r="EE553" s="275"/>
      <c r="EF553" s="275"/>
      <c r="EG553" s="275"/>
      <c r="EH553" s="275"/>
      <c r="EI553" s="275"/>
      <c r="EJ553" s="275"/>
      <c r="EK553" s="275"/>
      <c r="EL553" s="275"/>
      <c r="EM553" s="275"/>
      <c r="EN553" s="275"/>
      <c r="EO553" s="275"/>
      <c r="EP553" s="275"/>
      <c r="EQ553" s="275"/>
      <c r="ER553" s="275"/>
      <c r="ES553" s="275"/>
      <c r="ET553" s="275"/>
      <c r="EU553"/>
      <c r="EV553"/>
      <c r="EW553" s="275"/>
      <c r="EX553" s="275"/>
      <c r="EY553" s="275"/>
      <c r="EZ553" s="275"/>
      <c r="FA553" s="275"/>
      <c r="FB553" s="275"/>
      <c r="FC553" s="275"/>
      <c r="FD553" s="275"/>
      <c r="FE553" s="275"/>
      <c r="FF553" s="275"/>
      <c r="FG553" s="275"/>
      <c r="FH553" s="275"/>
      <c r="FI553" s="275"/>
      <c r="FJ553" s="275"/>
      <c r="FK553" s="275"/>
      <c r="FL553" s="275"/>
      <c r="FM553" s="275"/>
      <c r="FN553" s="275"/>
      <c r="FO553" s="275"/>
      <c r="FP553" s="275"/>
      <c r="FQ553" s="275"/>
      <c r="FR553" s="275"/>
      <c r="FS553" s="275"/>
      <c r="FT553" s="275"/>
      <c r="FU553" s="275"/>
      <c r="FV553" s="275"/>
      <c r="FW553" s="275"/>
      <c r="FX553" s="275"/>
      <c r="FY553" s="275"/>
      <c r="FZ553" s="275"/>
      <c r="GA553" s="275"/>
      <c r="GB553" s="275"/>
      <c r="GC553" s="275"/>
      <c r="GD553" s="275"/>
      <c r="GE553" s="275"/>
      <c r="GF553" s="275"/>
      <c r="GG553" s="275"/>
      <c r="GH553" s="275"/>
      <c r="GI553" s="275"/>
      <c r="GJ553" s="275"/>
      <c r="GK553" s="275"/>
      <c r="GL553" s="275"/>
      <c r="GM553" s="275"/>
      <c r="GN553" s="275"/>
      <c r="GO553" s="275"/>
      <c r="GP553" s="275"/>
      <c r="GQ553" s="275"/>
      <c r="GR553" s="275"/>
      <c r="GS553" s="275"/>
      <c r="GT553" s="275"/>
      <c r="GU553" s="275"/>
      <c r="GV553" s="275"/>
      <c r="GW553" s="275"/>
      <c r="GX553" s="275"/>
      <c r="GY553" s="275"/>
      <c r="GZ553" s="275"/>
      <c r="HA553" s="275"/>
      <c r="HB553" s="275"/>
      <c r="HC553" s="275"/>
      <c r="HD553" s="275"/>
      <c r="HE553" s="275"/>
      <c r="HF553" s="275"/>
      <c r="HG553" s="275"/>
      <c r="HH553" s="275"/>
      <c r="HI553" s="275"/>
      <c r="HJ553" s="275"/>
      <c r="HK553" s="275"/>
      <c r="HL553" s="275"/>
      <c r="HM553" s="275"/>
      <c r="HN553" s="275"/>
      <c r="HO553" s="275"/>
      <c r="HP553" s="275"/>
      <c r="HQ553" s="275"/>
      <c r="HR553" s="275"/>
    </row>
    <row r="554" spans="1:226" s="297" customFormat="1">
      <c r="A554" s="275"/>
      <c r="B554" s="21"/>
      <c r="C554" s="21"/>
      <c r="D554" s="21"/>
      <c r="E554" s="21"/>
      <c r="F554" s="275"/>
      <c r="G554" s="275"/>
      <c r="H554" s="275"/>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J554" s="275"/>
      <c r="AK554" s="275"/>
      <c r="AL554" s="275"/>
      <c r="AM554" s="275"/>
      <c r="AN554" s="275"/>
      <c r="AO554" s="275"/>
      <c r="AQ554" s="275"/>
      <c r="AR554" s="275"/>
      <c r="AS554" s="275"/>
      <c r="AT554" s="275"/>
      <c r="AU554" s="275"/>
      <c r="AV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D554" s="275"/>
      <c r="EE554" s="275"/>
      <c r="EF554" s="275"/>
      <c r="EG554" s="275"/>
      <c r="EH554" s="275"/>
      <c r="EI554" s="275"/>
      <c r="EJ554" s="275"/>
      <c r="EK554" s="275"/>
      <c r="EL554" s="275"/>
      <c r="EM554" s="275"/>
      <c r="EN554" s="275"/>
      <c r="EO554" s="275"/>
      <c r="EP554" s="275"/>
      <c r="EQ554" s="275"/>
      <c r="ER554" s="275"/>
      <c r="ES554" s="275"/>
      <c r="ET554" s="275"/>
      <c r="EU554"/>
      <c r="EV554"/>
      <c r="EW554" s="275"/>
      <c r="EX554" s="275"/>
      <c r="EY554" s="275"/>
      <c r="EZ554" s="275"/>
      <c r="FA554" s="275"/>
      <c r="FB554" s="275"/>
      <c r="FC554" s="275"/>
      <c r="FD554" s="275"/>
      <c r="FE554" s="275"/>
      <c r="FF554" s="275"/>
      <c r="FG554" s="275"/>
      <c r="FH554" s="275"/>
      <c r="FI554" s="275"/>
      <c r="FJ554" s="275"/>
      <c r="FK554" s="275"/>
      <c r="FL554" s="275"/>
      <c r="FM554" s="275"/>
      <c r="FN554" s="275"/>
      <c r="FO554" s="275"/>
      <c r="FP554" s="275"/>
      <c r="FQ554" s="275"/>
      <c r="FR554" s="275"/>
      <c r="FS554" s="275"/>
      <c r="FT554" s="275"/>
      <c r="FU554" s="275"/>
      <c r="FV554" s="275"/>
      <c r="FW554" s="275"/>
      <c r="FX554" s="275"/>
      <c r="FY554" s="275"/>
      <c r="FZ554" s="275"/>
      <c r="GA554" s="275"/>
      <c r="GB554" s="275"/>
      <c r="GC554" s="275"/>
      <c r="GD554" s="275"/>
      <c r="GE554" s="275"/>
      <c r="GF554" s="275"/>
      <c r="GG554" s="275"/>
      <c r="GH554" s="275"/>
      <c r="GI554" s="275"/>
      <c r="GJ554" s="275"/>
      <c r="GK554" s="275"/>
      <c r="GL554" s="275"/>
      <c r="GM554" s="275"/>
      <c r="GN554" s="275"/>
      <c r="GO554" s="275"/>
      <c r="GP554" s="275"/>
      <c r="GQ554" s="275"/>
      <c r="GR554" s="275"/>
      <c r="GS554" s="275"/>
      <c r="GT554" s="275"/>
      <c r="GU554" s="275"/>
      <c r="GV554" s="275"/>
      <c r="GW554" s="275"/>
      <c r="GX554" s="275"/>
      <c r="GY554" s="275"/>
      <c r="GZ554" s="275"/>
      <c r="HA554" s="275"/>
      <c r="HB554" s="275"/>
      <c r="HC554" s="275"/>
      <c r="HD554" s="275"/>
      <c r="HE554" s="275"/>
      <c r="HF554" s="275"/>
      <c r="HG554" s="275"/>
      <c r="HH554" s="275"/>
      <c r="HI554" s="275"/>
      <c r="HJ554" s="275"/>
      <c r="HK554" s="275"/>
      <c r="HL554" s="275"/>
      <c r="HM554" s="275"/>
      <c r="HN554" s="275"/>
      <c r="HO554" s="275"/>
      <c r="HP554" s="275"/>
      <c r="HQ554" s="275"/>
      <c r="HR554" s="275"/>
    </row>
    <row r="555" spans="1:226" s="297" customFormat="1">
      <c r="A555" s="275"/>
      <c r="B555" s="21"/>
      <c r="C555" s="21"/>
      <c r="D555" s="21"/>
      <c r="E555" s="21"/>
      <c r="F555" s="275"/>
      <c r="G555" s="275"/>
      <c r="H555" s="275"/>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J555" s="275"/>
      <c r="AK555" s="275"/>
      <c r="AL555" s="275"/>
      <c r="AM555" s="275"/>
      <c r="AN555" s="275"/>
      <c r="AO555" s="275"/>
      <c r="AQ555" s="275"/>
      <c r="AR555" s="275"/>
      <c r="AS555" s="275"/>
      <c r="AT555" s="275"/>
      <c r="AU555" s="275"/>
      <c r="AV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D555" s="275"/>
      <c r="EE555" s="275"/>
      <c r="EF555" s="275"/>
      <c r="EG555" s="275"/>
      <c r="EH555" s="275"/>
      <c r="EI555" s="275"/>
      <c r="EJ555" s="275"/>
      <c r="EK555" s="275"/>
      <c r="EL555" s="275"/>
      <c r="EM555" s="275"/>
      <c r="EN555" s="275"/>
      <c r="EO555" s="275"/>
      <c r="EP555" s="275"/>
      <c r="EQ555" s="275"/>
      <c r="ER555" s="275"/>
      <c r="ES555" s="275"/>
      <c r="ET555" s="275"/>
      <c r="EU555"/>
      <c r="EV555"/>
      <c r="EW555" s="275"/>
      <c r="EX555" s="275"/>
      <c r="EY555" s="275"/>
      <c r="EZ555" s="275"/>
      <c r="FA555" s="275"/>
      <c r="FB555" s="275"/>
      <c r="FC555" s="275"/>
      <c r="FD555" s="275"/>
      <c r="FE555" s="275"/>
      <c r="FF555" s="275"/>
      <c r="FG555" s="275"/>
      <c r="FH555" s="275"/>
      <c r="FI555" s="275"/>
      <c r="FJ555" s="275"/>
      <c r="FK555" s="275"/>
      <c r="FL555" s="275"/>
      <c r="FM555" s="275"/>
      <c r="FN555" s="275"/>
      <c r="FO555" s="275"/>
      <c r="FP555" s="275"/>
      <c r="FQ555" s="275"/>
      <c r="FR555" s="275"/>
      <c r="FS555" s="275"/>
      <c r="FT555" s="275"/>
      <c r="FU555" s="275"/>
      <c r="FV555" s="275"/>
      <c r="FW555" s="275"/>
      <c r="FX555" s="275"/>
      <c r="FY555" s="275"/>
      <c r="FZ555" s="275"/>
      <c r="GA555" s="275"/>
      <c r="GB555" s="275"/>
      <c r="GC555" s="275"/>
      <c r="GD555" s="275"/>
      <c r="GE555" s="275"/>
      <c r="GF555" s="275"/>
      <c r="GG555" s="275"/>
      <c r="GH555" s="275"/>
      <c r="GI555" s="275"/>
      <c r="GJ555" s="275"/>
      <c r="GK555" s="275"/>
      <c r="GL555" s="275"/>
      <c r="GM555" s="275"/>
      <c r="GN555" s="275"/>
      <c r="GO555" s="275"/>
      <c r="GP555" s="275"/>
      <c r="GQ555" s="275"/>
      <c r="GR555" s="275"/>
      <c r="GS555" s="275"/>
      <c r="GT555" s="275"/>
      <c r="GU555" s="275"/>
      <c r="GV555" s="275"/>
      <c r="GW555" s="275"/>
      <c r="GX555" s="275"/>
      <c r="GY555" s="275"/>
      <c r="GZ555" s="275"/>
      <c r="HA555" s="275"/>
      <c r="HB555" s="275"/>
      <c r="HC555" s="275"/>
      <c r="HD555" s="275"/>
      <c r="HE555" s="275"/>
      <c r="HF555" s="275"/>
      <c r="HG555" s="275"/>
      <c r="HH555" s="275"/>
      <c r="HI555" s="275"/>
      <c r="HJ555" s="275"/>
      <c r="HK555" s="275"/>
      <c r="HL555" s="275"/>
      <c r="HM555" s="275"/>
      <c r="HN555" s="275"/>
      <c r="HO555" s="275"/>
      <c r="HP555" s="275"/>
      <c r="HQ555" s="275"/>
      <c r="HR555" s="275"/>
    </row>
    <row r="556" spans="1:226" s="297" customFormat="1">
      <c r="A556" s="275"/>
      <c r="B556" s="21"/>
      <c r="C556" s="21"/>
      <c r="D556" s="21"/>
      <c r="E556" s="21"/>
      <c r="F556" s="275"/>
      <c r="G556" s="275"/>
      <c r="H556" s="275"/>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J556" s="275"/>
      <c r="AK556" s="275"/>
      <c r="AL556" s="275"/>
      <c r="AM556" s="275"/>
      <c r="AN556" s="275"/>
      <c r="AO556" s="275"/>
      <c r="AQ556" s="275"/>
      <c r="AR556" s="275"/>
      <c r="AS556" s="275"/>
      <c r="AT556" s="275"/>
      <c r="AU556" s="275"/>
      <c r="AV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D556" s="275"/>
      <c r="EE556" s="275"/>
      <c r="EF556" s="275"/>
      <c r="EG556" s="275"/>
      <c r="EH556" s="275"/>
      <c r="EI556" s="275"/>
      <c r="EJ556" s="275"/>
      <c r="EK556" s="275"/>
      <c r="EL556" s="275"/>
      <c r="EM556" s="275"/>
      <c r="EN556" s="275"/>
      <c r="EO556" s="275"/>
      <c r="EP556" s="275"/>
      <c r="EQ556" s="275"/>
      <c r="ER556" s="275"/>
      <c r="ES556" s="275"/>
      <c r="ET556" s="275"/>
      <c r="EU556"/>
      <c r="EV556"/>
      <c r="EW556" s="275"/>
      <c r="EX556" s="275"/>
      <c r="EY556" s="275"/>
      <c r="EZ556" s="275"/>
      <c r="FA556" s="275"/>
      <c r="FB556" s="275"/>
      <c r="FC556" s="275"/>
      <c r="FD556" s="275"/>
      <c r="FE556" s="275"/>
      <c r="FF556" s="275"/>
      <c r="FG556" s="275"/>
      <c r="FH556" s="275"/>
      <c r="FI556" s="275"/>
      <c r="FJ556" s="275"/>
      <c r="FK556" s="275"/>
      <c r="FL556" s="275"/>
      <c r="FM556" s="275"/>
      <c r="FN556" s="275"/>
      <c r="FO556" s="275"/>
      <c r="FP556" s="275"/>
      <c r="FQ556" s="275"/>
      <c r="FR556" s="275"/>
      <c r="FS556" s="275"/>
      <c r="FT556" s="275"/>
      <c r="FU556" s="275"/>
      <c r="FV556" s="275"/>
      <c r="FW556" s="275"/>
      <c r="FX556" s="275"/>
      <c r="FY556" s="275"/>
      <c r="FZ556" s="275"/>
      <c r="GA556" s="275"/>
      <c r="GB556" s="275"/>
      <c r="GC556" s="275"/>
      <c r="GD556" s="275"/>
      <c r="GE556" s="275"/>
      <c r="GF556" s="275"/>
      <c r="GG556" s="275"/>
      <c r="GH556" s="275"/>
      <c r="GI556" s="275"/>
      <c r="GJ556" s="275"/>
      <c r="GK556" s="275"/>
      <c r="GL556" s="275"/>
      <c r="GM556" s="275"/>
      <c r="GN556" s="275"/>
      <c r="GO556" s="275"/>
      <c r="GP556" s="275"/>
      <c r="GQ556" s="275"/>
      <c r="GR556" s="275"/>
      <c r="GS556" s="275"/>
      <c r="GT556" s="275"/>
      <c r="GU556" s="275"/>
      <c r="GV556" s="275"/>
      <c r="GW556" s="275"/>
      <c r="GX556" s="275"/>
      <c r="GY556" s="275"/>
      <c r="GZ556" s="275"/>
      <c r="HA556" s="275"/>
      <c r="HB556" s="275"/>
      <c r="HC556" s="275"/>
      <c r="HD556" s="275"/>
      <c r="HE556" s="275"/>
      <c r="HF556" s="275"/>
      <c r="HG556" s="275"/>
      <c r="HH556" s="275"/>
      <c r="HI556" s="275"/>
      <c r="HJ556" s="275"/>
      <c r="HK556" s="275"/>
      <c r="HL556" s="275"/>
      <c r="HM556" s="275"/>
      <c r="HN556" s="275"/>
      <c r="HO556" s="275"/>
      <c r="HP556" s="275"/>
      <c r="HQ556" s="275"/>
      <c r="HR556" s="275"/>
    </row>
    <row r="557" spans="1:226" s="297" customFormat="1">
      <c r="A557" s="275"/>
      <c r="B557" s="21"/>
      <c r="C557" s="21"/>
      <c r="D557" s="21"/>
      <c r="E557" s="21"/>
      <c r="F557" s="275"/>
      <c r="G557" s="275"/>
      <c r="H557" s="275"/>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J557" s="275"/>
      <c r="AK557" s="275"/>
      <c r="AL557" s="275"/>
      <c r="AM557" s="275"/>
      <c r="AN557" s="275"/>
      <c r="AO557" s="275"/>
      <c r="AQ557" s="275"/>
      <c r="AR557" s="275"/>
      <c r="AS557" s="275"/>
      <c r="AT557" s="275"/>
      <c r="AU557" s="275"/>
      <c r="AV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D557" s="275"/>
      <c r="EE557" s="275"/>
      <c r="EF557" s="275"/>
      <c r="EG557" s="275"/>
      <c r="EH557" s="275"/>
      <c r="EI557" s="275"/>
      <c r="EJ557" s="275"/>
      <c r="EK557" s="275"/>
      <c r="EL557" s="275"/>
      <c r="EM557" s="275"/>
      <c r="EN557" s="275"/>
      <c r="EO557" s="275"/>
      <c r="EP557" s="275"/>
      <c r="EQ557" s="275"/>
      <c r="ER557" s="275"/>
      <c r="ES557" s="275"/>
      <c r="ET557" s="275"/>
      <c r="EU557"/>
      <c r="EV557"/>
      <c r="EW557" s="275"/>
      <c r="EX557" s="275"/>
      <c r="EY557" s="275"/>
      <c r="EZ557" s="275"/>
      <c r="FA557" s="275"/>
      <c r="FB557" s="275"/>
      <c r="FC557" s="275"/>
      <c r="FD557" s="275"/>
      <c r="FE557" s="275"/>
      <c r="FF557" s="275"/>
      <c r="FG557" s="275"/>
      <c r="FH557" s="275"/>
      <c r="FI557" s="275"/>
      <c r="FJ557" s="275"/>
      <c r="FK557" s="275"/>
      <c r="FL557" s="275"/>
      <c r="FM557" s="275"/>
      <c r="FN557" s="275"/>
      <c r="FO557" s="275"/>
      <c r="FP557" s="275"/>
      <c r="FQ557" s="275"/>
      <c r="FR557" s="275"/>
      <c r="FS557" s="275"/>
      <c r="FT557" s="275"/>
      <c r="FU557" s="275"/>
      <c r="FV557" s="275"/>
      <c r="FW557" s="275"/>
      <c r="FX557" s="275"/>
      <c r="FY557" s="275"/>
      <c r="FZ557" s="275"/>
      <c r="GA557" s="275"/>
      <c r="GB557" s="275"/>
      <c r="GC557" s="275"/>
      <c r="GD557" s="275"/>
      <c r="GE557" s="275"/>
      <c r="GF557" s="275"/>
      <c r="GG557" s="275"/>
      <c r="GH557" s="275"/>
      <c r="GI557" s="275"/>
      <c r="GJ557" s="275"/>
      <c r="GK557" s="275"/>
      <c r="GL557" s="275"/>
      <c r="GM557" s="275"/>
      <c r="GN557" s="275"/>
      <c r="GO557" s="275"/>
      <c r="GP557" s="275"/>
      <c r="GQ557" s="275"/>
      <c r="GR557" s="275"/>
      <c r="GS557" s="275"/>
      <c r="GT557" s="275"/>
      <c r="GU557" s="275"/>
      <c r="GV557" s="275"/>
      <c r="GW557" s="275"/>
      <c r="GX557" s="275"/>
      <c r="GY557" s="275"/>
      <c r="GZ557" s="275"/>
      <c r="HA557" s="275"/>
      <c r="HB557" s="275"/>
      <c r="HC557" s="275"/>
      <c r="HD557" s="275"/>
      <c r="HE557" s="275"/>
      <c r="HF557" s="275"/>
      <c r="HG557" s="275"/>
      <c r="HH557" s="275"/>
      <c r="HI557" s="275"/>
      <c r="HJ557" s="275"/>
      <c r="HK557" s="275"/>
      <c r="HL557" s="275"/>
      <c r="HM557" s="275"/>
      <c r="HN557" s="275"/>
      <c r="HO557" s="275"/>
      <c r="HP557" s="275"/>
      <c r="HQ557" s="275"/>
      <c r="HR557" s="275"/>
    </row>
    <row r="558" spans="1:226" s="297" customFormat="1">
      <c r="A558" s="275"/>
      <c r="B558" s="21"/>
      <c r="C558" s="21"/>
      <c r="D558" s="21"/>
      <c r="E558" s="21"/>
      <c r="F558" s="275"/>
      <c r="G558" s="275"/>
      <c r="H558" s="275"/>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J558" s="275"/>
      <c r="AK558" s="275"/>
      <c r="AL558" s="275"/>
      <c r="AM558" s="275"/>
      <c r="AN558" s="275"/>
      <c r="AO558" s="275"/>
      <c r="AQ558" s="275"/>
      <c r="AR558" s="275"/>
      <c r="AS558" s="275"/>
      <c r="AT558" s="275"/>
      <c r="AU558" s="275"/>
      <c r="AV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D558" s="275"/>
      <c r="EE558" s="275"/>
      <c r="EF558" s="275"/>
      <c r="EG558" s="275"/>
      <c r="EH558" s="275"/>
      <c r="EI558" s="275"/>
      <c r="EJ558" s="275"/>
      <c r="EK558" s="275"/>
      <c r="EL558" s="275"/>
      <c r="EM558" s="275"/>
      <c r="EN558" s="275"/>
      <c r="EO558" s="275"/>
      <c r="EP558" s="275"/>
      <c r="EQ558" s="275"/>
      <c r="ER558" s="275"/>
      <c r="ES558" s="275"/>
      <c r="ET558" s="275"/>
      <c r="EU558"/>
      <c r="EV558"/>
      <c r="EW558" s="275"/>
      <c r="EX558" s="275"/>
      <c r="EY558" s="275"/>
      <c r="EZ558" s="275"/>
      <c r="FA558" s="275"/>
      <c r="FB558" s="275"/>
      <c r="FC558" s="275"/>
      <c r="FD558" s="275"/>
      <c r="FE558" s="275"/>
      <c r="FF558" s="275"/>
      <c r="FG558" s="275"/>
      <c r="FH558" s="275"/>
      <c r="FI558" s="275"/>
      <c r="FJ558" s="275"/>
      <c r="FK558" s="275"/>
      <c r="FL558" s="275"/>
      <c r="FM558" s="275"/>
      <c r="FN558" s="275"/>
      <c r="FO558" s="275"/>
      <c r="FP558" s="275"/>
      <c r="FQ558" s="275"/>
      <c r="FR558" s="275"/>
      <c r="FS558" s="275"/>
      <c r="FT558" s="275"/>
      <c r="FU558" s="275"/>
      <c r="FV558" s="275"/>
      <c r="FW558" s="275"/>
      <c r="FX558" s="275"/>
      <c r="FY558" s="275"/>
      <c r="FZ558" s="275"/>
      <c r="GA558" s="275"/>
      <c r="GB558" s="275"/>
      <c r="GC558" s="275"/>
      <c r="GD558" s="275"/>
      <c r="GE558" s="275"/>
      <c r="GF558" s="275"/>
      <c r="GG558" s="275"/>
      <c r="GH558" s="275"/>
      <c r="GI558" s="275"/>
      <c r="GJ558" s="275"/>
      <c r="GK558" s="275"/>
      <c r="GL558" s="275"/>
      <c r="GM558" s="275"/>
      <c r="GN558" s="275"/>
      <c r="GO558" s="275"/>
      <c r="GP558" s="275"/>
      <c r="GQ558" s="275"/>
      <c r="GR558" s="275"/>
      <c r="GS558" s="275"/>
      <c r="GT558" s="275"/>
      <c r="GU558" s="275"/>
      <c r="GV558" s="275"/>
      <c r="GW558" s="275"/>
      <c r="GX558" s="275"/>
      <c r="GY558" s="275"/>
      <c r="GZ558" s="275"/>
      <c r="HA558" s="275"/>
      <c r="HB558" s="275"/>
      <c r="HC558" s="275"/>
      <c r="HD558" s="275"/>
      <c r="HE558" s="275"/>
      <c r="HF558" s="275"/>
      <c r="HG558" s="275"/>
      <c r="HH558" s="275"/>
      <c r="HI558" s="275"/>
      <c r="HJ558" s="275"/>
      <c r="HK558" s="275"/>
      <c r="HL558" s="275"/>
      <c r="HM558" s="275"/>
      <c r="HN558" s="275"/>
      <c r="HO558" s="275"/>
      <c r="HP558" s="275"/>
      <c r="HQ558" s="275"/>
      <c r="HR558" s="275"/>
    </row>
    <row r="559" spans="1:226" s="297" customFormat="1">
      <c r="A559" s="275"/>
      <c r="B559" s="21"/>
      <c r="C559" s="21"/>
      <c r="D559" s="21"/>
      <c r="E559" s="21"/>
      <c r="F559" s="275"/>
      <c r="G559" s="275"/>
      <c r="H559" s="275"/>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J559" s="275"/>
      <c r="AK559" s="275"/>
      <c r="AL559" s="275"/>
      <c r="AM559" s="275"/>
      <c r="AN559" s="275"/>
      <c r="AO559" s="275"/>
      <c r="AQ559" s="275"/>
      <c r="AR559" s="275"/>
      <c r="AS559" s="275"/>
      <c r="AT559" s="275"/>
      <c r="AU559" s="275"/>
      <c r="AV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D559" s="275"/>
      <c r="EE559" s="275"/>
      <c r="EF559" s="275"/>
      <c r="EG559" s="275"/>
      <c r="EH559" s="275"/>
      <c r="EI559" s="275"/>
      <c r="EJ559" s="275"/>
      <c r="EK559" s="275"/>
      <c r="EL559" s="275"/>
      <c r="EM559" s="275"/>
      <c r="EN559" s="275"/>
      <c r="EO559" s="275"/>
      <c r="EP559" s="275"/>
      <c r="EQ559" s="275"/>
      <c r="ER559" s="275"/>
      <c r="ES559" s="275"/>
      <c r="ET559" s="275"/>
      <c r="EU559"/>
      <c r="EV559"/>
      <c r="EW559" s="275"/>
      <c r="EX559" s="275"/>
      <c r="EY559" s="275"/>
      <c r="EZ559" s="275"/>
      <c r="FA559" s="275"/>
      <c r="FB559" s="275"/>
      <c r="FC559" s="275"/>
      <c r="FD559" s="275"/>
      <c r="FE559" s="275"/>
      <c r="FF559" s="275"/>
      <c r="FG559" s="275"/>
      <c r="FH559" s="275"/>
      <c r="FI559" s="275"/>
      <c r="FJ559" s="275"/>
      <c r="FK559" s="275"/>
      <c r="FL559" s="275"/>
      <c r="FM559" s="275"/>
      <c r="FN559" s="275"/>
      <c r="FO559" s="275"/>
      <c r="FP559" s="275"/>
      <c r="FQ559" s="275"/>
      <c r="FR559" s="275"/>
      <c r="FS559" s="275"/>
      <c r="FT559" s="275"/>
      <c r="FU559" s="275"/>
      <c r="FV559" s="275"/>
      <c r="FW559" s="275"/>
      <c r="FX559" s="275"/>
      <c r="FY559" s="275"/>
      <c r="FZ559" s="275"/>
      <c r="GA559" s="275"/>
      <c r="GB559" s="275"/>
      <c r="GC559" s="275"/>
      <c r="GD559" s="275"/>
      <c r="GE559" s="275"/>
      <c r="GF559" s="275"/>
      <c r="GG559" s="275"/>
      <c r="GH559" s="275"/>
      <c r="GI559" s="275"/>
      <c r="GJ559" s="275"/>
      <c r="GK559" s="275"/>
      <c r="GL559" s="275"/>
      <c r="GM559" s="275"/>
      <c r="GN559" s="275"/>
      <c r="GO559" s="275"/>
      <c r="GP559" s="275"/>
      <c r="GQ559" s="275"/>
      <c r="GR559" s="275"/>
      <c r="GS559" s="275"/>
      <c r="GT559" s="275"/>
      <c r="GU559" s="275"/>
      <c r="GV559" s="275"/>
      <c r="GW559" s="275"/>
      <c r="GX559" s="275"/>
      <c r="GY559" s="275"/>
      <c r="GZ559" s="275"/>
      <c r="HA559" s="275"/>
      <c r="HB559" s="275"/>
      <c r="HC559" s="275"/>
      <c r="HD559" s="275"/>
      <c r="HE559" s="275"/>
      <c r="HF559" s="275"/>
      <c r="HG559" s="275"/>
      <c r="HH559" s="275"/>
      <c r="HI559" s="275"/>
      <c r="HJ559" s="275"/>
      <c r="HK559" s="275"/>
      <c r="HL559" s="275"/>
      <c r="HM559" s="275"/>
      <c r="HN559" s="275"/>
      <c r="HO559" s="275"/>
      <c r="HP559" s="275"/>
      <c r="HQ559" s="275"/>
      <c r="HR559" s="275"/>
    </row>
    <row r="560" spans="1:226" s="297" customFormat="1">
      <c r="A560" s="275"/>
      <c r="B560" s="21"/>
      <c r="C560" s="21"/>
      <c r="D560" s="21"/>
      <c r="E560" s="21"/>
      <c r="F560" s="275"/>
      <c r="G560" s="275"/>
      <c r="H560" s="275"/>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J560" s="275"/>
      <c r="AK560" s="275"/>
      <c r="AL560" s="275"/>
      <c r="AM560" s="275"/>
      <c r="AN560" s="275"/>
      <c r="AO560" s="275"/>
      <c r="AQ560" s="275"/>
      <c r="AR560" s="275"/>
      <c r="AS560" s="275"/>
      <c r="AT560" s="275"/>
      <c r="AU560" s="275"/>
      <c r="AV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D560" s="275"/>
      <c r="EE560" s="275"/>
      <c r="EF560" s="275"/>
      <c r="EG560" s="275"/>
      <c r="EH560" s="275"/>
      <c r="EI560" s="275"/>
      <c r="EJ560" s="275"/>
      <c r="EK560" s="275"/>
      <c r="EL560" s="275"/>
      <c r="EM560" s="275"/>
      <c r="EN560" s="275"/>
      <c r="EO560" s="275"/>
      <c r="EP560" s="275"/>
      <c r="EQ560" s="275"/>
      <c r="ER560" s="275"/>
      <c r="ES560" s="275"/>
      <c r="ET560" s="275"/>
      <c r="EU560"/>
      <c r="EV560"/>
      <c r="EW560" s="275"/>
      <c r="EX560" s="275"/>
      <c r="EY560" s="275"/>
      <c r="EZ560" s="275"/>
      <c r="FA560" s="275"/>
      <c r="FB560" s="275"/>
      <c r="FC560" s="275"/>
      <c r="FD560" s="275"/>
      <c r="FE560" s="275"/>
      <c r="FF560" s="275"/>
      <c r="FG560" s="275"/>
      <c r="FH560" s="275"/>
      <c r="FI560" s="275"/>
      <c r="FJ560" s="275"/>
      <c r="FK560" s="275"/>
      <c r="FL560" s="275"/>
      <c r="FM560" s="275"/>
      <c r="FN560" s="275"/>
      <c r="FO560" s="275"/>
      <c r="FP560" s="275"/>
      <c r="FQ560" s="275"/>
      <c r="FR560" s="275"/>
      <c r="FS560" s="275"/>
      <c r="FT560" s="275"/>
      <c r="FU560" s="275"/>
      <c r="FV560" s="275"/>
      <c r="FW560" s="275"/>
      <c r="FX560" s="275"/>
      <c r="FY560" s="275"/>
      <c r="FZ560" s="275"/>
      <c r="GA560" s="275"/>
      <c r="GB560" s="275"/>
      <c r="GC560" s="275"/>
      <c r="GD560" s="275"/>
      <c r="GE560" s="275"/>
      <c r="GF560" s="275"/>
      <c r="GG560" s="275"/>
      <c r="GH560" s="275"/>
      <c r="GI560" s="275"/>
      <c r="GJ560" s="275"/>
      <c r="GK560" s="275"/>
      <c r="GL560" s="275"/>
      <c r="GM560" s="275"/>
      <c r="GN560" s="275"/>
      <c r="GO560" s="275"/>
      <c r="GP560" s="275"/>
      <c r="GQ560" s="275"/>
      <c r="GR560" s="275"/>
      <c r="GS560" s="275"/>
      <c r="GT560" s="275"/>
      <c r="GU560" s="275"/>
      <c r="GV560" s="275"/>
      <c r="GW560" s="275"/>
      <c r="GX560" s="275"/>
      <c r="GY560" s="275"/>
      <c r="GZ560" s="275"/>
      <c r="HA560" s="275"/>
      <c r="HB560" s="275"/>
      <c r="HC560" s="275"/>
      <c r="HD560" s="275"/>
      <c r="HE560" s="275"/>
      <c r="HF560" s="275"/>
      <c r="HG560" s="275"/>
      <c r="HH560" s="275"/>
      <c r="HI560" s="275"/>
      <c r="HJ560" s="275"/>
      <c r="HK560" s="275"/>
      <c r="HL560" s="275"/>
      <c r="HM560" s="275"/>
      <c r="HN560" s="275"/>
      <c r="HO560" s="275"/>
      <c r="HP560" s="275"/>
      <c r="HQ560" s="275"/>
      <c r="HR560" s="275"/>
    </row>
    <row r="561" spans="1:226" s="297" customFormat="1">
      <c r="A561" s="275"/>
      <c r="B561" s="21"/>
      <c r="C561" s="21"/>
      <c r="D561" s="21"/>
      <c r="E561" s="21"/>
      <c r="F561" s="275"/>
      <c r="G561" s="275"/>
      <c r="H561" s="275"/>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J561" s="275"/>
      <c r="AK561" s="275"/>
      <c r="AL561" s="275"/>
      <c r="AM561" s="275"/>
      <c r="AN561" s="275"/>
      <c r="AO561" s="275"/>
      <c r="AQ561" s="275"/>
      <c r="AR561" s="275"/>
      <c r="AS561" s="275"/>
      <c r="AT561" s="275"/>
      <c r="AU561" s="275"/>
      <c r="AV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D561" s="275"/>
      <c r="EE561" s="275"/>
      <c r="EF561" s="275"/>
      <c r="EG561" s="275"/>
      <c r="EH561" s="275"/>
      <c r="EI561" s="275"/>
      <c r="EJ561" s="275"/>
      <c r="EK561" s="275"/>
      <c r="EL561" s="275"/>
      <c r="EM561" s="275"/>
      <c r="EN561" s="275"/>
      <c r="EO561" s="275"/>
      <c r="EP561" s="275"/>
      <c r="EQ561" s="275"/>
      <c r="ER561" s="275"/>
      <c r="ES561" s="275"/>
      <c r="ET561" s="275"/>
      <c r="EU561"/>
      <c r="EV561"/>
      <c r="EW561" s="275"/>
      <c r="EX561" s="275"/>
      <c r="EY561" s="275"/>
      <c r="EZ561" s="275"/>
      <c r="FA561" s="275"/>
      <c r="FB561" s="275"/>
      <c r="FC561" s="275"/>
      <c r="FD561" s="275"/>
      <c r="FE561" s="275"/>
      <c r="FF561" s="275"/>
      <c r="FG561" s="275"/>
      <c r="FH561" s="275"/>
      <c r="FI561" s="275"/>
      <c r="FJ561" s="275"/>
      <c r="FK561" s="275"/>
      <c r="FL561" s="275"/>
      <c r="FM561" s="275"/>
      <c r="FN561" s="275"/>
      <c r="FO561" s="275"/>
      <c r="FP561" s="275"/>
      <c r="FQ561" s="275"/>
      <c r="FR561" s="275"/>
      <c r="FS561" s="275"/>
      <c r="FT561" s="275"/>
      <c r="FU561" s="275"/>
      <c r="FV561" s="275"/>
      <c r="FW561" s="275"/>
      <c r="FX561" s="275"/>
      <c r="FY561" s="275"/>
      <c r="FZ561" s="275"/>
      <c r="GA561" s="275"/>
      <c r="GB561" s="275"/>
      <c r="GC561" s="275"/>
      <c r="GD561" s="275"/>
      <c r="GE561" s="275"/>
      <c r="GF561" s="275"/>
      <c r="GG561" s="275"/>
      <c r="GH561" s="275"/>
      <c r="GI561" s="275"/>
      <c r="GJ561" s="275"/>
      <c r="GK561" s="275"/>
      <c r="GL561" s="275"/>
      <c r="GM561" s="275"/>
      <c r="GN561" s="275"/>
      <c r="GO561" s="275"/>
      <c r="GP561" s="275"/>
      <c r="GQ561" s="275"/>
      <c r="GR561" s="275"/>
      <c r="GS561" s="275"/>
      <c r="GT561" s="275"/>
      <c r="GU561" s="275"/>
      <c r="GV561" s="275"/>
      <c r="GW561" s="275"/>
      <c r="GX561" s="275"/>
      <c r="GY561" s="275"/>
      <c r="GZ561" s="275"/>
      <c r="HA561" s="275"/>
      <c r="HB561" s="275"/>
      <c r="HC561" s="275"/>
      <c r="HD561" s="275"/>
      <c r="HE561" s="275"/>
      <c r="HF561" s="275"/>
      <c r="HG561" s="275"/>
      <c r="HH561" s="275"/>
      <c r="HI561" s="275"/>
      <c r="HJ561" s="275"/>
      <c r="HK561" s="275"/>
      <c r="HL561" s="275"/>
      <c r="HM561" s="275"/>
      <c r="HN561" s="275"/>
      <c r="HO561" s="275"/>
      <c r="HP561" s="275"/>
      <c r="HQ561" s="275"/>
      <c r="HR561" s="275"/>
    </row>
    <row r="562" spans="1:226" s="297" customFormat="1">
      <c r="A562" s="275"/>
      <c r="B562" s="21"/>
      <c r="C562" s="21"/>
      <c r="D562" s="21"/>
      <c r="E562" s="21"/>
      <c r="F562" s="275"/>
      <c r="G562" s="275"/>
      <c r="H562" s="275"/>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J562" s="275"/>
      <c r="AK562" s="275"/>
      <c r="AL562" s="275"/>
      <c r="AM562" s="275"/>
      <c r="AN562" s="275"/>
      <c r="AO562" s="275"/>
      <c r="AQ562" s="275"/>
      <c r="AR562" s="275"/>
      <c r="AS562" s="275"/>
      <c r="AT562" s="275"/>
      <c r="AU562" s="275"/>
      <c r="AV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D562" s="275"/>
      <c r="EE562" s="275"/>
      <c r="EF562" s="275"/>
      <c r="EG562" s="275"/>
      <c r="EH562" s="275"/>
      <c r="EI562" s="275"/>
      <c r="EJ562" s="275"/>
      <c r="EK562" s="275"/>
      <c r="EL562" s="275"/>
      <c r="EM562" s="275"/>
      <c r="EN562" s="275"/>
      <c r="EO562" s="275"/>
      <c r="EP562" s="275"/>
      <c r="EQ562" s="275"/>
      <c r="ER562" s="275"/>
      <c r="ES562" s="275"/>
      <c r="ET562" s="275"/>
      <c r="EU562"/>
      <c r="EV562"/>
      <c r="EW562" s="275"/>
      <c r="EX562" s="275"/>
      <c r="EY562" s="275"/>
      <c r="EZ562" s="275"/>
      <c r="FA562" s="275"/>
      <c r="FB562" s="275"/>
      <c r="FC562" s="275"/>
      <c r="FD562" s="275"/>
      <c r="FE562" s="275"/>
      <c r="FF562" s="275"/>
      <c r="FG562" s="275"/>
      <c r="FH562" s="275"/>
      <c r="FI562" s="275"/>
      <c r="FJ562" s="275"/>
      <c r="FK562" s="275"/>
      <c r="FL562" s="275"/>
      <c r="FM562" s="275"/>
      <c r="FN562" s="275"/>
      <c r="FO562" s="275"/>
      <c r="FP562" s="275"/>
      <c r="FQ562" s="275"/>
      <c r="FR562" s="275"/>
      <c r="FS562" s="275"/>
      <c r="FT562" s="275"/>
      <c r="FU562" s="275"/>
      <c r="FV562" s="275"/>
      <c r="FW562" s="275"/>
      <c r="FX562" s="275"/>
      <c r="FY562" s="275"/>
      <c r="FZ562" s="275"/>
      <c r="GA562" s="275"/>
      <c r="GB562" s="275"/>
      <c r="GC562" s="275"/>
      <c r="GD562" s="275"/>
      <c r="GE562" s="275"/>
      <c r="GF562" s="275"/>
      <c r="GG562" s="275"/>
      <c r="GH562" s="275"/>
      <c r="GI562" s="275"/>
      <c r="GJ562" s="275"/>
      <c r="GK562" s="275"/>
      <c r="GL562" s="275"/>
      <c r="GM562" s="275"/>
      <c r="GN562" s="275"/>
      <c r="GO562" s="275"/>
      <c r="GP562" s="275"/>
      <c r="GQ562" s="275"/>
      <c r="GR562" s="275"/>
      <c r="GS562" s="275"/>
      <c r="GT562" s="275"/>
      <c r="GU562" s="275"/>
      <c r="GV562" s="275"/>
      <c r="GW562" s="275"/>
      <c r="GX562" s="275"/>
      <c r="GY562" s="275"/>
      <c r="GZ562" s="275"/>
      <c r="HA562" s="275"/>
      <c r="HB562" s="275"/>
      <c r="HC562" s="275"/>
      <c r="HD562" s="275"/>
      <c r="HE562" s="275"/>
      <c r="HF562" s="275"/>
      <c r="HG562" s="275"/>
      <c r="HH562" s="275"/>
      <c r="HI562" s="275"/>
      <c r="HJ562" s="275"/>
      <c r="HK562" s="275"/>
      <c r="HL562" s="275"/>
      <c r="HM562" s="275"/>
      <c r="HN562" s="275"/>
      <c r="HO562" s="275"/>
      <c r="HP562" s="275"/>
      <c r="HQ562" s="275"/>
      <c r="HR562" s="275"/>
    </row>
    <row r="563" spans="1:226" s="297" customFormat="1">
      <c r="A563" s="275"/>
      <c r="B563" s="21"/>
      <c r="C563" s="21"/>
      <c r="D563" s="21"/>
      <c r="E563" s="21"/>
      <c r="F563" s="275"/>
      <c r="G563" s="275"/>
      <c r="H563" s="275"/>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J563" s="275"/>
      <c r="AK563" s="275"/>
      <c r="AL563" s="275"/>
      <c r="AM563" s="275"/>
      <c r="AN563" s="275"/>
      <c r="AO563" s="275"/>
      <c r="AQ563" s="275"/>
      <c r="AR563" s="275"/>
      <c r="AS563" s="275"/>
      <c r="AT563" s="275"/>
      <c r="AU563" s="275"/>
      <c r="AV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D563" s="275"/>
      <c r="EE563" s="275"/>
      <c r="EF563" s="275"/>
      <c r="EG563" s="275"/>
      <c r="EH563" s="275"/>
      <c r="EI563" s="275"/>
      <c r="EJ563" s="275"/>
      <c r="EK563" s="275"/>
      <c r="EL563" s="275"/>
      <c r="EM563" s="275"/>
      <c r="EN563" s="275"/>
      <c r="EO563" s="275"/>
      <c r="EP563" s="275"/>
      <c r="EQ563" s="275"/>
      <c r="ER563" s="275"/>
      <c r="ES563" s="275"/>
      <c r="ET563" s="275"/>
      <c r="EU563"/>
      <c r="EV563"/>
      <c r="EW563" s="275"/>
      <c r="EX563" s="275"/>
      <c r="EY563" s="275"/>
      <c r="EZ563" s="275"/>
      <c r="FA563" s="275"/>
      <c r="FB563" s="275"/>
      <c r="FC563" s="275"/>
      <c r="FD563" s="275"/>
      <c r="FE563" s="275"/>
      <c r="FF563" s="275"/>
      <c r="FG563" s="275"/>
      <c r="FH563" s="275"/>
      <c r="FI563" s="275"/>
      <c r="FJ563" s="275"/>
      <c r="FK563" s="275"/>
      <c r="FL563" s="275"/>
      <c r="FM563" s="275"/>
      <c r="FN563" s="275"/>
      <c r="FO563" s="275"/>
      <c r="FP563" s="275"/>
      <c r="FQ563" s="275"/>
      <c r="FR563" s="275"/>
      <c r="FS563" s="275"/>
      <c r="FT563" s="275"/>
      <c r="FU563" s="275"/>
      <c r="FV563" s="275"/>
      <c r="FW563" s="275"/>
      <c r="FX563" s="275"/>
      <c r="FY563" s="275"/>
      <c r="FZ563" s="275"/>
      <c r="GA563" s="275"/>
      <c r="GB563" s="275"/>
      <c r="GC563" s="275"/>
      <c r="GD563" s="275"/>
      <c r="GE563" s="275"/>
      <c r="GF563" s="275"/>
      <c r="GG563" s="275"/>
      <c r="GH563" s="275"/>
      <c r="GI563" s="275"/>
      <c r="GJ563" s="275"/>
      <c r="GK563" s="275"/>
      <c r="GL563" s="275"/>
      <c r="GM563" s="275"/>
      <c r="GN563" s="275"/>
      <c r="GO563" s="275"/>
      <c r="GP563" s="275"/>
      <c r="GQ563" s="275"/>
      <c r="GR563" s="275"/>
      <c r="GS563" s="275"/>
      <c r="GT563" s="275"/>
      <c r="GU563" s="275"/>
      <c r="GV563" s="275"/>
      <c r="GW563" s="275"/>
      <c r="GX563" s="275"/>
      <c r="GY563" s="275"/>
      <c r="GZ563" s="275"/>
      <c r="HA563" s="275"/>
      <c r="HB563" s="275"/>
      <c r="HC563" s="275"/>
      <c r="HD563" s="275"/>
      <c r="HE563" s="275"/>
      <c r="HF563" s="275"/>
      <c r="HG563" s="275"/>
      <c r="HH563" s="275"/>
      <c r="HI563" s="275"/>
      <c r="HJ563" s="275"/>
      <c r="HK563" s="275"/>
      <c r="HL563" s="275"/>
      <c r="HM563" s="275"/>
      <c r="HN563" s="275"/>
      <c r="HO563" s="275"/>
      <c r="HP563" s="275"/>
      <c r="HQ563" s="275"/>
      <c r="HR563" s="275"/>
    </row>
    <row r="564" spans="1:226" s="297" customFormat="1">
      <c r="A564" s="275"/>
      <c r="B564" s="21"/>
      <c r="C564" s="21"/>
      <c r="D564" s="21"/>
      <c r="E564" s="21"/>
      <c r="F564" s="275"/>
      <c r="G564" s="275"/>
      <c r="H564" s="275"/>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J564" s="275"/>
      <c r="AK564" s="275"/>
      <c r="AL564" s="275"/>
      <c r="AM564" s="275"/>
      <c r="AN564" s="275"/>
      <c r="AO564" s="275"/>
      <c r="AQ564" s="275"/>
      <c r="AR564" s="275"/>
      <c r="AS564" s="275"/>
      <c r="AT564" s="275"/>
      <c r="AU564" s="275"/>
      <c r="AV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D564" s="275"/>
      <c r="EE564" s="275"/>
      <c r="EF564" s="275"/>
      <c r="EG564" s="275"/>
      <c r="EH564" s="275"/>
      <c r="EI564" s="275"/>
      <c r="EJ564" s="275"/>
      <c r="EK564" s="275"/>
      <c r="EL564" s="275"/>
      <c r="EM564" s="275"/>
      <c r="EN564" s="275"/>
      <c r="EO564" s="275"/>
      <c r="EP564" s="275"/>
      <c r="EQ564" s="275"/>
      <c r="ER564" s="275"/>
      <c r="ES564" s="275"/>
      <c r="ET564" s="275"/>
      <c r="EU564"/>
      <c r="EV564"/>
      <c r="EW564" s="275"/>
      <c r="EX564" s="275"/>
      <c r="EY564" s="275"/>
      <c r="EZ564" s="275"/>
      <c r="FA564" s="275"/>
      <c r="FB564" s="275"/>
      <c r="FC564" s="275"/>
      <c r="FD564" s="275"/>
      <c r="FE564" s="275"/>
      <c r="FF564" s="275"/>
      <c r="FG564" s="275"/>
      <c r="FH564" s="275"/>
      <c r="FI564" s="275"/>
      <c r="FJ564" s="275"/>
      <c r="FK564" s="275"/>
      <c r="FL564" s="275"/>
      <c r="FM564" s="275"/>
      <c r="FN564" s="275"/>
      <c r="FO564" s="275"/>
      <c r="FP564" s="275"/>
      <c r="FQ564" s="275"/>
      <c r="FR564" s="275"/>
      <c r="FS564" s="275"/>
      <c r="FT564" s="275"/>
      <c r="FU564" s="275"/>
      <c r="FV564" s="275"/>
      <c r="FW564" s="275"/>
      <c r="FX564" s="275"/>
      <c r="FY564" s="275"/>
      <c r="FZ564" s="275"/>
      <c r="GA564" s="275"/>
      <c r="GB564" s="275"/>
      <c r="GC564" s="275"/>
      <c r="GD564" s="275"/>
      <c r="GE564" s="275"/>
      <c r="GF564" s="275"/>
      <c r="GG564" s="275"/>
      <c r="GH564" s="275"/>
      <c r="GI564" s="275"/>
      <c r="GJ564" s="275"/>
      <c r="GK564" s="275"/>
      <c r="GL564" s="275"/>
      <c r="GM564" s="275"/>
      <c r="GN564" s="275"/>
      <c r="GO564" s="275"/>
      <c r="GP564" s="275"/>
      <c r="GQ564" s="275"/>
      <c r="GR564" s="275"/>
      <c r="GS564" s="275"/>
      <c r="GT564" s="275"/>
      <c r="GU564" s="275"/>
      <c r="GV564" s="275"/>
      <c r="GW564" s="275"/>
      <c r="GX564" s="275"/>
      <c r="GY564" s="275"/>
      <c r="GZ564" s="275"/>
      <c r="HA564" s="275"/>
      <c r="HB564" s="275"/>
      <c r="HC564" s="275"/>
      <c r="HD564" s="275"/>
      <c r="HE564" s="275"/>
      <c r="HF564" s="275"/>
      <c r="HG564" s="275"/>
      <c r="HH564" s="275"/>
      <c r="HI564" s="275"/>
      <c r="HJ564" s="275"/>
      <c r="HK564" s="275"/>
      <c r="HL564" s="275"/>
      <c r="HM564" s="275"/>
      <c r="HN564" s="275"/>
      <c r="HO564" s="275"/>
      <c r="HP564" s="275"/>
      <c r="HQ564" s="275"/>
      <c r="HR564" s="275"/>
    </row>
    <row r="565" spans="1:226" s="297" customFormat="1">
      <c r="A565" s="275"/>
      <c r="B565" s="21"/>
      <c r="C565" s="21"/>
      <c r="D565" s="21"/>
      <c r="E565" s="21"/>
      <c r="F565" s="275"/>
      <c r="G565" s="275"/>
      <c r="H565" s="275"/>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J565" s="275"/>
      <c r="AK565" s="275"/>
      <c r="AL565" s="275"/>
      <c r="AM565" s="275"/>
      <c r="AN565" s="275"/>
      <c r="AO565" s="275"/>
      <c r="AQ565" s="275"/>
      <c r="AR565" s="275"/>
      <c r="AS565" s="275"/>
      <c r="AT565" s="275"/>
      <c r="AU565" s="275"/>
      <c r="AV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D565" s="275"/>
      <c r="EE565" s="275"/>
      <c r="EF565" s="275"/>
      <c r="EG565" s="275"/>
      <c r="EH565" s="275"/>
      <c r="EI565" s="275"/>
      <c r="EJ565" s="275"/>
      <c r="EK565" s="275"/>
      <c r="EL565" s="275"/>
      <c r="EM565" s="275"/>
      <c r="EN565" s="275"/>
      <c r="EO565" s="275"/>
      <c r="EP565" s="275"/>
      <c r="EQ565" s="275"/>
      <c r="ER565" s="275"/>
      <c r="ES565" s="275"/>
      <c r="ET565" s="275"/>
      <c r="EU565"/>
      <c r="EV565"/>
      <c r="EW565" s="275"/>
      <c r="EX565" s="275"/>
      <c r="EY565" s="275"/>
      <c r="EZ565" s="275"/>
      <c r="FA565" s="275"/>
      <c r="FB565" s="275"/>
      <c r="FC565" s="275"/>
      <c r="FD565" s="275"/>
      <c r="FE565" s="275"/>
      <c r="FF565" s="275"/>
      <c r="FG565" s="275"/>
      <c r="FH565" s="275"/>
      <c r="FI565" s="275"/>
      <c r="FJ565" s="275"/>
      <c r="FK565" s="275"/>
      <c r="FL565" s="275"/>
      <c r="FM565" s="275"/>
      <c r="FN565" s="275"/>
      <c r="FO565" s="275"/>
      <c r="FP565" s="275"/>
      <c r="FQ565" s="275"/>
      <c r="FR565" s="275"/>
      <c r="FS565" s="275"/>
      <c r="FT565" s="275"/>
      <c r="FU565" s="275"/>
      <c r="FV565" s="275"/>
      <c r="FW565" s="275"/>
      <c r="FX565" s="275"/>
      <c r="FY565" s="275"/>
      <c r="FZ565" s="275"/>
      <c r="GA565" s="275"/>
      <c r="GB565" s="275"/>
      <c r="GC565" s="275"/>
      <c r="GD565" s="275"/>
      <c r="GE565" s="275"/>
      <c r="GF565" s="275"/>
      <c r="GG565" s="275"/>
      <c r="GH565" s="275"/>
      <c r="GI565" s="275"/>
      <c r="GJ565" s="275"/>
      <c r="GK565" s="275"/>
      <c r="GL565" s="275"/>
      <c r="GM565" s="275"/>
      <c r="GN565" s="275"/>
      <c r="GO565" s="275"/>
      <c r="GP565" s="275"/>
      <c r="GQ565" s="275"/>
      <c r="GR565" s="275"/>
      <c r="GS565" s="275"/>
      <c r="GT565" s="275"/>
      <c r="GU565" s="275"/>
      <c r="GV565" s="275"/>
      <c r="GW565" s="275"/>
      <c r="GX565" s="275"/>
      <c r="GY565" s="275"/>
      <c r="GZ565" s="275"/>
      <c r="HA565" s="275"/>
      <c r="HB565" s="275"/>
      <c r="HC565" s="275"/>
      <c r="HD565" s="275"/>
      <c r="HE565" s="275"/>
      <c r="HF565" s="275"/>
      <c r="HG565" s="275"/>
      <c r="HH565" s="275"/>
      <c r="HI565" s="275"/>
      <c r="HJ565" s="275"/>
      <c r="HK565" s="275"/>
      <c r="HL565" s="275"/>
      <c r="HM565" s="275"/>
      <c r="HN565" s="275"/>
      <c r="HO565" s="275"/>
      <c r="HP565" s="275"/>
      <c r="HQ565" s="275"/>
      <c r="HR565" s="275"/>
    </row>
    <row r="566" spans="1:226" s="297" customFormat="1">
      <c r="A566" s="275"/>
      <c r="B566" s="21"/>
      <c r="C566" s="21"/>
      <c r="D566" s="21"/>
      <c r="E566" s="21"/>
      <c r="F566" s="275"/>
      <c r="G566" s="275"/>
      <c r="H566" s="275"/>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J566" s="275"/>
      <c r="AK566" s="275"/>
      <c r="AL566" s="275"/>
      <c r="AM566" s="275"/>
      <c r="AN566" s="275"/>
      <c r="AO566" s="275"/>
      <c r="AQ566" s="275"/>
      <c r="AR566" s="275"/>
      <c r="AS566" s="275"/>
      <c r="AT566" s="275"/>
      <c r="AU566" s="275"/>
      <c r="AV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D566" s="275"/>
      <c r="EE566" s="275"/>
      <c r="EF566" s="275"/>
      <c r="EG566" s="275"/>
      <c r="EH566" s="275"/>
      <c r="EI566" s="275"/>
      <c r="EJ566" s="275"/>
      <c r="EK566" s="275"/>
      <c r="EL566" s="275"/>
      <c r="EM566" s="275"/>
      <c r="EN566" s="275"/>
      <c r="EO566" s="275"/>
      <c r="EP566" s="275"/>
      <c r="EQ566" s="275"/>
      <c r="ER566" s="275"/>
      <c r="ES566" s="275"/>
      <c r="ET566" s="275"/>
      <c r="EU566"/>
      <c r="EV566"/>
      <c r="EW566" s="275"/>
      <c r="EX566" s="275"/>
      <c r="EY566" s="275"/>
      <c r="EZ566" s="275"/>
      <c r="FA566" s="275"/>
      <c r="FB566" s="275"/>
      <c r="FC566" s="275"/>
      <c r="FD566" s="275"/>
      <c r="FE566" s="275"/>
      <c r="FF566" s="275"/>
      <c r="FG566" s="275"/>
      <c r="FH566" s="275"/>
      <c r="FI566" s="275"/>
      <c r="FJ566" s="275"/>
      <c r="FK566" s="275"/>
      <c r="FL566" s="275"/>
      <c r="FM566" s="275"/>
      <c r="FN566" s="275"/>
      <c r="FO566" s="275"/>
      <c r="FP566" s="275"/>
      <c r="FQ566" s="275"/>
      <c r="FR566" s="275"/>
      <c r="FS566" s="275"/>
      <c r="FT566" s="275"/>
      <c r="FU566" s="275"/>
      <c r="FV566" s="275"/>
      <c r="FW566" s="275"/>
      <c r="FX566" s="275"/>
      <c r="FY566" s="275"/>
      <c r="FZ566" s="275"/>
      <c r="GA566" s="275"/>
      <c r="GB566" s="275"/>
      <c r="GC566" s="275"/>
      <c r="GD566" s="275"/>
      <c r="GE566" s="275"/>
      <c r="GF566" s="275"/>
      <c r="GG566" s="275"/>
      <c r="GH566" s="275"/>
      <c r="GI566" s="275"/>
      <c r="GJ566" s="275"/>
      <c r="GK566" s="275"/>
      <c r="GL566" s="275"/>
      <c r="GM566" s="275"/>
      <c r="GN566" s="275"/>
      <c r="GO566" s="275"/>
      <c r="GP566" s="275"/>
      <c r="GQ566" s="275"/>
      <c r="GR566" s="275"/>
      <c r="GS566" s="275"/>
      <c r="GT566" s="275"/>
      <c r="GU566" s="275"/>
      <c r="GV566" s="275"/>
      <c r="GW566" s="275"/>
      <c r="GX566" s="275"/>
      <c r="GY566" s="275"/>
      <c r="GZ566" s="275"/>
      <c r="HA566" s="275"/>
      <c r="HB566" s="275"/>
      <c r="HC566" s="275"/>
      <c r="HD566" s="275"/>
      <c r="HE566" s="275"/>
      <c r="HF566" s="275"/>
      <c r="HG566" s="275"/>
      <c r="HH566" s="275"/>
      <c r="HI566" s="275"/>
      <c r="HJ566" s="275"/>
      <c r="HK566" s="275"/>
      <c r="HL566" s="275"/>
      <c r="HM566" s="275"/>
      <c r="HN566" s="275"/>
      <c r="HO566" s="275"/>
      <c r="HP566" s="275"/>
      <c r="HQ566" s="275"/>
      <c r="HR566" s="275"/>
    </row>
    <row r="567" spans="1:226" s="297" customFormat="1">
      <c r="A567" s="275"/>
      <c r="B567" s="21"/>
      <c r="C567" s="21"/>
      <c r="D567" s="21"/>
      <c r="E567" s="21"/>
      <c r="F567" s="275"/>
      <c r="G567" s="275"/>
      <c r="H567" s="275"/>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J567" s="275"/>
      <c r="AK567" s="275"/>
      <c r="AL567" s="275"/>
      <c r="AM567" s="275"/>
      <c r="AN567" s="275"/>
      <c r="AO567" s="275"/>
      <c r="AQ567" s="275"/>
      <c r="AR567" s="275"/>
      <c r="AS567" s="275"/>
      <c r="AT567" s="275"/>
      <c r="AU567" s="275"/>
      <c r="AV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D567" s="275"/>
      <c r="EE567" s="275"/>
      <c r="EF567" s="275"/>
      <c r="EG567" s="275"/>
      <c r="EH567" s="275"/>
      <c r="EI567" s="275"/>
      <c r="EJ567" s="275"/>
      <c r="EK567" s="275"/>
      <c r="EL567" s="275"/>
      <c r="EM567" s="275"/>
      <c r="EN567" s="275"/>
      <c r="EO567" s="275"/>
      <c r="EP567" s="275"/>
      <c r="EQ567" s="275"/>
      <c r="ER567" s="275"/>
      <c r="ES567" s="275"/>
      <c r="ET567" s="275"/>
      <c r="EU567"/>
      <c r="EV567"/>
      <c r="EW567" s="275"/>
      <c r="EX567" s="275"/>
      <c r="EY567" s="275"/>
      <c r="EZ567" s="275"/>
      <c r="FA567" s="275"/>
      <c r="FB567" s="275"/>
      <c r="FC567" s="275"/>
      <c r="FD567" s="275"/>
      <c r="FE567" s="275"/>
      <c r="FF567" s="275"/>
      <c r="FG567" s="275"/>
      <c r="FH567" s="275"/>
      <c r="FI567" s="275"/>
      <c r="FJ567" s="275"/>
      <c r="FK567" s="275"/>
      <c r="FL567" s="275"/>
      <c r="FM567" s="275"/>
      <c r="FN567" s="275"/>
      <c r="FO567" s="275"/>
      <c r="FP567" s="275"/>
      <c r="FQ567" s="275"/>
      <c r="FR567" s="275"/>
      <c r="FS567" s="275"/>
      <c r="FT567" s="275"/>
      <c r="FU567" s="275"/>
      <c r="FV567" s="275"/>
      <c r="FW567" s="275"/>
      <c r="FX567" s="275"/>
      <c r="FY567" s="275"/>
      <c r="FZ567" s="275"/>
      <c r="GA567" s="275"/>
      <c r="GB567" s="275"/>
      <c r="GC567" s="275"/>
      <c r="GD567" s="275"/>
      <c r="GE567" s="275"/>
      <c r="GF567" s="275"/>
      <c r="GG567" s="275"/>
      <c r="GH567" s="275"/>
      <c r="GI567" s="275"/>
      <c r="GJ567" s="275"/>
      <c r="GK567" s="275"/>
      <c r="GL567" s="275"/>
      <c r="GM567" s="275"/>
      <c r="GN567" s="275"/>
      <c r="GO567" s="275"/>
      <c r="GP567" s="275"/>
      <c r="GQ567" s="275"/>
      <c r="GR567" s="275"/>
      <c r="GS567" s="275"/>
      <c r="GT567" s="275"/>
      <c r="GU567" s="275"/>
      <c r="GV567" s="275"/>
      <c r="GW567" s="275"/>
      <c r="GX567" s="275"/>
      <c r="GY567" s="275"/>
      <c r="GZ567" s="275"/>
      <c r="HA567" s="275"/>
      <c r="HB567" s="275"/>
      <c r="HC567" s="275"/>
      <c r="HD567" s="275"/>
      <c r="HE567" s="275"/>
      <c r="HF567" s="275"/>
      <c r="HG567" s="275"/>
      <c r="HH567" s="275"/>
      <c r="HI567" s="275"/>
      <c r="HJ567" s="275"/>
      <c r="HK567" s="275"/>
      <c r="HL567" s="275"/>
      <c r="HM567" s="275"/>
      <c r="HN567" s="275"/>
      <c r="HO567" s="275"/>
      <c r="HP567" s="275"/>
      <c r="HQ567" s="275"/>
      <c r="HR567" s="275"/>
    </row>
    <row r="568" spans="1:226" s="297" customFormat="1">
      <c r="A568" s="275"/>
      <c r="B568" s="21"/>
      <c r="C568" s="21"/>
      <c r="D568" s="21"/>
      <c r="E568" s="21"/>
      <c r="F568" s="275"/>
      <c r="G568" s="275"/>
      <c r="H568" s="275"/>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J568" s="275"/>
      <c r="AK568" s="275"/>
      <c r="AL568" s="275"/>
      <c r="AM568" s="275"/>
      <c r="AN568" s="275"/>
      <c r="AO568" s="275"/>
      <c r="AQ568" s="275"/>
      <c r="AR568" s="275"/>
      <c r="AS568" s="275"/>
      <c r="AT568" s="275"/>
      <c r="AU568" s="275"/>
      <c r="AV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D568" s="275"/>
      <c r="EE568" s="275"/>
      <c r="EF568" s="275"/>
      <c r="EG568" s="275"/>
      <c r="EH568" s="275"/>
      <c r="EI568" s="275"/>
      <c r="EJ568" s="275"/>
      <c r="EK568" s="275"/>
      <c r="EL568" s="275"/>
      <c r="EM568" s="275"/>
      <c r="EN568" s="275"/>
      <c r="EO568" s="275"/>
      <c r="EP568" s="275"/>
      <c r="EQ568" s="275"/>
      <c r="ER568" s="275"/>
      <c r="ES568" s="275"/>
      <c r="ET568" s="275"/>
      <c r="EU568"/>
      <c r="EV568"/>
      <c r="EW568" s="275"/>
      <c r="EX568" s="275"/>
      <c r="EY568" s="275"/>
      <c r="EZ568" s="275"/>
      <c r="FA568" s="275"/>
      <c r="FB568" s="275"/>
      <c r="FC568" s="275"/>
      <c r="FD568" s="275"/>
      <c r="FE568" s="275"/>
      <c r="FF568" s="275"/>
      <c r="FG568" s="275"/>
      <c r="FH568" s="275"/>
      <c r="FI568" s="275"/>
      <c r="FJ568" s="275"/>
      <c r="FK568" s="275"/>
      <c r="FL568" s="275"/>
      <c r="FM568" s="275"/>
      <c r="FN568" s="275"/>
      <c r="FO568" s="275"/>
      <c r="FP568" s="275"/>
      <c r="FQ568" s="275"/>
      <c r="FR568" s="275"/>
      <c r="FS568" s="275"/>
      <c r="FT568" s="275"/>
      <c r="FU568" s="275"/>
      <c r="FV568" s="275"/>
      <c r="FW568" s="275"/>
      <c r="FX568" s="275"/>
      <c r="FY568" s="275"/>
      <c r="FZ568" s="275"/>
      <c r="GA568" s="275"/>
      <c r="GB568" s="275"/>
      <c r="GC568" s="275"/>
      <c r="GD568" s="275"/>
      <c r="GE568" s="275"/>
      <c r="GF568" s="275"/>
      <c r="GG568" s="275"/>
      <c r="GH568" s="275"/>
      <c r="GI568" s="275"/>
      <c r="GJ568" s="275"/>
      <c r="GK568" s="275"/>
      <c r="GL568" s="275"/>
      <c r="GM568" s="275"/>
      <c r="GN568" s="275"/>
      <c r="GO568" s="275"/>
      <c r="GP568" s="275"/>
      <c r="GQ568" s="275"/>
      <c r="GR568" s="275"/>
      <c r="GS568" s="275"/>
      <c r="GT568" s="275"/>
      <c r="GU568" s="275"/>
      <c r="GV568" s="275"/>
      <c r="GW568" s="275"/>
      <c r="GX568" s="275"/>
      <c r="GY568" s="275"/>
      <c r="GZ568" s="275"/>
      <c r="HA568" s="275"/>
      <c r="HB568" s="275"/>
      <c r="HC568" s="275"/>
      <c r="HD568" s="275"/>
      <c r="HE568" s="275"/>
      <c r="HF568" s="275"/>
      <c r="HG568" s="275"/>
      <c r="HH568" s="275"/>
      <c r="HI568" s="275"/>
      <c r="HJ568" s="275"/>
      <c r="HK568" s="275"/>
      <c r="HL568" s="275"/>
      <c r="HM568" s="275"/>
      <c r="HN568" s="275"/>
      <c r="HO568" s="275"/>
      <c r="HP568" s="275"/>
      <c r="HQ568" s="275"/>
      <c r="HR568" s="275"/>
    </row>
    <row r="569" spans="1:226" s="297" customFormat="1">
      <c r="A569" s="275"/>
      <c r="B569" s="21"/>
      <c r="C569" s="21"/>
      <c r="D569" s="21"/>
      <c r="E569" s="21"/>
      <c r="F569" s="275"/>
      <c r="G569" s="275"/>
      <c r="H569" s="275"/>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J569" s="275"/>
      <c r="AK569" s="275"/>
      <c r="AL569" s="275"/>
      <c r="AM569" s="275"/>
      <c r="AN569" s="275"/>
      <c r="AO569" s="275"/>
      <c r="AQ569" s="275"/>
      <c r="AR569" s="275"/>
      <c r="AS569" s="275"/>
      <c r="AT569" s="275"/>
      <c r="AU569" s="275"/>
      <c r="AV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D569" s="275"/>
      <c r="EE569" s="275"/>
      <c r="EF569" s="275"/>
      <c r="EG569" s="275"/>
      <c r="EH569" s="275"/>
      <c r="EI569" s="275"/>
      <c r="EJ569" s="275"/>
      <c r="EK569" s="275"/>
      <c r="EL569" s="275"/>
      <c r="EM569" s="275"/>
      <c r="EN569" s="275"/>
      <c r="EO569" s="275"/>
      <c r="EP569" s="275"/>
      <c r="EQ569" s="275"/>
      <c r="ER569" s="275"/>
      <c r="ES569" s="275"/>
      <c r="ET569" s="275"/>
      <c r="EU569"/>
      <c r="EV569"/>
      <c r="EW569" s="275"/>
      <c r="EX569" s="275"/>
      <c r="EY569" s="275"/>
      <c r="EZ569" s="275"/>
      <c r="FA569" s="275"/>
      <c r="FB569" s="275"/>
      <c r="FC569" s="275"/>
      <c r="FD569" s="275"/>
      <c r="FE569" s="275"/>
      <c r="FF569" s="275"/>
      <c r="FG569" s="275"/>
      <c r="FH569" s="275"/>
      <c r="FI569" s="275"/>
      <c r="FJ569" s="275"/>
      <c r="FK569" s="275"/>
      <c r="FL569" s="275"/>
      <c r="FM569" s="275"/>
      <c r="FN569" s="275"/>
      <c r="FO569" s="275"/>
      <c r="FP569" s="275"/>
      <c r="FQ569" s="275"/>
      <c r="FR569" s="275"/>
      <c r="FS569" s="275"/>
      <c r="FT569" s="275"/>
      <c r="FU569" s="275"/>
      <c r="FV569" s="275"/>
      <c r="FW569" s="275"/>
      <c r="FX569" s="275"/>
      <c r="FY569" s="275"/>
      <c r="FZ569" s="275"/>
      <c r="GA569" s="275"/>
      <c r="GB569" s="275"/>
      <c r="GC569" s="275"/>
      <c r="GD569" s="275"/>
      <c r="GE569" s="275"/>
      <c r="GF569" s="275"/>
      <c r="GG569" s="275"/>
      <c r="GH569" s="275"/>
      <c r="GI569" s="275"/>
      <c r="GJ569" s="275"/>
      <c r="GK569" s="275"/>
      <c r="GL569" s="275"/>
      <c r="GM569" s="275"/>
      <c r="GN569" s="275"/>
      <c r="GO569" s="275"/>
      <c r="GP569" s="275"/>
      <c r="GQ569" s="275"/>
      <c r="GR569" s="275"/>
      <c r="GS569" s="275"/>
      <c r="GT569" s="275"/>
      <c r="GU569" s="275"/>
      <c r="GV569" s="275"/>
      <c r="GW569" s="275"/>
      <c r="GX569" s="275"/>
      <c r="GY569" s="275"/>
      <c r="GZ569" s="275"/>
      <c r="HA569" s="275"/>
      <c r="HB569" s="275"/>
      <c r="HC569" s="275"/>
      <c r="HD569" s="275"/>
      <c r="HE569" s="275"/>
      <c r="HF569" s="275"/>
      <c r="HG569" s="275"/>
      <c r="HH569" s="275"/>
      <c r="HI569" s="275"/>
      <c r="HJ569" s="275"/>
      <c r="HK569" s="275"/>
      <c r="HL569" s="275"/>
      <c r="HM569" s="275"/>
      <c r="HN569" s="275"/>
      <c r="HO569" s="275"/>
      <c r="HP569" s="275"/>
      <c r="HQ569" s="275"/>
      <c r="HR569" s="275"/>
    </row>
    <row r="570" spans="1:226" s="297" customFormat="1">
      <c r="A570" s="275"/>
      <c r="B570" s="21"/>
      <c r="C570" s="21"/>
      <c r="D570" s="21"/>
      <c r="E570" s="21"/>
      <c r="F570" s="275"/>
      <c r="G570" s="275"/>
      <c r="H570" s="275"/>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J570" s="275"/>
      <c r="AK570" s="275"/>
      <c r="AL570" s="275"/>
      <c r="AM570" s="275"/>
      <c r="AN570" s="275"/>
      <c r="AO570" s="275"/>
      <c r="AQ570" s="275"/>
      <c r="AR570" s="275"/>
      <c r="AS570" s="275"/>
      <c r="AT570" s="275"/>
      <c r="AU570" s="275"/>
      <c r="AV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D570" s="275"/>
      <c r="EE570" s="275"/>
      <c r="EF570" s="275"/>
      <c r="EG570" s="275"/>
      <c r="EH570" s="275"/>
      <c r="EI570" s="275"/>
      <c r="EJ570" s="275"/>
      <c r="EK570" s="275"/>
      <c r="EL570" s="275"/>
      <c r="EM570" s="275"/>
      <c r="EN570" s="275"/>
      <c r="EO570" s="275"/>
      <c r="EP570" s="275"/>
      <c r="EQ570" s="275"/>
      <c r="ER570" s="275"/>
      <c r="ES570" s="275"/>
      <c r="ET570" s="275"/>
      <c r="EU570"/>
      <c r="EV570"/>
      <c r="EW570" s="275"/>
      <c r="EX570" s="275"/>
      <c r="EY570" s="275"/>
      <c r="EZ570" s="275"/>
      <c r="FA570" s="275"/>
      <c r="FB570" s="275"/>
      <c r="FC570" s="275"/>
      <c r="FD570" s="275"/>
      <c r="FE570" s="275"/>
      <c r="FF570" s="275"/>
      <c r="FG570" s="275"/>
      <c r="FH570" s="275"/>
      <c r="FI570" s="275"/>
      <c r="FJ570" s="275"/>
      <c r="FK570" s="275"/>
      <c r="FL570" s="275"/>
      <c r="FM570" s="275"/>
      <c r="FN570" s="275"/>
      <c r="FO570" s="275"/>
      <c r="FP570" s="275"/>
      <c r="FQ570" s="275"/>
      <c r="FR570" s="275"/>
      <c r="FS570" s="275"/>
      <c r="FT570" s="275"/>
      <c r="FU570" s="275"/>
      <c r="FV570" s="275"/>
      <c r="FW570" s="275"/>
      <c r="FX570" s="275"/>
      <c r="FY570" s="275"/>
      <c r="FZ570" s="275"/>
      <c r="GA570" s="275"/>
      <c r="GB570" s="275"/>
      <c r="GC570" s="275"/>
      <c r="GD570" s="275"/>
      <c r="GE570" s="275"/>
      <c r="GF570" s="275"/>
      <c r="GG570" s="275"/>
      <c r="GH570" s="275"/>
      <c r="GI570" s="275"/>
      <c r="GJ570" s="275"/>
      <c r="GK570" s="275"/>
      <c r="GL570" s="275"/>
      <c r="GM570" s="275"/>
      <c r="GN570" s="275"/>
      <c r="GO570" s="275"/>
      <c r="GP570" s="275"/>
      <c r="GQ570" s="275"/>
      <c r="GR570" s="275"/>
      <c r="GS570" s="275"/>
      <c r="GT570" s="275"/>
      <c r="GU570" s="275"/>
      <c r="GV570" s="275"/>
      <c r="GW570" s="275"/>
      <c r="GX570" s="275"/>
      <c r="GY570" s="275"/>
      <c r="GZ570" s="275"/>
      <c r="HA570" s="275"/>
      <c r="HB570" s="275"/>
      <c r="HC570" s="275"/>
      <c r="HD570" s="275"/>
      <c r="HE570" s="275"/>
      <c r="HF570" s="275"/>
      <c r="HG570" s="275"/>
      <c r="HH570" s="275"/>
      <c r="HI570" s="275"/>
      <c r="HJ570" s="275"/>
      <c r="HK570" s="275"/>
      <c r="HL570" s="275"/>
      <c r="HM570" s="275"/>
      <c r="HN570" s="275"/>
      <c r="HO570" s="275"/>
      <c r="HP570" s="275"/>
      <c r="HQ570" s="275"/>
      <c r="HR570" s="275"/>
    </row>
    <row r="571" spans="1:226" s="297" customFormat="1">
      <c r="A571" s="275"/>
      <c r="B571" s="21"/>
      <c r="C571" s="21"/>
      <c r="D571" s="21"/>
      <c r="E571" s="21"/>
      <c r="F571" s="275"/>
      <c r="G571" s="275"/>
      <c r="H571" s="275"/>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J571" s="275"/>
      <c r="AK571" s="275"/>
      <c r="AL571" s="275"/>
      <c r="AM571" s="275"/>
      <c r="AN571" s="275"/>
      <c r="AO571" s="275"/>
      <c r="AQ571" s="275"/>
      <c r="AR571" s="275"/>
      <c r="AS571" s="275"/>
      <c r="AT571" s="275"/>
      <c r="AU571" s="275"/>
      <c r="AV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D571" s="275"/>
      <c r="EE571" s="275"/>
      <c r="EF571" s="275"/>
      <c r="EG571" s="275"/>
      <c r="EH571" s="275"/>
      <c r="EI571" s="275"/>
      <c r="EJ571" s="275"/>
      <c r="EK571" s="275"/>
      <c r="EL571" s="275"/>
      <c r="EM571" s="275"/>
      <c r="EN571" s="275"/>
      <c r="EO571" s="275"/>
      <c r="EP571" s="275"/>
      <c r="EQ571" s="275"/>
      <c r="ER571" s="275"/>
      <c r="ES571" s="275"/>
      <c r="ET571" s="275"/>
      <c r="EU571"/>
      <c r="EV571"/>
      <c r="EW571" s="275"/>
      <c r="EX571" s="275"/>
      <c r="EY571" s="275"/>
      <c r="EZ571" s="275"/>
      <c r="FA571" s="275"/>
      <c r="FB571" s="275"/>
      <c r="FC571" s="275"/>
      <c r="FD571" s="275"/>
      <c r="FE571" s="275"/>
      <c r="FF571" s="275"/>
      <c r="FG571" s="275"/>
      <c r="FH571" s="275"/>
      <c r="FI571" s="275"/>
      <c r="FJ571" s="275"/>
      <c r="FK571" s="275"/>
      <c r="FL571" s="275"/>
      <c r="FM571" s="275"/>
      <c r="FN571" s="275"/>
      <c r="FO571" s="275"/>
      <c r="FP571" s="275"/>
      <c r="FQ571" s="275"/>
      <c r="FR571" s="275"/>
      <c r="FS571" s="275"/>
      <c r="FT571" s="275"/>
      <c r="FU571" s="275"/>
      <c r="FV571" s="275"/>
      <c r="FW571" s="275"/>
      <c r="FX571" s="275"/>
      <c r="FY571" s="275"/>
      <c r="FZ571" s="275"/>
      <c r="GA571" s="275"/>
      <c r="GB571" s="275"/>
      <c r="GC571" s="275"/>
      <c r="GD571" s="275"/>
      <c r="GE571" s="275"/>
      <c r="GF571" s="275"/>
      <c r="GG571" s="275"/>
      <c r="GH571" s="275"/>
      <c r="GI571" s="275"/>
      <c r="GJ571" s="275"/>
      <c r="GK571" s="275"/>
      <c r="GL571" s="275"/>
      <c r="GM571" s="275"/>
      <c r="GN571" s="275"/>
      <c r="GO571" s="275"/>
      <c r="GP571" s="275"/>
      <c r="GQ571" s="275"/>
      <c r="GR571" s="275"/>
      <c r="GS571" s="275"/>
      <c r="GT571" s="275"/>
      <c r="GU571" s="275"/>
      <c r="GV571" s="275"/>
      <c r="GW571" s="275"/>
      <c r="GX571" s="275"/>
      <c r="GY571" s="275"/>
      <c r="GZ571" s="275"/>
      <c r="HA571" s="275"/>
      <c r="HB571" s="275"/>
      <c r="HC571" s="275"/>
      <c r="HD571" s="275"/>
      <c r="HE571" s="275"/>
      <c r="HF571" s="275"/>
      <c r="HG571" s="275"/>
      <c r="HH571" s="275"/>
      <c r="HI571" s="275"/>
      <c r="HJ571" s="275"/>
      <c r="HK571" s="275"/>
      <c r="HL571" s="275"/>
      <c r="HM571" s="275"/>
      <c r="HN571" s="275"/>
      <c r="HO571" s="275"/>
      <c r="HP571" s="275"/>
      <c r="HQ571" s="275"/>
      <c r="HR571" s="275"/>
    </row>
    <row r="572" spans="1:226" s="297" customFormat="1">
      <c r="A572" s="275"/>
      <c r="B572" s="21"/>
      <c r="C572" s="21"/>
      <c r="D572" s="21"/>
      <c r="E572" s="21"/>
      <c r="F572" s="275"/>
      <c r="G572" s="275"/>
      <c r="H572" s="275"/>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J572" s="275"/>
      <c r="AK572" s="275"/>
      <c r="AL572" s="275"/>
      <c r="AM572" s="275"/>
      <c r="AN572" s="275"/>
      <c r="AO572" s="275"/>
      <c r="AQ572" s="275"/>
      <c r="AR572" s="275"/>
      <c r="AS572" s="275"/>
      <c r="AT572" s="275"/>
      <c r="AU572" s="275"/>
      <c r="AV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D572" s="275"/>
      <c r="EE572" s="275"/>
      <c r="EF572" s="275"/>
      <c r="EG572" s="275"/>
      <c r="EH572" s="275"/>
      <c r="EI572" s="275"/>
      <c r="EJ572" s="275"/>
      <c r="EK572" s="275"/>
      <c r="EL572" s="275"/>
      <c r="EM572" s="275"/>
      <c r="EN572" s="275"/>
      <c r="EO572" s="275"/>
      <c r="EP572" s="275"/>
      <c r="EQ572" s="275"/>
      <c r="ER572" s="275"/>
      <c r="ES572" s="275"/>
      <c r="ET572" s="275"/>
      <c r="EU572"/>
      <c r="EV572"/>
      <c r="EW572" s="275"/>
      <c r="EX572" s="275"/>
      <c r="EY572" s="275"/>
      <c r="EZ572" s="275"/>
      <c r="FA572" s="275"/>
      <c r="FB572" s="275"/>
      <c r="FC572" s="275"/>
      <c r="FD572" s="275"/>
      <c r="FE572" s="275"/>
      <c r="FF572" s="275"/>
      <c r="FG572" s="275"/>
      <c r="FH572" s="275"/>
      <c r="FI572" s="275"/>
      <c r="FJ572" s="275"/>
      <c r="FK572" s="275"/>
      <c r="FL572" s="275"/>
      <c r="FM572" s="275"/>
      <c r="FN572" s="275"/>
      <c r="FO572" s="275"/>
      <c r="FP572" s="275"/>
      <c r="FQ572" s="275"/>
      <c r="FR572" s="275"/>
      <c r="FS572" s="275"/>
      <c r="FT572" s="275"/>
      <c r="FU572" s="275"/>
      <c r="FV572" s="275"/>
      <c r="FW572" s="275"/>
      <c r="FX572" s="275"/>
      <c r="FY572" s="275"/>
      <c r="FZ572" s="275"/>
      <c r="GA572" s="275"/>
      <c r="GB572" s="275"/>
      <c r="GC572" s="275"/>
      <c r="GD572" s="275"/>
      <c r="GE572" s="275"/>
      <c r="GF572" s="275"/>
      <c r="GG572" s="275"/>
      <c r="GH572" s="275"/>
      <c r="GI572" s="275"/>
      <c r="GJ572" s="275"/>
      <c r="GK572" s="275"/>
      <c r="GL572" s="275"/>
      <c r="GM572" s="275"/>
      <c r="GN572" s="275"/>
      <c r="GO572" s="275"/>
      <c r="GP572" s="275"/>
      <c r="GQ572" s="275"/>
      <c r="GR572" s="275"/>
      <c r="GS572" s="275"/>
      <c r="GT572" s="275"/>
      <c r="GU572" s="275"/>
      <c r="GV572" s="275"/>
      <c r="GW572" s="275"/>
      <c r="GX572" s="275"/>
      <c r="GY572" s="275"/>
      <c r="GZ572" s="275"/>
      <c r="HA572" s="275"/>
      <c r="HB572" s="275"/>
      <c r="HC572" s="275"/>
      <c r="HD572" s="275"/>
      <c r="HE572" s="275"/>
      <c r="HF572" s="275"/>
      <c r="HG572" s="275"/>
      <c r="HH572" s="275"/>
      <c r="HI572" s="275"/>
      <c r="HJ572" s="275"/>
      <c r="HK572" s="275"/>
      <c r="HL572" s="275"/>
      <c r="HM572" s="275"/>
      <c r="HN572" s="275"/>
      <c r="HO572" s="275"/>
      <c r="HP572" s="275"/>
      <c r="HQ572" s="275"/>
      <c r="HR572" s="275"/>
    </row>
    <row r="573" spans="1:226" s="297" customFormat="1">
      <c r="A573" s="275"/>
      <c r="B573" s="21"/>
      <c r="C573" s="21"/>
      <c r="D573" s="21"/>
      <c r="E573" s="21"/>
      <c r="F573" s="275"/>
      <c r="G573" s="275"/>
      <c r="H573" s="275"/>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J573" s="275"/>
      <c r="AK573" s="275"/>
      <c r="AL573" s="275"/>
      <c r="AM573" s="275"/>
      <c r="AN573" s="275"/>
      <c r="AO573" s="275"/>
      <c r="AQ573" s="275"/>
      <c r="AR573" s="275"/>
      <c r="AS573" s="275"/>
      <c r="AT573" s="275"/>
      <c r="AU573" s="275"/>
      <c r="AV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D573" s="275"/>
      <c r="EE573" s="275"/>
      <c r="EF573" s="275"/>
      <c r="EG573" s="275"/>
      <c r="EH573" s="275"/>
      <c r="EI573" s="275"/>
      <c r="EJ573" s="275"/>
      <c r="EK573" s="275"/>
      <c r="EL573" s="275"/>
      <c r="EM573" s="275"/>
      <c r="EN573" s="275"/>
      <c r="EO573" s="275"/>
      <c r="EP573" s="275"/>
      <c r="EQ573" s="275"/>
      <c r="ER573" s="275"/>
      <c r="ES573" s="275"/>
      <c r="ET573" s="275"/>
      <c r="EU573"/>
      <c r="EV573"/>
      <c r="EW573" s="275"/>
      <c r="EX573" s="275"/>
      <c r="EY573" s="275"/>
      <c r="EZ573" s="275"/>
      <c r="FA573" s="275"/>
      <c r="FB573" s="275"/>
      <c r="FC573" s="275"/>
      <c r="FD573" s="275"/>
      <c r="FE573" s="275"/>
      <c r="FF573" s="275"/>
      <c r="FG573" s="275"/>
      <c r="FH573" s="275"/>
      <c r="FI573" s="275"/>
      <c r="FJ573" s="275"/>
      <c r="FK573" s="275"/>
      <c r="FL573" s="275"/>
      <c r="FM573" s="275"/>
      <c r="FN573" s="275"/>
      <c r="FO573" s="275"/>
      <c r="FP573" s="275"/>
      <c r="FQ573" s="275"/>
      <c r="FR573" s="275"/>
      <c r="FS573" s="275"/>
      <c r="FT573" s="275"/>
      <c r="FU573" s="275"/>
      <c r="FV573" s="275"/>
      <c r="FW573" s="275"/>
      <c r="FX573" s="275"/>
      <c r="FY573" s="275"/>
      <c r="FZ573" s="275"/>
      <c r="GA573" s="275"/>
      <c r="GB573" s="275"/>
      <c r="GC573" s="275"/>
      <c r="GD573" s="275"/>
      <c r="GE573" s="275"/>
      <c r="GF573" s="275"/>
      <c r="GG573" s="275"/>
      <c r="GH573" s="275"/>
      <c r="GI573" s="275"/>
      <c r="GJ573" s="275"/>
      <c r="GK573" s="275"/>
      <c r="GL573" s="275"/>
      <c r="GM573" s="275"/>
      <c r="GN573" s="275"/>
      <c r="GO573" s="275"/>
      <c r="GP573" s="275"/>
      <c r="GQ573" s="275"/>
      <c r="GR573" s="275"/>
      <c r="GS573" s="275"/>
      <c r="GT573" s="275"/>
      <c r="GU573" s="275"/>
      <c r="GV573" s="275"/>
      <c r="GW573" s="275"/>
      <c r="GX573" s="275"/>
      <c r="GY573" s="275"/>
      <c r="GZ573" s="275"/>
      <c r="HA573" s="275"/>
      <c r="HB573" s="275"/>
      <c r="HC573" s="275"/>
      <c r="HD573" s="275"/>
      <c r="HE573" s="275"/>
      <c r="HF573" s="275"/>
      <c r="HG573" s="275"/>
      <c r="HH573" s="275"/>
      <c r="HI573" s="275"/>
      <c r="HJ573" s="275"/>
      <c r="HK573" s="275"/>
      <c r="HL573" s="275"/>
      <c r="HM573" s="275"/>
      <c r="HN573" s="275"/>
      <c r="HO573" s="275"/>
      <c r="HP573" s="275"/>
      <c r="HQ573" s="275"/>
      <c r="HR573" s="275"/>
    </row>
    <row r="574" spans="1:226" s="297" customFormat="1">
      <c r="A574" s="275"/>
      <c r="B574" s="21"/>
      <c r="C574" s="21"/>
      <c r="D574" s="21"/>
      <c r="E574" s="21"/>
      <c r="F574" s="275"/>
      <c r="G574" s="275"/>
      <c r="H574" s="275"/>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J574" s="275"/>
      <c r="AK574" s="275"/>
      <c r="AL574" s="275"/>
      <c r="AM574" s="275"/>
      <c r="AN574" s="275"/>
      <c r="AO574" s="275"/>
      <c r="AQ574" s="275"/>
      <c r="AR574" s="275"/>
      <c r="AS574" s="275"/>
      <c r="AT574" s="275"/>
      <c r="AU574" s="275"/>
      <c r="AV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D574" s="275"/>
      <c r="EE574" s="275"/>
      <c r="EF574" s="275"/>
      <c r="EG574" s="275"/>
      <c r="EH574" s="275"/>
      <c r="EI574" s="275"/>
      <c r="EJ574" s="275"/>
      <c r="EK574" s="275"/>
      <c r="EL574" s="275"/>
      <c r="EM574" s="275"/>
      <c r="EN574" s="275"/>
      <c r="EO574" s="275"/>
      <c r="EP574" s="275"/>
      <c r="EQ574" s="275"/>
      <c r="ER574" s="275"/>
      <c r="ES574" s="275"/>
      <c r="ET574" s="275"/>
      <c r="EU574"/>
      <c r="EV574"/>
      <c r="EW574" s="275"/>
      <c r="EX574" s="275"/>
      <c r="EY574" s="275"/>
      <c r="EZ574" s="275"/>
      <c r="FA574" s="275"/>
      <c r="FB574" s="275"/>
      <c r="FC574" s="275"/>
      <c r="FD574" s="275"/>
      <c r="FE574" s="275"/>
      <c r="FF574" s="275"/>
      <c r="FG574" s="275"/>
      <c r="FH574" s="275"/>
      <c r="FI574" s="275"/>
      <c r="FJ574" s="275"/>
      <c r="FK574" s="275"/>
      <c r="FL574" s="275"/>
      <c r="FM574" s="275"/>
      <c r="FN574" s="275"/>
      <c r="FO574" s="275"/>
      <c r="FP574" s="275"/>
      <c r="FQ574" s="275"/>
      <c r="FR574" s="275"/>
      <c r="FS574" s="275"/>
      <c r="FT574" s="275"/>
      <c r="FU574" s="275"/>
      <c r="FV574" s="275"/>
      <c r="FW574" s="275"/>
      <c r="FX574" s="275"/>
      <c r="FY574" s="275"/>
      <c r="FZ574" s="275"/>
      <c r="GA574" s="275"/>
      <c r="GB574" s="275"/>
      <c r="GC574" s="275"/>
      <c r="GD574" s="275"/>
      <c r="GE574" s="275"/>
      <c r="GF574" s="275"/>
      <c r="GG574" s="275"/>
      <c r="GH574" s="275"/>
      <c r="GI574" s="275"/>
      <c r="GJ574" s="275"/>
      <c r="GK574" s="275"/>
      <c r="GL574" s="275"/>
      <c r="GM574" s="275"/>
      <c r="GN574" s="275"/>
      <c r="GO574" s="275"/>
      <c r="GP574" s="275"/>
      <c r="GQ574" s="275"/>
      <c r="GR574" s="275"/>
      <c r="GS574" s="275"/>
      <c r="GT574" s="275"/>
      <c r="GU574" s="275"/>
      <c r="GV574" s="275"/>
      <c r="GW574" s="275"/>
      <c r="GX574" s="275"/>
      <c r="GY574" s="275"/>
      <c r="GZ574" s="275"/>
      <c r="HA574" s="275"/>
      <c r="HB574" s="275"/>
      <c r="HC574" s="275"/>
      <c r="HD574" s="275"/>
      <c r="HE574" s="275"/>
      <c r="HF574" s="275"/>
      <c r="HG574" s="275"/>
      <c r="HH574" s="275"/>
      <c r="HI574" s="275"/>
      <c r="HJ574" s="275"/>
      <c r="HK574" s="275"/>
      <c r="HL574" s="275"/>
      <c r="HM574" s="275"/>
      <c r="HN574" s="275"/>
      <c r="HO574" s="275"/>
      <c r="HP574" s="275"/>
      <c r="HQ574" s="275"/>
      <c r="HR574" s="275"/>
    </row>
    <row r="575" spans="1:226" s="297" customFormat="1">
      <c r="A575" s="275"/>
      <c r="B575" s="21"/>
      <c r="C575" s="21"/>
      <c r="D575" s="21"/>
      <c r="E575" s="21"/>
      <c r="F575" s="275"/>
      <c r="G575" s="275"/>
      <c r="H575" s="275"/>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J575" s="275"/>
      <c r="AK575" s="275"/>
      <c r="AL575" s="275"/>
      <c r="AM575" s="275"/>
      <c r="AN575" s="275"/>
      <c r="AO575" s="275"/>
      <c r="AQ575" s="275"/>
      <c r="AR575" s="275"/>
      <c r="AS575" s="275"/>
      <c r="AT575" s="275"/>
      <c r="AU575" s="275"/>
      <c r="AV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D575" s="275"/>
      <c r="EE575" s="275"/>
      <c r="EF575" s="275"/>
      <c r="EG575" s="275"/>
      <c r="EH575" s="275"/>
      <c r="EI575" s="275"/>
      <c r="EJ575" s="275"/>
      <c r="EK575" s="275"/>
      <c r="EL575" s="275"/>
      <c r="EM575" s="275"/>
      <c r="EN575" s="275"/>
      <c r="EO575" s="275"/>
      <c r="EP575" s="275"/>
      <c r="EQ575" s="275"/>
      <c r="ER575" s="275"/>
      <c r="ES575" s="275"/>
      <c r="ET575" s="275"/>
      <c r="EU575"/>
      <c r="EV575"/>
      <c r="EW575" s="275"/>
      <c r="EX575" s="275"/>
      <c r="EY575" s="275"/>
      <c r="EZ575" s="275"/>
      <c r="FA575" s="275"/>
      <c r="FB575" s="275"/>
      <c r="FC575" s="275"/>
      <c r="FD575" s="275"/>
      <c r="FE575" s="275"/>
      <c r="FF575" s="275"/>
      <c r="FG575" s="275"/>
      <c r="FH575" s="275"/>
      <c r="FI575" s="275"/>
      <c r="FJ575" s="275"/>
      <c r="FK575" s="275"/>
      <c r="FL575" s="275"/>
      <c r="FM575" s="275"/>
      <c r="FN575" s="275"/>
      <c r="FO575" s="275"/>
      <c r="FP575" s="275"/>
      <c r="FQ575" s="275"/>
      <c r="FR575" s="275"/>
      <c r="FS575" s="275"/>
      <c r="FT575" s="275"/>
      <c r="FU575" s="275"/>
      <c r="FV575" s="275"/>
      <c r="FW575" s="275"/>
      <c r="FX575" s="275"/>
      <c r="FY575" s="275"/>
      <c r="FZ575" s="275"/>
      <c r="GA575" s="275"/>
      <c r="GB575" s="275"/>
      <c r="GC575" s="275"/>
      <c r="GD575" s="275"/>
      <c r="GE575" s="275"/>
      <c r="GF575" s="275"/>
      <c r="GG575" s="275"/>
      <c r="GH575" s="275"/>
      <c r="GI575" s="275"/>
      <c r="GJ575" s="275"/>
      <c r="GK575" s="275"/>
      <c r="GL575" s="275"/>
      <c r="GM575" s="275"/>
      <c r="GN575" s="275"/>
      <c r="GO575" s="275"/>
      <c r="GP575" s="275"/>
      <c r="GQ575" s="275"/>
      <c r="GR575" s="275"/>
      <c r="GS575" s="275"/>
      <c r="GT575" s="275"/>
      <c r="GU575" s="275"/>
      <c r="GV575" s="275"/>
      <c r="GW575" s="275"/>
      <c r="GX575" s="275"/>
      <c r="GY575" s="275"/>
      <c r="GZ575" s="275"/>
      <c r="HA575" s="275"/>
      <c r="HB575" s="275"/>
      <c r="HC575" s="275"/>
      <c r="HD575" s="275"/>
      <c r="HE575" s="275"/>
      <c r="HF575" s="275"/>
      <c r="HG575" s="275"/>
      <c r="HH575" s="275"/>
      <c r="HI575" s="275"/>
      <c r="HJ575" s="275"/>
      <c r="HK575" s="275"/>
      <c r="HL575" s="275"/>
      <c r="HM575" s="275"/>
      <c r="HN575" s="275"/>
      <c r="HO575" s="275"/>
      <c r="HP575" s="275"/>
      <c r="HQ575" s="275"/>
      <c r="HR575" s="275"/>
    </row>
    <row r="576" spans="1:226" s="297" customFormat="1">
      <c r="A576" s="275"/>
      <c r="B576" s="21"/>
      <c r="C576" s="21"/>
      <c r="D576" s="21"/>
      <c r="E576" s="21"/>
      <c r="F576" s="275"/>
      <c r="G576" s="275"/>
      <c r="H576" s="275"/>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J576" s="275"/>
      <c r="AK576" s="275"/>
      <c r="AL576" s="275"/>
      <c r="AM576" s="275"/>
      <c r="AN576" s="275"/>
      <c r="AO576" s="275"/>
      <c r="AQ576" s="275"/>
      <c r="AR576" s="275"/>
      <c r="AS576" s="275"/>
      <c r="AT576" s="275"/>
      <c r="AU576" s="275"/>
      <c r="AV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D576" s="275"/>
      <c r="EE576" s="275"/>
      <c r="EF576" s="275"/>
      <c r="EG576" s="275"/>
      <c r="EH576" s="275"/>
      <c r="EI576" s="275"/>
      <c r="EJ576" s="275"/>
      <c r="EK576" s="275"/>
      <c r="EL576" s="275"/>
      <c r="EM576" s="275"/>
      <c r="EN576" s="275"/>
      <c r="EO576" s="275"/>
      <c r="EP576" s="275"/>
      <c r="EQ576" s="275"/>
      <c r="ER576" s="275"/>
      <c r="ES576" s="275"/>
      <c r="ET576" s="275"/>
      <c r="EU576"/>
      <c r="EV576"/>
      <c r="EW576" s="275"/>
      <c r="EX576" s="275"/>
      <c r="EY576" s="275"/>
      <c r="EZ576" s="275"/>
      <c r="FA576" s="275"/>
      <c r="FB576" s="275"/>
      <c r="FC576" s="275"/>
      <c r="FD576" s="275"/>
      <c r="FE576" s="275"/>
      <c r="FF576" s="275"/>
      <c r="FG576" s="275"/>
      <c r="FH576" s="275"/>
      <c r="FI576" s="275"/>
      <c r="FJ576" s="275"/>
      <c r="FK576" s="275"/>
      <c r="FL576" s="275"/>
      <c r="FM576" s="275"/>
      <c r="FN576" s="275"/>
      <c r="FO576" s="275"/>
      <c r="FP576" s="275"/>
      <c r="FQ576" s="275"/>
      <c r="FR576" s="275"/>
      <c r="FS576" s="275"/>
      <c r="FT576" s="275"/>
      <c r="FU576" s="275"/>
      <c r="FV576" s="275"/>
      <c r="FW576" s="275"/>
      <c r="FX576" s="275"/>
      <c r="FY576" s="275"/>
      <c r="FZ576" s="275"/>
      <c r="GA576" s="275"/>
      <c r="GB576" s="275"/>
      <c r="GC576" s="275"/>
      <c r="GD576" s="275"/>
      <c r="GE576" s="275"/>
      <c r="GF576" s="275"/>
      <c r="GG576" s="275"/>
      <c r="GH576" s="275"/>
      <c r="GI576" s="275"/>
      <c r="GJ576" s="275"/>
      <c r="GK576" s="275"/>
      <c r="GL576" s="275"/>
      <c r="GM576" s="275"/>
      <c r="GN576" s="275"/>
      <c r="GO576" s="275"/>
      <c r="GP576" s="275"/>
      <c r="GQ576" s="275"/>
      <c r="GR576" s="275"/>
      <c r="GS576" s="275"/>
      <c r="GT576" s="275"/>
      <c r="GU576" s="275"/>
      <c r="GV576" s="275"/>
      <c r="GW576" s="275"/>
      <c r="GX576" s="275"/>
      <c r="GY576" s="275"/>
      <c r="GZ576" s="275"/>
      <c r="HA576" s="275"/>
      <c r="HB576" s="275"/>
      <c r="HC576" s="275"/>
      <c r="HD576" s="275"/>
      <c r="HE576" s="275"/>
      <c r="HF576" s="275"/>
      <c r="HG576" s="275"/>
      <c r="HH576" s="275"/>
      <c r="HI576" s="275"/>
      <c r="HJ576" s="275"/>
      <c r="HK576" s="275"/>
      <c r="HL576" s="275"/>
      <c r="HM576" s="275"/>
      <c r="HN576" s="275"/>
      <c r="HO576" s="275"/>
      <c r="HP576" s="275"/>
      <c r="HQ576" s="275"/>
      <c r="HR576" s="275"/>
    </row>
    <row r="577" spans="1:226" s="297" customFormat="1">
      <c r="A577" s="275"/>
      <c r="B577" s="21"/>
      <c r="C577" s="21"/>
      <c r="D577" s="21"/>
      <c r="E577" s="21"/>
      <c r="F577" s="275"/>
      <c r="G577" s="275"/>
      <c r="H577" s="275"/>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J577" s="275"/>
      <c r="AK577" s="275"/>
      <c r="AL577" s="275"/>
      <c r="AM577" s="275"/>
      <c r="AN577" s="275"/>
      <c r="AO577" s="275"/>
      <c r="AQ577" s="275"/>
      <c r="AR577" s="275"/>
      <c r="AS577" s="275"/>
      <c r="AT577" s="275"/>
      <c r="AU577" s="275"/>
      <c r="AV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D577" s="275"/>
      <c r="EE577" s="275"/>
      <c r="EF577" s="275"/>
      <c r="EG577" s="275"/>
      <c r="EH577" s="275"/>
      <c r="EI577" s="275"/>
      <c r="EJ577" s="275"/>
      <c r="EK577" s="275"/>
      <c r="EL577" s="275"/>
      <c r="EM577" s="275"/>
      <c r="EN577" s="275"/>
      <c r="EO577" s="275"/>
      <c r="EP577" s="275"/>
      <c r="EQ577" s="275"/>
      <c r="ER577" s="275"/>
      <c r="ES577" s="275"/>
      <c r="ET577" s="275"/>
      <c r="EU577"/>
      <c r="EV577"/>
      <c r="EW577" s="275"/>
      <c r="EX577" s="275"/>
      <c r="EY577" s="275"/>
      <c r="EZ577" s="275"/>
      <c r="FA577" s="275"/>
      <c r="FB577" s="275"/>
      <c r="FC577" s="275"/>
      <c r="FD577" s="275"/>
      <c r="FE577" s="275"/>
      <c r="FF577" s="275"/>
      <c r="FG577" s="275"/>
      <c r="FH577" s="275"/>
      <c r="FI577" s="275"/>
      <c r="FJ577" s="275"/>
      <c r="FK577" s="275"/>
      <c r="FL577" s="275"/>
      <c r="FM577" s="275"/>
      <c r="FN577" s="275"/>
      <c r="FO577" s="275"/>
      <c r="FP577" s="275"/>
      <c r="FQ577" s="275"/>
      <c r="FR577" s="275"/>
      <c r="FS577" s="275"/>
      <c r="FT577" s="275"/>
      <c r="FU577" s="275"/>
      <c r="FV577" s="275"/>
      <c r="FW577" s="275"/>
      <c r="FX577" s="275"/>
      <c r="FY577" s="275"/>
      <c r="FZ577" s="275"/>
      <c r="GA577" s="275"/>
      <c r="GB577" s="275"/>
      <c r="GC577" s="275"/>
      <c r="GD577" s="275"/>
      <c r="GE577" s="275"/>
      <c r="GF577" s="275"/>
      <c r="GG577" s="275"/>
      <c r="GH577" s="275"/>
      <c r="GI577" s="275"/>
      <c r="GJ577" s="275"/>
      <c r="GK577" s="275"/>
      <c r="GL577" s="275"/>
      <c r="GM577" s="275"/>
      <c r="GN577" s="275"/>
      <c r="GO577" s="275"/>
      <c r="GP577" s="275"/>
      <c r="GQ577" s="275"/>
      <c r="GR577" s="275"/>
      <c r="GS577" s="275"/>
      <c r="GT577" s="275"/>
      <c r="GU577" s="275"/>
      <c r="GV577" s="275"/>
      <c r="GW577" s="275"/>
      <c r="GX577" s="275"/>
      <c r="GY577" s="275"/>
      <c r="GZ577" s="275"/>
      <c r="HA577" s="275"/>
      <c r="HB577" s="275"/>
      <c r="HC577" s="275"/>
      <c r="HD577" s="275"/>
      <c r="HE577" s="275"/>
      <c r="HF577" s="275"/>
      <c r="HG577" s="275"/>
      <c r="HH577" s="275"/>
      <c r="HI577" s="275"/>
      <c r="HJ577" s="275"/>
      <c r="HK577" s="275"/>
      <c r="HL577" s="275"/>
      <c r="HM577" s="275"/>
      <c r="HN577" s="275"/>
      <c r="HO577" s="275"/>
      <c r="HP577" s="275"/>
      <c r="HQ577" s="275"/>
      <c r="HR577" s="275"/>
    </row>
    <row r="578" spans="1:226" s="297" customFormat="1">
      <c r="A578" s="275"/>
      <c r="B578" s="21"/>
      <c r="C578" s="21"/>
      <c r="D578" s="21"/>
      <c r="E578" s="21"/>
      <c r="F578" s="275"/>
      <c r="G578" s="275"/>
      <c r="H578" s="275"/>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J578" s="275"/>
      <c r="AK578" s="275"/>
      <c r="AL578" s="275"/>
      <c r="AM578" s="275"/>
      <c r="AN578" s="275"/>
      <c r="AO578" s="275"/>
      <c r="AQ578" s="275"/>
      <c r="AR578" s="275"/>
      <c r="AS578" s="275"/>
      <c r="AT578" s="275"/>
      <c r="AU578" s="275"/>
      <c r="AV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D578" s="275"/>
      <c r="EE578" s="275"/>
      <c r="EF578" s="275"/>
      <c r="EG578" s="275"/>
      <c r="EH578" s="275"/>
      <c r="EI578" s="275"/>
      <c r="EJ578" s="275"/>
      <c r="EK578" s="275"/>
      <c r="EL578" s="275"/>
      <c r="EM578" s="275"/>
      <c r="EN578" s="275"/>
      <c r="EO578" s="275"/>
      <c r="EP578" s="275"/>
      <c r="EQ578" s="275"/>
      <c r="ER578" s="275"/>
      <c r="ES578" s="275"/>
      <c r="ET578" s="275"/>
      <c r="EU578"/>
      <c r="EV578"/>
      <c r="EW578" s="275"/>
      <c r="EX578" s="275"/>
      <c r="EY578" s="275"/>
      <c r="EZ578" s="275"/>
      <c r="FA578" s="275"/>
      <c r="FB578" s="275"/>
      <c r="FC578" s="275"/>
      <c r="FD578" s="275"/>
      <c r="FE578" s="275"/>
      <c r="FF578" s="275"/>
      <c r="FG578" s="275"/>
      <c r="FH578" s="275"/>
      <c r="FI578" s="275"/>
      <c r="FJ578" s="275"/>
      <c r="FK578" s="275"/>
      <c r="FL578" s="275"/>
      <c r="FM578" s="275"/>
      <c r="FN578" s="275"/>
      <c r="FO578" s="275"/>
      <c r="FP578" s="275"/>
      <c r="FQ578" s="275"/>
      <c r="FR578" s="275"/>
      <c r="FS578" s="275"/>
      <c r="FT578" s="275"/>
      <c r="FU578" s="275"/>
      <c r="FV578" s="275"/>
      <c r="FW578" s="275"/>
      <c r="FX578" s="275"/>
      <c r="FY578" s="275"/>
      <c r="FZ578" s="275"/>
      <c r="GA578" s="275"/>
      <c r="GB578" s="275"/>
      <c r="GC578" s="275"/>
      <c r="GD578" s="275"/>
      <c r="GE578" s="275"/>
      <c r="GF578" s="275"/>
      <c r="GG578" s="275"/>
      <c r="GH578" s="275"/>
      <c r="GI578" s="275"/>
      <c r="GJ578" s="275"/>
      <c r="GK578" s="275"/>
      <c r="GL578" s="275"/>
      <c r="GM578" s="275"/>
      <c r="GN578" s="275"/>
      <c r="GO578" s="275"/>
      <c r="GP578" s="275"/>
      <c r="GQ578" s="275"/>
      <c r="GR578" s="275"/>
      <c r="GS578" s="275"/>
      <c r="GT578" s="275"/>
      <c r="GU578" s="275"/>
      <c r="GV578" s="275"/>
      <c r="GW578" s="275"/>
      <c r="GX578" s="275"/>
      <c r="GY578" s="275"/>
      <c r="GZ578" s="275"/>
      <c r="HA578" s="275"/>
      <c r="HB578" s="275"/>
      <c r="HC578" s="275"/>
      <c r="HD578" s="275"/>
      <c r="HE578" s="275"/>
      <c r="HF578" s="275"/>
      <c r="HG578" s="275"/>
      <c r="HH578" s="275"/>
      <c r="HI578" s="275"/>
      <c r="HJ578" s="275"/>
      <c r="HK578" s="275"/>
      <c r="HL578" s="275"/>
      <c r="HM578" s="275"/>
      <c r="HN578" s="275"/>
      <c r="HO578" s="275"/>
      <c r="HP578" s="275"/>
      <c r="HQ578" s="275"/>
      <c r="HR578" s="275"/>
    </row>
    <row r="579" spans="1:226" s="297" customFormat="1">
      <c r="A579" s="275"/>
      <c r="B579" s="21"/>
      <c r="C579" s="21"/>
      <c r="D579" s="21"/>
      <c r="E579" s="21"/>
      <c r="F579" s="275"/>
      <c r="G579" s="275"/>
      <c r="H579" s="275"/>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J579" s="275"/>
      <c r="AK579" s="275"/>
      <c r="AL579" s="275"/>
      <c r="AM579" s="275"/>
      <c r="AN579" s="275"/>
      <c r="AO579" s="275"/>
      <c r="AQ579" s="275"/>
      <c r="AR579" s="275"/>
      <c r="AS579" s="275"/>
      <c r="AT579" s="275"/>
      <c r="AU579" s="275"/>
      <c r="AV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D579" s="275"/>
      <c r="EE579" s="275"/>
      <c r="EF579" s="275"/>
      <c r="EG579" s="275"/>
      <c r="EH579" s="275"/>
      <c r="EI579" s="275"/>
      <c r="EJ579" s="275"/>
      <c r="EK579" s="275"/>
      <c r="EL579" s="275"/>
      <c r="EM579" s="275"/>
      <c r="EN579" s="275"/>
      <c r="EO579" s="275"/>
      <c r="EP579" s="275"/>
      <c r="EQ579" s="275"/>
      <c r="ER579" s="275"/>
      <c r="ES579" s="275"/>
      <c r="ET579" s="275"/>
      <c r="EU579"/>
      <c r="EV579"/>
      <c r="EW579" s="275"/>
      <c r="EX579" s="275"/>
      <c r="EY579" s="275"/>
      <c r="EZ579" s="275"/>
      <c r="FA579" s="275"/>
      <c r="FB579" s="275"/>
      <c r="FC579" s="275"/>
      <c r="FD579" s="275"/>
      <c r="FE579" s="275"/>
      <c r="FF579" s="275"/>
      <c r="FG579" s="275"/>
      <c r="FH579" s="275"/>
      <c r="FI579" s="275"/>
      <c r="FJ579" s="275"/>
      <c r="FK579" s="275"/>
      <c r="FL579" s="275"/>
      <c r="FM579" s="275"/>
      <c r="FN579" s="275"/>
      <c r="FO579" s="275"/>
      <c r="FP579" s="275"/>
      <c r="FQ579" s="275"/>
      <c r="FR579" s="275"/>
      <c r="FS579" s="275"/>
      <c r="FT579" s="275"/>
      <c r="FU579" s="275"/>
      <c r="FV579" s="275"/>
      <c r="FW579" s="275"/>
      <c r="FX579" s="275"/>
      <c r="FY579" s="275"/>
      <c r="FZ579" s="275"/>
      <c r="GA579" s="275"/>
      <c r="GB579" s="275"/>
      <c r="GC579" s="275"/>
      <c r="GD579" s="275"/>
      <c r="GE579" s="275"/>
      <c r="GF579" s="275"/>
      <c r="GG579" s="275"/>
      <c r="GH579" s="275"/>
      <c r="GI579" s="275"/>
      <c r="GJ579" s="275"/>
      <c r="GK579" s="275"/>
      <c r="GL579" s="275"/>
      <c r="GM579" s="275"/>
      <c r="GN579" s="275"/>
      <c r="GO579" s="275"/>
      <c r="GP579" s="275"/>
      <c r="GQ579" s="275"/>
      <c r="GR579" s="275"/>
      <c r="GS579" s="275"/>
      <c r="GT579" s="275"/>
      <c r="GU579" s="275"/>
      <c r="GV579" s="275"/>
      <c r="GW579" s="275"/>
      <c r="GX579" s="275"/>
      <c r="GY579" s="275"/>
      <c r="GZ579" s="275"/>
      <c r="HA579" s="275"/>
      <c r="HB579" s="275"/>
      <c r="HC579" s="275"/>
      <c r="HD579" s="275"/>
      <c r="HE579" s="275"/>
      <c r="HF579" s="275"/>
      <c r="HG579" s="275"/>
      <c r="HH579" s="275"/>
      <c r="HI579" s="275"/>
      <c r="HJ579" s="275"/>
      <c r="HK579" s="275"/>
      <c r="HL579" s="275"/>
      <c r="HM579" s="275"/>
      <c r="HN579" s="275"/>
      <c r="HO579" s="275"/>
      <c r="HP579" s="275"/>
      <c r="HQ579" s="275"/>
      <c r="HR579" s="275"/>
    </row>
    <row r="580" spans="1:226" s="297" customFormat="1">
      <c r="A580" s="275"/>
      <c r="B580" s="21"/>
      <c r="C580" s="21"/>
      <c r="D580" s="21"/>
      <c r="E580" s="21"/>
      <c r="F580" s="275"/>
      <c r="G580" s="275"/>
      <c r="H580" s="275"/>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J580" s="275"/>
      <c r="AK580" s="275"/>
      <c r="AL580" s="275"/>
      <c r="AM580" s="275"/>
      <c r="AN580" s="275"/>
      <c r="AO580" s="275"/>
      <c r="AQ580" s="275"/>
      <c r="AR580" s="275"/>
      <c r="AS580" s="275"/>
      <c r="AT580" s="275"/>
      <c r="AU580" s="275"/>
      <c r="AV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D580" s="275"/>
      <c r="EE580" s="275"/>
      <c r="EF580" s="275"/>
      <c r="EG580" s="275"/>
      <c r="EH580" s="275"/>
      <c r="EI580" s="275"/>
      <c r="EJ580" s="275"/>
      <c r="EK580" s="275"/>
      <c r="EL580" s="275"/>
      <c r="EM580" s="275"/>
      <c r="EN580" s="275"/>
      <c r="EO580" s="275"/>
      <c r="EP580" s="275"/>
      <c r="EQ580" s="275"/>
      <c r="ER580" s="275"/>
      <c r="ES580" s="275"/>
      <c r="ET580" s="275"/>
      <c r="EU580"/>
      <c r="EV580"/>
      <c r="EW580" s="275"/>
      <c r="EX580" s="275"/>
      <c r="EY580" s="275"/>
      <c r="EZ580" s="275"/>
      <c r="FA580" s="275"/>
      <c r="FB580" s="275"/>
      <c r="FC580" s="275"/>
      <c r="FD580" s="275"/>
      <c r="FE580" s="275"/>
      <c r="FF580" s="275"/>
      <c r="FG580" s="275"/>
      <c r="FH580" s="275"/>
      <c r="FI580" s="275"/>
      <c r="FJ580" s="275"/>
      <c r="FK580" s="275"/>
      <c r="FL580" s="275"/>
      <c r="FM580" s="275"/>
      <c r="FN580" s="275"/>
      <c r="FO580" s="275"/>
      <c r="FP580" s="275"/>
      <c r="FQ580" s="275"/>
      <c r="FR580" s="275"/>
      <c r="FS580" s="275"/>
      <c r="FT580" s="275"/>
      <c r="FU580" s="275"/>
      <c r="FV580" s="275"/>
      <c r="FW580" s="275"/>
      <c r="FX580" s="275"/>
      <c r="FY580" s="275"/>
      <c r="FZ580" s="275"/>
      <c r="GA580" s="275"/>
      <c r="GB580" s="275"/>
      <c r="GC580" s="275"/>
      <c r="GD580" s="275"/>
      <c r="GE580" s="275"/>
      <c r="GF580" s="275"/>
      <c r="GG580" s="275"/>
      <c r="GH580" s="275"/>
      <c r="GI580" s="275"/>
      <c r="GJ580" s="275"/>
      <c r="GK580" s="275"/>
      <c r="GL580" s="275"/>
      <c r="GM580" s="275"/>
      <c r="GN580" s="275"/>
      <c r="GO580" s="275"/>
      <c r="GP580" s="275"/>
      <c r="GQ580" s="275"/>
      <c r="GR580" s="275"/>
      <c r="GS580" s="275"/>
      <c r="GT580" s="275"/>
      <c r="GU580" s="275"/>
      <c r="GV580" s="275"/>
      <c r="GW580" s="275"/>
      <c r="GX580" s="275"/>
      <c r="GY580" s="275"/>
      <c r="GZ580" s="275"/>
      <c r="HA580" s="275"/>
      <c r="HB580" s="275"/>
      <c r="HC580" s="275"/>
      <c r="HD580" s="275"/>
      <c r="HE580" s="275"/>
      <c r="HF580" s="275"/>
      <c r="HG580" s="275"/>
      <c r="HH580" s="275"/>
      <c r="HI580" s="275"/>
      <c r="HJ580" s="275"/>
      <c r="HK580" s="275"/>
      <c r="HL580" s="275"/>
      <c r="HM580" s="275"/>
      <c r="HN580" s="275"/>
      <c r="HO580" s="275"/>
      <c r="HP580" s="275"/>
      <c r="HQ580" s="275"/>
      <c r="HR580" s="275"/>
    </row>
    <row r="581" spans="1:226" s="297" customFormat="1">
      <c r="A581" s="275"/>
      <c r="B581" s="21"/>
      <c r="C581" s="21"/>
      <c r="D581" s="21"/>
      <c r="E581" s="21"/>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J581" s="275"/>
      <c r="AK581" s="275"/>
      <c r="AL581" s="275"/>
      <c r="AM581" s="275"/>
      <c r="AN581" s="275"/>
      <c r="AO581" s="275"/>
      <c r="AQ581" s="275"/>
      <c r="AR581" s="275"/>
      <c r="AS581" s="275"/>
      <c r="AT581" s="275"/>
      <c r="AU581" s="275"/>
      <c r="AV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D581" s="275"/>
      <c r="EE581" s="275"/>
      <c r="EF581" s="275"/>
      <c r="EG581" s="275"/>
      <c r="EH581" s="275"/>
      <c r="EI581" s="275"/>
      <c r="EJ581" s="275"/>
      <c r="EK581" s="275"/>
      <c r="EL581" s="275"/>
      <c r="EM581" s="275"/>
      <c r="EN581" s="275"/>
      <c r="EO581" s="275"/>
      <c r="EP581" s="275"/>
      <c r="EQ581" s="275"/>
      <c r="ER581" s="275"/>
      <c r="ES581" s="275"/>
      <c r="ET581" s="275"/>
      <c r="EU581"/>
      <c r="EV581"/>
      <c r="EW581" s="275"/>
      <c r="EX581" s="275"/>
      <c r="EY581" s="275"/>
      <c r="EZ581" s="275"/>
      <c r="FA581" s="275"/>
      <c r="FB581" s="275"/>
      <c r="FC581" s="275"/>
      <c r="FD581" s="275"/>
      <c r="FE581" s="275"/>
      <c r="FF581" s="275"/>
      <c r="FG581" s="275"/>
      <c r="FH581" s="275"/>
      <c r="FI581" s="275"/>
      <c r="FJ581" s="275"/>
      <c r="FK581" s="275"/>
      <c r="FL581" s="275"/>
      <c r="FM581" s="275"/>
      <c r="FN581" s="275"/>
      <c r="FO581" s="275"/>
      <c r="FP581" s="275"/>
      <c r="FQ581" s="275"/>
      <c r="FR581" s="275"/>
      <c r="FS581" s="275"/>
      <c r="FT581" s="275"/>
      <c r="FU581" s="275"/>
      <c r="FV581" s="275"/>
      <c r="FW581" s="275"/>
      <c r="FX581" s="275"/>
      <c r="FY581" s="275"/>
      <c r="FZ581" s="275"/>
      <c r="GA581" s="275"/>
      <c r="GB581" s="275"/>
      <c r="GC581" s="275"/>
      <c r="GD581" s="275"/>
      <c r="GE581" s="275"/>
      <c r="GF581" s="275"/>
      <c r="GG581" s="275"/>
      <c r="GH581" s="275"/>
      <c r="GI581" s="275"/>
      <c r="GJ581" s="275"/>
      <c r="GK581" s="275"/>
      <c r="GL581" s="275"/>
      <c r="GM581" s="275"/>
      <c r="GN581" s="275"/>
      <c r="GO581" s="275"/>
      <c r="GP581" s="275"/>
      <c r="GQ581" s="275"/>
      <c r="GR581" s="275"/>
      <c r="GS581" s="275"/>
      <c r="GT581" s="275"/>
      <c r="GU581" s="275"/>
      <c r="GV581" s="275"/>
      <c r="GW581" s="275"/>
      <c r="GX581" s="275"/>
      <c r="GY581" s="275"/>
      <c r="GZ581" s="275"/>
      <c r="HA581" s="275"/>
      <c r="HB581" s="275"/>
      <c r="HC581" s="275"/>
      <c r="HD581" s="275"/>
      <c r="HE581" s="275"/>
      <c r="HF581" s="275"/>
      <c r="HG581" s="275"/>
      <c r="HH581" s="275"/>
      <c r="HI581" s="275"/>
      <c r="HJ581" s="275"/>
      <c r="HK581" s="275"/>
      <c r="HL581" s="275"/>
      <c r="HM581" s="275"/>
      <c r="HN581" s="275"/>
      <c r="HO581" s="275"/>
      <c r="HP581" s="275"/>
      <c r="HQ581" s="275"/>
      <c r="HR581" s="275"/>
    </row>
    <row r="582" spans="1:226" s="297" customFormat="1">
      <c r="A582" s="275"/>
      <c r="B582" s="21"/>
      <c r="C582" s="21"/>
      <c r="D582" s="21"/>
      <c r="E582" s="21"/>
      <c r="F582" s="275"/>
      <c r="G582" s="275"/>
      <c r="H582" s="275"/>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J582" s="275"/>
      <c r="AK582" s="275"/>
      <c r="AL582" s="275"/>
      <c r="AM582" s="275"/>
      <c r="AN582" s="275"/>
      <c r="AO582" s="275"/>
      <c r="AQ582" s="275"/>
      <c r="AR582" s="275"/>
      <c r="AS582" s="275"/>
      <c r="AT582" s="275"/>
      <c r="AU582" s="275"/>
      <c r="AV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D582" s="275"/>
      <c r="EE582" s="275"/>
      <c r="EF582" s="275"/>
      <c r="EG582" s="275"/>
      <c r="EH582" s="275"/>
      <c r="EI582" s="275"/>
      <c r="EJ582" s="275"/>
      <c r="EK582" s="275"/>
      <c r="EL582" s="275"/>
      <c r="EM582" s="275"/>
      <c r="EN582" s="275"/>
      <c r="EO582" s="275"/>
      <c r="EP582" s="275"/>
      <c r="EQ582" s="275"/>
      <c r="ER582" s="275"/>
      <c r="ES582" s="275"/>
      <c r="ET582" s="275"/>
      <c r="EU582"/>
      <c r="EV582"/>
      <c r="EW582" s="275"/>
      <c r="EX582" s="275"/>
      <c r="EY582" s="275"/>
      <c r="EZ582" s="275"/>
      <c r="FA582" s="275"/>
      <c r="FB582" s="275"/>
      <c r="FC582" s="275"/>
      <c r="FD582" s="275"/>
      <c r="FE582" s="275"/>
      <c r="FF582" s="275"/>
      <c r="FG582" s="275"/>
      <c r="FH582" s="275"/>
      <c r="FI582" s="275"/>
      <c r="FJ582" s="275"/>
      <c r="FK582" s="275"/>
      <c r="FL582" s="275"/>
      <c r="FM582" s="275"/>
      <c r="FN582" s="275"/>
      <c r="FO582" s="275"/>
      <c r="FP582" s="275"/>
      <c r="FQ582" s="275"/>
      <c r="FR582" s="275"/>
      <c r="FS582" s="275"/>
      <c r="FT582" s="275"/>
      <c r="FU582" s="275"/>
      <c r="FV582" s="275"/>
      <c r="FW582" s="275"/>
      <c r="FX582" s="275"/>
      <c r="FY582" s="275"/>
      <c r="FZ582" s="275"/>
      <c r="GA582" s="275"/>
      <c r="GB582" s="275"/>
      <c r="GC582" s="275"/>
      <c r="GD582" s="275"/>
      <c r="GE582" s="275"/>
      <c r="GF582" s="275"/>
      <c r="GG582" s="275"/>
      <c r="GH582" s="275"/>
      <c r="GI582" s="275"/>
      <c r="GJ582" s="275"/>
      <c r="GK582" s="275"/>
      <c r="GL582" s="275"/>
      <c r="GM582" s="275"/>
      <c r="GN582" s="275"/>
      <c r="GO582" s="275"/>
      <c r="GP582" s="275"/>
      <c r="GQ582" s="275"/>
      <c r="GR582" s="275"/>
      <c r="GS582" s="275"/>
      <c r="GT582" s="275"/>
      <c r="GU582" s="275"/>
      <c r="GV582" s="275"/>
      <c r="GW582" s="275"/>
      <c r="GX582" s="275"/>
      <c r="GY582" s="275"/>
      <c r="GZ582" s="275"/>
      <c r="HA582" s="275"/>
      <c r="HB582" s="275"/>
      <c r="HC582" s="275"/>
      <c r="HD582" s="275"/>
      <c r="HE582" s="275"/>
      <c r="HF582" s="275"/>
      <c r="HG582" s="275"/>
      <c r="HH582" s="275"/>
      <c r="HI582" s="275"/>
      <c r="HJ582" s="275"/>
      <c r="HK582" s="275"/>
      <c r="HL582" s="275"/>
      <c r="HM582" s="275"/>
      <c r="HN582" s="275"/>
      <c r="HO582" s="275"/>
      <c r="HP582" s="275"/>
      <c r="HQ582" s="275"/>
      <c r="HR582" s="275"/>
    </row>
    <row r="583" spans="1:226" s="297" customFormat="1">
      <c r="A583" s="275"/>
      <c r="B583" s="21"/>
      <c r="C583" s="21"/>
      <c r="D583" s="21"/>
      <c r="E583" s="21"/>
      <c r="F583" s="275"/>
      <c r="G583" s="275"/>
      <c r="H583" s="275"/>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J583" s="275"/>
      <c r="AK583" s="275"/>
      <c r="AL583" s="275"/>
      <c r="AM583" s="275"/>
      <c r="AN583" s="275"/>
      <c r="AO583" s="275"/>
      <c r="AQ583" s="275"/>
      <c r="AR583" s="275"/>
      <c r="AS583" s="275"/>
      <c r="AT583" s="275"/>
      <c r="AU583" s="275"/>
      <c r="AV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D583" s="275"/>
      <c r="EE583" s="275"/>
      <c r="EF583" s="275"/>
      <c r="EG583" s="275"/>
      <c r="EH583" s="275"/>
      <c r="EI583" s="275"/>
      <c r="EJ583" s="275"/>
      <c r="EK583" s="275"/>
      <c r="EL583" s="275"/>
      <c r="EM583" s="275"/>
      <c r="EN583" s="275"/>
      <c r="EO583" s="275"/>
      <c r="EP583" s="275"/>
      <c r="EQ583" s="275"/>
      <c r="ER583" s="275"/>
      <c r="ES583" s="275"/>
      <c r="ET583" s="275"/>
      <c r="EU583"/>
      <c r="EV583"/>
      <c r="EW583" s="275"/>
      <c r="EX583" s="275"/>
      <c r="EY583" s="275"/>
      <c r="EZ583" s="275"/>
      <c r="FA583" s="275"/>
      <c r="FB583" s="275"/>
      <c r="FC583" s="275"/>
      <c r="FD583" s="275"/>
      <c r="FE583" s="275"/>
      <c r="FF583" s="275"/>
      <c r="FG583" s="275"/>
      <c r="FH583" s="275"/>
      <c r="FI583" s="275"/>
      <c r="FJ583" s="275"/>
      <c r="FK583" s="275"/>
      <c r="FL583" s="275"/>
      <c r="FM583" s="275"/>
      <c r="FN583" s="275"/>
      <c r="FO583" s="275"/>
      <c r="FP583" s="275"/>
      <c r="FQ583" s="275"/>
      <c r="FR583" s="275"/>
      <c r="FS583" s="275"/>
      <c r="FT583" s="275"/>
      <c r="FU583" s="275"/>
      <c r="FV583" s="275"/>
      <c r="FW583" s="275"/>
      <c r="FX583" s="275"/>
      <c r="FY583" s="275"/>
      <c r="FZ583" s="275"/>
      <c r="GA583" s="275"/>
      <c r="GB583" s="275"/>
      <c r="GC583" s="275"/>
      <c r="GD583" s="275"/>
      <c r="GE583" s="275"/>
      <c r="GF583" s="275"/>
      <c r="GG583" s="275"/>
      <c r="GH583" s="275"/>
      <c r="GI583" s="275"/>
      <c r="GJ583" s="275"/>
      <c r="GK583" s="275"/>
      <c r="GL583" s="275"/>
      <c r="GM583" s="275"/>
      <c r="GN583" s="275"/>
      <c r="GO583" s="275"/>
      <c r="GP583" s="275"/>
      <c r="GQ583" s="275"/>
      <c r="GR583" s="275"/>
      <c r="GS583" s="275"/>
      <c r="GT583" s="275"/>
      <c r="GU583" s="275"/>
      <c r="GV583" s="275"/>
      <c r="GW583" s="275"/>
      <c r="GX583" s="275"/>
      <c r="GY583" s="275"/>
      <c r="GZ583" s="275"/>
      <c r="HA583" s="275"/>
      <c r="HB583" s="275"/>
      <c r="HC583" s="275"/>
      <c r="HD583" s="275"/>
      <c r="HE583" s="275"/>
      <c r="HF583" s="275"/>
      <c r="HG583" s="275"/>
      <c r="HH583" s="275"/>
      <c r="HI583" s="275"/>
      <c r="HJ583" s="275"/>
      <c r="HK583" s="275"/>
      <c r="HL583" s="275"/>
      <c r="HM583" s="275"/>
      <c r="HN583" s="275"/>
      <c r="HO583" s="275"/>
      <c r="HP583" s="275"/>
      <c r="HQ583" s="275"/>
      <c r="HR583" s="275"/>
    </row>
    <row r="584" spans="1:226" s="297" customFormat="1">
      <c r="A584" s="275"/>
      <c r="B584" s="21"/>
      <c r="C584" s="21"/>
      <c r="D584" s="21"/>
      <c r="E584" s="21"/>
      <c r="F584" s="275"/>
      <c r="G584" s="275"/>
      <c r="H584" s="275"/>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J584" s="275"/>
      <c r="AK584" s="275"/>
      <c r="AL584" s="275"/>
      <c r="AM584" s="275"/>
      <c r="AN584" s="275"/>
      <c r="AO584" s="275"/>
      <c r="AQ584" s="275"/>
      <c r="AR584" s="275"/>
      <c r="AS584" s="275"/>
      <c r="AT584" s="275"/>
      <c r="AU584" s="275"/>
      <c r="AV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D584" s="275"/>
      <c r="EE584" s="275"/>
      <c r="EF584" s="275"/>
      <c r="EG584" s="275"/>
      <c r="EH584" s="275"/>
      <c r="EI584" s="275"/>
      <c r="EJ584" s="275"/>
      <c r="EK584" s="275"/>
      <c r="EL584" s="275"/>
      <c r="EM584" s="275"/>
      <c r="EN584" s="275"/>
      <c r="EO584" s="275"/>
      <c r="EP584" s="275"/>
      <c r="EQ584" s="275"/>
      <c r="ER584" s="275"/>
      <c r="ES584" s="275"/>
      <c r="ET584" s="275"/>
      <c r="EU584"/>
      <c r="EV584"/>
      <c r="EW584" s="275"/>
      <c r="EX584" s="275"/>
      <c r="EY584" s="275"/>
      <c r="EZ584" s="275"/>
      <c r="FA584" s="275"/>
      <c r="FB584" s="275"/>
      <c r="FC584" s="275"/>
      <c r="FD584" s="275"/>
      <c r="FE584" s="275"/>
      <c r="FF584" s="275"/>
      <c r="FG584" s="275"/>
      <c r="FH584" s="275"/>
      <c r="FI584" s="275"/>
      <c r="FJ584" s="275"/>
      <c r="FK584" s="275"/>
      <c r="FL584" s="275"/>
      <c r="FM584" s="275"/>
      <c r="FN584" s="275"/>
      <c r="FO584" s="275"/>
      <c r="FP584" s="275"/>
      <c r="FQ584" s="275"/>
      <c r="FR584" s="275"/>
      <c r="FS584" s="275"/>
      <c r="FT584" s="275"/>
      <c r="FU584" s="275"/>
      <c r="FV584" s="275"/>
      <c r="FW584" s="275"/>
      <c r="FX584" s="275"/>
      <c r="FY584" s="275"/>
      <c r="FZ584" s="275"/>
      <c r="GA584" s="275"/>
      <c r="GB584" s="275"/>
      <c r="GC584" s="275"/>
      <c r="GD584" s="275"/>
      <c r="GE584" s="275"/>
      <c r="GF584" s="275"/>
      <c r="GG584" s="275"/>
      <c r="GH584" s="275"/>
      <c r="GI584" s="275"/>
      <c r="GJ584" s="275"/>
      <c r="GK584" s="275"/>
      <c r="GL584" s="275"/>
      <c r="GM584" s="275"/>
      <c r="GN584" s="275"/>
      <c r="GO584" s="275"/>
      <c r="GP584" s="275"/>
      <c r="GQ584" s="275"/>
      <c r="GR584" s="275"/>
      <c r="GS584" s="275"/>
      <c r="GT584" s="275"/>
      <c r="GU584" s="275"/>
      <c r="GV584" s="275"/>
      <c r="GW584" s="275"/>
      <c r="GX584" s="275"/>
      <c r="GY584" s="275"/>
      <c r="GZ584" s="275"/>
      <c r="HA584" s="275"/>
      <c r="HB584" s="275"/>
      <c r="HC584" s="275"/>
      <c r="HD584" s="275"/>
      <c r="HE584" s="275"/>
      <c r="HF584" s="275"/>
      <c r="HG584" s="275"/>
      <c r="HH584" s="275"/>
      <c r="HI584" s="275"/>
      <c r="HJ584" s="275"/>
      <c r="HK584" s="275"/>
      <c r="HL584" s="275"/>
      <c r="HM584" s="275"/>
      <c r="HN584" s="275"/>
      <c r="HO584" s="275"/>
      <c r="HP584" s="275"/>
      <c r="HQ584" s="275"/>
      <c r="HR584" s="275"/>
    </row>
    <row r="585" spans="1:226" s="297" customFormat="1">
      <c r="A585" s="275"/>
      <c r="B585" s="21"/>
      <c r="C585" s="21"/>
      <c r="D585" s="21"/>
      <c r="E585" s="21"/>
      <c r="F585" s="275"/>
      <c r="G585" s="275"/>
      <c r="H585" s="275"/>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J585" s="275"/>
      <c r="AK585" s="275"/>
      <c r="AL585" s="275"/>
      <c r="AM585" s="275"/>
      <c r="AN585" s="275"/>
      <c r="AO585" s="275"/>
      <c r="AQ585" s="275"/>
      <c r="AR585" s="275"/>
      <c r="AS585" s="275"/>
      <c r="AT585" s="275"/>
      <c r="AU585" s="275"/>
      <c r="AV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D585" s="275"/>
      <c r="EE585" s="275"/>
      <c r="EF585" s="275"/>
      <c r="EG585" s="275"/>
      <c r="EH585" s="275"/>
      <c r="EI585" s="275"/>
      <c r="EJ585" s="275"/>
      <c r="EK585" s="275"/>
      <c r="EL585" s="275"/>
      <c r="EM585" s="275"/>
      <c r="EN585" s="275"/>
      <c r="EO585" s="275"/>
      <c r="EP585" s="275"/>
      <c r="EQ585" s="275"/>
      <c r="ER585" s="275"/>
      <c r="ES585" s="275"/>
      <c r="ET585" s="275"/>
      <c r="EU585"/>
      <c r="EV585"/>
      <c r="EW585" s="275"/>
      <c r="EX585" s="275"/>
      <c r="EY585" s="275"/>
      <c r="EZ585" s="275"/>
      <c r="FA585" s="275"/>
      <c r="FB585" s="275"/>
      <c r="FC585" s="275"/>
      <c r="FD585" s="275"/>
      <c r="FE585" s="275"/>
      <c r="FF585" s="275"/>
      <c r="FG585" s="275"/>
      <c r="FH585" s="275"/>
      <c r="FI585" s="275"/>
      <c r="FJ585" s="275"/>
      <c r="FK585" s="275"/>
      <c r="FL585" s="275"/>
      <c r="FM585" s="275"/>
      <c r="FN585" s="275"/>
      <c r="FO585" s="275"/>
      <c r="FP585" s="275"/>
      <c r="FQ585" s="275"/>
      <c r="FR585" s="275"/>
      <c r="FS585" s="275"/>
      <c r="FT585" s="275"/>
      <c r="FU585" s="275"/>
      <c r="FV585" s="275"/>
      <c r="FW585" s="275"/>
      <c r="FX585" s="275"/>
      <c r="FY585" s="275"/>
      <c r="FZ585" s="275"/>
      <c r="GA585" s="275"/>
      <c r="GB585" s="275"/>
      <c r="GC585" s="275"/>
      <c r="GD585" s="275"/>
      <c r="GE585" s="275"/>
      <c r="GF585" s="275"/>
      <c r="GG585" s="275"/>
      <c r="GH585" s="275"/>
      <c r="GI585" s="275"/>
      <c r="GJ585" s="275"/>
      <c r="GK585" s="275"/>
      <c r="GL585" s="275"/>
      <c r="GM585" s="275"/>
      <c r="GN585" s="275"/>
      <c r="GO585" s="275"/>
      <c r="GP585" s="275"/>
      <c r="GQ585" s="275"/>
      <c r="GR585" s="275"/>
      <c r="GS585" s="275"/>
      <c r="GT585" s="275"/>
      <c r="GU585" s="275"/>
      <c r="GV585" s="275"/>
      <c r="GW585" s="275"/>
      <c r="GX585" s="275"/>
      <c r="GY585" s="275"/>
      <c r="GZ585" s="275"/>
      <c r="HA585" s="275"/>
      <c r="HB585" s="275"/>
      <c r="HC585" s="275"/>
      <c r="HD585" s="275"/>
      <c r="HE585" s="275"/>
      <c r="HF585" s="275"/>
      <c r="HG585" s="275"/>
      <c r="HH585" s="275"/>
      <c r="HI585" s="275"/>
      <c r="HJ585" s="275"/>
      <c r="HK585" s="275"/>
      <c r="HL585" s="275"/>
      <c r="HM585" s="275"/>
      <c r="HN585" s="275"/>
      <c r="HO585" s="275"/>
      <c r="HP585" s="275"/>
      <c r="HQ585" s="275"/>
      <c r="HR585" s="275"/>
    </row>
    <row r="586" spans="1:226" s="297" customFormat="1">
      <c r="A586" s="275"/>
      <c r="B586" s="21"/>
      <c r="C586" s="21"/>
      <c r="D586" s="21"/>
      <c r="E586" s="21"/>
      <c r="F586" s="275"/>
      <c r="G586" s="275"/>
      <c r="H586" s="275"/>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J586" s="275"/>
      <c r="AK586" s="275"/>
      <c r="AL586" s="275"/>
      <c r="AM586" s="275"/>
      <c r="AN586" s="275"/>
      <c r="AO586" s="275"/>
      <c r="AQ586" s="275"/>
      <c r="AR586" s="275"/>
      <c r="AS586" s="275"/>
      <c r="AT586" s="275"/>
      <c r="AU586" s="275"/>
      <c r="AV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D586" s="275"/>
      <c r="EE586" s="275"/>
      <c r="EF586" s="275"/>
      <c r="EG586" s="275"/>
      <c r="EH586" s="275"/>
      <c r="EI586" s="275"/>
      <c r="EJ586" s="275"/>
      <c r="EK586" s="275"/>
      <c r="EL586" s="275"/>
      <c r="EM586" s="275"/>
      <c r="EN586" s="275"/>
      <c r="EO586" s="275"/>
      <c r="EP586" s="275"/>
      <c r="EQ586" s="275"/>
      <c r="ER586" s="275"/>
      <c r="ES586" s="275"/>
      <c r="ET586" s="275"/>
      <c r="EU586"/>
      <c r="EV586"/>
      <c r="EW586" s="275"/>
      <c r="EX586" s="275"/>
      <c r="EY586" s="275"/>
      <c r="EZ586" s="275"/>
      <c r="FA586" s="275"/>
      <c r="FB586" s="275"/>
      <c r="FC586" s="275"/>
      <c r="FD586" s="275"/>
      <c r="FE586" s="275"/>
      <c r="FF586" s="275"/>
      <c r="FG586" s="275"/>
      <c r="FH586" s="275"/>
      <c r="FI586" s="275"/>
      <c r="FJ586" s="275"/>
      <c r="FK586" s="275"/>
      <c r="FL586" s="275"/>
      <c r="FM586" s="275"/>
      <c r="FN586" s="275"/>
      <c r="FO586" s="275"/>
      <c r="FP586" s="275"/>
      <c r="FQ586" s="275"/>
      <c r="FR586" s="275"/>
      <c r="FS586" s="275"/>
      <c r="FT586" s="275"/>
      <c r="FU586" s="275"/>
      <c r="FV586" s="275"/>
      <c r="FW586" s="275"/>
      <c r="FX586" s="275"/>
      <c r="FY586" s="275"/>
      <c r="FZ586" s="275"/>
      <c r="GA586" s="275"/>
      <c r="GB586" s="275"/>
      <c r="GC586" s="275"/>
      <c r="GD586" s="275"/>
      <c r="GE586" s="275"/>
      <c r="GF586" s="275"/>
      <c r="GG586" s="275"/>
      <c r="GH586" s="275"/>
      <c r="GI586" s="275"/>
      <c r="GJ586" s="275"/>
      <c r="GK586" s="275"/>
      <c r="GL586" s="275"/>
      <c r="GM586" s="275"/>
      <c r="GN586" s="275"/>
      <c r="GO586" s="275"/>
      <c r="GP586" s="275"/>
      <c r="GQ586" s="275"/>
      <c r="GR586" s="275"/>
      <c r="GS586" s="275"/>
      <c r="GT586" s="275"/>
      <c r="GU586" s="275"/>
      <c r="GV586" s="275"/>
      <c r="GW586" s="275"/>
      <c r="GX586" s="275"/>
      <c r="GY586" s="275"/>
      <c r="GZ586" s="275"/>
      <c r="HA586" s="275"/>
      <c r="HB586" s="275"/>
      <c r="HC586" s="275"/>
      <c r="HD586" s="275"/>
      <c r="HE586" s="275"/>
      <c r="HF586" s="275"/>
      <c r="HG586" s="275"/>
      <c r="HH586" s="275"/>
      <c r="HI586" s="275"/>
      <c r="HJ586" s="275"/>
      <c r="HK586" s="275"/>
      <c r="HL586" s="275"/>
      <c r="HM586" s="275"/>
      <c r="HN586" s="275"/>
      <c r="HO586" s="275"/>
      <c r="HP586" s="275"/>
      <c r="HQ586" s="275"/>
      <c r="HR586" s="275"/>
    </row>
    <row r="587" spans="1:226" s="297" customFormat="1">
      <c r="A587" s="275"/>
      <c r="B587" s="21"/>
      <c r="C587" s="21"/>
      <c r="D587" s="21"/>
      <c r="E587" s="21"/>
      <c r="F587" s="275"/>
      <c r="G587" s="275"/>
      <c r="H587" s="275"/>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J587" s="275"/>
      <c r="AK587" s="275"/>
      <c r="AL587" s="275"/>
      <c r="AM587" s="275"/>
      <c r="AN587" s="275"/>
      <c r="AO587" s="275"/>
      <c r="AQ587" s="275"/>
      <c r="AR587" s="275"/>
      <c r="AS587" s="275"/>
      <c r="AT587" s="275"/>
      <c r="AU587" s="275"/>
      <c r="AV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D587" s="275"/>
      <c r="EE587" s="275"/>
      <c r="EF587" s="275"/>
      <c r="EG587" s="275"/>
      <c r="EH587" s="275"/>
      <c r="EI587" s="275"/>
      <c r="EJ587" s="275"/>
      <c r="EK587" s="275"/>
      <c r="EL587" s="275"/>
      <c r="EM587" s="275"/>
      <c r="EN587" s="275"/>
      <c r="EO587" s="275"/>
      <c r="EP587" s="275"/>
      <c r="EQ587" s="275"/>
      <c r="ER587" s="275"/>
      <c r="ES587" s="275"/>
      <c r="ET587" s="275"/>
      <c r="EU587"/>
      <c r="EV587"/>
      <c r="EW587" s="275"/>
      <c r="EX587" s="275"/>
      <c r="EY587" s="275"/>
      <c r="EZ587" s="275"/>
      <c r="FA587" s="275"/>
      <c r="FB587" s="275"/>
      <c r="FC587" s="275"/>
      <c r="FD587" s="275"/>
      <c r="FE587" s="275"/>
      <c r="FF587" s="275"/>
      <c r="FG587" s="275"/>
      <c r="FH587" s="275"/>
      <c r="FI587" s="275"/>
      <c r="FJ587" s="275"/>
      <c r="FK587" s="275"/>
      <c r="FL587" s="275"/>
      <c r="FM587" s="275"/>
      <c r="FN587" s="275"/>
      <c r="FO587" s="275"/>
      <c r="FP587" s="275"/>
      <c r="FQ587" s="275"/>
      <c r="FR587" s="275"/>
      <c r="FS587" s="275"/>
      <c r="FT587" s="275"/>
      <c r="FU587" s="275"/>
      <c r="FV587" s="275"/>
      <c r="FW587" s="275"/>
      <c r="FX587" s="275"/>
      <c r="FY587" s="275"/>
      <c r="FZ587" s="275"/>
      <c r="GA587" s="275"/>
      <c r="GB587" s="275"/>
      <c r="GC587" s="275"/>
      <c r="GD587" s="275"/>
      <c r="GE587" s="275"/>
      <c r="GF587" s="275"/>
      <c r="GG587" s="275"/>
      <c r="GH587" s="275"/>
      <c r="GI587" s="275"/>
      <c r="GJ587" s="275"/>
      <c r="GK587" s="275"/>
      <c r="GL587" s="275"/>
      <c r="GM587" s="275"/>
      <c r="GN587" s="275"/>
      <c r="GO587" s="275"/>
      <c r="GP587" s="275"/>
      <c r="GQ587" s="275"/>
      <c r="GR587" s="275"/>
      <c r="GS587" s="275"/>
      <c r="GT587" s="275"/>
      <c r="GU587" s="275"/>
      <c r="GV587" s="275"/>
      <c r="GW587" s="275"/>
      <c r="GX587" s="275"/>
      <c r="GY587" s="275"/>
      <c r="GZ587" s="275"/>
      <c r="HA587" s="275"/>
      <c r="HB587" s="275"/>
      <c r="HC587" s="275"/>
      <c r="HD587" s="275"/>
      <c r="HE587" s="275"/>
      <c r="HF587" s="275"/>
      <c r="HG587" s="275"/>
      <c r="HH587" s="275"/>
      <c r="HI587" s="275"/>
      <c r="HJ587" s="275"/>
      <c r="HK587" s="275"/>
      <c r="HL587" s="275"/>
      <c r="HM587" s="275"/>
      <c r="HN587" s="275"/>
      <c r="HO587" s="275"/>
      <c r="HP587" s="275"/>
      <c r="HQ587" s="275"/>
      <c r="HR587" s="275"/>
    </row>
    <row r="588" spans="1:226" s="297" customFormat="1">
      <c r="A588" s="275"/>
      <c r="B588" s="21"/>
      <c r="C588" s="21"/>
      <c r="D588" s="21"/>
      <c r="E588" s="21"/>
      <c r="F588" s="275"/>
      <c r="G588" s="275"/>
      <c r="H588" s="275"/>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J588" s="275"/>
      <c r="AK588" s="275"/>
      <c r="AL588" s="275"/>
      <c r="AM588" s="275"/>
      <c r="AN588" s="275"/>
      <c r="AO588" s="275"/>
      <c r="AQ588" s="275"/>
      <c r="AR588" s="275"/>
      <c r="AS588" s="275"/>
      <c r="AT588" s="275"/>
      <c r="AU588" s="275"/>
      <c r="AV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D588" s="275"/>
      <c r="EE588" s="275"/>
      <c r="EF588" s="275"/>
      <c r="EG588" s="275"/>
      <c r="EH588" s="275"/>
      <c r="EI588" s="275"/>
      <c r="EJ588" s="275"/>
      <c r="EK588" s="275"/>
      <c r="EL588" s="275"/>
      <c r="EM588" s="275"/>
      <c r="EN588" s="275"/>
      <c r="EO588" s="275"/>
      <c r="EP588" s="275"/>
      <c r="EQ588" s="275"/>
      <c r="ER588" s="275"/>
      <c r="ES588" s="275"/>
      <c r="ET588" s="275"/>
      <c r="EU588"/>
      <c r="EV588"/>
      <c r="EW588" s="275"/>
      <c r="EX588" s="275"/>
      <c r="EY588" s="275"/>
      <c r="EZ588" s="275"/>
      <c r="FA588" s="275"/>
      <c r="FB588" s="275"/>
      <c r="FC588" s="275"/>
      <c r="FD588" s="275"/>
      <c r="FE588" s="275"/>
      <c r="FF588" s="275"/>
      <c r="FG588" s="275"/>
      <c r="FH588" s="275"/>
      <c r="FI588" s="275"/>
      <c r="FJ588" s="275"/>
      <c r="FK588" s="275"/>
      <c r="FL588" s="275"/>
      <c r="FM588" s="275"/>
      <c r="FN588" s="275"/>
      <c r="FO588" s="275"/>
      <c r="FP588" s="275"/>
      <c r="FQ588" s="275"/>
      <c r="FR588" s="275"/>
      <c r="FS588" s="275"/>
      <c r="FT588" s="275"/>
      <c r="FU588" s="275"/>
      <c r="FV588" s="275"/>
      <c r="FW588" s="275"/>
      <c r="FX588" s="275"/>
      <c r="FY588" s="275"/>
      <c r="FZ588" s="275"/>
      <c r="GA588" s="275"/>
      <c r="GB588" s="275"/>
      <c r="GC588" s="275"/>
      <c r="GD588" s="275"/>
      <c r="GE588" s="275"/>
      <c r="GF588" s="275"/>
      <c r="GG588" s="275"/>
      <c r="GH588" s="275"/>
      <c r="GI588" s="275"/>
      <c r="GJ588" s="275"/>
      <c r="GK588" s="275"/>
      <c r="GL588" s="275"/>
      <c r="GM588" s="275"/>
      <c r="GN588" s="275"/>
      <c r="GO588" s="275"/>
      <c r="GP588" s="275"/>
      <c r="GQ588" s="275"/>
      <c r="GR588" s="275"/>
      <c r="GS588" s="275"/>
      <c r="GT588" s="275"/>
      <c r="GU588" s="275"/>
      <c r="GV588" s="275"/>
      <c r="GW588" s="275"/>
      <c r="GX588" s="275"/>
      <c r="GY588" s="275"/>
      <c r="GZ588" s="275"/>
      <c r="HA588" s="275"/>
      <c r="HB588" s="275"/>
      <c r="HC588" s="275"/>
      <c r="HD588" s="275"/>
      <c r="HE588" s="275"/>
      <c r="HF588" s="275"/>
      <c r="HG588" s="275"/>
      <c r="HH588" s="275"/>
      <c r="HI588" s="275"/>
      <c r="HJ588" s="275"/>
      <c r="HK588" s="275"/>
      <c r="HL588" s="275"/>
      <c r="HM588" s="275"/>
      <c r="HN588" s="275"/>
      <c r="HO588" s="275"/>
      <c r="HP588" s="275"/>
      <c r="HQ588" s="275"/>
      <c r="HR588" s="275"/>
    </row>
    <row r="589" spans="1:226" s="297" customFormat="1">
      <c r="A589" s="275"/>
      <c r="B589" s="21"/>
      <c r="C589" s="21"/>
      <c r="D589" s="21"/>
      <c r="E589" s="21"/>
      <c r="F589" s="275"/>
      <c r="G589" s="275"/>
      <c r="H589" s="275"/>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J589" s="275"/>
      <c r="AK589" s="275"/>
      <c r="AL589" s="275"/>
      <c r="AM589" s="275"/>
      <c r="AN589" s="275"/>
      <c r="AO589" s="275"/>
      <c r="AQ589" s="275"/>
      <c r="AR589" s="275"/>
      <c r="AS589" s="275"/>
      <c r="AT589" s="275"/>
      <c r="AU589" s="275"/>
      <c r="AV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D589" s="275"/>
      <c r="EE589" s="275"/>
      <c r="EF589" s="275"/>
      <c r="EG589" s="275"/>
      <c r="EH589" s="275"/>
      <c r="EI589" s="275"/>
      <c r="EJ589" s="275"/>
      <c r="EK589" s="275"/>
      <c r="EL589" s="275"/>
      <c r="EM589" s="275"/>
      <c r="EN589" s="275"/>
      <c r="EO589" s="275"/>
      <c r="EP589" s="275"/>
      <c r="EQ589" s="275"/>
      <c r="ER589" s="275"/>
      <c r="ES589" s="275"/>
      <c r="ET589" s="275"/>
      <c r="EU589"/>
      <c r="EV589"/>
      <c r="EW589" s="275"/>
      <c r="EX589" s="275"/>
      <c r="EY589" s="275"/>
      <c r="EZ589" s="275"/>
      <c r="FA589" s="275"/>
      <c r="FB589" s="275"/>
      <c r="FC589" s="275"/>
      <c r="FD589" s="275"/>
      <c r="FE589" s="275"/>
      <c r="FF589" s="275"/>
      <c r="FG589" s="275"/>
      <c r="FH589" s="275"/>
      <c r="FI589" s="275"/>
      <c r="FJ589" s="275"/>
      <c r="FK589" s="275"/>
      <c r="FL589" s="275"/>
      <c r="FM589" s="275"/>
      <c r="FN589" s="275"/>
      <c r="FO589" s="275"/>
      <c r="FP589" s="275"/>
      <c r="FQ589" s="275"/>
      <c r="FR589" s="275"/>
      <c r="FS589" s="275"/>
      <c r="FT589" s="275"/>
      <c r="FU589" s="275"/>
      <c r="FV589" s="275"/>
      <c r="FW589" s="275"/>
      <c r="FX589" s="275"/>
      <c r="FY589" s="275"/>
      <c r="FZ589" s="275"/>
      <c r="GA589" s="275"/>
      <c r="GB589" s="275"/>
      <c r="GC589" s="275"/>
      <c r="GD589" s="275"/>
      <c r="GE589" s="275"/>
      <c r="GF589" s="275"/>
      <c r="GG589" s="275"/>
      <c r="GH589" s="275"/>
      <c r="GI589" s="275"/>
      <c r="GJ589" s="275"/>
      <c r="GK589" s="275"/>
      <c r="GL589" s="275"/>
      <c r="GM589" s="275"/>
      <c r="GN589" s="275"/>
      <c r="GO589" s="275"/>
      <c r="GP589" s="275"/>
      <c r="GQ589" s="275"/>
      <c r="GR589" s="275"/>
      <c r="GS589" s="275"/>
      <c r="GT589" s="275"/>
      <c r="GU589" s="275"/>
      <c r="GV589" s="275"/>
      <c r="GW589" s="275"/>
      <c r="GX589" s="275"/>
      <c r="GY589" s="275"/>
      <c r="GZ589" s="275"/>
      <c r="HA589" s="275"/>
      <c r="HB589" s="275"/>
      <c r="HC589" s="275"/>
      <c r="HD589" s="275"/>
      <c r="HE589" s="275"/>
      <c r="HF589" s="275"/>
      <c r="HG589" s="275"/>
      <c r="HH589" s="275"/>
      <c r="HI589" s="275"/>
      <c r="HJ589" s="275"/>
      <c r="HK589" s="275"/>
      <c r="HL589" s="275"/>
      <c r="HM589" s="275"/>
      <c r="HN589" s="275"/>
      <c r="HO589" s="275"/>
      <c r="HP589" s="275"/>
      <c r="HQ589" s="275"/>
      <c r="HR589" s="275"/>
    </row>
    <row r="590" spans="1:226" s="297" customFormat="1">
      <c r="A590" s="275"/>
      <c r="B590" s="21"/>
      <c r="C590" s="21"/>
      <c r="D590" s="21"/>
      <c r="E590" s="21"/>
      <c r="F590" s="275"/>
      <c r="G590" s="275"/>
      <c r="H590" s="275"/>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J590" s="275"/>
      <c r="AK590" s="275"/>
      <c r="AL590" s="275"/>
      <c r="AM590" s="275"/>
      <c r="AN590" s="275"/>
      <c r="AO590" s="275"/>
      <c r="AQ590" s="275"/>
      <c r="AR590" s="275"/>
      <c r="AS590" s="275"/>
      <c r="AT590" s="275"/>
      <c r="AU590" s="275"/>
      <c r="AV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D590" s="275"/>
      <c r="EE590" s="275"/>
      <c r="EF590" s="275"/>
      <c r="EG590" s="275"/>
      <c r="EH590" s="275"/>
      <c r="EI590" s="275"/>
      <c r="EJ590" s="275"/>
      <c r="EK590" s="275"/>
      <c r="EL590" s="275"/>
      <c r="EM590" s="275"/>
      <c r="EN590" s="275"/>
      <c r="EO590" s="275"/>
      <c r="EP590" s="275"/>
      <c r="EQ590" s="275"/>
      <c r="ER590" s="275"/>
      <c r="ES590" s="275"/>
      <c r="ET590" s="275"/>
      <c r="EU590"/>
      <c r="EV590"/>
      <c r="EW590" s="275"/>
      <c r="EX590" s="275"/>
      <c r="EY590" s="275"/>
      <c r="EZ590" s="275"/>
      <c r="FA590" s="275"/>
      <c r="FB590" s="275"/>
      <c r="FC590" s="275"/>
      <c r="FD590" s="275"/>
      <c r="FE590" s="275"/>
      <c r="FF590" s="275"/>
      <c r="FG590" s="275"/>
      <c r="FH590" s="275"/>
      <c r="FI590" s="275"/>
      <c r="FJ590" s="275"/>
      <c r="FK590" s="275"/>
      <c r="FL590" s="275"/>
      <c r="FM590" s="275"/>
      <c r="FN590" s="275"/>
      <c r="FO590" s="275"/>
      <c r="FP590" s="275"/>
      <c r="FQ590" s="275"/>
      <c r="FR590" s="275"/>
      <c r="FS590" s="275"/>
      <c r="FT590" s="275"/>
      <c r="FU590" s="275"/>
      <c r="FV590" s="275"/>
      <c r="FW590" s="275"/>
      <c r="FX590" s="275"/>
      <c r="FY590" s="275"/>
      <c r="FZ590" s="275"/>
      <c r="GA590" s="275"/>
      <c r="GB590" s="275"/>
      <c r="GC590" s="275"/>
      <c r="GD590" s="275"/>
      <c r="GE590" s="275"/>
      <c r="GF590" s="275"/>
      <c r="GG590" s="275"/>
      <c r="GH590" s="275"/>
      <c r="GI590" s="275"/>
      <c r="GJ590" s="275"/>
      <c r="GK590" s="275"/>
      <c r="GL590" s="275"/>
      <c r="GM590" s="275"/>
      <c r="GN590" s="275"/>
      <c r="GO590" s="275"/>
      <c r="GP590" s="275"/>
      <c r="GQ590" s="275"/>
      <c r="GR590" s="275"/>
      <c r="GS590" s="275"/>
      <c r="GT590" s="275"/>
      <c r="GU590" s="275"/>
      <c r="GV590" s="275"/>
      <c r="GW590" s="275"/>
      <c r="GX590" s="275"/>
      <c r="GY590" s="275"/>
      <c r="GZ590" s="275"/>
      <c r="HA590" s="275"/>
      <c r="HB590" s="275"/>
      <c r="HC590" s="275"/>
      <c r="HD590" s="275"/>
      <c r="HE590" s="275"/>
      <c r="HF590" s="275"/>
      <c r="HG590" s="275"/>
      <c r="HH590" s="275"/>
      <c r="HI590" s="275"/>
      <c r="HJ590" s="275"/>
      <c r="HK590" s="275"/>
      <c r="HL590" s="275"/>
      <c r="HM590" s="275"/>
      <c r="HN590" s="275"/>
      <c r="HO590" s="275"/>
      <c r="HP590" s="275"/>
      <c r="HQ590" s="275"/>
      <c r="HR590" s="275"/>
    </row>
    <row r="591" spans="1:226" s="297" customFormat="1">
      <c r="A591" s="275"/>
      <c r="B591" s="21"/>
      <c r="C591" s="21"/>
      <c r="D591" s="21"/>
      <c r="E591" s="21"/>
      <c r="F591" s="275"/>
      <c r="G591" s="275"/>
      <c r="H591" s="275"/>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J591" s="275"/>
      <c r="AK591" s="275"/>
      <c r="AL591" s="275"/>
      <c r="AM591" s="275"/>
      <c r="AN591" s="275"/>
      <c r="AO591" s="275"/>
      <c r="AQ591" s="275"/>
      <c r="AR591" s="275"/>
      <c r="AS591" s="275"/>
      <c r="AT591" s="275"/>
      <c r="AU591" s="275"/>
      <c r="AV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D591" s="275"/>
      <c r="EE591" s="275"/>
      <c r="EF591" s="275"/>
      <c r="EG591" s="275"/>
      <c r="EH591" s="275"/>
      <c r="EI591" s="275"/>
      <c r="EJ591" s="275"/>
      <c r="EK591" s="275"/>
      <c r="EL591" s="275"/>
      <c r="EM591" s="275"/>
      <c r="EN591" s="275"/>
      <c r="EO591" s="275"/>
      <c r="EP591" s="275"/>
      <c r="EQ591" s="275"/>
      <c r="ER591" s="275"/>
      <c r="ES591" s="275"/>
      <c r="ET591" s="275"/>
      <c r="EU591"/>
      <c r="EV591"/>
      <c r="EW591" s="275"/>
      <c r="EX591" s="275"/>
      <c r="EY591" s="275"/>
      <c r="EZ591" s="275"/>
      <c r="FA591" s="275"/>
      <c r="FB591" s="275"/>
      <c r="FC591" s="275"/>
      <c r="FD591" s="275"/>
      <c r="FE591" s="275"/>
      <c r="FF591" s="275"/>
      <c r="FG591" s="275"/>
      <c r="FH591" s="275"/>
      <c r="FI591" s="275"/>
      <c r="FJ591" s="275"/>
      <c r="FK591" s="275"/>
      <c r="FL591" s="275"/>
      <c r="FM591" s="275"/>
      <c r="FN591" s="275"/>
      <c r="FO591" s="275"/>
      <c r="FP591" s="275"/>
      <c r="FQ591" s="275"/>
      <c r="FR591" s="275"/>
      <c r="FS591" s="275"/>
      <c r="FT591" s="275"/>
      <c r="FU591" s="275"/>
      <c r="FV591" s="275"/>
      <c r="FW591" s="275"/>
      <c r="FX591" s="275"/>
      <c r="FY591" s="275"/>
      <c r="FZ591" s="275"/>
      <c r="GA591" s="275"/>
      <c r="GB591" s="275"/>
      <c r="GC591" s="275"/>
      <c r="GD591" s="275"/>
      <c r="GE591" s="275"/>
      <c r="GF591" s="275"/>
      <c r="GG591" s="275"/>
      <c r="GH591" s="275"/>
      <c r="GI591" s="275"/>
      <c r="GJ591" s="275"/>
      <c r="GK591" s="275"/>
      <c r="GL591" s="275"/>
      <c r="GM591" s="275"/>
      <c r="GN591" s="275"/>
      <c r="GO591" s="275"/>
      <c r="GP591" s="275"/>
      <c r="GQ591" s="275"/>
      <c r="GR591" s="275"/>
      <c r="GS591" s="275"/>
      <c r="GT591" s="275"/>
      <c r="GU591" s="275"/>
      <c r="GV591" s="275"/>
      <c r="GW591" s="275"/>
      <c r="GX591" s="275"/>
      <c r="GY591" s="275"/>
      <c r="GZ591" s="275"/>
      <c r="HA591" s="275"/>
      <c r="HB591" s="275"/>
      <c r="HC591" s="275"/>
      <c r="HD591" s="275"/>
      <c r="HE591" s="275"/>
      <c r="HF591" s="275"/>
      <c r="HG591" s="275"/>
      <c r="HH591" s="275"/>
      <c r="HI591" s="275"/>
      <c r="HJ591" s="275"/>
      <c r="HK591" s="275"/>
      <c r="HL591" s="275"/>
      <c r="HM591" s="275"/>
      <c r="HN591" s="275"/>
      <c r="HO591" s="275"/>
      <c r="HP591" s="275"/>
      <c r="HQ591" s="275"/>
      <c r="HR591" s="275"/>
    </row>
    <row r="592" spans="1:226" s="297" customFormat="1">
      <c r="A592" s="275"/>
      <c r="B592" s="21"/>
      <c r="C592" s="21"/>
      <c r="D592" s="21"/>
      <c r="E592" s="21"/>
      <c r="F592" s="275"/>
      <c r="G592" s="275"/>
      <c r="H592" s="275"/>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J592" s="275"/>
      <c r="AK592" s="275"/>
      <c r="AL592" s="275"/>
      <c r="AM592" s="275"/>
      <c r="AN592" s="275"/>
      <c r="AO592" s="275"/>
      <c r="AQ592" s="275"/>
      <c r="AR592" s="275"/>
      <c r="AS592" s="275"/>
      <c r="AT592" s="275"/>
      <c r="AU592" s="275"/>
      <c r="AV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D592" s="275"/>
      <c r="EE592" s="275"/>
      <c r="EF592" s="275"/>
      <c r="EG592" s="275"/>
      <c r="EH592" s="275"/>
      <c r="EI592" s="275"/>
      <c r="EJ592" s="275"/>
      <c r="EK592" s="275"/>
      <c r="EL592" s="275"/>
      <c r="EM592" s="275"/>
      <c r="EN592" s="275"/>
      <c r="EO592" s="275"/>
      <c r="EP592" s="275"/>
      <c r="EQ592" s="275"/>
      <c r="ER592" s="275"/>
      <c r="ES592" s="275"/>
      <c r="ET592" s="275"/>
      <c r="EU592"/>
      <c r="EV592"/>
      <c r="EW592" s="275"/>
      <c r="EX592" s="275"/>
      <c r="EY592" s="275"/>
      <c r="EZ592" s="275"/>
      <c r="FA592" s="275"/>
      <c r="FB592" s="275"/>
      <c r="FC592" s="275"/>
      <c r="FD592" s="275"/>
      <c r="FE592" s="275"/>
      <c r="FF592" s="275"/>
      <c r="FG592" s="275"/>
      <c r="FH592" s="275"/>
      <c r="FI592" s="275"/>
      <c r="FJ592" s="275"/>
      <c r="FK592" s="275"/>
      <c r="FL592" s="275"/>
      <c r="FM592" s="275"/>
      <c r="FN592" s="275"/>
      <c r="FO592" s="275"/>
      <c r="FP592" s="275"/>
      <c r="FQ592" s="275"/>
      <c r="FR592" s="275"/>
      <c r="FS592" s="275"/>
      <c r="FT592" s="275"/>
      <c r="FU592" s="275"/>
      <c r="FV592" s="275"/>
      <c r="FW592" s="275"/>
      <c r="FX592" s="275"/>
      <c r="FY592" s="275"/>
      <c r="FZ592" s="275"/>
      <c r="GA592" s="275"/>
      <c r="GB592" s="275"/>
      <c r="GC592" s="275"/>
      <c r="GD592" s="275"/>
      <c r="GE592" s="275"/>
      <c r="GF592" s="275"/>
      <c r="GG592" s="275"/>
      <c r="GH592" s="275"/>
      <c r="GI592" s="275"/>
      <c r="GJ592" s="275"/>
      <c r="GK592" s="275"/>
      <c r="GL592" s="275"/>
      <c r="GM592" s="275"/>
      <c r="GN592" s="275"/>
      <c r="GO592" s="275"/>
      <c r="GP592" s="275"/>
      <c r="GQ592" s="275"/>
      <c r="GR592" s="275"/>
      <c r="GS592" s="275"/>
      <c r="GT592" s="275"/>
      <c r="GU592" s="275"/>
      <c r="GV592" s="275"/>
      <c r="GW592" s="275"/>
      <c r="GX592" s="275"/>
      <c r="GY592" s="275"/>
      <c r="GZ592" s="275"/>
      <c r="HA592" s="275"/>
      <c r="HB592" s="275"/>
      <c r="HC592" s="275"/>
      <c r="HD592" s="275"/>
      <c r="HE592" s="275"/>
      <c r="HF592" s="275"/>
      <c r="HG592" s="275"/>
      <c r="HH592" s="275"/>
      <c r="HI592" s="275"/>
      <c r="HJ592" s="275"/>
      <c r="HK592" s="275"/>
      <c r="HL592" s="275"/>
      <c r="HM592" s="275"/>
      <c r="HN592" s="275"/>
      <c r="HO592" s="275"/>
      <c r="HP592" s="275"/>
      <c r="HQ592" s="275"/>
      <c r="HR592" s="275"/>
    </row>
    <row r="593" spans="1:226" s="297" customFormat="1">
      <c r="A593" s="275"/>
      <c r="B593" s="21"/>
      <c r="C593" s="21"/>
      <c r="D593" s="21"/>
      <c r="E593" s="21"/>
      <c r="F593" s="275"/>
      <c r="G593" s="275"/>
      <c r="H593" s="275"/>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J593" s="275"/>
      <c r="AK593" s="275"/>
      <c r="AL593" s="275"/>
      <c r="AM593" s="275"/>
      <c r="AN593" s="275"/>
      <c r="AO593" s="275"/>
      <c r="AQ593" s="275"/>
      <c r="AR593" s="275"/>
      <c r="AS593" s="275"/>
      <c r="AT593" s="275"/>
      <c r="AU593" s="275"/>
      <c r="AV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D593" s="275"/>
      <c r="EE593" s="275"/>
      <c r="EF593" s="275"/>
      <c r="EG593" s="275"/>
      <c r="EH593" s="275"/>
      <c r="EI593" s="275"/>
      <c r="EJ593" s="275"/>
      <c r="EK593" s="275"/>
      <c r="EL593" s="275"/>
      <c r="EM593" s="275"/>
      <c r="EN593" s="275"/>
      <c r="EO593" s="275"/>
      <c r="EP593" s="275"/>
      <c r="EQ593" s="275"/>
      <c r="ER593" s="275"/>
      <c r="ES593" s="275"/>
      <c r="ET593" s="275"/>
      <c r="EU593"/>
      <c r="EV593"/>
      <c r="EW593" s="275"/>
      <c r="EX593" s="275"/>
      <c r="EY593" s="275"/>
      <c r="EZ593" s="275"/>
      <c r="FA593" s="275"/>
      <c r="FB593" s="275"/>
      <c r="FC593" s="275"/>
      <c r="FD593" s="275"/>
      <c r="FE593" s="275"/>
      <c r="FF593" s="275"/>
      <c r="FG593" s="275"/>
      <c r="FH593" s="275"/>
      <c r="FI593" s="275"/>
      <c r="FJ593" s="275"/>
      <c r="FK593" s="275"/>
      <c r="FL593" s="275"/>
      <c r="FM593" s="275"/>
      <c r="FN593" s="275"/>
      <c r="FO593" s="275"/>
      <c r="FP593" s="275"/>
      <c r="FQ593" s="275"/>
      <c r="FR593" s="275"/>
      <c r="FS593" s="275"/>
      <c r="FT593" s="275"/>
      <c r="FU593" s="275"/>
      <c r="FV593" s="275"/>
      <c r="FW593" s="275"/>
      <c r="FX593" s="275"/>
      <c r="FY593" s="275"/>
      <c r="FZ593" s="275"/>
      <c r="GA593" s="275"/>
      <c r="GB593" s="275"/>
      <c r="GC593" s="275"/>
      <c r="GD593" s="275"/>
      <c r="GE593" s="275"/>
      <c r="GF593" s="275"/>
      <c r="GG593" s="275"/>
      <c r="GH593" s="275"/>
      <c r="GI593" s="275"/>
      <c r="GJ593" s="275"/>
      <c r="GK593" s="275"/>
      <c r="GL593" s="275"/>
      <c r="GM593" s="275"/>
      <c r="GN593" s="275"/>
      <c r="GO593" s="275"/>
      <c r="GP593" s="275"/>
      <c r="GQ593" s="275"/>
      <c r="GR593" s="275"/>
      <c r="GS593" s="275"/>
      <c r="GT593" s="275"/>
      <c r="GU593" s="275"/>
      <c r="GV593" s="275"/>
      <c r="GW593" s="275"/>
      <c r="GX593" s="275"/>
      <c r="GY593" s="275"/>
      <c r="GZ593" s="275"/>
      <c r="HA593" s="275"/>
      <c r="HB593" s="275"/>
      <c r="HC593" s="275"/>
      <c r="HD593" s="275"/>
      <c r="HE593" s="275"/>
      <c r="HF593" s="275"/>
      <c r="HG593" s="275"/>
      <c r="HH593" s="275"/>
      <c r="HI593" s="275"/>
      <c r="HJ593" s="275"/>
      <c r="HK593" s="275"/>
      <c r="HL593" s="275"/>
      <c r="HM593" s="275"/>
      <c r="HN593" s="275"/>
      <c r="HO593" s="275"/>
      <c r="HP593" s="275"/>
      <c r="HQ593" s="275"/>
      <c r="HR593" s="275"/>
    </row>
    <row r="594" spans="1:226" s="297" customFormat="1">
      <c r="A594" s="275"/>
      <c r="B594" s="21"/>
      <c r="C594" s="21"/>
      <c r="D594" s="21"/>
      <c r="E594" s="21"/>
      <c r="F594" s="275"/>
      <c r="G594" s="275"/>
      <c r="H594" s="275"/>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J594" s="275"/>
      <c r="AK594" s="275"/>
      <c r="AL594" s="275"/>
      <c r="AM594" s="275"/>
      <c r="AN594" s="275"/>
      <c r="AO594" s="275"/>
      <c r="AQ594" s="275"/>
      <c r="AR594" s="275"/>
      <c r="AS594" s="275"/>
      <c r="AT594" s="275"/>
      <c r="AU594" s="275"/>
      <c r="AV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D594" s="275"/>
      <c r="EE594" s="275"/>
      <c r="EF594" s="275"/>
      <c r="EG594" s="275"/>
      <c r="EH594" s="275"/>
      <c r="EI594" s="275"/>
      <c r="EJ594" s="275"/>
      <c r="EK594" s="275"/>
      <c r="EL594" s="275"/>
      <c r="EM594" s="275"/>
      <c r="EN594" s="275"/>
      <c r="EO594" s="275"/>
      <c r="EP594" s="275"/>
      <c r="EQ594" s="275"/>
      <c r="ER594" s="275"/>
      <c r="ES594" s="275"/>
      <c r="ET594" s="275"/>
      <c r="EU594"/>
      <c r="EV594"/>
      <c r="EW594" s="275"/>
      <c r="EX594" s="275"/>
      <c r="EY594" s="275"/>
      <c r="EZ594" s="275"/>
      <c r="FA594" s="275"/>
      <c r="FB594" s="275"/>
      <c r="FC594" s="275"/>
      <c r="FD594" s="275"/>
      <c r="FE594" s="275"/>
      <c r="FF594" s="275"/>
      <c r="FG594" s="275"/>
      <c r="FH594" s="275"/>
      <c r="FI594" s="275"/>
      <c r="FJ594" s="275"/>
      <c r="FK594" s="275"/>
      <c r="FL594" s="275"/>
      <c r="FM594" s="275"/>
      <c r="FN594" s="275"/>
      <c r="FO594" s="275"/>
      <c r="FP594" s="275"/>
      <c r="FQ594" s="275"/>
      <c r="FR594" s="275"/>
      <c r="FS594" s="275"/>
      <c r="FT594" s="275"/>
      <c r="FU594" s="275"/>
      <c r="FV594" s="275"/>
      <c r="FW594" s="275"/>
      <c r="FX594" s="275"/>
      <c r="FY594" s="275"/>
      <c r="FZ594" s="275"/>
      <c r="GA594" s="275"/>
      <c r="GB594" s="275"/>
      <c r="GC594" s="275"/>
      <c r="GD594" s="275"/>
      <c r="GE594" s="275"/>
      <c r="GF594" s="275"/>
      <c r="GG594" s="275"/>
      <c r="GH594" s="275"/>
      <c r="GI594" s="275"/>
      <c r="GJ594" s="275"/>
      <c r="GK594" s="275"/>
      <c r="GL594" s="275"/>
      <c r="GM594" s="275"/>
      <c r="GN594" s="275"/>
      <c r="GO594" s="275"/>
      <c r="GP594" s="275"/>
      <c r="GQ594" s="275"/>
      <c r="GR594" s="275"/>
      <c r="GS594" s="275"/>
      <c r="GT594" s="275"/>
      <c r="GU594" s="275"/>
      <c r="GV594" s="275"/>
      <c r="GW594" s="275"/>
      <c r="GX594" s="275"/>
      <c r="GY594" s="275"/>
      <c r="GZ594" s="275"/>
      <c r="HA594" s="275"/>
      <c r="HB594" s="275"/>
      <c r="HC594" s="275"/>
      <c r="HD594" s="275"/>
      <c r="HE594" s="275"/>
      <c r="HF594" s="275"/>
      <c r="HG594" s="275"/>
      <c r="HH594" s="275"/>
      <c r="HI594" s="275"/>
      <c r="HJ594" s="275"/>
      <c r="HK594" s="275"/>
      <c r="HL594" s="275"/>
      <c r="HM594" s="275"/>
      <c r="HN594" s="275"/>
      <c r="HO594" s="275"/>
      <c r="HP594" s="275"/>
      <c r="HQ594" s="275"/>
      <c r="HR594" s="275"/>
    </row>
    <row r="595" spans="1:226" s="297" customFormat="1">
      <c r="A595" s="275"/>
      <c r="B595" s="21"/>
      <c r="C595" s="21"/>
      <c r="D595" s="21"/>
      <c r="E595" s="21"/>
      <c r="F595" s="275"/>
      <c r="G595" s="275"/>
      <c r="H595" s="275"/>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J595" s="275"/>
      <c r="AK595" s="275"/>
      <c r="AL595" s="275"/>
      <c r="AM595" s="275"/>
      <c r="AN595" s="275"/>
      <c r="AO595" s="275"/>
      <c r="AQ595" s="275"/>
      <c r="AR595" s="275"/>
      <c r="AS595" s="275"/>
      <c r="AT595" s="275"/>
      <c r="AU595" s="275"/>
      <c r="AV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D595" s="275"/>
      <c r="EE595" s="275"/>
      <c r="EF595" s="275"/>
      <c r="EG595" s="275"/>
      <c r="EH595" s="275"/>
      <c r="EI595" s="275"/>
      <c r="EJ595" s="275"/>
      <c r="EK595" s="275"/>
      <c r="EL595" s="275"/>
      <c r="EM595" s="275"/>
      <c r="EN595" s="275"/>
      <c r="EO595" s="275"/>
      <c r="EP595" s="275"/>
      <c r="EQ595" s="275"/>
      <c r="ER595" s="275"/>
      <c r="ES595" s="275"/>
      <c r="ET595" s="275"/>
      <c r="EU595"/>
      <c r="EV595"/>
      <c r="EW595" s="275"/>
      <c r="EX595" s="275"/>
      <c r="EY595" s="275"/>
      <c r="EZ595" s="275"/>
      <c r="FA595" s="275"/>
      <c r="FB595" s="275"/>
      <c r="FC595" s="275"/>
      <c r="FD595" s="275"/>
      <c r="FE595" s="275"/>
      <c r="FF595" s="275"/>
      <c r="FG595" s="275"/>
      <c r="FH595" s="275"/>
      <c r="FI595" s="275"/>
      <c r="FJ595" s="275"/>
      <c r="FK595" s="275"/>
      <c r="FL595" s="275"/>
      <c r="FM595" s="275"/>
      <c r="FN595" s="275"/>
      <c r="FO595" s="275"/>
      <c r="FP595" s="275"/>
      <c r="FQ595" s="275"/>
      <c r="FR595" s="275"/>
      <c r="FS595" s="275"/>
      <c r="FT595" s="275"/>
      <c r="FU595" s="275"/>
      <c r="FV595" s="275"/>
      <c r="FW595" s="275"/>
      <c r="FX595" s="275"/>
      <c r="FY595" s="275"/>
      <c r="FZ595" s="275"/>
      <c r="GA595" s="275"/>
      <c r="GB595" s="275"/>
      <c r="GC595" s="275"/>
      <c r="GD595" s="275"/>
      <c r="GE595" s="275"/>
      <c r="GF595" s="275"/>
      <c r="GG595" s="275"/>
      <c r="GH595" s="275"/>
      <c r="GI595" s="275"/>
      <c r="GJ595" s="275"/>
      <c r="GK595" s="275"/>
      <c r="GL595" s="275"/>
      <c r="GM595" s="275"/>
      <c r="GN595" s="275"/>
      <c r="GO595" s="275"/>
      <c r="GP595" s="275"/>
      <c r="GQ595" s="275"/>
      <c r="GR595" s="275"/>
      <c r="GS595" s="275"/>
      <c r="GT595" s="275"/>
      <c r="GU595" s="275"/>
      <c r="GV595" s="275"/>
      <c r="GW595" s="275"/>
      <c r="GX595" s="275"/>
      <c r="GY595" s="275"/>
      <c r="GZ595" s="275"/>
      <c r="HA595" s="275"/>
      <c r="HB595" s="275"/>
      <c r="HC595" s="275"/>
      <c r="HD595" s="275"/>
      <c r="HE595" s="275"/>
      <c r="HF595" s="275"/>
      <c r="HG595" s="275"/>
      <c r="HH595" s="275"/>
      <c r="HI595" s="275"/>
      <c r="HJ595" s="275"/>
      <c r="HK595" s="275"/>
      <c r="HL595" s="275"/>
      <c r="HM595" s="275"/>
      <c r="HN595" s="275"/>
      <c r="HO595" s="275"/>
      <c r="HP595" s="275"/>
      <c r="HQ595" s="275"/>
      <c r="HR595" s="275"/>
    </row>
    <row r="596" spans="1:226" s="297" customFormat="1">
      <c r="A596" s="275"/>
      <c r="B596" s="21"/>
      <c r="C596" s="21"/>
      <c r="D596" s="21"/>
      <c r="E596" s="21"/>
      <c r="F596" s="275"/>
      <c r="G596" s="275"/>
      <c r="H596" s="275"/>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J596" s="275"/>
      <c r="AK596" s="275"/>
      <c r="AL596" s="275"/>
      <c r="AM596" s="275"/>
      <c r="AN596" s="275"/>
      <c r="AO596" s="275"/>
      <c r="AQ596" s="275"/>
      <c r="AR596" s="275"/>
      <c r="AS596" s="275"/>
      <c r="AT596" s="275"/>
      <c r="AU596" s="275"/>
      <c r="AV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D596" s="275"/>
      <c r="EE596" s="275"/>
      <c r="EF596" s="275"/>
      <c r="EG596" s="275"/>
      <c r="EH596" s="275"/>
      <c r="EI596" s="275"/>
      <c r="EJ596" s="275"/>
      <c r="EK596" s="275"/>
      <c r="EL596" s="275"/>
      <c r="EM596" s="275"/>
      <c r="EN596" s="275"/>
      <c r="EO596" s="275"/>
      <c r="EP596" s="275"/>
      <c r="EQ596" s="275"/>
      <c r="ER596" s="275"/>
      <c r="ES596" s="275"/>
      <c r="ET596" s="275"/>
      <c r="EU596"/>
      <c r="EV596"/>
      <c r="EW596" s="275"/>
      <c r="EX596" s="275"/>
      <c r="EY596" s="275"/>
      <c r="EZ596" s="275"/>
      <c r="FA596" s="275"/>
      <c r="FB596" s="275"/>
      <c r="FC596" s="275"/>
      <c r="FD596" s="275"/>
      <c r="FE596" s="275"/>
      <c r="FF596" s="275"/>
      <c r="FG596" s="275"/>
      <c r="FH596" s="275"/>
      <c r="FI596" s="275"/>
      <c r="FJ596" s="275"/>
      <c r="FK596" s="275"/>
      <c r="FL596" s="275"/>
      <c r="FM596" s="275"/>
      <c r="FN596" s="275"/>
      <c r="FO596" s="275"/>
      <c r="FP596" s="275"/>
      <c r="FQ596" s="275"/>
      <c r="FR596" s="275"/>
      <c r="FS596" s="275"/>
      <c r="FT596" s="275"/>
      <c r="FU596" s="275"/>
      <c r="FV596" s="275"/>
      <c r="FW596" s="275"/>
      <c r="FX596" s="275"/>
      <c r="FY596" s="275"/>
      <c r="FZ596" s="275"/>
      <c r="GA596" s="275"/>
      <c r="GB596" s="275"/>
      <c r="GC596" s="275"/>
      <c r="GD596" s="275"/>
      <c r="GE596" s="275"/>
      <c r="GF596" s="275"/>
      <c r="GG596" s="275"/>
      <c r="GH596" s="275"/>
      <c r="GI596" s="275"/>
      <c r="GJ596" s="275"/>
      <c r="GK596" s="275"/>
      <c r="GL596" s="275"/>
      <c r="GM596" s="275"/>
      <c r="GN596" s="275"/>
      <c r="GO596" s="275"/>
      <c r="GP596" s="275"/>
      <c r="GQ596" s="275"/>
      <c r="GR596" s="275"/>
      <c r="GS596" s="275"/>
      <c r="GT596" s="275"/>
      <c r="GU596" s="275"/>
      <c r="GV596" s="275"/>
      <c r="GW596" s="275"/>
      <c r="GX596" s="275"/>
      <c r="GY596" s="275"/>
      <c r="GZ596" s="275"/>
      <c r="HA596" s="275"/>
      <c r="HB596" s="275"/>
      <c r="HC596" s="275"/>
      <c r="HD596" s="275"/>
      <c r="HE596" s="275"/>
      <c r="HF596" s="275"/>
      <c r="HG596" s="275"/>
      <c r="HH596" s="275"/>
      <c r="HI596" s="275"/>
      <c r="HJ596" s="275"/>
      <c r="HK596" s="275"/>
      <c r="HL596" s="275"/>
      <c r="HM596" s="275"/>
      <c r="HN596" s="275"/>
      <c r="HO596" s="275"/>
      <c r="HP596" s="275"/>
      <c r="HQ596" s="275"/>
      <c r="HR596" s="275"/>
    </row>
    <row r="597" spans="1:226" s="297" customFormat="1">
      <c r="A597" s="275"/>
      <c r="B597" s="21"/>
      <c r="C597" s="21"/>
      <c r="D597" s="21"/>
      <c r="E597" s="21"/>
      <c r="F597" s="275"/>
      <c r="G597" s="275"/>
      <c r="H597" s="275"/>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J597" s="275"/>
      <c r="AK597" s="275"/>
      <c r="AL597" s="275"/>
      <c r="AM597" s="275"/>
      <c r="AN597" s="275"/>
      <c r="AO597" s="275"/>
      <c r="AQ597" s="275"/>
      <c r="AR597" s="275"/>
      <c r="AS597" s="275"/>
      <c r="AT597" s="275"/>
      <c r="AU597" s="275"/>
      <c r="AV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D597" s="275"/>
      <c r="EE597" s="275"/>
      <c r="EF597" s="275"/>
      <c r="EG597" s="275"/>
      <c r="EH597" s="275"/>
      <c r="EI597" s="275"/>
      <c r="EJ597" s="275"/>
      <c r="EK597" s="275"/>
      <c r="EL597" s="275"/>
      <c r="EM597" s="275"/>
      <c r="EN597" s="275"/>
      <c r="EO597" s="275"/>
      <c r="EP597" s="275"/>
      <c r="EQ597" s="275"/>
      <c r="ER597" s="275"/>
      <c r="ES597" s="275"/>
      <c r="ET597" s="275"/>
      <c r="EU597"/>
      <c r="EV597"/>
      <c r="EW597" s="275"/>
      <c r="EX597" s="275"/>
      <c r="EY597" s="275"/>
      <c r="EZ597" s="275"/>
      <c r="FA597" s="275"/>
      <c r="FB597" s="275"/>
      <c r="FC597" s="275"/>
      <c r="FD597" s="275"/>
      <c r="FE597" s="275"/>
      <c r="FF597" s="275"/>
      <c r="FG597" s="275"/>
      <c r="FH597" s="275"/>
      <c r="FI597" s="275"/>
      <c r="FJ597" s="275"/>
      <c r="FK597" s="275"/>
      <c r="FL597" s="275"/>
      <c r="FM597" s="275"/>
      <c r="FN597" s="275"/>
      <c r="FO597" s="275"/>
      <c r="FP597" s="275"/>
      <c r="FQ597" s="275"/>
      <c r="FR597" s="275"/>
      <c r="FS597" s="275"/>
      <c r="FT597" s="275"/>
      <c r="FU597" s="275"/>
      <c r="FV597" s="275"/>
      <c r="FW597" s="275"/>
      <c r="FX597" s="275"/>
      <c r="FY597" s="275"/>
      <c r="FZ597" s="275"/>
      <c r="GA597" s="275"/>
      <c r="GB597" s="275"/>
      <c r="GC597" s="275"/>
      <c r="GD597" s="275"/>
      <c r="GE597" s="275"/>
      <c r="GF597" s="275"/>
      <c r="GG597" s="275"/>
      <c r="GH597" s="275"/>
      <c r="GI597" s="275"/>
      <c r="GJ597" s="275"/>
      <c r="GK597" s="275"/>
      <c r="GL597" s="275"/>
      <c r="GM597" s="275"/>
      <c r="GN597" s="275"/>
      <c r="GO597" s="275"/>
      <c r="GP597" s="275"/>
      <c r="GQ597" s="275"/>
      <c r="GR597" s="275"/>
      <c r="GS597" s="275"/>
      <c r="GT597" s="275"/>
      <c r="GU597" s="275"/>
      <c r="GV597" s="275"/>
      <c r="GW597" s="275"/>
      <c r="GX597" s="275"/>
      <c r="GY597" s="275"/>
      <c r="GZ597" s="275"/>
      <c r="HA597" s="275"/>
      <c r="HB597" s="275"/>
      <c r="HC597" s="275"/>
      <c r="HD597" s="275"/>
      <c r="HE597" s="275"/>
      <c r="HF597" s="275"/>
      <c r="HG597" s="275"/>
      <c r="HH597" s="275"/>
      <c r="HI597" s="275"/>
      <c r="HJ597" s="275"/>
      <c r="HK597" s="275"/>
      <c r="HL597" s="275"/>
      <c r="HM597" s="275"/>
      <c r="HN597" s="275"/>
      <c r="HO597" s="275"/>
      <c r="HP597" s="275"/>
      <c r="HQ597" s="275"/>
      <c r="HR597" s="275"/>
    </row>
    <row r="598" spans="1:226" s="297" customFormat="1">
      <c r="A598" s="275"/>
      <c r="B598" s="21"/>
      <c r="C598" s="21"/>
      <c r="D598" s="21"/>
      <c r="E598" s="21"/>
      <c r="F598" s="275"/>
      <c r="G598" s="275"/>
      <c r="H598" s="275"/>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J598" s="275"/>
      <c r="AK598" s="275"/>
      <c r="AL598" s="275"/>
      <c r="AM598" s="275"/>
      <c r="AN598" s="275"/>
      <c r="AO598" s="275"/>
      <c r="AQ598" s="275"/>
      <c r="AR598" s="275"/>
      <c r="AS598" s="275"/>
      <c r="AT598" s="275"/>
      <c r="AU598" s="275"/>
      <c r="AV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D598" s="275"/>
      <c r="EE598" s="275"/>
      <c r="EF598" s="275"/>
      <c r="EG598" s="275"/>
      <c r="EH598" s="275"/>
      <c r="EI598" s="275"/>
      <c r="EJ598" s="275"/>
      <c r="EK598" s="275"/>
      <c r="EL598" s="275"/>
      <c r="EM598" s="275"/>
      <c r="EN598" s="275"/>
      <c r="EO598" s="275"/>
      <c r="EP598" s="275"/>
      <c r="EQ598" s="275"/>
      <c r="ER598" s="275"/>
      <c r="ES598" s="275"/>
      <c r="ET598" s="275"/>
      <c r="EU598"/>
      <c r="EV598"/>
      <c r="EW598" s="275"/>
      <c r="EX598" s="275"/>
      <c r="EY598" s="275"/>
      <c r="EZ598" s="275"/>
      <c r="FA598" s="275"/>
      <c r="FB598" s="275"/>
      <c r="FC598" s="275"/>
      <c r="FD598" s="275"/>
      <c r="FE598" s="275"/>
      <c r="FF598" s="275"/>
      <c r="FG598" s="275"/>
      <c r="FH598" s="275"/>
      <c r="FI598" s="275"/>
      <c r="FJ598" s="275"/>
      <c r="FK598" s="275"/>
      <c r="FL598" s="275"/>
      <c r="FM598" s="275"/>
      <c r="FN598" s="275"/>
      <c r="FO598" s="275"/>
      <c r="FP598" s="275"/>
      <c r="FQ598" s="275"/>
      <c r="FR598" s="275"/>
      <c r="FS598" s="275"/>
      <c r="FT598" s="275"/>
      <c r="FU598" s="275"/>
      <c r="FV598" s="275"/>
      <c r="FW598" s="275"/>
      <c r="FX598" s="275"/>
      <c r="FY598" s="275"/>
      <c r="FZ598" s="275"/>
      <c r="GA598" s="275"/>
      <c r="GB598" s="275"/>
      <c r="GC598" s="275"/>
      <c r="GD598" s="275"/>
      <c r="GE598" s="275"/>
      <c r="GF598" s="275"/>
      <c r="GG598" s="275"/>
      <c r="GH598" s="275"/>
      <c r="GI598" s="275"/>
      <c r="GJ598" s="275"/>
      <c r="GK598" s="275"/>
      <c r="GL598" s="275"/>
      <c r="GM598" s="275"/>
      <c r="GN598" s="275"/>
      <c r="GO598" s="275"/>
      <c r="GP598" s="275"/>
      <c r="GQ598" s="275"/>
      <c r="GR598" s="275"/>
      <c r="GS598" s="275"/>
      <c r="GT598" s="275"/>
      <c r="GU598" s="275"/>
      <c r="GV598" s="275"/>
      <c r="GW598" s="275"/>
      <c r="GX598" s="275"/>
      <c r="GY598" s="275"/>
      <c r="GZ598" s="275"/>
      <c r="HA598" s="275"/>
      <c r="HB598" s="275"/>
      <c r="HC598" s="275"/>
      <c r="HD598" s="275"/>
      <c r="HE598" s="275"/>
      <c r="HF598" s="275"/>
      <c r="HG598" s="275"/>
      <c r="HH598" s="275"/>
      <c r="HI598" s="275"/>
      <c r="HJ598" s="275"/>
      <c r="HK598" s="275"/>
      <c r="HL598" s="275"/>
      <c r="HM598" s="275"/>
      <c r="HN598" s="275"/>
      <c r="HO598" s="275"/>
      <c r="HP598" s="275"/>
      <c r="HQ598" s="275"/>
      <c r="HR598" s="275"/>
    </row>
    <row r="599" spans="1:226" s="297" customFormat="1">
      <c r="A599" s="275"/>
      <c r="B599" s="21"/>
      <c r="C599" s="21"/>
      <c r="D599" s="21"/>
      <c r="E599" s="21"/>
      <c r="F599" s="275"/>
      <c r="G599" s="275"/>
      <c r="H599" s="275"/>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J599" s="275"/>
      <c r="AK599" s="275"/>
      <c r="AL599" s="275"/>
      <c r="AM599" s="275"/>
      <c r="AN599" s="275"/>
      <c r="AO599" s="275"/>
      <c r="AQ599" s="275"/>
      <c r="AR599" s="275"/>
      <c r="AS599" s="275"/>
      <c r="AT599" s="275"/>
      <c r="AU599" s="275"/>
      <c r="AV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D599" s="275"/>
      <c r="EE599" s="275"/>
      <c r="EF599" s="275"/>
      <c r="EG599" s="275"/>
      <c r="EH599" s="275"/>
      <c r="EI599" s="275"/>
      <c r="EJ599" s="275"/>
      <c r="EK599" s="275"/>
      <c r="EL599" s="275"/>
      <c r="EM599" s="275"/>
      <c r="EN599" s="275"/>
      <c r="EO599" s="275"/>
      <c r="EP599" s="275"/>
      <c r="EQ599" s="275"/>
      <c r="ER599" s="275"/>
      <c r="ES599" s="275"/>
      <c r="ET599" s="275"/>
      <c r="EU599"/>
      <c r="EV599"/>
      <c r="EW599" s="275"/>
      <c r="EX599" s="275"/>
      <c r="EY599" s="275"/>
      <c r="EZ599" s="275"/>
      <c r="FA599" s="275"/>
      <c r="FB599" s="275"/>
      <c r="FC599" s="275"/>
      <c r="FD599" s="275"/>
      <c r="FE599" s="275"/>
      <c r="FF599" s="275"/>
      <c r="FG599" s="275"/>
      <c r="FH599" s="275"/>
      <c r="FI599" s="275"/>
      <c r="FJ599" s="275"/>
      <c r="FK599" s="275"/>
      <c r="FL599" s="275"/>
      <c r="FM599" s="275"/>
      <c r="FN599" s="275"/>
      <c r="FO599" s="275"/>
      <c r="FP599" s="275"/>
      <c r="FQ599" s="275"/>
      <c r="FR599" s="275"/>
      <c r="FS599" s="275"/>
      <c r="FT599" s="275"/>
      <c r="FU599" s="275"/>
      <c r="FV599" s="275"/>
      <c r="FW599" s="275"/>
      <c r="FX599" s="275"/>
      <c r="FY599" s="275"/>
      <c r="FZ599" s="275"/>
      <c r="GA599" s="275"/>
      <c r="GB599" s="275"/>
      <c r="GC599" s="275"/>
      <c r="GD599" s="275"/>
      <c r="GE599" s="275"/>
      <c r="GF599" s="275"/>
      <c r="GG599" s="275"/>
      <c r="GH599" s="275"/>
      <c r="GI599" s="275"/>
      <c r="GJ599" s="275"/>
      <c r="GK599" s="275"/>
      <c r="GL599" s="275"/>
      <c r="GM599" s="275"/>
      <c r="GN599" s="275"/>
      <c r="GO599" s="275"/>
      <c r="GP599" s="275"/>
      <c r="GQ599" s="275"/>
      <c r="GR599" s="275"/>
      <c r="GS599" s="275"/>
      <c r="GT599" s="275"/>
      <c r="GU599" s="275"/>
      <c r="GV599" s="275"/>
      <c r="GW599" s="275"/>
      <c r="GX599" s="275"/>
      <c r="GY599" s="275"/>
      <c r="GZ599" s="275"/>
      <c r="HA599" s="275"/>
      <c r="HB599" s="275"/>
      <c r="HC599" s="275"/>
      <c r="HD599" s="275"/>
      <c r="HE599" s="275"/>
      <c r="HF599" s="275"/>
      <c r="HG599" s="275"/>
      <c r="HH599" s="275"/>
      <c r="HI599" s="275"/>
      <c r="HJ599" s="275"/>
      <c r="HK599" s="275"/>
      <c r="HL599" s="275"/>
      <c r="HM599" s="275"/>
      <c r="HN599" s="275"/>
      <c r="HO599" s="275"/>
      <c r="HP599" s="275"/>
      <c r="HQ599" s="275"/>
      <c r="HR599" s="275"/>
    </row>
    <row r="600" spans="1:226" s="297" customFormat="1">
      <c r="A600" s="275"/>
      <c r="B600" s="21"/>
      <c r="C600" s="21"/>
      <c r="D600" s="21"/>
      <c r="E600" s="21"/>
      <c r="F600" s="275"/>
      <c r="G600" s="275"/>
      <c r="H600" s="275"/>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J600" s="275"/>
      <c r="AK600" s="275"/>
      <c r="AL600" s="275"/>
      <c r="AM600" s="275"/>
      <c r="AN600" s="275"/>
      <c r="AO600" s="275"/>
      <c r="AQ600" s="275"/>
      <c r="AR600" s="275"/>
      <c r="AS600" s="275"/>
      <c r="AT600" s="275"/>
      <c r="AU600" s="275"/>
      <c r="AV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D600" s="275"/>
      <c r="EE600" s="275"/>
      <c r="EF600" s="275"/>
      <c r="EG600" s="275"/>
      <c r="EH600" s="275"/>
      <c r="EI600" s="275"/>
      <c r="EJ600" s="275"/>
      <c r="EK600" s="275"/>
      <c r="EL600" s="275"/>
      <c r="EM600" s="275"/>
      <c r="EN600" s="275"/>
      <c r="EO600" s="275"/>
      <c r="EP600" s="275"/>
      <c r="EQ600" s="275"/>
      <c r="ER600" s="275"/>
      <c r="ES600" s="275"/>
      <c r="ET600" s="275"/>
      <c r="EU600"/>
      <c r="EV600"/>
      <c r="EW600" s="275"/>
      <c r="EX600" s="275"/>
      <c r="EY600" s="275"/>
      <c r="EZ600" s="275"/>
      <c r="FA600" s="275"/>
      <c r="FB600" s="275"/>
      <c r="FC600" s="275"/>
      <c r="FD600" s="275"/>
      <c r="FE600" s="275"/>
      <c r="FF600" s="275"/>
      <c r="FG600" s="275"/>
      <c r="FH600" s="275"/>
      <c r="FI600" s="275"/>
      <c r="FJ600" s="275"/>
      <c r="FK600" s="275"/>
      <c r="FL600" s="275"/>
      <c r="FM600" s="275"/>
      <c r="FN600" s="275"/>
      <c r="FO600" s="275"/>
      <c r="FP600" s="275"/>
      <c r="FQ600" s="275"/>
      <c r="FR600" s="275"/>
      <c r="FS600" s="275"/>
      <c r="FT600" s="275"/>
      <c r="FU600" s="275"/>
      <c r="FV600" s="275"/>
      <c r="FW600" s="275"/>
      <c r="FX600" s="275"/>
      <c r="FY600" s="275"/>
      <c r="FZ600" s="275"/>
      <c r="GA600" s="275"/>
      <c r="GB600" s="275"/>
      <c r="GC600" s="275"/>
      <c r="GD600" s="275"/>
      <c r="GE600" s="275"/>
      <c r="GF600" s="275"/>
      <c r="GG600" s="275"/>
      <c r="GH600" s="275"/>
      <c r="GI600" s="275"/>
      <c r="GJ600" s="275"/>
      <c r="GK600" s="275"/>
      <c r="GL600" s="275"/>
      <c r="GM600" s="275"/>
      <c r="GN600" s="275"/>
      <c r="GO600" s="275"/>
      <c r="GP600" s="275"/>
      <c r="GQ600" s="275"/>
      <c r="GR600" s="275"/>
      <c r="GS600" s="275"/>
      <c r="GT600" s="275"/>
      <c r="GU600" s="275"/>
      <c r="GV600" s="275"/>
      <c r="GW600" s="275"/>
      <c r="GX600" s="275"/>
      <c r="GY600" s="275"/>
      <c r="GZ600" s="275"/>
      <c r="HA600" s="275"/>
      <c r="HB600" s="275"/>
      <c r="HC600" s="275"/>
      <c r="HD600" s="275"/>
      <c r="HE600" s="275"/>
      <c r="HF600" s="275"/>
      <c r="HG600" s="275"/>
      <c r="HH600" s="275"/>
      <c r="HI600" s="275"/>
      <c r="HJ600" s="275"/>
      <c r="HK600" s="275"/>
      <c r="HL600" s="275"/>
      <c r="HM600" s="275"/>
      <c r="HN600" s="275"/>
      <c r="HO600" s="275"/>
      <c r="HP600" s="275"/>
      <c r="HQ600" s="275"/>
      <c r="HR600" s="275"/>
    </row>
    <row r="601" spans="1:226" s="297" customFormat="1">
      <c r="A601" s="275"/>
      <c r="B601" s="21"/>
      <c r="C601" s="21"/>
      <c r="D601" s="21"/>
      <c r="E601" s="21"/>
      <c r="F601" s="275"/>
      <c r="G601" s="275"/>
      <c r="H601" s="275"/>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J601" s="275"/>
      <c r="AK601" s="275"/>
      <c r="AL601" s="275"/>
      <c r="AM601" s="275"/>
      <c r="AN601" s="275"/>
      <c r="AO601" s="275"/>
      <c r="AQ601" s="275"/>
      <c r="AR601" s="275"/>
      <c r="AS601" s="275"/>
      <c r="AT601" s="275"/>
      <c r="AU601" s="275"/>
      <c r="AV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D601" s="275"/>
      <c r="EE601" s="275"/>
      <c r="EF601" s="275"/>
      <c r="EG601" s="275"/>
      <c r="EH601" s="275"/>
      <c r="EI601" s="275"/>
      <c r="EJ601" s="275"/>
      <c r="EK601" s="275"/>
      <c r="EL601" s="275"/>
      <c r="EM601" s="275"/>
      <c r="EN601" s="275"/>
      <c r="EO601" s="275"/>
      <c r="EP601" s="275"/>
      <c r="EQ601" s="275"/>
      <c r="ER601" s="275"/>
      <c r="ES601" s="275"/>
      <c r="ET601" s="275"/>
      <c r="EU601"/>
      <c r="EV601"/>
      <c r="EW601" s="275"/>
      <c r="EX601" s="275"/>
      <c r="EY601" s="275"/>
      <c r="EZ601" s="275"/>
      <c r="FA601" s="275"/>
      <c r="FB601" s="275"/>
      <c r="FC601" s="275"/>
      <c r="FD601" s="275"/>
      <c r="FE601" s="275"/>
      <c r="FF601" s="275"/>
      <c r="FG601" s="275"/>
      <c r="FH601" s="275"/>
      <c r="FI601" s="275"/>
      <c r="FJ601" s="275"/>
      <c r="FK601" s="275"/>
      <c r="FL601" s="275"/>
      <c r="FM601" s="275"/>
      <c r="FN601" s="275"/>
      <c r="FO601" s="275"/>
      <c r="FP601" s="275"/>
      <c r="FQ601" s="275"/>
      <c r="FR601" s="275"/>
      <c r="FS601" s="275"/>
      <c r="FT601" s="275"/>
      <c r="FU601" s="275"/>
      <c r="FV601" s="275"/>
      <c r="FW601" s="275"/>
      <c r="FX601" s="275"/>
      <c r="FY601" s="275"/>
      <c r="FZ601" s="275"/>
      <c r="GA601" s="275"/>
      <c r="GB601" s="275"/>
      <c r="GC601" s="275"/>
      <c r="GD601" s="275"/>
      <c r="GE601" s="275"/>
      <c r="GF601" s="275"/>
      <c r="GG601" s="275"/>
      <c r="GH601" s="275"/>
      <c r="GI601" s="275"/>
      <c r="GJ601" s="275"/>
      <c r="GK601" s="275"/>
      <c r="GL601" s="275"/>
      <c r="GM601" s="275"/>
      <c r="GN601" s="275"/>
      <c r="GO601" s="275"/>
      <c r="GP601" s="275"/>
      <c r="GQ601" s="275"/>
      <c r="GR601" s="275"/>
      <c r="GS601" s="275"/>
      <c r="GT601" s="275"/>
      <c r="GU601" s="275"/>
      <c r="GV601" s="275"/>
      <c r="GW601" s="275"/>
      <c r="GX601" s="275"/>
      <c r="GY601" s="275"/>
      <c r="GZ601" s="275"/>
      <c r="HA601" s="275"/>
      <c r="HB601" s="275"/>
      <c r="HC601" s="275"/>
      <c r="HD601" s="275"/>
      <c r="HE601" s="275"/>
      <c r="HF601" s="275"/>
      <c r="HG601" s="275"/>
      <c r="HH601" s="275"/>
      <c r="HI601" s="275"/>
      <c r="HJ601" s="275"/>
      <c r="HK601" s="275"/>
      <c r="HL601" s="275"/>
      <c r="HM601" s="275"/>
      <c r="HN601" s="275"/>
      <c r="HO601" s="275"/>
      <c r="HP601" s="275"/>
      <c r="HQ601" s="275"/>
      <c r="HR601" s="275"/>
    </row>
    <row r="602" spans="1:226" s="297" customFormat="1">
      <c r="A602" s="275"/>
      <c r="B602" s="21"/>
      <c r="C602" s="21"/>
      <c r="D602" s="21"/>
      <c r="E602" s="21"/>
      <c r="F602" s="275"/>
      <c r="G602" s="275"/>
      <c r="H602" s="275"/>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J602" s="275"/>
      <c r="AK602" s="275"/>
      <c r="AL602" s="275"/>
      <c r="AM602" s="275"/>
      <c r="AN602" s="275"/>
      <c r="AO602" s="275"/>
      <c r="AQ602" s="275"/>
      <c r="AR602" s="275"/>
      <c r="AS602" s="275"/>
      <c r="AT602" s="275"/>
      <c r="AU602" s="275"/>
      <c r="AV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D602" s="275"/>
      <c r="EE602" s="275"/>
      <c r="EF602" s="275"/>
      <c r="EG602" s="275"/>
      <c r="EH602" s="275"/>
      <c r="EI602" s="275"/>
      <c r="EJ602" s="275"/>
      <c r="EK602" s="275"/>
      <c r="EL602" s="275"/>
      <c r="EM602" s="275"/>
      <c r="EN602" s="275"/>
      <c r="EO602" s="275"/>
      <c r="EP602" s="275"/>
      <c r="EQ602" s="275"/>
      <c r="ER602" s="275"/>
      <c r="ES602" s="275"/>
      <c r="ET602" s="275"/>
      <c r="EU602"/>
      <c r="EV602"/>
      <c r="EW602" s="275"/>
      <c r="EX602" s="275"/>
      <c r="EY602" s="275"/>
      <c r="EZ602" s="275"/>
      <c r="FA602" s="275"/>
      <c r="FB602" s="275"/>
      <c r="FC602" s="275"/>
      <c r="FD602" s="275"/>
      <c r="FE602" s="275"/>
      <c r="FF602" s="275"/>
      <c r="FG602" s="275"/>
      <c r="FH602" s="275"/>
      <c r="FI602" s="275"/>
      <c r="FJ602" s="275"/>
      <c r="FK602" s="275"/>
      <c r="FL602" s="275"/>
      <c r="FM602" s="275"/>
      <c r="FN602" s="275"/>
      <c r="FO602" s="275"/>
      <c r="FP602" s="275"/>
      <c r="FQ602" s="275"/>
      <c r="FR602" s="275"/>
      <c r="FS602" s="275"/>
      <c r="FT602" s="275"/>
      <c r="FU602" s="275"/>
      <c r="FV602" s="275"/>
      <c r="FW602" s="275"/>
      <c r="FX602" s="275"/>
      <c r="FY602" s="275"/>
      <c r="FZ602" s="275"/>
      <c r="GA602" s="275"/>
      <c r="GB602" s="275"/>
      <c r="GC602" s="275"/>
      <c r="GD602" s="275"/>
      <c r="GE602" s="275"/>
      <c r="GF602" s="275"/>
      <c r="GG602" s="275"/>
      <c r="GH602" s="275"/>
      <c r="GI602" s="275"/>
      <c r="GJ602" s="275"/>
      <c r="GK602" s="275"/>
      <c r="GL602" s="275"/>
      <c r="GM602" s="275"/>
      <c r="GN602" s="275"/>
      <c r="GO602" s="275"/>
      <c r="GP602" s="275"/>
      <c r="GQ602" s="275"/>
      <c r="GR602" s="275"/>
      <c r="GS602" s="275"/>
      <c r="GT602" s="275"/>
      <c r="GU602" s="275"/>
      <c r="GV602" s="275"/>
      <c r="GW602" s="275"/>
      <c r="GX602" s="275"/>
      <c r="GY602" s="275"/>
      <c r="GZ602" s="275"/>
      <c r="HA602" s="275"/>
      <c r="HB602" s="275"/>
      <c r="HC602" s="275"/>
      <c r="HD602" s="275"/>
      <c r="HE602" s="275"/>
      <c r="HF602" s="275"/>
      <c r="HG602" s="275"/>
      <c r="HH602" s="275"/>
      <c r="HI602" s="275"/>
      <c r="HJ602" s="275"/>
      <c r="HK602" s="275"/>
      <c r="HL602" s="275"/>
      <c r="HM602" s="275"/>
      <c r="HN602" s="275"/>
      <c r="HO602" s="275"/>
      <c r="HP602" s="275"/>
      <c r="HQ602" s="275"/>
      <c r="HR602" s="275"/>
    </row>
    <row r="603" spans="1:226" s="297" customFormat="1">
      <c r="A603" s="275"/>
      <c r="B603" s="21"/>
      <c r="C603" s="21"/>
      <c r="D603" s="21"/>
      <c r="E603" s="21"/>
      <c r="F603" s="275"/>
      <c r="G603" s="275"/>
      <c r="H603" s="275"/>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J603" s="275"/>
      <c r="AK603" s="275"/>
      <c r="AL603" s="275"/>
      <c r="AM603" s="275"/>
      <c r="AN603" s="275"/>
      <c r="AO603" s="275"/>
      <c r="AQ603" s="275"/>
      <c r="AR603" s="275"/>
      <c r="AS603" s="275"/>
      <c r="AT603" s="275"/>
      <c r="AU603" s="275"/>
      <c r="AV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D603" s="275"/>
      <c r="EE603" s="275"/>
      <c r="EF603" s="275"/>
      <c r="EG603" s="275"/>
      <c r="EH603" s="275"/>
      <c r="EI603" s="275"/>
      <c r="EJ603" s="275"/>
      <c r="EK603" s="275"/>
      <c r="EL603" s="275"/>
      <c r="EM603" s="275"/>
      <c r="EN603" s="275"/>
      <c r="EO603" s="275"/>
      <c r="EP603" s="275"/>
      <c r="EQ603" s="275"/>
      <c r="ER603" s="275"/>
      <c r="ES603" s="275"/>
      <c r="ET603" s="275"/>
      <c r="EU603"/>
      <c r="EV603"/>
      <c r="EW603" s="275"/>
      <c r="EX603" s="275"/>
      <c r="EY603" s="275"/>
      <c r="EZ603" s="275"/>
      <c r="FA603" s="275"/>
      <c r="FB603" s="275"/>
      <c r="FC603" s="275"/>
      <c r="FD603" s="275"/>
      <c r="FE603" s="275"/>
      <c r="FF603" s="275"/>
      <c r="FG603" s="275"/>
      <c r="FH603" s="275"/>
      <c r="FI603" s="275"/>
      <c r="FJ603" s="275"/>
      <c r="FK603" s="275"/>
      <c r="FL603" s="275"/>
      <c r="FM603" s="275"/>
      <c r="FN603" s="275"/>
      <c r="FO603" s="275"/>
      <c r="FP603" s="275"/>
      <c r="FQ603" s="275"/>
      <c r="FR603" s="275"/>
      <c r="FS603" s="275"/>
      <c r="FT603" s="275"/>
      <c r="FU603" s="275"/>
      <c r="FV603" s="275"/>
      <c r="FW603" s="275"/>
      <c r="FX603" s="275"/>
      <c r="FY603" s="275"/>
      <c r="FZ603" s="275"/>
      <c r="GA603" s="275"/>
      <c r="GB603" s="275"/>
      <c r="GC603" s="275"/>
      <c r="GD603" s="275"/>
      <c r="GE603" s="275"/>
      <c r="GF603" s="275"/>
      <c r="GG603" s="275"/>
      <c r="GH603" s="275"/>
      <c r="GI603" s="275"/>
      <c r="GJ603" s="275"/>
      <c r="GK603" s="275"/>
      <c r="GL603" s="275"/>
      <c r="GM603" s="275"/>
      <c r="GN603" s="275"/>
      <c r="GO603" s="275"/>
      <c r="GP603" s="275"/>
      <c r="GQ603" s="275"/>
      <c r="GR603" s="275"/>
      <c r="GS603" s="275"/>
      <c r="GT603" s="275"/>
      <c r="GU603" s="275"/>
      <c r="GV603" s="275"/>
      <c r="GW603" s="275"/>
      <c r="GX603" s="275"/>
      <c r="GY603" s="275"/>
      <c r="GZ603" s="275"/>
      <c r="HA603" s="275"/>
      <c r="HB603" s="275"/>
      <c r="HC603" s="275"/>
      <c r="HD603" s="275"/>
      <c r="HE603" s="275"/>
      <c r="HF603" s="275"/>
      <c r="HG603" s="275"/>
      <c r="HH603" s="275"/>
      <c r="HI603" s="275"/>
      <c r="HJ603" s="275"/>
      <c r="HK603" s="275"/>
      <c r="HL603" s="275"/>
      <c r="HM603" s="275"/>
      <c r="HN603" s="275"/>
      <c r="HO603" s="275"/>
      <c r="HP603" s="275"/>
      <c r="HQ603" s="275"/>
      <c r="HR603" s="275"/>
    </row>
    <row r="604" spans="1:226" s="297" customFormat="1">
      <c r="A604" s="275"/>
      <c r="B604" s="21"/>
      <c r="C604" s="21"/>
      <c r="D604" s="21"/>
      <c r="E604" s="21"/>
      <c r="F604" s="275"/>
      <c r="G604" s="275"/>
      <c r="H604" s="275"/>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J604" s="275"/>
      <c r="AK604" s="275"/>
      <c r="AL604" s="275"/>
      <c r="AM604" s="275"/>
      <c r="AN604" s="275"/>
      <c r="AO604" s="275"/>
      <c r="AQ604" s="275"/>
      <c r="AR604" s="275"/>
      <c r="AS604" s="275"/>
      <c r="AT604" s="275"/>
      <c r="AU604" s="275"/>
      <c r="AV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D604" s="275"/>
      <c r="EE604" s="275"/>
      <c r="EF604" s="275"/>
      <c r="EG604" s="275"/>
      <c r="EH604" s="275"/>
      <c r="EI604" s="275"/>
      <c r="EJ604" s="275"/>
      <c r="EK604" s="275"/>
      <c r="EL604" s="275"/>
      <c r="EM604" s="275"/>
      <c r="EN604" s="275"/>
      <c r="EO604" s="275"/>
      <c r="EP604" s="275"/>
      <c r="EQ604" s="275"/>
      <c r="ER604" s="275"/>
      <c r="ES604" s="275"/>
      <c r="ET604" s="275"/>
      <c r="EU604"/>
      <c r="EV604"/>
      <c r="EW604" s="275"/>
      <c r="EX604" s="275"/>
      <c r="EY604" s="275"/>
      <c r="EZ604" s="275"/>
      <c r="FA604" s="275"/>
      <c r="FB604" s="275"/>
      <c r="FC604" s="275"/>
      <c r="FD604" s="275"/>
      <c r="FE604" s="275"/>
      <c r="FF604" s="275"/>
      <c r="FG604" s="275"/>
      <c r="FH604" s="275"/>
      <c r="FI604" s="275"/>
      <c r="FJ604" s="275"/>
      <c r="FK604" s="275"/>
      <c r="FL604" s="275"/>
      <c r="FM604" s="275"/>
      <c r="FN604" s="275"/>
      <c r="FO604" s="275"/>
      <c r="FP604" s="275"/>
      <c r="FQ604" s="275"/>
      <c r="FR604" s="275"/>
      <c r="FS604" s="275"/>
      <c r="FT604" s="275"/>
      <c r="FU604" s="275"/>
      <c r="FV604" s="275"/>
      <c r="FW604" s="275"/>
      <c r="FX604" s="275"/>
      <c r="FY604" s="275"/>
      <c r="FZ604" s="275"/>
      <c r="GA604" s="275"/>
      <c r="GB604" s="275"/>
      <c r="GC604" s="275"/>
      <c r="GD604" s="275"/>
      <c r="GE604" s="275"/>
      <c r="GF604" s="275"/>
      <c r="GG604" s="275"/>
      <c r="GH604" s="275"/>
      <c r="GI604" s="275"/>
      <c r="GJ604" s="275"/>
      <c r="GK604" s="275"/>
      <c r="GL604" s="275"/>
      <c r="GM604" s="275"/>
      <c r="GN604" s="275"/>
      <c r="GO604" s="275"/>
      <c r="GP604" s="275"/>
      <c r="GQ604" s="275"/>
      <c r="GR604" s="275"/>
      <c r="GS604" s="275"/>
      <c r="GT604" s="275"/>
      <c r="GU604" s="275"/>
      <c r="GV604" s="275"/>
      <c r="GW604" s="275"/>
      <c r="GX604" s="275"/>
      <c r="GY604" s="275"/>
      <c r="GZ604" s="275"/>
      <c r="HA604" s="275"/>
      <c r="HB604" s="275"/>
      <c r="HC604" s="275"/>
      <c r="HD604" s="275"/>
      <c r="HE604" s="275"/>
      <c r="HF604" s="275"/>
      <c r="HG604" s="275"/>
      <c r="HH604" s="275"/>
      <c r="HI604" s="275"/>
      <c r="HJ604" s="275"/>
      <c r="HK604" s="275"/>
      <c r="HL604" s="275"/>
      <c r="HM604" s="275"/>
      <c r="HN604" s="275"/>
      <c r="HO604" s="275"/>
      <c r="HP604" s="275"/>
      <c r="HQ604" s="275"/>
      <c r="HR604" s="275"/>
    </row>
    <row r="605" spans="1:226" s="297" customFormat="1">
      <c r="A605" s="275"/>
      <c r="B605" s="21"/>
      <c r="C605" s="21"/>
      <c r="D605" s="21"/>
      <c r="E605" s="21"/>
      <c r="F605" s="275"/>
      <c r="G605" s="275"/>
      <c r="H605" s="275"/>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J605" s="275"/>
      <c r="AK605" s="275"/>
      <c r="AL605" s="275"/>
      <c r="AM605" s="275"/>
      <c r="AN605" s="275"/>
      <c r="AO605" s="275"/>
      <c r="AQ605" s="275"/>
      <c r="AR605" s="275"/>
      <c r="AS605" s="275"/>
      <c r="AT605" s="275"/>
      <c r="AU605" s="275"/>
      <c r="AV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D605" s="275"/>
      <c r="EE605" s="275"/>
      <c r="EF605" s="275"/>
      <c r="EG605" s="275"/>
      <c r="EH605" s="275"/>
      <c r="EI605" s="275"/>
      <c r="EJ605" s="275"/>
      <c r="EK605" s="275"/>
      <c r="EL605" s="275"/>
      <c r="EM605" s="275"/>
      <c r="EN605" s="275"/>
      <c r="EO605" s="275"/>
      <c r="EP605" s="275"/>
      <c r="EQ605" s="275"/>
      <c r="ER605" s="275"/>
      <c r="ES605" s="275"/>
      <c r="ET605" s="275"/>
      <c r="EU605"/>
      <c r="EV605"/>
      <c r="EW605" s="275"/>
      <c r="EX605" s="275"/>
      <c r="EY605" s="275"/>
      <c r="EZ605" s="275"/>
      <c r="FA605" s="275"/>
      <c r="FB605" s="275"/>
      <c r="FC605" s="275"/>
      <c r="FD605" s="275"/>
      <c r="FE605" s="275"/>
      <c r="FF605" s="275"/>
      <c r="FG605" s="275"/>
      <c r="FH605" s="275"/>
      <c r="FI605" s="275"/>
      <c r="FJ605" s="275"/>
      <c r="FK605" s="275"/>
      <c r="FL605" s="275"/>
      <c r="FM605" s="275"/>
      <c r="FN605" s="275"/>
      <c r="FO605" s="275"/>
      <c r="FP605" s="275"/>
      <c r="FQ605" s="275"/>
      <c r="FR605" s="275"/>
      <c r="FS605" s="275"/>
      <c r="FT605" s="275"/>
      <c r="FU605" s="275"/>
      <c r="FV605" s="275"/>
      <c r="FW605" s="275"/>
      <c r="FX605" s="275"/>
      <c r="FY605" s="275"/>
      <c r="FZ605" s="275"/>
      <c r="GA605" s="275"/>
      <c r="GB605" s="275"/>
      <c r="GC605" s="275"/>
      <c r="GD605" s="275"/>
      <c r="GE605" s="275"/>
      <c r="GF605" s="275"/>
      <c r="GG605" s="275"/>
      <c r="GH605" s="275"/>
      <c r="GI605" s="275"/>
      <c r="GJ605" s="275"/>
      <c r="GK605" s="275"/>
      <c r="GL605" s="275"/>
      <c r="GM605" s="275"/>
      <c r="GN605" s="275"/>
      <c r="GO605" s="275"/>
      <c r="GP605" s="275"/>
      <c r="GQ605" s="275"/>
      <c r="GR605" s="275"/>
      <c r="GS605" s="275"/>
      <c r="GT605" s="275"/>
      <c r="GU605" s="275"/>
      <c r="GV605" s="275"/>
      <c r="GW605" s="275"/>
      <c r="GX605" s="275"/>
      <c r="GY605" s="275"/>
      <c r="GZ605" s="275"/>
      <c r="HA605" s="275"/>
      <c r="HB605" s="275"/>
      <c r="HC605" s="275"/>
      <c r="HD605" s="275"/>
      <c r="HE605" s="275"/>
      <c r="HF605" s="275"/>
      <c r="HG605" s="275"/>
      <c r="HH605" s="275"/>
      <c r="HI605" s="275"/>
      <c r="HJ605" s="275"/>
      <c r="HK605" s="275"/>
      <c r="HL605" s="275"/>
      <c r="HM605" s="275"/>
      <c r="HN605" s="275"/>
      <c r="HO605" s="275"/>
      <c r="HP605" s="275"/>
      <c r="HQ605" s="275"/>
      <c r="HR605" s="275"/>
    </row>
    <row r="606" spans="1:226" s="297" customFormat="1">
      <c r="A606" s="275"/>
      <c r="B606" s="21"/>
      <c r="C606" s="21"/>
      <c r="D606" s="21"/>
      <c r="E606" s="21"/>
      <c r="F606" s="275"/>
      <c r="G606" s="275"/>
      <c r="H606" s="275"/>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J606" s="275"/>
      <c r="AK606" s="275"/>
      <c r="AL606" s="275"/>
      <c r="AM606" s="275"/>
      <c r="AN606" s="275"/>
      <c r="AO606" s="275"/>
      <c r="AQ606" s="275"/>
      <c r="AR606" s="275"/>
      <c r="AS606" s="275"/>
      <c r="AT606" s="275"/>
      <c r="AU606" s="275"/>
      <c r="AV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D606" s="275"/>
      <c r="EE606" s="275"/>
      <c r="EF606" s="275"/>
      <c r="EG606" s="275"/>
      <c r="EH606" s="275"/>
      <c r="EI606" s="275"/>
      <c r="EJ606" s="275"/>
      <c r="EK606" s="275"/>
      <c r="EL606" s="275"/>
      <c r="EM606" s="275"/>
      <c r="EN606" s="275"/>
      <c r="EO606" s="275"/>
      <c r="EP606" s="275"/>
      <c r="EQ606" s="275"/>
      <c r="ER606" s="275"/>
      <c r="ES606" s="275"/>
      <c r="ET606" s="275"/>
      <c r="EU606"/>
      <c r="EV606"/>
      <c r="EW606" s="275"/>
      <c r="EX606" s="275"/>
      <c r="EY606" s="275"/>
      <c r="EZ606" s="275"/>
      <c r="FA606" s="275"/>
      <c r="FB606" s="275"/>
      <c r="FC606" s="275"/>
      <c r="FD606" s="275"/>
      <c r="FE606" s="275"/>
      <c r="FF606" s="275"/>
      <c r="FG606" s="275"/>
      <c r="FH606" s="275"/>
      <c r="FI606" s="275"/>
      <c r="FJ606" s="275"/>
      <c r="FK606" s="275"/>
      <c r="FL606" s="275"/>
      <c r="FM606" s="275"/>
      <c r="FN606" s="275"/>
      <c r="FO606" s="275"/>
      <c r="FP606" s="275"/>
      <c r="FQ606" s="275"/>
      <c r="FR606" s="275"/>
      <c r="FS606" s="275"/>
      <c r="FT606" s="275"/>
      <c r="FU606" s="275"/>
      <c r="FV606" s="275"/>
      <c r="FW606" s="275"/>
      <c r="FX606" s="275"/>
      <c r="FY606" s="275"/>
      <c r="FZ606" s="275"/>
      <c r="GA606" s="275"/>
      <c r="GB606" s="275"/>
      <c r="GC606" s="275"/>
      <c r="GD606" s="275"/>
      <c r="GE606" s="275"/>
      <c r="GF606" s="275"/>
      <c r="GG606" s="275"/>
      <c r="GH606" s="275"/>
      <c r="GI606" s="275"/>
      <c r="GJ606" s="275"/>
      <c r="GK606" s="275"/>
      <c r="GL606" s="275"/>
      <c r="GM606" s="275"/>
      <c r="GN606" s="275"/>
      <c r="GO606" s="275"/>
      <c r="GP606" s="275"/>
      <c r="GQ606" s="275"/>
      <c r="GR606" s="275"/>
      <c r="GS606" s="275"/>
      <c r="GT606" s="275"/>
      <c r="GU606" s="275"/>
      <c r="GV606" s="275"/>
      <c r="GW606" s="275"/>
      <c r="GX606" s="275"/>
      <c r="GY606" s="275"/>
      <c r="GZ606" s="275"/>
      <c r="HA606" s="275"/>
      <c r="HB606" s="275"/>
      <c r="HC606" s="275"/>
      <c r="HD606" s="275"/>
      <c r="HE606" s="275"/>
      <c r="HF606" s="275"/>
      <c r="HG606" s="275"/>
      <c r="HH606" s="275"/>
      <c r="HI606" s="275"/>
      <c r="HJ606" s="275"/>
      <c r="HK606" s="275"/>
      <c r="HL606" s="275"/>
      <c r="HM606" s="275"/>
      <c r="HN606" s="275"/>
      <c r="HO606" s="275"/>
      <c r="HP606" s="275"/>
      <c r="HQ606" s="275"/>
      <c r="HR606" s="275"/>
    </row>
    <row r="607" spans="1:226" s="297" customFormat="1">
      <c r="A607" s="275"/>
      <c r="B607" s="21"/>
      <c r="C607" s="21"/>
      <c r="D607" s="21"/>
      <c r="E607" s="21"/>
      <c r="F607" s="275"/>
      <c r="G607" s="275"/>
      <c r="H607" s="275"/>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J607" s="275"/>
      <c r="AK607" s="275"/>
      <c r="AL607" s="275"/>
      <c r="AM607" s="275"/>
      <c r="AN607" s="275"/>
      <c r="AO607" s="275"/>
      <c r="AQ607" s="275"/>
      <c r="AR607" s="275"/>
      <c r="AS607" s="275"/>
      <c r="AT607" s="275"/>
      <c r="AU607" s="275"/>
      <c r="AV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D607" s="275"/>
      <c r="EE607" s="275"/>
      <c r="EF607" s="275"/>
      <c r="EG607" s="275"/>
      <c r="EH607" s="275"/>
      <c r="EI607" s="275"/>
      <c r="EJ607" s="275"/>
      <c r="EK607" s="275"/>
      <c r="EL607" s="275"/>
      <c r="EM607" s="275"/>
      <c r="EN607" s="275"/>
      <c r="EO607" s="275"/>
      <c r="EP607" s="275"/>
      <c r="EQ607" s="275"/>
      <c r="ER607" s="275"/>
      <c r="ES607" s="275"/>
      <c r="ET607" s="275"/>
      <c r="EU607"/>
      <c r="EV607"/>
      <c r="EW607" s="275"/>
      <c r="EX607" s="275"/>
      <c r="EY607" s="275"/>
      <c r="EZ607" s="275"/>
      <c r="FA607" s="275"/>
      <c r="FB607" s="275"/>
      <c r="FC607" s="275"/>
      <c r="FD607" s="275"/>
      <c r="FE607" s="275"/>
      <c r="FF607" s="275"/>
      <c r="FG607" s="275"/>
      <c r="FH607" s="275"/>
      <c r="FI607" s="275"/>
      <c r="FJ607" s="275"/>
      <c r="FK607" s="275"/>
      <c r="FL607" s="275"/>
      <c r="FM607" s="275"/>
      <c r="FN607" s="275"/>
      <c r="FO607" s="275"/>
      <c r="FP607" s="275"/>
      <c r="FQ607" s="275"/>
      <c r="FR607" s="275"/>
      <c r="FS607" s="275"/>
      <c r="FT607" s="275"/>
      <c r="FU607" s="275"/>
      <c r="FV607" s="275"/>
      <c r="FW607" s="275"/>
      <c r="FX607" s="275"/>
      <c r="FY607" s="275"/>
      <c r="FZ607" s="275"/>
      <c r="GA607" s="275"/>
      <c r="GB607" s="275"/>
      <c r="GC607" s="275"/>
      <c r="GD607" s="275"/>
      <c r="GE607" s="275"/>
      <c r="GF607" s="275"/>
      <c r="GG607" s="275"/>
      <c r="GH607" s="275"/>
      <c r="GI607" s="275"/>
      <c r="GJ607" s="275"/>
      <c r="GK607" s="275"/>
      <c r="GL607" s="275"/>
      <c r="GM607" s="275"/>
      <c r="GN607" s="275"/>
      <c r="GO607" s="275"/>
      <c r="GP607" s="275"/>
      <c r="GQ607" s="275"/>
      <c r="GR607" s="275"/>
      <c r="GS607" s="275"/>
      <c r="GT607" s="275"/>
      <c r="GU607" s="275"/>
      <c r="GV607" s="275"/>
      <c r="GW607" s="275"/>
      <c r="GX607" s="275"/>
      <c r="GY607" s="275"/>
      <c r="GZ607" s="275"/>
      <c r="HA607" s="275"/>
      <c r="HB607" s="275"/>
      <c r="HC607" s="275"/>
      <c r="HD607" s="275"/>
      <c r="HE607" s="275"/>
      <c r="HF607" s="275"/>
      <c r="HG607" s="275"/>
      <c r="HH607" s="275"/>
      <c r="HI607" s="275"/>
      <c r="HJ607" s="275"/>
      <c r="HK607" s="275"/>
      <c r="HL607" s="275"/>
      <c r="HM607" s="275"/>
      <c r="HN607" s="275"/>
      <c r="HO607" s="275"/>
      <c r="HP607" s="275"/>
      <c r="HQ607" s="275"/>
      <c r="HR607" s="275"/>
    </row>
    <row r="608" spans="1:226" s="297" customFormat="1">
      <c r="A608" s="275"/>
      <c r="B608" s="21"/>
      <c r="C608" s="21"/>
      <c r="D608" s="21"/>
      <c r="E608" s="21"/>
      <c r="F608" s="275"/>
      <c r="G608" s="275"/>
      <c r="H608" s="275"/>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J608" s="275"/>
      <c r="AK608" s="275"/>
      <c r="AL608" s="275"/>
      <c r="AM608" s="275"/>
      <c r="AN608" s="275"/>
      <c r="AO608" s="275"/>
      <c r="AQ608" s="275"/>
      <c r="AR608" s="275"/>
      <c r="AS608" s="275"/>
      <c r="AT608" s="275"/>
      <c r="AU608" s="275"/>
      <c r="AV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D608" s="275"/>
      <c r="EE608" s="275"/>
      <c r="EF608" s="275"/>
      <c r="EG608" s="275"/>
      <c r="EH608" s="275"/>
      <c r="EI608" s="275"/>
      <c r="EJ608" s="275"/>
      <c r="EK608" s="275"/>
      <c r="EL608" s="275"/>
      <c r="EM608" s="275"/>
      <c r="EN608" s="275"/>
      <c r="EO608" s="275"/>
      <c r="EP608" s="275"/>
      <c r="EQ608" s="275"/>
      <c r="ER608" s="275"/>
      <c r="ES608" s="275"/>
      <c r="ET608" s="275"/>
      <c r="EU608"/>
      <c r="EV608"/>
      <c r="EW608" s="275"/>
      <c r="EX608" s="275"/>
      <c r="EY608" s="275"/>
      <c r="EZ608" s="275"/>
      <c r="FA608" s="275"/>
      <c r="FB608" s="275"/>
      <c r="FC608" s="275"/>
      <c r="FD608" s="275"/>
      <c r="FE608" s="275"/>
      <c r="FF608" s="275"/>
      <c r="FG608" s="275"/>
      <c r="FH608" s="275"/>
      <c r="FI608" s="275"/>
      <c r="FJ608" s="275"/>
      <c r="FK608" s="275"/>
      <c r="FL608" s="275"/>
      <c r="FM608" s="275"/>
      <c r="FN608" s="275"/>
      <c r="FO608" s="275"/>
      <c r="FP608" s="275"/>
      <c r="FQ608" s="275"/>
      <c r="FR608" s="275"/>
      <c r="FS608" s="275"/>
      <c r="FT608" s="275"/>
      <c r="FU608" s="275"/>
      <c r="FV608" s="275"/>
      <c r="FW608" s="275"/>
      <c r="FX608" s="275"/>
      <c r="FY608" s="275"/>
      <c r="FZ608" s="275"/>
      <c r="GA608" s="275"/>
      <c r="GB608" s="275"/>
      <c r="GC608" s="275"/>
      <c r="GD608" s="275"/>
      <c r="GE608" s="275"/>
      <c r="GF608" s="275"/>
      <c r="GG608" s="275"/>
      <c r="GH608" s="275"/>
      <c r="GI608" s="275"/>
      <c r="GJ608" s="275"/>
      <c r="GK608" s="275"/>
      <c r="GL608" s="275"/>
      <c r="GM608" s="275"/>
      <c r="GN608" s="275"/>
      <c r="GO608" s="275"/>
      <c r="GP608" s="275"/>
      <c r="GQ608" s="275"/>
      <c r="GR608" s="275"/>
      <c r="GS608" s="275"/>
      <c r="GT608" s="275"/>
      <c r="GU608" s="275"/>
      <c r="GV608" s="275"/>
      <c r="GW608" s="275"/>
      <c r="GX608" s="275"/>
      <c r="GY608" s="275"/>
      <c r="GZ608" s="275"/>
      <c r="HA608" s="275"/>
      <c r="HB608" s="275"/>
      <c r="HC608" s="275"/>
      <c r="HD608" s="275"/>
      <c r="HE608" s="275"/>
      <c r="HF608" s="275"/>
      <c r="HG608" s="275"/>
      <c r="HH608" s="275"/>
      <c r="HI608" s="275"/>
      <c r="HJ608" s="275"/>
      <c r="HK608" s="275"/>
      <c r="HL608" s="275"/>
      <c r="HM608" s="275"/>
      <c r="HN608" s="275"/>
      <c r="HO608" s="275"/>
      <c r="HP608" s="275"/>
      <c r="HQ608" s="275"/>
      <c r="HR608" s="275"/>
    </row>
    <row r="609" spans="1:226" s="297" customFormat="1">
      <c r="A609" s="275"/>
      <c r="B609" s="21"/>
      <c r="C609" s="21"/>
      <c r="D609" s="21"/>
      <c r="E609" s="21"/>
      <c r="F609" s="275"/>
      <c r="G609" s="275"/>
      <c r="H609" s="275"/>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J609" s="275"/>
      <c r="AK609" s="275"/>
      <c r="AL609" s="275"/>
      <c r="AM609" s="275"/>
      <c r="AN609" s="275"/>
      <c r="AO609" s="275"/>
      <c r="AQ609" s="275"/>
      <c r="AR609" s="275"/>
      <c r="AS609" s="275"/>
      <c r="AT609" s="275"/>
      <c r="AU609" s="275"/>
      <c r="AV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D609" s="275"/>
      <c r="EE609" s="275"/>
      <c r="EF609" s="275"/>
      <c r="EG609" s="275"/>
      <c r="EH609" s="275"/>
      <c r="EI609" s="275"/>
      <c r="EJ609" s="275"/>
      <c r="EK609" s="275"/>
      <c r="EL609" s="275"/>
      <c r="EM609" s="275"/>
      <c r="EN609" s="275"/>
      <c r="EO609" s="275"/>
      <c r="EP609" s="275"/>
      <c r="EQ609" s="275"/>
      <c r="ER609" s="275"/>
      <c r="ES609" s="275"/>
      <c r="ET609" s="275"/>
      <c r="EU609"/>
      <c r="EV609"/>
      <c r="EW609" s="275"/>
      <c r="EX609" s="275"/>
      <c r="EY609" s="275"/>
      <c r="EZ609" s="275"/>
      <c r="FA609" s="275"/>
      <c r="FB609" s="275"/>
      <c r="FC609" s="275"/>
      <c r="FD609" s="275"/>
      <c r="FE609" s="275"/>
      <c r="FF609" s="275"/>
      <c r="FG609" s="275"/>
      <c r="FH609" s="275"/>
      <c r="FI609" s="275"/>
      <c r="FJ609" s="275"/>
      <c r="FK609" s="275"/>
      <c r="FL609" s="275"/>
      <c r="FM609" s="275"/>
      <c r="FN609" s="275"/>
      <c r="FO609" s="275"/>
      <c r="FP609" s="275"/>
      <c r="FQ609" s="275"/>
      <c r="FR609" s="275"/>
      <c r="FS609" s="275"/>
      <c r="FT609" s="275"/>
      <c r="FU609" s="275"/>
      <c r="FV609" s="275"/>
      <c r="FW609" s="275"/>
      <c r="FX609" s="275"/>
      <c r="FY609" s="275"/>
      <c r="FZ609" s="275"/>
      <c r="GA609" s="275"/>
      <c r="GB609" s="275"/>
      <c r="GC609" s="275"/>
      <c r="GD609" s="275"/>
      <c r="GE609" s="275"/>
      <c r="GF609" s="275"/>
      <c r="GG609" s="275"/>
      <c r="GH609" s="275"/>
      <c r="GI609" s="275"/>
      <c r="GJ609" s="275"/>
      <c r="GK609" s="275"/>
      <c r="GL609" s="275"/>
      <c r="GM609" s="275"/>
      <c r="GN609" s="275"/>
      <c r="GO609" s="275"/>
      <c r="GP609" s="275"/>
      <c r="GQ609" s="275"/>
      <c r="GR609" s="275"/>
      <c r="GS609" s="275"/>
      <c r="GT609" s="275"/>
      <c r="GU609" s="275"/>
      <c r="GV609" s="275"/>
      <c r="GW609" s="275"/>
      <c r="GX609" s="275"/>
      <c r="GY609" s="275"/>
      <c r="GZ609" s="275"/>
      <c r="HA609" s="275"/>
      <c r="HB609" s="275"/>
      <c r="HC609" s="275"/>
      <c r="HD609" s="275"/>
      <c r="HE609" s="275"/>
      <c r="HF609" s="275"/>
      <c r="HG609" s="275"/>
      <c r="HH609" s="275"/>
      <c r="HI609" s="275"/>
      <c r="HJ609" s="275"/>
      <c r="HK609" s="275"/>
      <c r="HL609" s="275"/>
      <c r="HM609" s="275"/>
      <c r="HN609" s="275"/>
      <c r="HO609" s="275"/>
      <c r="HP609" s="275"/>
      <c r="HQ609" s="275"/>
      <c r="HR609" s="275"/>
    </row>
    <row r="610" spans="1:226" s="297" customFormat="1">
      <c r="A610" s="275"/>
      <c r="B610" s="21"/>
      <c r="C610" s="21"/>
      <c r="D610" s="21"/>
      <c r="E610" s="21"/>
      <c r="F610" s="275"/>
      <c r="G610" s="275"/>
      <c r="H610" s="275"/>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J610" s="275"/>
      <c r="AK610" s="275"/>
      <c r="AL610" s="275"/>
      <c r="AM610" s="275"/>
      <c r="AN610" s="275"/>
      <c r="AO610" s="275"/>
      <c r="AQ610" s="275"/>
      <c r="AR610" s="275"/>
      <c r="AS610" s="275"/>
      <c r="AT610" s="275"/>
      <c r="AU610" s="275"/>
      <c r="AV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D610" s="275"/>
      <c r="EE610" s="275"/>
      <c r="EF610" s="275"/>
      <c r="EG610" s="275"/>
      <c r="EH610" s="275"/>
      <c r="EI610" s="275"/>
      <c r="EJ610" s="275"/>
      <c r="EK610" s="275"/>
      <c r="EL610" s="275"/>
      <c r="EM610" s="275"/>
      <c r="EN610" s="275"/>
      <c r="EO610" s="275"/>
      <c r="EP610" s="275"/>
      <c r="EQ610" s="275"/>
      <c r="ER610" s="275"/>
      <c r="ES610" s="275"/>
      <c r="ET610" s="275"/>
      <c r="EU610"/>
      <c r="EV610"/>
      <c r="EW610" s="275"/>
      <c r="EX610" s="275"/>
      <c r="EY610" s="275"/>
      <c r="EZ610" s="275"/>
      <c r="FA610" s="275"/>
      <c r="FB610" s="275"/>
      <c r="FC610" s="275"/>
      <c r="FD610" s="275"/>
      <c r="FE610" s="275"/>
      <c r="FF610" s="275"/>
      <c r="FG610" s="275"/>
      <c r="FH610" s="275"/>
      <c r="FI610" s="275"/>
      <c r="FJ610" s="275"/>
      <c r="FK610" s="275"/>
      <c r="FL610" s="275"/>
      <c r="FM610" s="275"/>
      <c r="FN610" s="275"/>
      <c r="FO610" s="275"/>
      <c r="FP610" s="275"/>
      <c r="FQ610" s="275"/>
      <c r="FR610" s="275"/>
      <c r="FS610" s="275"/>
      <c r="FT610" s="275"/>
      <c r="FU610" s="275"/>
      <c r="FV610" s="275"/>
      <c r="FW610" s="275"/>
      <c r="FX610" s="275"/>
      <c r="FY610" s="275"/>
      <c r="FZ610" s="275"/>
      <c r="GA610" s="275"/>
      <c r="GB610" s="275"/>
      <c r="GC610" s="275"/>
      <c r="GD610" s="275"/>
      <c r="GE610" s="275"/>
      <c r="GF610" s="275"/>
      <c r="GG610" s="275"/>
      <c r="GH610" s="275"/>
      <c r="GI610" s="275"/>
      <c r="GJ610" s="275"/>
      <c r="GK610" s="275"/>
      <c r="GL610" s="275"/>
      <c r="GM610" s="275"/>
      <c r="GN610" s="275"/>
      <c r="GO610" s="275"/>
      <c r="GP610" s="275"/>
      <c r="GQ610" s="275"/>
      <c r="GR610" s="275"/>
      <c r="GS610" s="275"/>
      <c r="GT610" s="275"/>
      <c r="GU610" s="275"/>
      <c r="GV610" s="275"/>
      <c r="GW610" s="275"/>
      <c r="GX610" s="275"/>
      <c r="GY610" s="275"/>
      <c r="GZ610" s="275"/>
      <c r="HA610" s="275"/>
      <c r="HB610" s="275"/>
      <c r="HC610" s="275"/>
      <c r="HD610" s="275"/>
      <c r="HE610" s="275"/>
      <c r="HF610" s="275"/>
      <c r="HG610" s="275"/>
      <c r="HH610" s="275"/>
      <c r="HI610" s="275"/>
      <c r="HJ610" s="275"/>
      <c r="HK610" s="275"/>
      <c r="HL610" s="275"/>
      <c r="HM610" s="275"/>
      <c r="HN610" s="275"/>
      <c r="HO610" s="275"/>
      <c r="HP610" s="275"/>
      <c r="HQ610" s="275"/>
      <c r="HR610" s="275"/>
    </row>
    <row r="611" spans="1:226" s="297" customFormat="1">
      <c r="A611" s="275"/>
      <c r="B611" s="21"/>
      <c r="C611" s="21"/>
      <c r="D611" s="21"/>
      <c r="E611" s="21"/>
      <c r="F611" s="275"/>
      <c r="G611" s="275"/>
      <c r="H611" s="275"/>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J611" s="275"/>
      <c r="AK611" s="275"/>
      <c r="AL611" s="275"/>
      <c r="AM611" s="275"/>
      <c r="AN611" s="275"/>
      <c r="AO611" s="275"/>
      <c r="AQ611" s="275"/>
      <c r="AR611" s="275"/>
      <c r="AS611" s="275"/>
      <c r="AT611" s="275"/>
      <c r="AU611" s="275"/>
      <c r="AV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D611" s="275"/>
      <c r="EE611" s="275"/>
      <c r="EF611" s="275"/>
      <c r="EG611" s="275"/>
      <c r="EH611" s="275"/>
      <c r="EI611" s="275"/>
      <c r="EJ611" s="275"/>
      <c r="EK611" s="275"/>
      <c r="EL611" s="275"/>
      <c r="EM611" s="275"/>
      <c r="EN611" s="275"/>
      <c r="EO611" s="275"/>
      <c r="EP611" s="275"/>
      <c r="EQ611" s="275"/>
      <c r="ER611" s="275"/>
      <c r="ES611" s="275"/>
      <c r="ET611" s="275"/>
      <c r="EU611"/>
      <c r="EV611"/>
      <c r="EW611" s="275"/>
      <c r="EX611" s="275"/>
      <c r="EY611" s="275"/>
      <c r="EZ611" s="275"/>
      <c r="FA611" s="275"/>
      <c r="FB611" s="275"/>
      <c r="FC611" s="275"/>
      <c r="FD611" s="275"/>
      <c r="FE611" s="275"/>
      <c r="FF611" s="275"/>
      <c r="FG611" s="275"/>
      <c r="FH611" s="275"/>
      <c r="FI611" s="275"/>
      <c r="FJ611" s="275"/>
      <c r="FK611" s="275"/>
      <c r="FL611" s="275"/>
      <c r="FM611" s="275"/>
      <c r="FN611" s="275"/>
      <c r="FO611" s="275"/>
      <c r="FP611" s="275"/>
      <c r="FQ611" s="275"/>
      <c r="FR611" s="275"/>
      <c r="FS611" s="275"/>
      <c r="FT611" s="275"/>
      <c r="FU611" s="275"/>
      <c r="FV611" s="275"/>
      <c r="FW611" s="275"/>
      <c r="FX611" s="275"/>
      <c r="FY611" s="275"/>
      <c r="FZ611" s="275"/>
      <c r="GA611" s="275"/>
      <c r="GB611" s="275"/>
      <c r="GC611" s="275"/>
      <c r="GD611" s="275"/>
      <c r="GE611" s="275"/>
      <c r="GF611" s="275"/>
      <c r="GG611" s="275"/>
      <c r="GH611" s="275"/>
      <c r="GI611" s="275"/>
      <c r="GJ611" s="275"/>
      <c r="GK611" s="275"/>
      <c r="GL611" s="275"/>
      <c r="GM611" s="275"/>
      <c r="GN611" s="275"/>
      <c r="GO611" s="275"/>
      <c r="GP611" s="275"/>
      <c r="GQ611" s="275"/>
      <c r="GR611" s="275"/>
      <c r="GS611" s="275"/>
      <c r="GT611" s="275"/>
      <c r="GU611" s="275"/>
      <c r="GV611" s="275"/>
      <c r="GW611" s="275"/>
      <c r="GX611" s="275"/>
      <c r="GY611" s="275"/>
      <c r="GZ611" s="275"/>
      <c r="HA611" s="275"/>
      <c r="HB611" s="275"/>
      <c r="HC611" s="275"/>
      <c r="HD611" s="275"/>
      <c r="HE611" s="275"/>
      <c r="HF611" s="275"/>
      <c r="HG611" s="275"/>
      <c r="HH611" s="275"/>
      <c r="HI611" s="275"/>
      <c r="HJ611" s="275"/>
      <c r="HK611" s="275"/>
      <c r="HL611" s="275"/>
      <c r="HM611" s="275"/>
      <c r="HN611" s="275"/>
      <c r="HO611" s="275"/>
      <c r="HP611" s="275"/>
      <c r="HQ611" s="275"/>
      <c r="HR611" s="275"/>
    </row>
    <row r="612" spans="1:226" s="297" customFormat="1">
      <c r="A612" s="275"/>
      <c r="B612" s="21"/>
      <c r="C612" s="21"/>
      <c r="D612" s="21"/>
      <c r="E612" s="21"/>
      <c r="F612" s="275"/>
      <c r="G612" s="275"/>
      <c r="H612" s="275"/>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J612" s="275"/>
      <c r="AK612" s="275"/>
      <c r="AL612" s="275"/>
      <c r="AM612" s="275"/>
      <c r="AN612" s="275"/>
      <c r="AO612" s="275"/>
      <c r="AQ612" s="275"/>
      <c r="AR612" s="275"/>
      <c r="AS612" s="275"/>
      <c r="AT612" s="275"/>
      <c r="AU612" s="275"/>
      <c r="AV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D612" s="275"/>
      <c r="EE612" s="275"/>
      <c r="EF612" s="275"/>
      <c r="EG612" s="275"/>
      <c r="EH612" s="275"/>
      <c r="EI612" s="275"/>
      <c r="EJ612" s="275"/>
      <c r="EK612" s="275"/>
      <c r="EL612" s="275"/>
      <c r="EM612" s="275"/>
      <c r="EN612" s="275"/>
      <c r="EO612" s="275"/>
      <c r="EP612" s="275"/>
      <c r="EQ612" s="275"/>
      <c r="ER612" s="275"/>
      <c r="ES612" s="275"/>
      <c r="ET612" s="275"/>
      <c r="EU612"/>
      <c r="EV612"/>
      <c r="EW612" s="275"/>
      <c r="EX612" s="275"/>
      <c r="EY612" s="275"/>
      <c r="EZ612" s="275"/>
      <c r="FA612" s="275"/>
      <c r="FB612" s="275"/>
      <c r="FC612" s="275"/>
      <c r="FD612" s="275"/>
      <c r="FE612" s="275"/>
      <c r="FF612" s="275"/>
      <c r="FG612" s="275"/>
      <c r="FH612" s="275"/>
      <c r="FI612" s="275"/>
      <c r="FJ612" s="275"/>
      <c r="FK612" s="275"/>
      <c r="FL612" s="275"/>
      <c r="FM612" s="275"/>
      <c r="FN612" s="275"/>
      <c r="FO612" s="275"/>
      <c r="FP612" s="275"/>
      <c r="FQ612" s="275"/>
      <c r="FR612" s="275"/>
      <c r="FS612" s="275"/>
      <c r="FT612" s="275"/>
      <c r="FU612" s="275"/>
      <c r="FV612" s="275"/>
      <c r="FW612" s="275"/>
      <c r="FX612" s="275"/>
      <c r="FY612" s="275"/>
      <c r="FZ612" s="275"/>
      <c r="GA612" s="275"/>
      <c r="GB612" s="275"/>
      <c r="GC612" s="275"/>
      <c r="GD612" s="275"/>
      <c r="GE612" s="275"/>
      <c r="GF612" s="275"/>
      <c r="GG612" s="275"/>
      <c r="GH612" s="275"/>
      <c r="GI612" s="275"/>
      <c r="GJ612" s="275"/>
      <c r="GK612" s="275"/>
      <c r="GL612" s="275"/>
      <c r="GM612" s="275"/>
      <c r="GN612" s="275"/>
      <c r="GO612" s="275"/>
      <c r="GP612" s="275"/>
      <c r="GQ612" s="275"/>
      <c r="GR612" s="275"/>
      <c r="GS612" s="275"/>
      <c r="GT612" s="275"/>
      <c r="GU612" s="275"/>
      <c r="GV612" s="275"/>
      <c r="GW612" s="275"/>
      <c r="GX612" s="275"/>
      <c r="GY612" s="275"/>
      <c r="GZ612" s="275"/>
      <c r="HA612" s="275"/>
      <c r="HB612" s="275"/>
      <c r="HC612" s="275"/>
      <c r="HD612" s="275"/>
      <c r="HE612" s="275"/>
      <c r="HF612" s="275"/>
      <c r="HG612" s="275"/>
      <c r="HH612" s="275"/>
      <c r="HI612" s="275"/>
      <c r="HJ612" s="275"/>
      <c r="HK612" s="275"/>
      <c r="HL612" s="275"/>
      <c r="HM612" s="275"/>
      <c r="HN612" s="275"/>
      <c r="HO612" s="275"/>
      <c r="HP612" s="275"/>
      <c r="HQ612" s="275"/>
      <c r="HR612" s="275"/>
    </row>
    <row r="613" spans="1:226" s="297" customFormat="1">
      <c r="A613" s="275"/>
      <c r="B613" s="21"/>
      <c r="C613" s="21"/>
      <c r="D613" s="21"/>
      <c r="E613" s="21"/>
      <c r="F613" s="275"/>
      <c r="G613" s="275"/>
      <c r="H613" s="275"/>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J613" s="275"/>
      <c r="AK613" s="275"/>
      <c r="AL613" s="275"/>
      <c r="AM613" s="275"/>
      <c r="AN613" s="275"/>
      <c r="AO613" s="275"/>
      <c r="AQ613" s="275"/>
      <c r="AR613" s="275"/>
      <c r="AS613" s="275"/>
      <c r="AT613" s="275"/>
      <c r="AU613" s="275"/>
      <c r="AV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D613" s="275"/>
      <c r="EE613" s="275"/>
      <c r="EF613" s="275"/>
      <c r="EG613" s="275"/>
      <c r="EH613" s="275"/>
      <c r="EI613" s="275"/>
      <c r="EJ613" s="275"/>
      <c r="EK613" s="275"/>
      <c r="EL613" s="275"/>
      <c r="EM613" s="275"/>
      <c r="EN613" s="275"/>
      <c r="EO613" s="275"/>
      <c r="EP613" s="275"/>
      <c r="EQ613" s="275"/>
      <c r="ER613" s="275"/>
      <c r="ES613" s="275"/>
      <c r="ET613" s="275"/>
      <c r="EU613"/>
      <c r="EV613"/>
      <c r="EW613" s="275"/>
      <c r="EX613" s="275"/>
      <c r="EY613" s="275"/>
      <c r="EZ613" s="275"/>
      <c r="FA613" s="275"/>
      <c r="FB613" s="275"/>
      <c r="FC613" s="275"/>
      <c r="FD613" s="275"/>
      <c r="FE613" s="275"/>
      <c r="FF613" s="275"/>
      <c r="FG613" s="275"/>
      <c r="FH613" s="275"/>
      <c r="FI613" s="275"/>
      <c r="FJ613" s="275"/>
      <c r="FK613" s="275"/>
      <c r="FL613" s="275"/>
      <c r="FM613" s="275"/>
      <c r="FN613" s="275"/>
      <c r="FO613" s="275"/>
      <c r="FP613" s="275"/>
      <c r="FQ613" s="275"/>
      <c r="FR613" s="275"/>
      <c r="FS613" s="275"/>
      <c r="FT613" s="275"/>
      <c r="FU613" s="275"/>
      <c r="FV613" s="275"/>
      <c r="FW613" s="275"/>
      <c r="FX613" s="275"/>
      <c r="FY613" s="275"/>
      <c r="FZ613" s="275"/>
      <c r="GA613" s="275"/>
      <c r="GB613" s="275"/>
      <c r="GC613" s="275"/>
      <c r="GD613" s="275"/>
      <c r="GE613" s="275"/>
      <c r="GF613" s="275"/>
      <c r="GG613" s="275"/>
      <c r="GH613" s="275"/>
      <c r="GI613" s="275"/>
      <c r="GJ613" s="275"/>
      <c r="GK613" s="275"/>
      <c r="GL613" s="275"/>
      <c r="GM613" s="275"/>
      <c r="GN613" s="275"/>
      <c r="GO613" s="275"/>
      <c r="GP613" s="275"/>
      <c r="GQ613" s="275"/>
      <c r="GR613" s="275"/>
      <c r="GS613" s="275"/>
      <c r="GT613" s="275"/>
      <c r="GU613" s="275"/>
      <c r="GV613" s="275"/>
      <c r="GW613" s="275"/>
      <c r="GX613" s="275"/>
      <c r="GY613" s="275"/>
      <c r="GZ613" s="275"/>
      <c r="HA613" s="275"/>
      <c r="HB613" s="275"/>
      <c r="HC613" s="275"/>
      <c r="HD613" s="275"/>
      <c r="HE613" s="275"/>
      <c r="HF613" s="275"/>
      <c r="HG613" s="275"/>
      <c r="HH613" s="275"/>
      <c r="HI613" s="275"/>
      <c r="HJ613" s="275"/>
      <c r="HK613" s="275"/>
      <c r="HL613" s="275"/>
      <c r="HM613" s="275"/>
      <c r="HN613" s="275"/>
      <c r="HO613" s="275"/>
      <c r="HP613" s="275"/>
      <c r="HQ613" s="275"/>
      <c r="HR613" s="275"/>
    </row>
    <row r="614" spans="1:226" s="297" customFormat="1">
      <c r="A614" s="275"/>
      <c r="B614" s="21"/>
      <c r="C614" s="21"/>
      <c r="D614" s="21"/>
      <c r="E614" s="21"/>
      <c r="F614" s="275"/>
      <c r="G614" s="275"/>
      <c r="H614" s="275"/>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J614" s="275"/>
      <c r="AK614" s="275"/>
      <c r="AL614" s="275"/>
      <c r="AM614" s="275"/>
      <c r="AN614" s="275"/>
      <c r="AO614" s="275"/>
      <c r="AQ614" s="275"/>
      <c r="AR614" s="275"/>
      <c r="AS614" s="275"/>
      <c r="AT614" s="275"/>
      <c r="AU614" s="275"/>
      <c r="AV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D614" s="275"/>
      <c r="EE614" s="275"/>
      <c r="EF614" s="275"/>
      <c r="EG614" s="275"/>
      <c r="EH614" s="275"/>
      <c r="EI614" s="275"/>
      <c r="EJ614" s="275"/>
      <c r="EK614" s="275"/>
      <c r="EL614" s="275"/>
      <c r="EM614" s="275"/>
      <c r="EN614" s="275"/>
      <c r="EO614" s="275"/>
      <c r="EP614" s="275"/>
      <c r="EQ614" s="275"/>
      <c r="ER614" s="275"/>
      <c r="ES614" s="275"/>
      <c r="ET614" s="275"/>
      <c r="EU614"/>
      <c r="EV614"/>
      <c r="EW614" s="275"/>
      <c r="EX614" s="275"/>
      <c r="EY614" s="275"/>
      <c r="EZ614" s="275"/>
      <c r="FA614" s="275"/>
      <c r="FB614" s="275"/>
      <c r="FC614" s="275"/>
      <c r="FD614" s="275"/>
      <c r="FE614" s="275"/>
      <c r="FF614" s="275"/>
      <c r="FG614" s="275"/>
      <c r="FH614" s="275"/>
      <c r="FI614" s="275"/>
      <c r="FJ614" s="275"/>
      <c r="FK614" s="275"/>
      <c r="FL614" s="275"/>
      <c r="FM614" s="275"/>
      <c r="FN614" s="275"/>
      <c r="FO614" s="275"/>
      <c r="FP614" s="275"/>
      <c r="FQ614" s="275"/>
      <c r="FR614" s="275"/>
      <c r="FS614" s="275"/>
      <c r="FT614" s="275"/>
      <c r="FU614" s="275"/>
      <c r="FV614" s="275"/>
      <c r="FW614" s="275"/>
      <c r="FX614" s="275"/>
      <c r="FY614" s="275"/>
      <c r="FZ614" s="275"/>
      <c r="GA614" s="275"/>
      <c r="GB614" s="275"/>
      <c r="GC614" s="275"/>
      <c r="GD614" s="275"/>
      <c r="GE614" s="275"/>
      <c r="GF614" s="275"/>
      <c r="GG614" s="275"/>
      <c r="GH614" s="275"/>
      <c r="GI614" s="275"/>
      <c r="GJ614" s="275"/>
      <c r="GK614" s="275"/>
      <c r="GL614" s="275"/>
      <c r="GM614" s="275"/>
      <c r="GN614" s="275"/>
      <c r="GO614" s="275"/>
      <c r="GP614" s="275"/>
      <c r="GQ614" s="275"/>
      <c r="GR614" s="275"/>
      <c r="GS614" s="275"/>
      <c r="GT614" s="275"/>
      <c r="GU614" s="275"/>
      <c r="GV614" s="275"/>
      <c r="GW614" s="275"/>
      <c r="GX614" s="275"/>
      <c r="GY614" s="275"/>
      <c r="GZ614" s="275"/>
      <c r="HA614" s="275"/>
      <c r="HB614" s="275"/>
      <c r="HC614" s="275"/>
      <c r="HD614" s="275"/>
      <c r="HE614" s="275"/>
      <c r="HF614" s="275"/>
      <c r="HG614" s="275"/>
      <c r="HH614" s="275"/>
      <c r="HI614" s="275"/>
      <c r="HJ614" s="275"/>
      <c r="HK614" s="275"/>
      <c r="HL614" s="275"/>
      <c r="HM614" s="275"/>
      <c r="HN614" s="275"/>
      <c r="HO614" s="275"/>
      <c r="HP614" s="275"/>
      <c r="HQ614" s="275"/>
      <c r="HR614" s="275"/>
    </row>
    <row r="615" spans="1:226" s="297" customFormat="1">
      <c r="A615" s="275"/>
      <c r="B615" s="21"/>
      <c r="C615" s="21"/>
      <c r="D615" s="21"/>
      <c r="E615" s="21"/>
      <c r="F615" s="275"/>
      <c r="G615" s="275"/>
      <c r="H615" s="275"/>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J615" s="275"/>
      <c r="AK615" s="275"/>
      <c r="AL615" s="275"/>
      <c r="AM615" s="275"/>
      <c r="AN615" s="275"/>
      <c r="AO615" s="275"/>
      <c r="AQ615" s="275"/>
      <c r="AR615" s="275"/>
      <c r="AS615" s="275"/>
      <c r="AT615" s="275"/>
      <c r="AU615" s="275"/>
      <c r="AV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D615" s="275"/>
      <c r="EE615" s="275"/>
      <c r="EF615" s="275"/>
      <c r="EG615" s="275"/>
      <c r="EH615" s="275"/>
      <c r="EI615" s="275"/>
      <c r="EJ615" s="275"/>
      <c r="EK615" s="275"/>
      <c r="EL615" s="275"/>
      <c r="EM615" s="275"/>
      <c r="EN615" s="275"/>
      <c r="EO615" s="275"/>
      <c r="EP615" s="275"/>
      <c r="EQ615" s="275"/>
      <c r="ER615" s="275"/>
      <c r="ES615" s="275"/>
      <c r="ET615" s="275"/>
      <c r="EU615"/>
      <c r="EV615"/>
      <c r="EW615" s="275"/>
      <c r="EX615" s="275"/>
      <c r="EY615" s="275"/>
      <c r="EZ615" s="275"/>
      <c r="FA615" s="275"/>
      <c r="FB615" s="275"/>
      <c r="FC615" s="275"/>
      <c r="FD615" s="275"/>
      <c r="FE615" s="275"/>
      <c r="FF615" s="275"/>
      <c r="FG615" s="275"/>
      <c r="FH615" s="275"/>
      <c r="FI615" s="275"/>
      <c r="FJ615" s="275"/>
      <c r="FK615" s="275"/>
      <c r="FL615" s="275"/>
      <c r="FM615" s="275"/>
      <c r="FN615" s="275"/>
      <c r="FO615" s="275"/>
      <c r="FP615" s="275"/>
      <c r="FQ615" s="275"/>
      <c r="FR615" s="275"/>
      <c r="FS615" s="275"/>
      <c r="FT615" s="275"/>
      <c r="FU615" s="275"/>
      <c r="FV615" s="275"/>
      <c r="FW615" s="275"/>
      <c r="FX615" s="275"/>
      <c r="FY615" s="275"/>
      <c r="FZ615" s="275"/>
      <c r="GA615" s="275"/>
      <c r="GB615" s="275"/>
      <c r="GC615" s="275"/>
      <c r="GD615" s="275"/>
      <c r="GE615" s="275"/>
      <c r="GF615" s="275"/>
      <c r="GG615" s="275"/>
      <c r="GH615" s="275"/>
      <c r="GI615" s="275"/>
      <c r="GJ615" s="275"/>
      <c r="GK615" s="275"/>
      <c r="GL615" s="275"/>
      <c r="GM615" s="275"/>
      <c r="GN615" s="275"/>
      <c r="GO615" s="275"/>
      <c r="GP615" s="275"/>
      <c r="GQ615" s="275"/>
      <c r="GR615" s="275"/>
      <c r="GS615" s="275"/>
      <c r="GT615" s="275"/>
      <c r="GU615" s="275"/>
      <c r="GV615" s="275"/>
      <c r="GW615" s="275"/>
      <c r="GX615" s="275"/>
      <c r="GY615" s="275"/>
      <c r="GZ615" s="275"/>
      <c r="HA615" s="275"/>
      <c r="HB615" s="275"/>
      <c r="HC615" s="275"/>
      <c r="HD615" s="275"/>
      <c r="HE615" s="275"/>
      <c r="HF615" s="275"/>
      <c r="HG615" s="275"/>
      <c r="HH615" s="275"/>
      <c r="HI615" s="275"/>
      <c r="HJ615" s="275"/>
      <c r="HK615" s="275"/>
      <c r="HL615" s="275"/>
      <c r="HM615" s="275"/>
      <c r="HN615" s="275"/>
      <c r="HO615" s="275"/>
      <c r="HP615" s="275"/>
      <c r="HQ615" s="275"/>
      <c r="HR615" s="275"/>
    </row>
    <row r="616" spans="1:226" s="297" customFormat="1">
      <c r="A616" s="275"/>
      <c r="B616" s="21"/>
      <c r="C616" s="21"/>
      <c r="D616" s="21"/>
      <c r="E616" s="21"/>
      <c r="F616" s="275"/>
      <c r="G616" s="275"/>
      <c r="H616" s="275"/>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J616" s="275"/>
      <c r="AK616" s="275"/>
      <c r="AL616" s="275"/>
      <c r="AM616" s="275"/>
      <c r="AN616" s="275"/>
      <c r="AO616" s="275"/>
      <c r="AQ616" s="275"/>
      <c r="AR616" s="275"/>
      <c r="AS616" s="275"/>
      <c r="AT616" s="275"/>
      <c r="AU616" s="275"/>
      <c r="AV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D616" s="275"/>
      <c r="EE616" s="275"/>
      <c r="EF616" s="275"/>
      <c r="EG616" s="275"/>
      <c r="EH616" s="275"/>
      <c r="EI616" s="275"/>
      <c r="EJ616" s="275"/>
      <c r="EK616" s="275"/>
      <c r="EL616" s="275"/>
      <c r="EM616" s="275"/>
      <c r="EN616" s="275"/>
      <c r="EO616" s="275"/>
      <c r="EP616" s="275"/>
      <c r="EQ616" s="275"/>
      <c r="ER616" s="275"/>
      <c r="ES616" s="275"/>
      <c r="ET616" s="275"/>
      <c r="EU616"/>
      <c r="EV616"/>
      <c r="EW616" s="275"/>
      <c r="EX616" s="275"/>
      <c r="EY616" s="275"/>
      <c r="EZ616" s="275"/>
      <c r="FA616" s="275"/>
      <c r="FB616" s="275"/>
      <c r="FC616" s="275"/>
      <c r="FD616" s="275"/>
      <c r="FE616" s="275"/>
      <c r="FF616" s="275"/>
      <c r="FG616" s="275"/>
      <c r="FH616" s="275"/>
      <c r="FI616" s="275"/>
      <c r="FJ616" s="275"/>
      <c r="FK616" s="275"/>
      <c r="FL616" s="275"/>
      <c r="FM616" s="275"/>
      <c r="FN616" s="275"/>
      <c r="FO616" s="275"/>
      <c r="FP616" s="275"/>
      <c r="FQ616" s="275"/>
      <c r="FR616" s="275"/>
      <c r="FS616" s="275"/>
      <c r="FT616" s="275"/>
      <c r="FU616" s="275"/>
      <c r="FV616" s="275"/>
      <c r="FW616" s="275"/>
      <c r="FX616" s="275"/>
      <c r="FY616" s="275"/>
      <c r="FZ616" s="275"/>
      <c r="GA616" s="275"/>
      <c r="GB616" s="275"/>
      <c r="GC616" s="275"/>
      <c r="GD616" s="275"/>
      <c r="GE616" s="275"/>
      <c r="GF616" s="275"/>
      <c r="GG616" s="275"/>
      <c r="GH616" s="275"/>
      <c r="GI616" s="275"/>
      <c r="GJ616" s="275"/>
      <c r="GK616" s="275"/>
      <c r="GL616" s="275"/>
      <c r="GM616" s="275"/>
      <c r="GN616" s="275"/>
      <c r="GO616" s="275"/>
      <c r="GP616" s="275"/>
      <c r="GQ616" s="275"/>
      <c r="GR616" s="275"/>
      <c r="GS616" s="275"/>
      <c r="GT616" s="275"/>
      <c r="GU616" s="275"/>
      <c r="GV616" s="275"/>
      <c r="GW616" s="275"/>
      <c r="GX616" s="275"/>
      <c r="GY616" s="275"/>
      <c r="GZ616" s="275"/>
      <c r="HA616" s="275"/>
      <c r="HB616" s="275"/>
      <c r="HC616" s="275"/>
      <c r="HD616" s="275"/>
      <c r="HE616" s="275"/>
      <c r="HF616" s="275"/>
      <c r="HG616" s="275"/>
      <c r="HH616" s="275"/>
      <c r="HI616" s="275"/>
      <c r="HJ616" s="275"/>
      <c r="HK616" s="275"/>
      <c r="HL616" s="275"/>
      <c r="HM616" s="275"/>
      <c r="HN616" s="275"/>
      <c r="HO616" s="275"/>
      <c r="HP616" s="275"/>
      <c r="HQ616" s="275"/>
      <c r="HR616" s="275"/>
    </row>
    <row r="617" spans="1:226" s="297" customFormat="1">
      <c r="A617" s="275"/>
      <c r="B617" s="21"/>
      <c r="C617" s="21"/>
      <c r="D617" s="21"/>
      <c r="E617" s="21"/>
      <c r="F617" s="275"/>
      <c r="G617" s="275"/>
      <c r="H617" s="275"/>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J617" s="275"/>
      <c r="AK617" s="275"/>
      <c r="AL617" s="275"/>
      <c r="AM617" s="275"/>
      <c r="AN617" s="275"/>
      <c r="AO617" s="275"/>
      <c r="AQ617" s="275"/>
      <c r="AR617" s="275"/>
      <c r="AS617" s="275"/>
      <c r="AT617" s="275"/>
      <c r="AU617" s="275"/>
      <c r="AV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D617" s="275"/>
      <c r="EE617" s="275"/>
      <c r="EF617" s="275"/>
      <c r="EG617" s="275"/>
      <c r="EH617" s="275"/>
      <c r="EI617" s="275"/>
      <c r="EJ617" s="275"/>
      <c r="EK617" s="275"/>
      <c r="EL617" s="275"/>
      <c r="EM617" s="275"/>
      <c r="EN617" s="275"/>
      <c r="EO617" s="275"/>
      <c r="EP617" s="275"/>
      <c r="EQ617" s="275"/>
      <c r="ER617" s="275"/>
      <c r="ES617" s="275"/>
      <c r="ET617" s="275"/>
      <c r="EU617"/>
      <c r="EV617"/>
      <c r="EW617" s="275"/>
      <c r="EX617" s="275"/>
      <c r="EY617" s="275"/>
      <c r="EZ617" s="275"/>
      <c r="FA617" s="275"/>
      <c r="FB617" s="275"/>
      <c r="FC617" s="275"/>
      <c r="FD617" s="275"/>
      <c r="FE617" s="275"/>
      <c r="FF617" s="275"/>
      <c r="FG617" s="275"/>
      <c r="FH617" s="275"/>
      <c r="FI617" s="275"/>
      <c r="FJ617" s="275"/>
      <c r="FK617" s="275"/>
      <c r="FL617" s="275"/>
      <c r="FM617" s="275"/>
      <c r="FN617" s="275"/>
      <c r="FO617" s="275"/>
      <c r="FP617" s="275"/>
      <c r="FQ617" s="275"/>
      <c r="FR617" s="275"/>
      <c r="FS617" s="275"/>
      <c r="FT617" s="275"/>
      <c r="FU617" s="275"/>
      <c r="FV617" s="275"/>
      <c r="FW617" s="275"/>
      <c r="FX617" s="275"/>
      <c r="FY617" s="275"/>
      <c r="FZ617" s="275"/>
      <c r="GA617" s="275"/>
      <c r="GB617" s="275"/>
      <c r="GC617" s="275"/>
      <c r="GD617" s="275"/>
      <c r="GE617" s="275"/>
      <c r="GF617" s="275"/>
      <c r="GG617" s="275"/>
      <c r="GH617" s="275"/>
      <c r="GI617" s="275"/>
      <c r="GJ617" s="275"/>
      <c r="GK617" s="275"/>
      <c r="GL617" s="275"/>
      <c r="GM617" s="275"/>
      <c r="GN617" s="275"/>
      <c r="GO617" s="275"/>
      <c r="GP617" s="275"/>
      <c r="GQ617" s="275"/>
      <c r="GR617" s="275"/>
      <c r="GS617" s="275"/>
      <c r="GT617" s="275"/>
      <c r="GU617" s="275"/>
      <c r="GV617" s="275"/>
      <c r="GW617" s="275"/>
      <c r="GX617" s="275"/>
      <c r="GY617" s="275"/>
      <c r="GZ617" s="275"/>
      <c r="HA617" s="275"/>
      <c r="HB617" s="275"/>
      <c r="HC617" s="275"/>
      <c r="HD617" s="275"/>
      <c r="HE617" s="275"/>
      <c r="HF617" s="275"/>
      <c r="HG617" s="275"/>
      <c r="HH617" s="275"/>
      <c r="HI617" s="275"/>
      <c r="HJ617" s="275"/>
      <c r="HK617" s="275"/>
      <c r="HL617" s="275"/>
      <c r="HM617" s="275"/>
      <c r="HN617" s="275"/>
      <c r="HO617" s="275"/>
      <c r="HP617" s="275"/>
      <c r="HQ617" s="275"/>
      <c r="HR617" s="275"/>
    </row>
    <row r="618" spans="1:226" s="297" customFormat="1">
      <c r="A618" s="275"/>
      <c r="B618" s="21"/>
      <c r="C618" s="21"/>
      <c r="D618" s="21"/>
      <c r="E618" s="21"/>
      <c r="F618" s="275"/>
      <c r="G618" s="275"/>
      <c r="H618" s="275"/>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J618" s="275"/>
      <c r="AK618" s="275"/>
      <c r="AL618" s="275"/>
      <c r="AM618" s="275"/>
      <c r="AN618" s="275"/>
      <c r="AO618" s="275"/>
      <c r="AQ618" s="275"/>
      <c r="AR618" s="275"/>
      <c r="AS618" s="275"/>
      <c r="AT618" s="275"/>
      <c r="AU618" s="275"/>
      <c r="AV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D618" s="275"/>
      <c r="EE618" s="275"/>
      <c r="EF618" s="275"/>
      <c r="EG618" s="275"/>
      <c r="EH618" s="275"/>
      <c r="EI618" s="275"/>
      <c r="EJ618" s="275"/>
      <c r="EK618" s="275"/>
      <c r="EL618" s="275"/>
      <c r="EM618" s="275"/>
      <c r="EN618" s="275"/>
      <c r="EO618" s="275"/>
      <c r="EP618" s="275"/>
      <c r="EQ618" s="275"/>
      <c r="ER618" s="275"/>
      <c r="ES618" s="275"/>
      <c r="ET618" s="275"/>
      <c r="EU618"/>
      <c r="EV618"/>
      <c r="EW618" s="275"/>
      <c r="EX618" s="275"/>
      <c r="EY618" s="275"/>
      <c r="EZ618" s="275"/>
      <c r="FA618" s="275"/>
      <c r="FB618" s="275"/>
      <c r="FC618" s="275"/>
      <c r="FD618" s="275"/>
      <c r="FE618" s="275"/>
      <c r="FF618" s="275"/>
      <c r="FG618" s="275"/>
      <c r="FH618" s="275"/>
      <c r="FI618" s="275"/>
      <c r="FJ618" s="275"/>
      <c r="FK618" s="275"/>
      <c r="FL618" s="275"/>
      <c r="FM618" s="275"/>
      <c r="FN618" s="275"/>
      <c r="FO618" s="275"/>
      <c r="FP618" s="275"/>
      <c r="FQ618" s="275"/>
      <c r="FR618" s="275"/>
      <c r="FS618" s="275"/>
      <c r="FT618" s="275"/>
      <c r="FU618" s="275"/>
      <c r="FV618" s="275"/>
      <c r="FW618" s="275"/>
      <c r="FX618" s="275"/>
      <c r="FY618" s="275"/>
      <c r="FZ618" s="275"/>
      <c r="GA618" s="275"/>
      <c r="GB618" s="275"/>
      <c r="GC618" s="275"/>
      <c r="GD618" s="275"/>
      <c r="GE618" s="275"/>
      <c r="GF618" s="275"/>
      <c r="GG618" s="275"/>
      <c r="GH618" s="275"/>
      <c r="GI618" s="275"/>
      <c r="GJ618" s="275"/>
      <c r="GK618" s="275"/>
      <c r="GL618" s="275"/>
      <c r="GM618" s="275"/>
      <c r="GN618" s="275"/>
      <c r="GO618" s="275"/>
      <c r="GP618" s="275"/>
      <c r="GQ618" s="275"/>
      <c r="GR618" s="275"/>
      <c r="GS618" s="275"/>
      <c r="GT618" s="275"/>
      <c r="GU618" s="275"/>
      <c r="GV618" s="275"/>
      <c r="GW618" s="275"/>
      <c r="GX618" s="275"/>
      <c r="GY618" s="275"/>
      <c r="GZ618" s="275"/>
      <c r="HA618" s="275"/>
      <c r="HB618" s="275"/>
      <c r="HC618" s="275"/>
      <c r="HD618" s="275"/>
      <c r="HE618" s="275"/>
      <c r="HF618" s="275"/>
      <c r="HG618" s="275"/>
      <c r="HH618" s="275"/>
      <c r="HI618" s="275"/>
      <c r="HJ618" s="275"/>
      <c r="HK618" s="275"/>
      <c r="HL618" s="275"/>
      <c r="HM618" s="275"/>
      <c r="HN618" s="275"/>
      <c r="HO618" s="275"/>
      <c r="HP618" s="275"/>
      <c r="HQ618" s="275"/>
      <c r="HR618" s="275"/>
    </row>
    <row r="619" spans="1:226" s="297" customFormat="1">
      <c r="A619" s="275"/>
      <c r="B619" s="21"/>
      <c r="C619" s="21"/>
      <c r="D619" s="21"/>
      <c r="E619" s="21"/>
      <c r="F619" s="275"/>
      <c r="G619" s="275"/>
      <c r="H619" s="275"/>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J619" s="275"/>
      <c r="AK619" s="275"/>
      <c r="AL619" s="275"/>
      <c r="AM619" s="275"/>
      <c r="AN619" s="275"/>
      <c r="AO619" s="275"/>
      <c r="AQ619" s="275"/>
      <c r="AR619" s="275"/>
      <c r="AS619" s="275"/>
      <c r="AT619" s="275"/>
      <c r="AU619" s="275"/>
      <c r="AV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D619" s="275"/>
      <c r="EE619" s="275"/>
      <c r="EF619" s="275"/>
      <c r="EG619" s="275"/>
      <c r="EH619" s="275"/>
      <c r="EI619" s="275"/>
      <c r="EJ619" s="275"/>
      <c r="EK619" s="275"/>
      <c r="EL619" s="275"/>
      <c r="EM619" s="275"/>
      <c r="EN619" s="275"/>
      <c r="EO619" s="275"/>
      <c r="EP619" s="275"/>
      <c r="EQ619" s="275"/>
      <c r="ER619" s="275"/>
      <c r="ES619" s="275"/>
      <c r="ET619" s="275"/>
      <c r="EU619"/>
      <c r="EV619"/>
      <c r="EW619" s="275"/>
      <c r="EX619" s="275"/>
      <c r="EY619" s="275"/>
      <c r="EZ619" s="275"/>
      <c r="FA619" s="275"/>
      <c r="FB619" s="275"/>
      <c r="FC619" s="275"/>
      <c r="FD619" s="275"/>
      <c r="FE619" s="275"/>
      <c r="FF619" s="275"/>
      <c r="FG619" s="275"/>
      <c r="FH619" s="275"/>
      <c r="FI619" s="275"/>
      <c r="FJ619" s="275"/>
      <c r="FK619" s="275"/>
      <c r="FL619" s="275"/>
      <c r="FM619" s="275"/>
      <c r="FN619" s="275"/>
      <c r="FO619" s="275"/>
      <c r="FP619" s="275"/>
      <c r="FQ619" s="275"/>
      <c r="FR619" s="275"/>
      <c r="FS619" s="275"/>
      <c r="FT619" s="275"/>
      <c r="FU619" s="275"/>
      <c r="FV619" s="275"/>
      <c r="FW619" s="275"/>
      <c r="FX619" s="275"/>
      <c r="FY619" s="275"/>
      <c r="FZ619" s="275"/>
      <c r="GA619" s="275"/>
      <c r="GB619" s="275"/>
      <c r="GC619" s="275"/>
      <c r="GD619" s="275"/>
      <c r="GE619" s="275"/>
      <c r="GF619" s="275"/>
      <c r="GG619" s="275"/>
      <c r="GH619" s="275"/>
      <c r="GI619" s="275"/>
      <c r="GJ619" s="275"/>
      <c r="GK619" s="275"/>
      <c r="GL619" s="275"/>
      <c r="GM619" s="275"/>
      <c r="GN619" s="275"/>
      <c r="GO619" s="275"/>
      <c r="GP619" s="275"/>
      <c r="GQ619" s="275"/>
      <c r="GR619" s="275"/>
      <c r="GS619" s="275"/>
      <c r="GT619" s="275"/>
      <c r="GU619" s="275"/>
      <c r="GV619" s="275"/>
      <c r="GW619" s="275"/>
      <c r="GX619" s="275"/>
      <c r="GY619" s="275"/>
      <c r="GZ619" s="275"/>
      <c r="HA619" s="275"/>
      <c r="HB619" s="275"/>
      <c r="HC619" s="275"/>
      <c r="HD619" s="275"/>
      <c r="HE619" s="275"/>
      <c r="HF619" s="275"/>
      <c r="HG619" s="275"/>
      <c r="HH619" s="275"/>
      <c r="HI619" s="275"/>
      <c r="HJ619" s="275"/>
      <c r="HK619" s="275"/>
      <c r="HL619" s="275"/>
      <c r="HM619" s="275"/>
      <c r="HN619" s="275"/>
      <c r="HO619" s="275"/>
      <c r="HP619" s="275"/>
      <c r="HQ619" s="275"/>
      <c r="HR619" s="275"/>
    </row>
    <row r="620" spans="1:226" s="297" customFormat="1">
      <c r="A620" s="275"/>
      <c r="B620" s="21"/>
      <c r="C620" s="21"/>
      <c r="D620" s="21"/>
      <c r="E620" s="21"/>
      <c r="F620" s="275"/>
      <c r="G620" s="275"/>
      <c r="H620" s="275"/>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J620" s="275"/>
      <c r="AK620" s="275"/>
      <c r="AL620" s="275"/>
      <c r="AM620" s="275"/>
      <c r="AN620" s="275"/>
      <c r="AO620" s="275"/>
      <c r="AQ620" s="275"/>
      <c r="AR620" s="275"/>
      <c r="AS620" s="275"/>
      <c r="AT620" s="275"/>
      <c r="AU620" s="275"/>
      <c r="AV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D620" s="275"/>
      <c r="EE620" s="275"/>
      <c r="EF620" s="275"/>
      <c r="EG620" s="275"/>
      <c r="EH620" s="275"/>
      <c r="EI620" s="275"/>
      <c r="EJ620" s="275"/>
      <c r="EK620" s="275"/>
      <c r="EL620" s="275"/>
      <c r="EM620" s="275"/>
      <c r="EN620" s="275"/>
      <c r="EO620" s="275"/>
      <c r="EP620" s="275"/>
      <c r="EQ620" s="275"/>
      <c r="ER620" s="275"/>
      <c r="ES620" s="275"/>
      <c r="ET620" s="275"/>
      <c r="EU620"/>
      <c r="EV620"/>
      <c r="EW620" s="275"/>
      <c r="EX620" s="275"/>
      <c r="EY620" s="275"/>
      <c r="EZ620" s="275"/>
      <c r="FA620" s="275"/>
      <c r="FB620" s="275"/>
      <c r="FC620" s="275"/>
      <c r="FD620" s="275"/>
      <c r="FE620" s="275"/>
      <c r="FF620" s="275"/>
      <c r="FG620" s="275"/>
      <c r="FH620" s="275"/>
      <c r="FI620" s="275"/>
      <c r="FJ620" s="275"/>
      <c r="FK620" s="275"/>
      <c r="FL620" s="275"/>
      <c r="FM620" s="275"/>
      <c r="FN620" s="275"/>
      <c r="FO620" s="275"/>
      <c r="FP620" s="275"/>
      <c r="FQ620" s="275"/>
      <c r="FR620" s="275"/>
      <c r="FS620" s="275"/>
      <c r="FT620" s="275"/>
      <c r="FU620" s="275"/>
      <c r="FV620" s="275"/>
      <c r="FW620" s="275"/>
      <c r="FX620" s="275"/>
      <c r="FY620" s="275"/>
      <c r="FZ620" s="275"/>
      <c r="GA620" s="275"/>
      <c r="GB620" s="275"/>
      <c r="GC620" s="275"/>
      <c r="GD620" s="275"/>
      <c r="GE620" s="275"/>
      <c r="GF620" s="275"/>
      <c r="GG620" s="275"/>
      <c r="GH620" s="275"/>
      <c r="GI620" s="275"/>
      <c r="GJ620" s="275"/>
      <c r="GK620" s="275"/>
      <c r="GL620" s="275"/>
      <c r="GM620" s="275"/>
      <c r="GN620" s="275"/>
      <c r="GO620" s="275"/>
      <c r="GP620" s="275"/>
      <c r="GQ620" s="275"/>
      <c r="GR620" s="275"/>
      <c r="GS620" s="275"/>
      <c r="GT620" s="275"/>
      <c r="GU620" s="275"/>
      <c r="GV620" s="275"/>
      <c r="GW620" s="275"/>
      <c r="GX620" s="275"/>
      <c r="GY620" s="275"/>
      <c r="GZ620" s="275"/>
      <c r="HA620" s="275"/>
      <c r="HB620" s="275"/>
      <c r="HC620" s="275"/>
      <c r="HD620" s="275"/>
      <c r="HE620" s="275"/>
      <c r="HF620" s="275"/>
      <c r="HG620" s="275"/>
      <c r="HH620" s="275"/>
      <c r="HI620" s="275"/>
      <c r="HJ620" s="275"/>
      <c r="HK620" s="275"/>
      <c r="HL620" s="275"/>
      <c r="HM620" s="275"/>
      <c r="HN620" s="275"/>
      <c r="HO620" s="275"/>
      <c r="HP620" s="275"/>
      <c r="HQ620" s="275"/>
      <c r="HR620" s="275"/>
    </row>
    <row r="621" spans="1:226" s="297" customFormat="1">
      <c r="A621" s="275"/>
      <c r="B621" s="21"/>
      <c r="C621" s="21"/>
      <c r="D621" s="21"/>
      <c r="E621" s="21"/>
      <c r="F621" s="275"/>
      <c r="G621" s="275"/>
      <c r="H621" s="275"/>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J621" s="275"/>
      <c r="AK621" s="275"/>
      <c r="AL621" s="275"/>
      <c r="AM621" s="275"/>
      <c r="AN621" s="275"/>
      <c r="AO621" s="275"/>
      <c r="AQ621" s="275"/>
      <c r="AR621" s="275"/>
      <c r="AS621" s="275"/>
      <c r="AT621" s="275"/>
      <c r="AU621" s="275"/>
      <c r="AV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D621" s="275"/>
      <c r="EE621" s="275"/>
      <c r="EF621" s="275"/>
      <c r="EG621" s="275"/>
      <c r="EH621" s="275"/>
      <c r="EI621" s="275"/>
      <c r="EJ621" s="275"/>
      <c r="EK621" s="275"/>
      <c r="EL621" s="275"/>
      <c r="EM621" s="275"/>
      <c r="EN621" s="275"/>
      <c r="EO621" s="275"/>
      <c r="EP621" s="275"/>
      <c r="EQ621" s="275"/>
      <c r="ER621" s="275"/>
      <c r="ES621" s="275"/>
      <c r="ET621" s="275"/>
      <c r="EU621"/>
      <c r="EV621"/>
      <c r="EW621" s="275"/>
      <c r="EX621" s="275"/>
      <c r="EY621" s="275"/>
      <c r="EZ621" s="275"/>
      <c r="FA621" s="275"/>
      <c r="FB621" s="275"/>
      <c r="FC621" s="275"/>
      <c r="FD621" s="275"/>
      <c r="FE621" s="275"/>
      <c r="FF621" s="275"/>
      <c r="FG621" s="275"/>
      <c r="FH621" s="275"/>
      <c r="FI621" s="275"/>
      <c r="FJ621" s="275"/>
      <c r="FK621" s="275"/>
      <c r="FL621" s="275"/>
      <c r="FM621" s="275"/>
      <c r="FN621" s="275"/>
      <c r="FO621" s="275"/>
      <c r="FP621" s="275"/>
      <c r="FQ621" s="275"/>
      <c r="FR621" s="275"/>
      <c r="FS621" s="275"/>
      <c r="FT621" s="275"/>
      <c r="FU621" s="275"/>
      <c r="FV621" s="275"/>
      <c r="FW621" s="275"/>
      <c r="FX621" s="275"/>
      <c r="FY621" s="275"/>
      <c r="FZ621" s="275"/>
      <c r="GA621" s="275"/>
      <c r="GB621" s="275"/>
      <c r="GC621" s="275"/>
      <c r="GD621" s="275"/>
      <c r="GE621" s="275"/>
      <c r="GF621" s="275"/>
      <c r="GG621" s="275"/>
      <c r="GH621" s="275"/>
      <c r="GI621" s="275"/>
      <c r="GJ621" s="275"/>
      <c r="GK621" s="275"/>
      <c r="GL621" s="275"/>
      <c r="GM621" s="275"/>
      <c r="GN621" s="275"/>
      <c r="GO621" s="275"/>
      <c r="GP621" s="275"/>
      <c r="GQ621" s="275"/>
      <c r="GR621" s="275"/>
      <c r="GS621" s="275"/>
      <c r="GT621" s="275"/>
      <c r="GU621" s="275"/>
      <c r="GV621" s="275"/>
      <c r="GW621" s="275"/>
      <c r="GX621" s="275"/>
      <c r="GY621" s="275"/>
      <c r="GZ621" s="275"/>
      <c r="HA621" s="275"/>
      <c r="HB621" s="275"/>
      <c r="HC621" s="275"/>
      <c r="HD621" s="275"/>
      <c r="HE621" s="275"/>
      <c r="HF621" s="275"/>
      <c r="HG621" s="275"/>
      <c r="HH621" s="275"/>
      <c r="HI621" s="275"/>
      <c r="HJ621" s="275"/>
      <c r="HK621" s="275"/>
      <c r="HL621" s="275"/>
      <c r="HM621" s="275"/>
      <c r="HN621" s="275"/>
      <c r="HO621" s="275"/>
      <c r="HP621" s="275"/>
      <c r="HQ621" s="275"/>
      <c r="HR621" s="275"/>
    </row>
    <row r="622" spans="1:226" s="297" customFormat="1">
      <c r="A622" s="275"/>
      <c r="B622" s="21"/>
      <c r="C622" s="21"/>
      <c r="D622" s="21"/>
      <c r="E622" s="21"/>
      <c r="F622" s="275"/>
      <c r="G622" s="275"/>
      <c r="H622" s="275"/>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J622" s="275"/>
      <c r="AK622" s="275"/>
      <c r="AL622" s="275"/>
      <c r="AM622" s="275"/>
      <c r="AN622" s="275"/>
      <c r="AO622" s="275"/>
      <c r="AQ622" s="275"/>
      <c r="AR622" s="275"/>
      <c r="AS622" s="275"/>
      <c r="AT622" s="275"/>
      <c r="AU622" s="275"/>
      <c r="AV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D622" s="275"/>
      <c r="EE622" s="275"/>
      <c r="EF622" s="275"/>
      <c r="EG622" s="275"/>
      <c r="EH622" s="275"/>
      <c r="EI622" s="275"/>
      <c r="EJ622" s="275"/>
      <c r="EK622" s="275"/>
      <c r="EL622" s="275"/>
      <c r="EM622" s="275"/>
      <c r="EN622" s="275"/>
      <c r="EO622" s="275"/>
      <c r="EP622" s="275"/>
      <c r="EQ622" s="275"/>
      <c r="ER622" s="275"/>
      <c r="ES622" s="275"/>
      <c r="ET622" s="275"/>
      <c r="EU622"/>
      <c r="EV622"/>
      <c r="EW622" s="275"/>
      <c r="EX622" s="275"/>
      <c r="EY622" s="275"/>
      <c r="EZ622" s="275"/>
      <c r="FA622" s="275"/>
      <c r="FB622" s="275"/>
      <c r="FC622" s="275"/>
      <c r="FD622" s="275"/>
      <c r="FE622" s="275"/>
      <c r="FF622" s="275"/>
      <c r="FG622" s="275"/>
      <c r="FH622" s="275"/>
      <c r="FI622" s="275"/>
      <c r="FJ622" s="275"/>
      <c r="FK622" s="275"/>
      <c r="FL622" s="275"/>
      <c r="FM622" s="275"/>
      <c r="FN622" s="275"/>
      <c r="FO622" s="275"/>
      <c r="FP622" s="275"/>
      <c r="FQ622" s="275"/>
      <c r="FR622" s="275"/>
      <c r="FS622" s="275"/>
      <c r="FT622" s="275"/>
      <c r="FU622" s="275"/>
      <c r="FV622" s="275"/>
      <c r="FW622" s="275"/>
      <c r="FX622" s="275"/>
      <c r="FY622" s="275"/>
      <c r="FZ622" s="275"/>
      <c r="GA622" s="275"/>
      <c r="GB622" s="275"/>
      <c r="GC622" s="275"/>
      <c r="GD622" s="275"/>
      <c r="GE622" s="275"/>
      <c r="GF622" s="275"/>
      <c r="GG622" s="275"/>
      <c r="GH622" s="275"/>
      <c r="GI622" s="275"/>
      <c r="GJ622" s="275"/>
      <c r="GK622" s="275"/>
      <c r="GL622" s="275"/>
      <c r="GM622" s="275"/>
      <c r="GN622" s="275"/>
      <c r="GO622" s="275"/>
      <c r="GP622" s="275"/>
      <c r="GQ622" s="275"/>
      <c r="GR622" s="275"/>
      <c r="GS622" s="275"/>
      <c r="GT622" s="275"/>
      <c r="GU622" s="275"/>
      <c r="GV622" s="275"/>
      <c r="GW622" s="275"/>
      <c r="GX622" s="275"/>
      <c r="GY622" s="275"/>
      <c r="GZ622" s="275"/>
      <c r="HA622" s="275"/>
      <c r="HB622" s="275"/>
      <c r="HC622" s="275"/>
      <c r="HD622" s="275"/>
      <c r="HE622" s="275"/>
      <c r="HF622" s="275"/>
      <c r="HG622" s="275"/>
      <c r="HH622" s="275"/>
      <c r="HI622" s="275"/>
      <c r="HJ622" s="275"/>
      <c r="HK622" s="275"/>
      <c r="HL622" s="275"/>
      <c r="HM622" s="275"/>
      <c r="HN622" s="275"/>
      <c r="HO622" s="275"/>
      <c r="HP622" s="275"/>
      <c r="HQ622" s="275"/>
      <c r="HR622" s="275"/>
    </row>
    <row r="623" spans="1:226" s="297" customFormat="1">
      <c r="A623" s="275"/>
      <c r="B623" s="21"/>
      <c r="C623" s="21"/>
      <c r="D623" s="21"/>
      <c r="E623" s="21"/>
      <c r="F623" s="275"/>
      <c r="G623" s="275"/>
      <c r="H623" s="275"/>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J623" s="275"/>
      <c r="AK623" s="275"/>
      <c r="AL623" s="275"/>
      <c r="AM623" s="275"/>
      <c r="AN623" s="275"/>
      <c r="AO623" s="275"/>
      <c r="AQ623" s="275"/>
      <c r="AR623" s="275"/>
      <c r="AS623" s="275"/>
      <c r="AT623" s="275"/>
      <c r="AU623" s="275"/>
      <c r="AV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D623" s="275"/>
      <c r="EE623" s="275"/>
      <c r="EF623" s="275"/>
      <c r="EG623" s="275"/>
      <c r="EH623" s="275"/>
      <c r="EI623" s="275"/>
      <c r="EJ623" s="275"/>
      <c r="EK623" s="275"/>
      <c r="EL623" s="275"/>
      <c r="EM623" s="275"/>
      <c r="EN623" s="275"/>
      <c r="EO623" s="275"/>
      <c r="EP623" s="275"/>
      <c r="EQ623" s="275"/>
      <c r="ER623" s="275"/>
      <c r="ES623" s="275"/>
      <c r="ET623" s="275"/>
      <c r="EU623"/>
      <c r="EV623"/>
      <c r="EW623" s="275"/>
      <c r="EX623" s="275"/>
      <c r="EY623" s="275"/>
      <c r="EZ623" s="275"/>
      <c r="FA623" s="275"/>
      <c r="FB623" s="275"/>
      <c r="FC623" s="275"/>
      <c r="FD623" s="275"/>
      <c r="FE623" s="275"/>
      <c r="FF623" s="275"/>
      <c r="FG623" s="275"/>
      <c r="FH623" s="275"/>
      <c r="FI623" s="275"/>
      <c r="FJ623" s="275"/>
      <c r="FK623" s="275"/>
      <c r="FL623" s="275"/>
      <c r="FM623" s="275"/>
      <c r="FN623" s="275"/>
      <c r="FO623" s="275"/>
      <c r="FP623" s="275"/>
      <c r="FQ623" s="275"/>
      <c r="FR623" s="275"/>
      <c r="FS623" s="275"/>
      <c r="FT623" s="275"/>
      <c r="FU623" s="275"/>
      <c r="FV623" s="275"/>
      <c r="FW623" s="275"/>
      <c r="FX623" s="275"/>
      <c r="FY623" s="275"/>
      <c r="FZ623" s="275"/>
      <c r="GA623" s="275"/>
      <c r="GB623" s="275"/>
      <c r="GC623" s="275"/>
      <c r="GD623" s="275"/>
      <c r="GE623" s="275"/>
      <c r="GF623" s="275"/>
      <c r="GG623" s="275"/>
      <c r="GH623" s="275"/>
      <c r="GI623" s="275"/>
      <c r="GJ623" s="275"/>
      <c r="GK623" s="275"/>
      <c r="GL623" s="275"/>
      <c r="GM623" s="275"/>
      <c r="GN623" s="275"/>
      <c r="GO623" s="275"/>
      <c r="GP623" s="275"/>
      <c r="GQ623" s="275"/>
      <c r="GR623" s="275"/>
      <c r="GS623" s="275"/>
      <c r="GT623" s="275"/>
      <c r="GU623" s="275"/>
      <c r="GV623" s="275"/>
      <c r="GW623" s="275"/>
      <c r="GX623" s="275"/>
      <c r="GY623" s="275"/>
      <c r="GZ623" s="275"/>
      <c r="HA623" s="275"/>
      <c r="HB623" s="275"/>
      <c r="HC623" s="275"/>
      <c r="HD623" s="275"/>
      <c r="HE623" s="275"/>
      <c r="HF623" s="275"/>
      <c r="HG623" s="275"/>
      <c r="HH623" s="275"/>
      <c r="HI623" s="275"/>
      <c r="HJ623" s="275"/>
      <c r="HK623" s="275"/>
      <c r="HL623" s="275"/>
      <c r="HM623" s="275"/>
      <c r="HN623" s="275"/>
      <c r="HO623" s="275"/>
      <c r="HP623" s="275"/>
      <c r="HQ623" s="275"/>
      <c r="HR623" s="275"/>
    </row>
    <row r="624" spans="1:226" s="297" customFormat="1">
      <c r="A624" s="275"/>
      <c r="B624" s="21"/>
      <c r="C624" s="21"/>
      <c r="D624" s="21"/>
      <c r="E624" s="21"/>
      <c r="F624" s="275"/>
      <c r="G624" s="275"/>
      <c r="H624" s="275"/>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J624" s="275"/>
      <c r="AK624" s="275"/>
      <c r="AL624" s="275"/>
      <c r="AM624" s="275"/>
      <c r="AN624" s="275"/>
      <c r="AO624" s="275"/>
      <c r="AQ624" s="275"/>
      <c r="AR624" s="275"/>
      <c r="AS624" s="275"/>
      <c r="AT624" s="275"/>
      <c r="AU624" s="275"/>
      <c r="AV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D624" s="275"/>
      <c r="EE624" s="275"/>
      <c r="EF624" s="275"/>
      <c r="EG624" s="275"/>
      <c r="EH624" s="275"/>
      <c r="EI624" s="275"/>
      <c r="EJ624" s="275"/>
      <c r="EK624" s="275"/>
      <c r="EL624" s="275"/>
      <c r="EM624" s="275"/>
      <c r="EN624" s="275"/>
      <c r="EO624" s="275"/>
      <c r="EP624" s="275"/>
      <c r="EQ624" s="275"/>
      <c r="ER624" s="275"/>
      <c r="ES624" s="275"/>
      <c r="ET624" s="275"/>
      <c r="EU624"/>
      <c r="EV624"/>
      <c r="EW624" s="275"/>
      <c r="EX624" s="275"/>
      <c r="EY624" s="275"/>
      <c r="EZ624" s="275"/>
      <c r="FA624" s="275"/>
      <c r="FB624" s="275"/>
      <c r="FC624" s="275"/>
      <c r="FD624" s="275"/>
      <c r="FE624" s="275"/>
      <c r="FF624" s="275"/>
      <c r="FG624" s="275"/>
      <c r="FH624" s="275"/>
      <c r="FI624" s="275"/>
      <c r="FJ624" s="275"/>
      <c r="FK624" s="275"/>
      <c r="FL624" s="275"/>
      <c r="FM624" s="275"/>
      <c r="FN624" s="275"/>
      <c r="FO624" s="275"/>
      <c r="FP624" s="275"/>
      <c r="FQ624" s="275"/>
      <c r="FR624" s="275"/>
      <c r="FS624" s="275"/>
      <c r="FT624" s="275"/>
      <c r="FU624" s="275"/>
      <c r="FV624" s="275"/>
      <c r="FW624" s="275"/>
      <c r="FX624" s="275"/>
      <c r="FY624" s="275"/>
      <c r="FZ624" s="275"/>
      <c r="GA624" s="275"/>
      <c r="GB624" s="275"/>
      <c r="GC624" s="275"/>
      <c r="GD624" s="275"/>
      <c r="GE624" s="275"/>
      <c r="GF624" s="275"/>
      <c r="GG624" s="275"/>
      <c r="GH624" s="275"/>
      <c r="GI624" s="275"/>
      <c r="GJ624" s="275"/>
      <c r="GK624" s="275"/>
      <c r="GL624" s="275"/>
      <c r="GM624" s="275"/>
      <c r="GN624" s="275"/>
      <c r="GO624" s="275"/>
      <c r="GP624" s="275"/>
      <c r="GQ624" s="275"/>
      <c r="GR624" s="275"/>
      <c r="GS624" s="275"/>
      <c r="GT624" s="275"/>
      <c r="GU624" s="275"/>
      <c r="GV624" s="275"/>
      <c r="GW624" s="275"/>
      <c r="GX624" s="275"/>
      <c r="GY624" s="275"/>
      <c r="GZ624" s="275"/>
      <c r="HA624" s="275"/>
      <c r="HB624" s="275"/>
      <c r="HC624" s="275"/>
      <c r="HD624" s="275"/>
      <c r="HE624" s="275"/>
      <c r="HF624" s="275"/>
      <c r="HG624" s="275"/>
      <c r="HH624" s="275"/>
      <c r="HI624" s="275"/>
      <c r="HJ624" s="275"/>
      <c r="HK624" s="275"/>
      <c r="HL624" s="275"/>
      <c r="HM624" s="275"/>
      <c r="HN624" s="275"/>
      <c r="HO624" s="275"/>
      <c r="HP624" s="275"/>
      <c r="HQ624" s="275"/>
      <c r="HR624" s="275"/>
    </row>
    <row r="625" spans="1:226" s="297" customFormat="1">
      <c r="A625" s="275"/>
      <c r="B625" s="21"/>
      <c r="C625" s="21"/>
      <c r="D625" s="21"/>
      <c r="E625" s="21"/>
      <c r="F625" s="275"/>
      <c r="G625" s="275"/>
      <c r="H625" s="275"/>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J625" s="275"/>
      <c r="AK625" s="275"/>
      <c r="AL625" s="275"/>
      <c r="AM625" s="275"/>
      <c r="AN625" s="275"/>
      <c r="AO625" s="275"/>
      <c r="AQ625" s="275"/>
      <c r="AR625" s="275"/>
      <c r="AS625" s="275"/>
      <c r="AT625" s="275"/>
      <c r="AU625" s="275"/>
      <c r="AV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D625" s="275"/>
      <c r="EE625" s="275"/>
      <c r="EF625" s="275"/>
      <c r="EG625" s="275"/>
      <c r="EH625" s="275"/>
      <c r="EI625" s="275"/>
      <c r="EJ625" s="275"/>
      <c r="EK625" s="275"/>
      <c r="EL625" s="275"/>
      <c r="EM625" s="275"/>
      <c r="EN625" s="275"/>
      <c r="EO625" s="275"/>
      <c r="EP625" s="275"/>
      <c r="EQ625" s="275"/>
      <c r="ER625" s="275"/>
      <c r="ES625" s="275"/>
      <c r="ET625" s="275"/>
      <c r="EU625"/>
      <c r="EV625"/>
      <c r="EW625" s="275"/>
      <c r="EX625" s="275"/>
      <c r="EY625" s="275"/>
      <c r="EZ625" s="275"/>
      <c r="FA625" s="275"/>
      <c r="FB625" s="275"/>
      <c r="FC625" s="275"/>
      <c r="FD625" s="275"/>
      <c r="FE625" s="275"/>
      <c r="FF625" s="275"/>
      <c r="FG625" s="275"/>
      <c r="FH625" s="275"/>
      <c r="FI625" s="275"/>
      <c r="FJ625" s="275"/>
      <c r="FK625" s="275"/>
      <c r="FL625" s="275"/>
      <c r="FM625" s="275"/>
      <c r="FN625" s="275"/>
      <c r="FO625" s="275"/>
      <c r="FP625" s="275"/>
      <c r="FQ625" s="275"/>
      <c r="FR625" s="275"/>
      <c r="FS625" s="275"/>
      <c r="FT625" s="275"/>
      <c r="FU625" s="275"/>
      <c r="FV625" s="275"/>
      <c r="FW625" s="275"/>
      <c r="FX625" s="275"/>
      <c r="FY625" s="275"/>
      <c r="FZ625" s="275"/>
      <c r="GA625" s="275"/>
      <c r="GB625" s="275"/>
      <c r="GC625" s="275"/>
      <c r="GD625" s="275"/>
      <c r="GE625" s="275"/>
      <c r="GF625" s="275"/>
      <c r="GG625" s="275"/>
      <c r="GH625" s="275"/>
      <c r="GI625" s="275"/>
      <c r="GJ625" s="275"/>
      <c r="GK625" s="275"/>
      <c r="GL625" s="275"/>
      <c r="GM625" s="275"/>
      <c r="GN625" s="275"/>
      <c r="GO625" s="275"/>
      <c r="GP625" s="275"/>
      <c r="GQ625" s="275"/>
      <c r="GR625" s="275"/>
      <c r="GS625" s="275"/>
      <c r="GT625" s="275"/>
      <c r="GU625" s="275"/>
      <c r="GV625" s="275"/>
      <c r="GW625" s="275"/>
      <c r="GX625" s="275"/>
      <c r="GY625" s="275"/>
      <c r="GZ625" s="275"/>
      <c r="HA625" s="275"/>
      <c r="HB625" s="275"/>
      <c r="HC625" s="275"/>
      <c r="HD625" s="275"/>
      <c r="HE625" s="275"/>
      <c r="HF625" s="275"/>
      <c r="HG625" s="275"/>
      <c r="HH625" s="275"/>
      <c r="HI625" s="275"/>
      <c r="HJ625" s="275"/>
      <c r="HK625" s="275"/>
      <c r="HL625" s="275"/>
      <c r="HM625" s="275"/>
      <c r="HN625" s="275"/>
      <c r="HO625" s="275"/>
      <c r="HP625" s="275"/>
      <c r="HQ625" s="275"/>
      <c r="HR625" s="275"/>
    </row>
    <row r="626" spans="1:226" s="297" customFormat="1">
      <c r="A626" s="275"/>
      <c r="B626" s="21"/>
      <c r="C626" s="21"/>
      <c r="D626" s="21"/>
      <c r="E626" s="21"/>
      <c r="F626" s="275"/>
      <c r="G626" s="275"/>
      <c r="H626" s="275"/>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J626" s="275"/>
      <c r="AK626" s="275"/>
      <c r="AL626" s="275"/>
      <c r="AM626" s="275"/>
      <c r="AN626" s="275"/>
      <c r="AO626" s="275"/>
      <c r="AQ626" s="275"/>
      <c r="AR626" s="275"/>
      <c r="AS626" s="275"/>
      <c r="AT626" s="275"/>
      <c r="AU626" s="275"/>
      <c r="AV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D626" s="275"/>
      <c r="EE626" s="275"/>
      <c r="EF626" s="275"/>
      <c r="EG626" s="275"/>
      <c r="EH626" s="275"/>
      <c r="EI626" s="275"/>
      <c r="EJ626" s="275"/>
      <c r="EK626" s="275"/>
      <c r="EL626" s="275"/>
      <c r="EM626" s="275"/>
      <c r="EN626" s="275"/>
      <c r="EO626" s="275"/>
      <c r="EP626" s="275"/>
      <c r="EQ626" s="275"/>
      <c r="ER626" s="275"/>
      <c r="ES626" s="275"/>
      <c r="ET626" s="275"/>
      <c r="EU626"/>
      <c r="EV626"/>
      <c r="EW626" s="275"/>
      <c r="EX626" s="275"/>
      <c r="EY626" s="275"/>
      <c r="EZ626" s="275"/>
      <c r="FA626" s="275"/>
      <c r="FB626" s="275"/>
      <c r="FC626" s="275"/>
      <c r="FD626" s="275"/>
      <c r="FE626" s="275"/>
      <c r="FF626" s="275"/>
      <c r="FG626" s="275"/>
      <c r="FH626" s="275"/>
      <c r="FI626" s="275"/>
      <c r="FJ626" s="275"/>
      <c r="FK626" s="275"/>
      <c r="FL626" s="275"/>
      <c r="FM626" s="275"/>
      <c r="FN626" s="275"/>
      <c r="FO626" s="275"/>
      <c r="FP626" s="275"/>
      <c r="FQ626" s="275"/>
      <c r="FR626" s="275"/>
      <c r="FS626" s="275"/>
      <c r="FT626" s="275"/>
      <c r="FU626" s="275"/>
      <c r="FV626" s="275"/>
      <c r="FW626" s="275"/>
      <c r="FX626" s="275"/>
      <c r="FY626" s="275"/>
      <c r="FZ626" s="275"/>
      <c r="GA626" s="275"/>
      <c r="GB626" s="275"/>
      <c r="GC626" s="275"/>
      <c r="GD626" s="275"/>
      <c r="GE626" s="275"/>
      <c r="GF626" s="275"/>
      <c r="GG626" s="275"/>
      <c r="GH626" s="275"/>
      <c r="GI626" s="275"/>
      <c r="GJ626" s="275"/>
      <c r="GK626" s="275"/>
      <c r="GL626" s="275"/>
      <c r="GM626" s="275"/>
      <c r="GN626" s="275"/>
      <c r="GO626" s="275"/>
      <c r="GP626" s="275"/>
      <c r="GQ626" s="275"/>
      <c r="GR626" s="275"/>
      <c r="GS626" s="275"/>
      <c r="GT626" s="275"/>
      <c r="GU626" s="275"/>
      <c r="GV626" s="275"/>
      <c r="GW626" s="275"/>
      <c r="GX626" s="275"/>
      <c r="GY626" s="275"/>
      <c r="GZ626" s="275"/>
      <c r="HA626" s="275"/>
      <c r="HB626" s="275"/>
      <c r="HC626" s="275"/>
      <c r="HD626" s="275"/>
      <c r="HE626" s="275"/>
      <c r="HF626" s="275"/>
      <c r="HG626" s="275"/>
      <c r="HH626" s="275"/>
      <c r="HI626" s="275"/>
      <c r="HJ626" s="275"/>
      <c r="HK626" s="275"/>
      <c r="HL626" s="275"/>
      <c r="HM626" s="275"/>
      <c r="HN626" s="275"/>
      <c r="HO626" s="275"/>
      <c r="HP626" s="275"/>
      <c r="HQ626" s="275"/>
      <c r="HR626" s="275"/>
    </row>
    <row r="627" spans="1:226" s="297" customFormat="1">
      <c r="A627" s="275"/>
      <c r="B627" s="21"/>
      <c r="C627" s="21"/>
      <c r="D627" s="21"/>
      <c r="E627" s="21"/>
      <c r="F627" s="275"/>
      <c r="G627" s="275"/>
      <c r="H627" s="275"/>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J627" s="275"/>
      <c r="AK627" s="275"/>
      <c r="AL627" s="275"/>
      <c r="AM627" s="275"/>
      <c r="AN627" s="275"/>
      <c r="AO627" s="275"/>
      <c r="AQ627" s="275"/>
      <c r="AR627" s="275"/>
      <c r="AS627" s="275"/>
      <c r="AT627" s="275"/>
      <c r="AU627" s="275"/>
      <c r="AV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D627" s="275"/>
      <c r="EE627" s="275"/>
      <c r="EF627" s="275"/>
      <c r="EG627" s="275"/>
      <c r="EH627" s="275"/>
      <c r="EI627" s="275"/>
      <c r="EJ627" s="275"/>
      <c r="EK627" s="275"/>
      <c r="EL627" s="275"/>
      <c r="EM627" s="275"/>
      <c r="EN627" s="275"/>
      <c r="EO627" s="275"/>
      <c r="EP627" s="275"/>
      <c r="EQ627" s="275"/>
      <c r="ER627" s="275"/>
      <c r="ES627" s="275"/>
      <c r="ET627" s="275"/>
      <c r="EU627"/>
      <c r="EV627"/>
      <c r="EW627" s="275"/>
      <c r="EX627" s="275"/>
      <c r="EY627" s="275"/>
      <c r="EZ627" s="275"/>
      <c r="FA627" s="275"/>
      <c r="FB627" s="275"/>
      <c r="FC627" s="275"/>
      <c r="FD627" s="275"/>
      <c r="FE627" s="275"/>
      <c r="FF627" s="275"/>
      <c r="FG627" s="275"/>
      <c r="FH627" s="275"/>
      <c r="FI627" s="275"/>
      <c r="FJ627" s="275"/>
      <c r="FK627" s="275"/>
      <c r="FL627" s="275"/>
      <c r="FM627" s="275"/>
      <c r="FN627" s="275"/>
      <c r="FO627" s="275"/>
      <c r="FP627" s="275"/>
      <c r="FQ627" s="275"/>
      <c r="FR627" s="275"/>
      <c r="FS627" s="275"/>
      <c r="FT627" s="275"/>
      <c r="FU627" s="275"/>
      <c r="FV627" s="275"/>
      <c r="FW627" s="275"/>
      <c r="FX627" s="275"/>
      <c r="FY627" s="275"/>
      <c r="FZ627" s="275"/>
      <c r="GA627" s="275"/>
      <c r="GB627" s="275"/>
      <c r="GC627" s="275"/>
      <c r="GD627" s="275"/>
      <c r="GE627" s="275"/>
      <c r="GF627" s="275"/>
      <c r="GG627" s="275"/>
      <c r="GH627" s="275"/>
      <c r="GI627" s="275"/>
      <c r="GJ627" s="275"/>
      <c r="GK627" s="275"/>
      <c r="GL627" s="275"/>
      <c r="GM627" s="275"/>
      <c r="GN627" s="275"/>
      <c r="GO627" s="275"/>
      <c r="GP627" s="275"/>
      <c r="GQ627" s="275"/>
      <c r="GR627" s="275"/>
      <c r="GS627" s="275"/>
      <c r="GT627" s="275"/>
      <c r="GU627" s="275"/>
      <c r="GV627" s="275"/>
      <c r="GW627" s="275"/>
      <c r="GX627" s="275"/>
      <c r="GY627" s="275"/>
      <c r="GZ627" s="275"/>
      <c r="HA627" s="275"/>
      <c r="HB627" s="275"/>
      <c r="HC627" s="275"/>
      <c r="HD627" s="275"/>
      <c r="HE627" s="275"/>
      <c r="HF627" s="275"/>
      <c r="HG627" s="275"/>
      <c r="HH627" s="275"/>
      <c r="HI627" s="275"/>
      <c r="HJ627" s="275"/>
      <c r="HK627" s="275"/>
      <c r="HL627" s="275"/>
      <c r="HM627" s="275"/>
      <c r="HN627" s="275"/>
      <c r="HO627" s="275"/>
      <c r="HP627" s="275"/>
      <c r="HQ627" s="275"/>
      <c r="HR627" s="275"/>
    </row>
    <row r="628" spans="1:226" s="297" customFormat="1">
      <c r="A628" s="275"/>
      <c r="B628" s="21"/>
      <c r="C628" s="21"/>
      <c r="D628" s="21"/>
      <c r="E628" s="21"/>
      <c r="F628" s="275"/>
      <c r="G628" s="275"/>
      <c r="H628" s="275"/>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J628" s="275"/>
      <c r="AK628" s="275"/>
      <c r="AL628" s="275"/>
      <c r="AM628" s="275"/>
      <c r="AN628" s="275"/>
      <c r="AO628" s="275"/>
      <c r="AQ628" s="275"/>
      <c r="AR628" s="275"/>
      <c r="AS628" s="275"/>
      <c r="AT628" s="275"/>
      <c r="AU628" s="275"/>
      <c r="AV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D628" s="275"/>
      <c r="EE628" s="275"/>
      <c r="EF628" s="275"/>
      <c r="EG628" s="275"/>
      <c r="EH628" s="275"/>
      <c r="EI628" s="275"/>
      <c r="EJ628" s="275"/>
      <c r="EK628" s="275"/>
      <c r="EL628" s="275"/>
      <c r="EM628" s="275"/>
      <c r="EN628" s="275"/>
      <c r="EO628" s="275"/>
      <c r="EP628" s="275"/>
      <c r="EQ628" s="275"/>
      <c r="ER628" s="275"/>
      <c r="ES628" s="275"/>
      <c r="ET628" s="275"/>
      <c r="EU628"/>
      <c r="EV628"/>
      <c r="EW628" s="275"/>
      <c r="EX628" s="275"/>
      <c r="EY628" s="275"/>
      <c r="EZ628" s="275"/>
      <c r="FA628" s="275"/>
      <c r="FB628" s="275"/>
      <c r="FC628" s="275"/>
      <c r="FD628" s="275"/>
      <c r="FE628" s="275"/>
      <c r="FF628" s="275"/>
      <c r="FG628" s="275"/>
      <c r="FH628" s="275"/>
      <c r="FI628" s="275"/>
      <c r="FJ628" s="275"/>
      <c r="FK628" s="275"/>
      <c r="FL628" s="275"/>
      <c r="FM628" s="275"/>
      <c r="FN628" s="275"/>
      <c r="FO628" s="275"/>
      <c r="FP628" s="275"/>
      <c r="FQ628" s="275"/>
      <c r="FR628" s="275"/>
      <c r="FS628" s="275"/>
      <c r="FT628" s="275"/>
      <c r="FU628" s="275"/>
      <c r="FV628" s="275"/>
      <c r="FW628" s="275"/>
      <c r="FX628" s="275"/>
      <c r="FY628" s="275"/>
      <c r="FZ628" s="275"/>
      <c r="GA628" s="275"/>
      <c r="GB628" s="275"/>
      <c r="GC628" s="275"/>
      <c r="GD628" s="275"/>
      <c r="GE628" s="275"/>
      <c r="GF628" s="275"/>
      <c r="GG628" s="275"/>
      <c r="GH628" s="275"/>
      <c r="GI628" s="275"/>
      <c r="GJ628" s="275"/>
      <c r="GK628" s="275"/>
      <c r="GL628" s="275"/>
      <c r="GM628" s="275"/>
      <c r="GN628" s="275"/>
      <c r="GO628" s="275"/>
      <c r="GP628" s="275"/>
      <c r="GQ628" s="275"/>
      <c r="GR628" s="275"/>
      <c r="GS628" s="275"/>
      <c r="GT628" s="275"/>
      <c r="GU628" s="275"/>
      <c r="GV628" s="275"/>
      <c r="GW628" s="275"/>
      <c r="GX628" s="275"/>
      <c r="GY628" s="275"/>
      <c r="GZ628" s="275"/>
      <c r="HA628" s="275"/>
      <c r="HB628" s="275"/>
      <c r="HC628" s="275"/>
      <c r="HD628" s="275"/>
      <c r="HE628" s="275"/>
      <c r="HF628" s="275"/>
      <c r="HG628" s="275"/>
      <c r="HH628" s="275"/>
      <c r="HI628" s="275"/>
      <c r="HJ628" s="275"/>
      <c r="HK628" s="275"/>
      <c r="HL628" s="275"/>
      <c r="HM628" s="275"/>
      <c r="HN628" s="275"/>
      <c r="HO628" s="275"/>
      <c r="HP628" s="275"/>
      <c r="HQ628" s="275"/>
      <c r="HR628" s="275"/>
    </row>
    <row r="629" spans="1:226" s="297" customFormat="1">
      <c r="A629" s="275"/>
      <c r="B629" s="21"/>
      <c r="C629" s="21"/>
      <c r="D629" s="21"/>
      <c r="E629" s="21"/>
      <c r="F629" s="275"/>
      <c r="G629" s="275"/>
      <c r="H629" s="275"/>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J629" s="275"/>
      <c r="AK629" s="275"/>
      <c r="AL629" s="275"/>
      <c r="AM629" s="275"/>
      <c r="AN629" s="275"/>
      <c r="AO629" s="275"/>
      <c r="AQ629" s="275"/>
      <c r="AR629" s="275"/>
      <c r="AS629" s="275"/>
      <c r="AT629" s="275"/>
      <c r="AU629" s="275"/>
      <c r="AV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D629" s="275"/>
      <c r="EE629" s="275"/>
      <c r="EF629" s="275"/>
      <c r="EG629" s="275"/>
      <c r="EH629" s="275"/>
      <c r="EI629" s="275"/>
      <c r="EJ629" s="275"/>
      <c r="EK629" s="275"/>
      <c r="EL629" s="275"/>
      <c r="EM629" s="275"/>
      <c r="EN629" s="275"/>
      <c r="EO629" s="275"/>
      <c r="EP629" s="275"/>
      <c r="EQ629" s="275"/>
      <c r="ER629" s="275"/>
      <c r="ES629" s="275"/>
      <c r="ET629" s="275"/>
      <c r="EU629"/>
      <c r="EV629"/>
      <c r="EW629" s="275"/>
      <c r="EX629" s="275"/>
      <c r="EY629" s="275"/>
      <c r="EZ629" s="275"/>
      <c r="FA629" s="275"/>
      <c r="FB629" s="275"/>
      <c r="FC629" s="275"/>
      <c r="FD629" s="275"/>
      <c r="FE629" s="275"/>
      <c r="FF629" s="275"/>
      <c r="FG629" s="275"/>
      <c r="FH629" s="275"/>
      <c r="FI629" s="275"/>
      <c r="FJ629" s="275"/>
      <c r="FK629" s="275"/>
      <c r="FL629" s="275"/>
      <c r="FM629" s="275"/>
      <c r="FN629" s="275"/>
      <c r="FO629" s="275"/>
      <c r="FP629" s="275"/>
      <c r="FQ629" s="275"/>
      <c r="FR629" s="275"/>
      <c r="FS629" s="275"/>
      <c r="FT629" s="275"/>
      <c r="FU629" s="275"/>
      <c r="FV629" s="275"/>
      <c r="FW629" s="275"/>
      <c r="FX629" s="275"/>
      <c r="FY629" s="275"/>
      <c r="FZ629" s="275"/>
      <c r="GA629" s="275"/>
      <c r="GB629" s="275"/>
      <c r="GC629" s="275"/>
      <c r="GD629" s="275"/>
      <c r="GE629" s="275"/>
      <c r="GF629" s="275"/>
      <c r="GG629" s="275"/>
      <c r="GH629" s="275"/>
      <c r="GI629" s="275"/>
      <c r="GJ629" s="275"/>
      <c r="GK629" s="275"/>
      <c r="GL629" s="275"/>
      <c r="GM629" s="275"/>
      <c r="GN629" s="275"/>
      <c r="GO629" s="275"/>
      <c r="GP629" s="275"/>
      <c r="GQ629" s="275"/>
      <c r="GR629" s="275"/>
      <c r="GS629" s="275"/>
      <c r="GT629" s="275"/>
      <c r="GU629" s="275"/>
      <c r="GV629" s="275"/>
      <c r="GW629" s="275"/>
      <c r="GX629" s="275"/>
      <c r="GY629" s="275"/>
      <c r="GZ629" s="275"/>
      <c r="HA629" s="275"/>
      <c r="HB629" s="275"/>
      <c r="HC629" s="275"/>
      <c r="HD629" s="275"/>
      <c r="HE629" s="275"/>
      <c r="HF629" s="275"/>
      <c r="HG629" s="275"/>
      <c r="HH629" s="275"/>
      <c r="HI629" s="275"/>
      <c r="HJ629" s="275"/>
      <c r="HK629" s="275"/>
      <c r="HL629" s="275"/>
      <c r="HM629" s="275"/>
      <c r="HN629" s="275"/>
      <c r="HO629" s="275"/>
      <c r="HP629" s="275"/>
      <c r="HQ629" s="275"/>
      <c r="HR629" s="275"/>
    </row>
    <row r="630" spans="1:226" s="297" customFormat="1">
      <c r="A630" s="275"/>
      <c r="B630" s="21"/>
      <c r="C630" s="21"/>
      <c r="D630" s="21"/>
      <c r="E630" s="21"/>
      <c r="F630" s="275"/>
      <c r="G630" s="275"/>
      <c r="H630" s="275"/>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J630" s="275"/>
      <c r="AK630" s="275"/>
      <c r="AL630" s="275"/>
      <c r="AM630" s="275"/>
      <c r="AN630" s="275"/>
      <c r="AO630" s="275"/>
      <c r="AQ630" s="275"/>
      <c r="AR630" s="275"/>
      <c r="AS630" s="275"/>
      <c r="AT630" s="275"/>
      <c r="AU630" s="275"/>
      <c r="AV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D630" s="275"/>
      <c r="EE630" s="275"/>
      <c r="EF630" s="275"/>
      <c r="EG630" s="275"/>
      <c r="EH630" s="275"/>
      <c r="EI630" s="275"/>
      <c r="EJ630" s="275"/>
      <c r="EK630" s="275"/>
      <c r="EL630" s="275"/>
      <c r="EM630" s="275"/>
      <c r="EN630" s="275"/>
      <c r="EO630" s="275"/>
      <c r="EP630" s="275"/>
      <c r="EQ630" s="275"/>
      <c r="ER630" s="275"/>
      <c r="ES630" s="275"/>
      <c r="ET630" s="275"/>
      <c r="EU630"/>
      <c r="EV630"/>
      <c r="EW630" s="275"/>
      <c r="EX630" s="275"/>
      <c r="EY630" s="275"/>
      <c r="EZ630" s="275"/>
      <c r="FA630" s="275"/>
      <c r="FB630" s="275"/>
      <c r="FC630" s="275"/>
      <c r="FD630" s="275"/>
      <c r="FE630" s="275"/>
      <c r="FF630" s="275"/>
      <c r="FG630" s="275"/>
      <c r="FH630" s="275"/>
      <c r="FI630" s="275"/>
      <c r="FJ630" s="275"/>
      <c r="FK630" s="275"/>
      <c r="FL630" s="275"/>
      <c r="FM630" s="275"/>
      <c r="FN630" s="275"/>
      <c r="FO630" s="275"/>
      <c r="FP630" s="275"/>
      <c r="FQ630" s="275"/>
      <c r="FR630" s="275"/>
      <c r="FS630" s="275"/>
      <c r="FT630" s="275"/>
      <c r="FU630" s="275"/>
      <c r="FV630" s="275"/>
      <c r="FW630" s="275"/>
      <c r="FX630" s="275"/>
      <c r="FY630" s="275"/>
      <c r="FZ630" s="275"/>
      <c r="GA630" s="275"/>
      <c r="GB630" s="275"/>
      <c r="GC630" s="275"/>
      <c r="GD630" s="275"/>
      <c r="GE630" s="275"/>
      <c r="GF630" s="275"/>
      <c r="GG630" s="275"/>
      <c r="GH630" s="275"/>
      <c r="GI630" s="275"/>
      <c r="GJ630" s="275"/>
      <c r="GK630" s="275"/>
      <c r="GL630" s="275"/>
      <c r="GM630" s="275"/>
      <c r="GN630" s="275"/>
      <c r="GO630" s="275"/>
      <c r="GP630" s="275"/>
      <c r="GQ630" s="275"/>
      <c r="GR630" s="275"/>
      <c r="GS630" s="275"/>
      <c r="GT630" s="275"/>
      <c r="GU630" s="275"/>
      <c r="GV630" s="275"/>
      <c r="GW630" s="275"/>
      <c r="GX630" s="275"/>
      <c r="GY630" s="275"/>
      <c r="GZ630" s="275"/>
      <c r="HA630" s="275"/>
      <c r="HB630" s="275"/>
      <c r="HC630" s="275"/>
      <c r="HD630" s="275"/>
      <c r="HE630" s="275"/>
      <c r="HF630" s="275"/>
      <c r="HG630" s="275"/>
      <c r="HH630" s="275"/>
      <c r="HI630" s="275"/>
      <c r="HJ630" s="275"/>
      <c r="HK630" s="275"/>
      <c r="HL630" s="275"/>
      <c r="HM630" s="275"/>
      <c r="HN630" s="275"/>
      <c r="HO630" s="275"/>
      <c r="HP630" s="275"/>
      <c r="HQ630" s="275"/>
      <c r="HR630" s="275"/>
    </row>
    <row r="631" spans="1:226" s="297" customFormat="1">
      <c r="A631" s="275"/>
      <c r="B631" s="21"/>
      <c r="C631" s="21"/>
      <c r="D631" s="21"/>
      <c r="E631" s="21"/>
      <c r="F631" s="275"/>
      <c r="G631" s="275"/>
      <c r="H631" s="275"/>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J631" s="275"/>
      <c r="AK631" s="275"/>
      <c r="AL631" s="275"/>
      <c r="AM631" s="275"/>
      <c r="AN631" s="275"/>
      <c r="AO631" s="275"/>
      <c r="AQ631" s="275"/>
      <c r="AR631" s="275"/>
      <c r="AS631" s="275"/>
      <c r="AT631" s="275"/>
      <c r="AU631" s="275"/>
      <c r="AV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D631" s="275"/>
      <c r="EE631" s="275"/>
      <c r="EF631" s="275"/>
      <c r="EG631" s="275"/>
      <c r="EH631" s="275"/>
      <c r="EI631" s="275"/>
      <c r="EJ631" s="275"/>
      <c r="EK631" s="275"/>
      <c r="EL631" s="275"/>
      <c r="EM631" s="275"/>
      <c r="EN631" s="275"/>
      <c r="EO631" s="275"/>
      <c r="EP631" s="275"/>
      <c r="EQ631" s="275"/>
      <c r="ER631" s="275"/>
      <c r="ES631" s="275"/>
      <c r="ET631" s="275"/>
      <c r="EU631"/>
      <c r="EV631"/>
      <c r="EW631" s="275"/>
      <c r="EX631" s="275"/>
      <c r="EY631" s="275"/>
      <c r="EZ631" s="275"/>
      <c r="FA631" s="275"/>
      <c r="FB631" s="275"/>
      <c r="FC631" s="275"/>
      <c r="FD631" s="275"/>
      <c r="FE631" s="275"/>
      <c r="FF631" s="275"/>
      <c r="FG631" s="275"/>
      <c r="FH631" s="275"/>
      <c r="FI631" s="275"/>
      <c r="FJ631" s="275"/>
      <c r="FK631" s="275"/>
      <c r="FL631" s="275"/>
      <c r="FM631" s="275"/>
      <c r="FN631" s="275"/>
      <c r="FO631" s="275"/>
      <c r="FP631" s="275"/>
      <c r="FQ631" s="275"/>
      <c r="FR631" s="275"/>
      <c r="FS631" s="275"/>
      <c r="FT631" s="275"/>
      <c r="FU631" s="275"/>
      <c r="FV631" s="275"/>
      <c r="FW631" s="275"/>
      <c r="FX631" s="275"/>
      <c r="FY631" s="275"/>
      <c r="FZ631" s="275"/>
      <c r="GA631" s="275"/>
      <c r="GB631" s="275"/>
      <c r="GC631" s="275"/>
      <c r="GD631" s="275"/>
      <c r="GE631" s="275"/>
      <c r="GF631" s="275"/>
      <c r="GG631" s="275"/>
      <c r="GH631" s="275"/>
      <c r="GI631" s="275"/>
      <c r="GJ631" s="275"/>
      <c r="GK631" s="275"/>
      <c r="GL631" s="275"/>
      <c r="GM631" s="275"/>
      <c r="GN631" s="275"/>
      <c r="GO631" s="275"/>
      <c r="GP631" s="275"/>
      <c r="GQ631" s="275"/>
      <c r="GR631" s="275"/>
      <c r="GS631" s="275"/>
      <c r="GT631" s="275"/>
      <c r="GU631" s="275"/>
      <c r="GV631" s="275"/>
      <c r="GW631" s="275"/>
      <c r="GX631" s="275"/>
      <c r="GY631" s="275"/>
      <c r="GZ631" s="275"/>
      <c r="HA631" s="275"/>
      <c r="HB631" s="275"/>
      <c r="HC631" s="275"/>
      <c r="HD631" s="275"/>
      <c r="HE631" s="275"/>
      <c r="HF631" s="275"/>
      <c r="HG631" s="275"/>
      <c r="HH631" s="275"/>
      <c r="HI631" s="275"/>
      <c r="HJ631" s="275"/>
      <c r="HK631" s="275"/>
      <c r="HL631" s="275"/>
      <c r="HM631" s="275"/>
      <c r="HN631" s="275"/>
      <c r="HO631" s="275"/>
      <c r="HP631" s="275"/>
      <c r="HQ631" s="275"/>
      <c r="HR631" s="275"/>
    </row>
    <row r="632" spans="1:226" s="297" customFormat="1">
      <c r="A632" s="275"/>
      <c r="B632" s="21"/>
      <c r="C632" s="21"/>
      <c r="D632" s="21"/>
      <c r="E632" s="21"/>
      <c r="F632" s="275"/>
      <c r="G632" s="275"/>
      <c r="H632" s="275"/>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J632" s="275"/>
      <c r="AK632" s="275"/>
      <c r="AL632" s="275"/>
      <c r="AM632" s="275"/>
      <c r="AN632" s="275"/>
      <c r="AO632" s="275"/>
      <c r="AQ632" s="275"/>
      <c r="AR632" s="275"/>
      <c r="AS632" s="275"/>
      <c r="AT632" s="275"/>
      <c r="AU632" s="275"/>
      <c r="AV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D632" s="275"/>
      <c r="EE632" s="275"/>
      <c r="EF632" s="275"/>
      <c r="EG632" s="275"/>
      <c r="EH632" s="275"/>
      <c r="EI632" s="275"/>
      <c r="EJ632" s="275"/>
      <c r="EK632" s="275"/>
      <c r="EL632" s="275"/>
      <c r="EM632" s="275"/>
      <c r="EN632" s="275"/>
      <c r="EO632" s="275"/>
      <c r="EP632" s="275"/>
      <c r="EQ632" s="275"/>
      <c r="ER632" s="275"/>
      <c r="ES632" s="275"/>
      <c r="ET632" s="275"/>
      <c r="EU632"/>
      <c r="EV632"/>
      <c r="EW632" s="275"/>
      <c r="EX632" s="275"/>
      <c r="EY632" s="275"/>
      <c r="EZ632" s="275"/>
      <c r="FA632" s="275"/>
      <c r="FB632" s="275"/>
      <c r="FC632" s="275"/>
      <c r="FD632" s="275"/>
      <c r="FE632" s="275"/>
      <c r="FF632" s="275"/>
      <c r="FG632" s="275"/>
      <c r="FH632" s="275"/>
      <c r="FI632" s="275"/>
      <c r="FJ632" s="275"/>
      <c r="FK632" s="275"/>
      <c r="FL632" s="275"/>
      <c r="FM632" s="275"/>
      <c r="FN632" s="275"/>
      <c r="FO632" s="275"/>
      <c r="FP632" s="275"/>
      <c r="FQ632" s="275"/>
      <c r="FR632" s="275"/>
      <c r="FS632" s="275"/>
      <c r="FT632" s="275"/>
      <c r="FU632" s="275"/>
      <c r="FV632" s="275"/>
      <c r="FW632" s="275"/>
      <c r="FX632" s="275"/>
      <c r="FY632" s="275"/>
      <c r="FZ632" s="275"/>
      <c r="GA632" s="275"/>
      <c r="GB632" s="275"/>
      <c r="GC632" s="275"/>
      <c r="GD632" s="275"/>
      <c r="GE632" s="275"/>
      <c r="GF632" s="275"/>
      <c r="GG632" s="275"/>
      <c r="GH632" s="275"/>
      <c r="GI632" s="275"/>
      <c r="GJ632" s="275"/>
      <c r="GK632" s="275"/>
      <c r="GL632" s="275"/>
      <c r="GM632" s="275"/>
      <c r="GN632" s="275"/>
      <c r="GO632" s="275"/>
      <c r="GP632" s="275"/>
      <c r="GQ632" s="275"/>
      <c r="GR632" s="275"/>
      <c r="GS632" s="275"/>
      <c r="GT632" s="275"/>
      <c r="GU632" s="275"/>
      <c r="GV632" s="275"/>
      <c r="GW632" s="275"/>
      <c r="GX632" s="275"/>
      <c r="GY632" s="275"/>
      <c r="GZ632" s="275"/>
      <c r="HA632" s="275"/>
      <c r="HB632" s="275"/>
      <c r="HC632" s="275"/>
      <c r="HD632" s="275"/>
      <c r="HE632" s="275"/>
      <c r="HF632" s="275"/>
      <c r="HG632" s="275"/>
      <c r="HH632" s="275"/>
      <c r="HI632" s="275"/>
      <c r="HJ632" s="275"/>
      <c r="HK632" s="275"/>
      <c r="HL632" s="275"/>
      <c r="HM632" s="275"/>
      <c r="HN632" s="275"/>
      <c r="HO632" s="275"/>
      <c r="HP632" s="275"/>
      <c r="HQ632" s="275"/>
      <c r="HR632" s="275"/>
    </row>
    <row r="633" spans="1:226" s="297" customFormat="1">
      <c r="A633" s="275"/>
      <c r="B633" s="21"/>
      <c r="C633" s="21"/>
      <c r="D633" s="21"/>
      <c r="E633" s="21"/>
      <c r="F633" s="275"/>
      <c r="G633" s="275"/>
      <c r="H633" s="275"/>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J633" s="275"/>
      <c r="AK633" s="275"/>
      <c r="AL633" s="275"/>
      <c r="AM633" s="275"/>
      <c r="AN633" s="275"/>
      <c r="AO633" s="275"/>
      <c r="AQ633" s="275"/>
      <c r="AR633" s="275"/>
      <c r="AS633" s="275"/>
      <c r="AT633" s="275"/>
      <c r="AU633" s="275"/>
      <c r="AV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D633" s="275"/>
      <c r="EE633" s="275"/>
      <c r="EF633" s="275"/>
      <c r="EG633" s="275"/>
      <c r="EH633" s="275"/>
      <c r="EI633" s="275"/>
      <c r="EJ633" s="275"/>
      <c r="EK633" s="275"/>
      <c r="EL633" s="275"/>
      <c r="EM633" s="275"/>
      <c r="EN633" s="275"/>
      <c r="EO633" s="275"/>
      <c r="EP633" s="275"/>
      <c r="EQ633" s="275"/>
      <c r="ER633" s="275"/>
      <c r="ES633" s="275"/>
      <c r="ET633" s="275"/>
      <c r="EU633"/>
      <c r="EV633"/>
      <c r="EW633" s="275"/>
      <c r="EX633" s="275"/>
      <c r="EY633" s="275"/>
      <c r="EZ633" s="275"/>
      <c r="FA633" s="275"/>
      <c r="FB633" s="275"/>
      <c r="FC633" s="275"/>
      <c r="FD633" s="275"/>
      <c r="FE633" s="275"/>
      <c r="FF633" s="275"/>
      <c r="FG633" s="275"/>
      <c r="FH633" s="275"/>
      <c r="FI633" s="275"/>
      <c r="FJ633" s="275"/>
      <c r="FK633" s="275"/>
      <c r="FL633" s="275"/>
      <c r="FM633" s="275"/>
      <c r="FN633" s="275"/>
      <c r="FO633" s="275"/>
      <c r="FP633" s="275"/>
      <c r="FQ633" s="275"/>
      <c r="FR633" s="275"/>
      <c r="FS633" s="275"/>
      <c r="FT633" s="275"/>
      <c r="FU633" s="275"/>
      <c r="FV633" s="275"/>
      <c r="FW633" s="275"/>
      <c r="FX633" s="275"/>
      <c r="FY633" s="275"/>
      <c r="FZ633" s="275"/>
      <c r="GA633" s="275"/>
      <c r="GB633" s="275"/>
      <c r="GC633" s="275"/>
      <c r="GD633" s="275"/>
      <c r="GE633" s="275"/>
      <c r="GF633" s="275"/>
      <c r="GG633" s="275"/>
      <c r="GH633" s="275"/>
      <c r="GI633" s="275"/>
      <c r="GJ633" s="275"/>
      <c r="GK633" s="275"/>
      <c r="GL633" s="275"/>
      <c r="GM633" s="275"/>
      <c r="GN633" s="275"/>
      <c r="GO633" s="275"/>
      <c r="GP633" s="275"/>
      <c r="GQ633" s="275"/>
      <c r="GR633" s="275"/>
      <c r="GS633" s="275"/>
      <c r="GT633" s="275"/>
      <c r="GU633" s="275"/>
      <c r="GV633" s="275"/>
      <c r="GW633" s="275"/>
      <c r="GX633" s="275"/>
      <c r="GY633" s="275"/>
      <c r="GZ633" s="275"/>
      <c r="HA633" s="275"/>
      <c r="HB633" s="275"/>
      <c r="HC633" s="275"/>
      <c r="HD633" s="275"/>
      <c r="HE633" s="275"/>
      <c r="HF633" s="275"/>
      <c r="HG633" s="275"/>
      <c r="HH633" s="275"/>
      <c r="HI633" s="275"/>
      <c r="HJ633" s="275"/>
      <c r="HK633" s="275"/>
      <c r="HL633" s="275"/>
      <c r="HM633" s="275"/>
      <c r="HN633" s="275"/>
      <c r="HO633" s="275"/>
      <c r="HP633" s="275"/>
      <c r="HQ633" s="275"/>
      <c r="HR633" s="275"/>
    </row>
    <row r="634" spans="1:226" s="297" customFormat="1">
      <c r="A634" s="275"/>
      <c r="B634" s="21"/>
      <c r="C634" s="21"/>
      <c r="D634" s="21"/>
      <c r="E634" s="21"/>
      <c r="F634" s="275"/>
      <c r="G634" s="275"/>
      <c r="H634" s="275"/>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J634" s="275"/>
      <c r="AK634" s="275"/>
      <c r="AL634" s="275"/>
      <c r="AM634" s="275"/>
      <c r="AN634" s="275"/>
      <c r="AO634" s="275"/>
      <c r="AQ634" s="275"/>
      <c r="AR634" s="275"/>
      <c r="AS634" s="275"/>
      <c r="AT634" s="275"/>
      <c r="AU634" s="275"/>
      <c r="AV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D634" s="275"/>
      <c r="EE634" s="275"/>
      <c r="EF634" s="275"/>
      <c r="EG634" s="275"/>
      <c r="EH634" s="275"/>
      <c r="EI634" s="275"/>
      <c r="EJ634" s="275"/>
      <c r="EK634" s="275"/>
      <c r="EL634" s="275"/>
      <c r="EM634" s="275"/>
      <c r="EN634" s="275"/>
      <c r="EO634" s="275"/>
      <c r="EP634" s="275"/>
      <c r="EQ634" s="275"/>
      <c r="ER634" s="275"/>
      <c r="ES634" s="275"/>
      <c r="ET634" s="275"/>
      <c r="EU634"/>
      <c r="EV634"/>
      <c r="EW634" s="275"/>
      <c r="EX634" s="275"/>
      <c r="EY634" s="275"/>
      <c r="EZ634" s="275"/>
      <c r="FA634" s="275"/>
      <c r="FB634" s="275"/>
      <c r="FC634" s="275"/>
      <c r="FD634" s="275"/>
      <c r="FE634" s="275"/>
      <c r="FF634" s="275"/>
      <c r="FG634" s="275"/>
      <c r="FH634" s="275"/>
      <c r="FI634" s="275"/>
      <c r="FJ634" s="275"/>
      <c r="FK634" s="275"/>
      <c r="FL634" s="275"/>
      <c r="FM634" s="275"/>
      <c r="FN634" s="275"/>
      <c r="FO634" s="275"/>
      <c r="FP634" s="275"/>
      <c r="FQ634" s="275"/>
      <c r="FR634" s="275"/>
      <c r="FS634" s="275"/>
      <c r="FT634" s="275"/>
      <c r="FU634" s="275"/>
      <c r="FV634" s="275"/>
      <c r="FW634" s="275"/>
      <c r="FX634" s="275"/>
      <c r="FY634" s="275"/>
      <c r="FZ634" s="275"/>
      <c r="GA634" s="275"/>
      <c r="GB634" s="275"/>
      <c r="GC634" s="275"/>
      <c r="GD634" s="275"/>
      <c r="GE634" s="275"/>
      <c r="GF634" s="275"/>
      <c r="GG634" s="275"/>
      <c r="GH634" s="275"/>
      <c r="GI634" s="275"/>
      <c r="GJ634" s="275"/>
      <c r="GK634" s="275"/>
      <c r="GL634" s="275"/>
      <c r="GM634" s="275"/>
      <c r="GN634" s="275"/>
      <c r="GO634" s="275"/>
      <c r="GP634" s="275"/>
      <c r="GQ634" s="275"/>
      <c r="GR634" s="275"/>
      <c r="GS634" s="275"/>
      <c r="GT634" s="275"/>
      <c r="GU634" s="275"/>
      <c r="GV634" s="275"/>
      <c r="GW634" s="275"/>
      <c r="GX634" s="275"/>
      <c r="GY634" s="275"/>
      <c r="GZ634" s="275"/>
      <c r="HA634" s="275"/>
      <c r="HB634" s="275"/>
      <c r="HC634" s="275"/>
      <c r="HD634" s="275"/>
      <c r="HE634" s="275"/>
      <c r="HF634" s="275"/>
      <c r="HG634" s="275"/>
      <c r="HH634" s="275"/>
      <c r="HI634" s="275"/>
      <c r="HJ634" s="275"/>
      <c r="HK634" s="275"/>
      <c r="HL634" s="275"/>
      <c r="HM634" s="275"/>
      <c r="HN634" s="275"/>
      <c r="HO634" s="275"/>
      <c r="HP634" s="275"/>
      <c r="HQ634" s="275"/>
      <c r="HR634" s="275"/>
    </row>
    <row r="635" spans="1:226" s="297" customFormat="1">
      <c r="A635" s="275"/>
      <c r="B635" s="21"/>
      <c r="C635" s="21"/>
      <c r="D635" s="21"/>
      <c r="E635" s="21"/>
      <c r="F635" s="275"/>
      <c r="G635" s="275"/>
      <c r="H635" s="275"/>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J635" s="275"/>
      <c r="AK635" s="275"/>
      <c r="AL635" s="275"/>
      <c r="AM635" s="275"/>
      <c r="AN635" s="275"/>
      <c r="AO635" s="275"/>
      <c r="AQ635" s="275"/>
      <c r="AR635" s="275"/>
      <c r="AS635" s="275"/>
      <c r="AT635" s="275"/>
      <c r="AU635" s="275"/>
      <c r="AV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D635" s="275"/>
      <c r="EE635" s="275"/>
      <c r="EF635" s="275"/>
      <c r="EG635" s="275"/>
      <c r="EH635" s="275"/>
      <c r="EI635" s="275"/>
      <c r="EJ635" s="275"/>
      <c r="EK635" s="275"/>
      <c r="EL635" s="275"/>
      <c r="EM635" s="275"/>
      <c r="EN635" s="275"/>
      <c r="EO635" s="275"/>
      <c r="EP635" s="275"/>
      <c r="EQ635" s="275"/>
      <c r="ER635" s="275"/>
      <c r="ES635" s="275"/>
      <c r="ET635" s="275"/>
      <c r="EU635"/>
      <c r="EV635"/>
      <c r="EW635" s="275"/>
      <c r="EX635" s="275"/>
      <c r="EY635" s="275"/>
      <c r="EZ635" s="275"/>
      <c r="FA635" s="275"/>
      <c r="FB635" s="275"/>
      <c r="FC635" s="275"/>
      <c r="FD635" s="275"/>
      <c r="FE635" s="275"/>
      <c r="FF635" s="275"/>
      <c r="FG635" s="275"/>
      <c r="FH635" s="275"/>
      <c r="FI635" s="275"/>
      <c r="FJ635" s="275"/>
      <c r="FK635" s="275"/>
      <c r="FL635" s="275"/>
      <c r="FM635" s="275"/>
      <c r="FN635" s="275"/>
      <c r="FO635" s="275"/>
      <c r="FP635" s="275"/>
      <c r="FQ635" s="275"/>
      <c r="FR635" s="275"/>
      <c r="FS635" s="275"/>
      <c r="FT635" s="275"/>
      <c r="FU635" s="275"/>
      <c r="FV635" s="275"/>
      <c r="FW635" s="275"/>
      <c r="FX635" s="275"/>
      <c r="FY635" s="275"/>
      <c r="FZ635" s="275"/>
      <c r="GA635" s="275"/>
      <c r="GB635" s="275"/>
      <c r="GC635" s="275"/>
      <c r="GD635" s="275"/>
      <c r="GE635" s="275"/>
      <c r="GF635" s="275"/>
      <c r="GG635" s="275"/>
      <c r="GH635" s="275"/>
      <c r="GI635" s="275"/>
      <c r="GJ635" s="275"/>
      <c r="GK635" s="275"/>
      <c r="GL635" s="275"/>
      <c r="GM635" s="275"/>
      <c r="GN635" s="275"/>
      <c r="GO635" s="275"/>
      <c r="GP635" s="275"/>
      <c r="GQ635" s="275"/>
      <c r="GR635" s="275"/>
      <c r="GS635" s="275"/>
      <c r="GT635" s="275"/>
      <c r="GU635" s="275"/>
      <c r="GV635" s="275"/>
      <c r="GW635" s="275"/>
      <c r="GX635" s="275"/>
      <c r="GY635" s="275"/>
      <c r="GZ635" s="275"/>
      <c r="HA635" s="275"/>
      <c r="HB635" s="275"/>
      <c r="HC635" s="275"/>
      <c r="HD635" s="275"/>
      <c r="HE635" s="275"/>
      <c r="HF635" s="275"/>
      <c r="HG635" s="275"/>
      <c r="HH635" s="275"/>
      <c r="HI635" s="275"/>
      <c r="HJ635" s="275"/>
      <c r="HK635" s="275"/>
      <c r="HL635" s="275"/>
      <c r="HM635" s="275"/>
      <c r="HN635" s="275"/>
      <c r="HO635" s="275"/>
      <c r="HP635" s="275"/>
      <c r="HQ635" s="275"/>
      <c r="HR635" s="275"/>
    </row>
    <row r="636" spans="1:226" s="297" customFormat="1">
      <c r="A636" s="275"/>
      <c r="B636" s="21"/>
      <c r="C636" s="21"/>
      <c r="D636" s="21"/>
      <c r="E636" s="21"/>
      <c r="F636" s="275"/>
      <c r="G636" s="275"/>
      <c r="H636" s="275"/>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J636" s="275"/>
      <c r="AK636" s="275"/>
      <c r="AL636" s="275"/>
      <c r="AM636" s="275"/>
      <c r="AN636" s="275"/>
      <c r="AO636" s="275"/>
      <c r="AQ636" s="275"/>
      <c r="AR636" s="275"/>
      <c r="AS636" s="275"/>
      <c r="AT636" s="275"/>
      <c r="AU636" s="275"/>
      <c r="AV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D636" s="275"/>
      <c r="EE636" s="275"/>
      <c r="EF636" s="275"/>
      <c r="EG636" s="275"/>
      <c r="EH636" s="275"/>
      <c r="EI636" s="275"/>
      <c r="EJ636" s="275"/>
      <c r="EK636" s="275"/>
      <c r="EL636" s="275"/>
      <c r="EM636" s="275"/>
      <c r="EN636" s="275"/>
      <c r="EO636" s="275"/>
      <c r="EP636" s="275"/>
      <c r="EQ636" s="275"/>
      <c r="ER636" s="275"/>
      <c r="ES636" s="275"/>
      <c r="ET636" s="275"/>
      <c r="EU636"/>
      <c r="EV636"/>
      <c r="EW636" s="275"/>
      <c r="EX636" s="275"/>
      <c r="EY636" s="275"/>
      <c r="EZ636" s="275"/>
      <c r="FA636" s="275"/>
      <c r="FB636" s="275"/>
      <c r="FC636" s="275"/>
      <c r="FD636" s="275"/>
      <c r="FE636" s="275"/>
      <c r="FF636" s="275"/>
      <c r="FG636" s="275"/>
      <c r="FH636" s="275"/>
      <c r="FI636" s="275"/>
      <c r="FJ636" s="275"/>
      <c r="FK636" s="275"/>
      <c r="FL636" s="275"/>
      <c r="FM636" s="275"/>
      <c r="FN636" s="275"/>
      <c r="FO636" s="275"/>
      <c r="FP636" s="275"/>
      <c r="FQ636" s="275"/>
      <c r="FR636" s="275"/>
      <c r="FS636" s="275"/>
      <c r="FT636" s="275"/>
      <c r="FU636" s="275"/>
      <c r="FV636" s="275"/>
      <c r="FW636" s="275"/>
      <c r="FX636" s="275"/>
      <c r="FY636" s="275"/>
      <c r="FZ636" s="275"/>
      <c r="GA636" s="275"/>
      <c r="GB636" s="275"/>
      <c r="GC636" s="275"/>
      <c r="GD636" s="275"/>
      <c r="GE636" s="275"/>
      <c r="GF636" s="275"/>
      <c r="GG636" s="275"/>
      <c r="GH636" s="275"/>
      <c r="GI636" s="275"/>
      <c r="GJ636" s="275"/>
      <c r="GK636" s="275"/>
      <c r="GL636" s="275"/>
      <c r="GM636" s="275"/>
      <c r="GN636" s="275"/>
      <c r="GO636" s="275"/>
      <c r="GP636" s="275"/>
      <c r="GQ636" s="275"/>
      <c r="GR636" s="275"/>
      <c r="GS636" s="275"/>
      <c r="GT636" s="275"/>
      <c r="GU636" s="275"/>
      <c r="GV636" s="275"/>
      <c r="GW636" s="275"/>
      <c r="GX636" s="275"/>
      <c r="GY636" s="275"/>
      <c r="GZ636" s="275"/>
      <c r="HA636" s="275"/>
      <c r="HB636" s="275"/>
      <c r="HC636" s="275"/>
      <c r="HD636" s="275"/>
      <c r="HE636" s="275"/>
      <c r="HF636" s="275"/>
      <c r="HG636" s="275"/>
      <c r="HH636" s="275"/>
      <c r="HI636" s="275"/>
      <c r="HJ636" s="275"/>
      <c r="HK636" s="275"/>
      <c r="HL636" s="275"/>
      <c r="HM636" s="275"/>
      <c r="HN636" s="275"/>
      <c r="HO636" s="275"/>
      <c r="HP636" s="275"/>
      <c r="HQ636" s="275"/>
      <c r="HR636" s="275"/>
    </row>
    <row r="637" spans="1:226" s="297" customFormat="1">
      <c r="A637" s="275"/>
      <c r="B637" s="21"/>
      <c r="C637" s="21"/>
      <c r="D637" s="21"/>
      <c r="E637" s="21"/>
      <c r="F637" s="275"/>
      <c r="G637" s="275"/>
      <c r="H637" s="275"/>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J637" s="275"/>
      <c r="AK637" s="275"/>
      <c r="AL637" s="275"/>
      <c r="AM637" s="275"/>
      <c r="AN637" s="275"/>
      <c r="AO637" s="275"/>
      <c r="AQ637" s="275"/>
      <c r="AR637" s="275"/>
      <c r="AS637" s="275"/>
      <c r="AT637" s="275"/>
      <c r="AU637" s="275"/>
      <c r="AV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D637" s="275"/>
      <c r="EE637" s="275"/>
      <c r="EF637" s="275"/>
      <c r="EG637" s="275"/>
      <c r="EH637" s="275"/>
      <c r="EI637" s="275"/>
      <c r="EJ637" s="275"/>
      <c r="EK637" s="275"/>
      <c r="EL637" s="275"/>
      <c r="EM637" s="275"/>
      <c r="EN637" s="275"/>
      <c r="EO637" s="275"/>
      <c r="EP637" s="275"/>
      <c r="EQ637" s="275"/>
      <c r="ER637" s="275"/>
      <c r="ES637" s="275"/>
      <c r="ET637" s="275"/>
      <c r="EU637"/>
      <c r="EV637"/>
      <c r="EW637" s="275"/>
      <c r="EX637" s="275"/>
      <c r="EY637" s="275"/>
      <c r="EZ637" s="275"/>
      <c r="FA637" s="275"/>
      <c r="FB637" s="275"/>
      <c r="FC637" s="275"/>
      <c r="FD637" s="275"/>
      <c r="FE637" s="275"/>
      <c r="FF637" s="275"/>
      <c r="FG637" s="275"/>
      <c r="FH637" s="275"/>
      <c r="FI637" s="275"/>
      <c r="FJ637" s="275"/>
      <c r="FK637" s="275"/>
      <c r="FL637" s="275"/>
      <c r="FM637" s="275"/>
      <c r="FN637" s="275"/>
      <c r="FO637" s="275"/>
      <c r="FP637" s="275"/>
      <c r="FQ637" s="275"/>
      <c r="FR637" s="275"/>
      <c r="FS637" s="275"/>
      <c r="FT637" s="275"/>
      <c r="FU637" s="275"/>
      <c r="FV637" s="275"/>
      <c r="FW637" s="275"/>
      <c r="FX637" s="275"/>
      <c r="FY637" s="275"/>
      <c r="FZ637" s="275"/>
      <c r="GA637" s="275"/>
      <c r="GB637" s="275"/>
      <c r="GC637" s="275"/>
      <c r="GD637" s="275"/>
      <c r="GE637" s="275"/>
      <c r="GF637" s="275"/>
      <c r="GG637" s="275"/>
      <c r="GH637" s="275"/>
      <c r="GI637" s="275"/>
      <c r="GJ637" s="275"/>
      <c r="GK637" s="275"/>
      <c r="GL637" s="275"/>
      <c r="GM637" s="275"/>
      <c r="GN637" s="275"/>
      <c r="GO637" s="275"/>
      <c r="GP637" s="275"/>
      <c r="GQ637" s="275"/>
      <c r="GR637" s="275"/>
      <c r="GS637" s="275"/>
      <c r="GT637" s="275"/>
      <c r="GU637" s="275"/>
      <c r="GV637" s="275"/>
      <c r="GW637" s="275"/>
      <c r="GX637" s="275"/>
      <c r="GY637" s="275"/>
      <c r="GZ637" s="275"/>
      <c r="HA637" s="275"/>
      <c r="HB637" s="275"/>
      <c r="HC637" s="275"/>
      <c r="HD637" s="275"/>
      <c r="HE637" s="275"/>
      <c r="HF637" s="275"/>
      <c r="HG637" s="275"/>
      <c r="HH637" s="275"/>
      <c r="HI637" s="275"/>
      <c r="HJ637" s="275"/>
      <c r="HK637" s="275"/>
      <c r="HL637" s="275"/>
      <c r="HM637" s="275"/>
      <c r="HN637" s="275"/>
      <c r="HO637" s="275"/>
      <c r="HP637" s="275"/>
      <c r="HQ637" s="275"/>
      <c r="HR637" s="275"/>
    </row>
    <row r="638" spans="1:226" s="297" customFormat="1">
      <c r="A638" s="275"/>
      <c r="B638" s="21"/>
      <c r="C638" s="21"/>
      <c r="D638" s="21"/>
      <c r="E638" s="21"/>
      <c r="F638" s="275"/>
      <c r="G638" s="275"/>
      <c r="H638" s="275"/>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J638" s="275"/>
      <c r="AK638" s="275"/>
      <c r="AL638" s="275"/>
      <c r="AM638" s="275"/>
      <c r="AN638" s="275"/>
      <c r="AO638" s="275"/>
      <c r="AQ638" s="275"/>
      <c r="AR638" s="275"/>
      <c r="AS638" s="275"/>
      <c r="AT638" s="275"/>
      <c r="AU638" s="275"/>
      <c r="AV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D638" s="275"/>
      <c r="EE638" s="275"/>
      <c r="EF638" s="275"/>
      <c r="EG638" s="275"/>
      <c r="EH638" s="275"/>
      <c r="EI638" s="275"/>
      <c r="EJ638" s="275"/>
      <c r="EK638" s="275"/>
      <c r="EL638" s="275"/>
      <c r="EM638" s="275"/>
      <c r="EN638" s="275"/>
      <c r="EO638" s="275"/>
      <c r="EP638" s="275"/>
      <c r="EQ638" s="275"/>
      <c r="ER638" s="275"/>
      <c r="ES638" s="275"/>
      <c r="ET638" s="275"/>
      <c r="EU638"/>
      <c r="EV638"/>
      <c r="EW638" s="275"/>
      <c r="EX638" s="275"/>
      <c r="EY638" s="275"/>
      <c r="EZ638" s="275"/>
      <c r="FA638" s="275"/>
      <c r="FB638" s="275"/>
      <c r="FC638" s="275"/>
      <c r="FD638" s="275"/>
      <c r="FE638" s="275"/>
      <c r="FF638" s="275"/>
      <c r="FG638" s="275"/>
      <c r="FH638" s="275"/>
      <c r="FI638" s="275"/>
      <c r="FJ638" s="275"/>
      <c r="FK638" s="275"/>
      <c r="FL638" s="275"/>
      <c r="FM638" s="275"/>
      <c r="FN638" s="275"/>
      <c r="FO638" s="275"/>
      <c r="FP638" s="275"/>
      <c r="FQ638" s="275"/>
      <c r="FR638" s="275"/>
      <c r="FS638" s="275"/>
      <c r="FT638" s="275"/>
      <c r="FU638" s="275"/>
      <c r="FV638" s="275"/>
      <c r="FW638" s="275"/>
      <c r="FX638" s="275"/>
      <c r="FY638" s="275"/>
      <c r="FZ638" s="275"/>
      <c r="GA638" s="275"/>
      <c r="GB638" s="275"/>
      <c r="GC638" s="275"/>
      <c r="GD638" s="275"/>
      <c r="GE638" s="275"/>
      <c r="GF638" s="275"/>
      <c r="GG638" s="275"/>
      <c r="GH638" s="275"/>
      <c r="GI638" s="275"/>
      <c r="GJ638" s="275"/>
      <c r="GK638" s="275"/>
      <c r="GL638" s="275"/>
      <c r="GM638" s="275"/>
      <c r="GN638" s="275"/>
      <c r="GO638" s="275"/>
      <c r="GP638" s="275"/>
      <c r="GQ638" s="275"/>
      <c r="GR638" s="275"/>
      <c r="GS638" s="275"/>
      <c r="GT638" s="275"/>
      <c r="GU638" s="275"/>
      <c r="GV638" s="275"/>
      <c r="GW638" s="275"/>
      <c r="GX638" s="275"/>
      <c r="GY638" s="275"/>
      <c r="GZ638" s="275"/>
      <c r="HA638" s="275"/>
      <c r="HB638" s="275"/>
      <c r="HC638" s="275"/>
      <c r="HD638" s="275"/>
      <c r="HE638" s="275"/>
      <c r="HF638" s="275"/>
      <c r="HG638" s="275"/>
      <c r="HH638" s="275"/>
      <c r="HI638" s="275"/>
      <c r="HJ638" s="275"/>
      <c r="HK638" s="275"/>
      <c r="HL638" s="275"/>
      <c r="HM638" s="275"/>
      <c r="HN638" s="275"/>
      <c r="HO638" s="275"/>
      <c r="HP638" s="275"/>
      <c r="HQ638" s="275"/>
      <c r="HR638" s="275"/>
    </row>
    <row r="639" spans="1:226" s="297" customFormat="1">
      <c r="A639" s="275"/>
      <c r="B639" s="21"/>
      <c r="C639" s="21"/>
      <c r="D639" s="21"/>
      <c r="E639" s="21"/>
      <c r="F639" s="275"/>
      <c r="G639" s="275"/>
      <c r="H639" s="275"/>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J639" s="275"/>
      <c r="AK639" s="275"/>
      <c r="AL639" s="275"/>
      <c r="AM639" s="275"/>
      <c r="AN639" s="275"/>
      <c r="AO639" s="275"/>
      <c r="AQ639" s="275"/>
      <c r="AR639" s="275"/>
      <c r="AS639" s="275"/>
      <c r="AT639" s="275"/>
      <c r="AU639" s="275"/>
      <c r="AV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D639" s="275"/>
      <c r="EE639" s="275"/>
      <c r="EF639" s="275"/>
      <c r="EG639" s="275"/>
      <c r="EH639" s="275"/>
      <c r="EI639" s="275"/>
      <c r="EJ639" s="275"/>
      <c r="EK639" s="275"/>
      <c r="EL639" s="275"/>
      <c r="EM639" s="275"/>
      <c r="EN639" s="275"/>
      <c r="EO639" s="275"/>
      <c r="EP639" s="275"/>
      <c r="EQ639" s="275"/>
      <c r="ER639" s="275"/>
      <c r="ES639" s="275"/>
      <c r="ET639" s="275"/>
      <c r="EU639"/>
      <c r="EV639"/>
      <c r="EW639" s="275"/>
      <c r="EX639" s="275"/>
      <c r="EY639" s="275"/>
      <c r="EZ639" s="275"/>
      <c r="FA639" s="275"/>
      <c r="FB639" s="275"/>
      <c r="FC639" s="275"/>
      <c r="FD639" s="275"/>
      <c r="FE639" s="275"/>
      <c r="FF639" s="275"/>
      <c r="FG639" s="275"/>
      <c r="FH639" s="275"/>
      <c r="FI639" s="275"/>
      <c r="FJ639" s="275"/>
      <c r="FK639" s="275"/>
      <c r="FL639" s="275"/>
      <c r="FM639" s="275"/>
      <c r="FN639" s="275"/>
      <c r="FO639" s="275"/>
      <c r="FP639" s="275"/>
      <c r="FQ639" s="275"/>
      <c r="FR639" s="275"/>
      <c r="FS639" s="275"/>
      <c r="FT639" s="275"/>
      <c r="FU639" s="275"/>
      <c r="FV639" s="275"/>
      <c r="FW639" s="275"/>
      <c r="FX639" s="275"/>
      <c r="FY639" s="275"/>
      <c r="FZ639" s="275"/>
      <c r="GA639" s="275"/>
      <c r="GB639" s="275"/>
      <c r="GC639" s="275"/>
      <c r="GD639" s="275"/>
      <c r="GE639" s="275"/>
      <c r="GF639" s="275"/>
      <c r="GG639" s="275"/>
      <c r="GH639" s="275"/>
      <c r="GI639" s="275"/>
      <c r="GJ639" s="275"/>
      <c r="GK639" s="275"/>
      <c r="GL639" s="275"/>
      <c r="GM639" s="275"/>
      <c r="GN639" s="275"/>
      <c r="GO639" s="275"/>
      <c r="GP639" s="275"/>
      <c r="GQ639" s="275"/>
      <c r="GR639" s="275"/>
      <c r="GS639" s="275"/>
      <c r="GT639" s="275"/>
      <c r="GU639" s="275"/>
      <c r="GV639" s="275"/>
      <c r="GW639" s="275"/>
      <c r="GX639" s="275"/>
      <c r="GY639" s="275"/>
      <c r="GZ639" s="275"/>
      <c r="HA639" s="275"/>
      <c r="HB639" s="275"/>
      <c r="HC639" s="275"/>
      <c r="HD639" s="275"/>
      <c r="HE639" s="275"/>
      <c r="HF639" s="275"/>
      <c r="HG639" s="275"/>
      <c r="HH639" s="275"/>
      <c r="HI639" s="275"/>
      <c r="HJ639" s="275"/>
      <c r="HK639" s="275"/>
      <c r="HL639" s="275"/>
      <c r="HM639" s="275"/>
      <c r="HN639" s="275"/>
      <c r="HO639" s="275"/>
      <c r="HP639" s="275"/>
      <c r="HQ639" s="275"/>
      <c r="HR639" s="275"/>
    </row>
    <row r="640" spans="1:226" s="297" customFormat="1">
      <c r="A640" s="275"/>
      <c r="B640" s="21"/>
      <c r="C640" s="21"/>
      <c r="D640" s="21"/>
      <c r="E640" s="21"/>
      <c r="F640" s="275"/>
      <c r="G640" s="275"/>
      <c r="H640" s="275"/>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J640" s="275"/>
      <c r="AK640" s="275"/>
      <c r="AL640" s="275"/>
      <c r="AM640" s="275"/>
      <c r="AN640" s="275"/>
      <c r="AO640" s="275"/>
      <c r="AQ640" s="275"/>
      <c r="AR640" s="275"/>
      <c r="AS640" s="275"/>
      <c r="AT640" s="275"/>
      <c r="AU640" s="275"/>
      <c r="AV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D640" s="275"/>
      <c r="EE640" s="275"/>
      <c r="EF640" s="275"/>
      <c r="EG640" s="275"/>
      <c r="EH640" s="275"/>
      <c r="EI640" s="275"/>
      <c r="EJ640" s="275"/>
      <c r="EK640" s="275"/>
      <c r="EL640" s="275"/>
      <c r="EM640" s="275"/>
      <c r="EN640" s="275"/>
      <c r="EO640" s="275"/>
      <c r="EP640" s="275"/>
      <c r="EQ640" s="275"/>
      <c r="ER640" s="275"/>
      <c r="ES640" s="275"/>
      <c r="ET640" s="275"/>
      <c r="EU640"/>
      <c r="EV640"/>
      <c r="EW640" s="275"/>
      <c r="EX640" s="275"/>
      <c r="EY640" s="275"/>
      <c r="EZ640" s="275"/>
      <c r="FA640" s="275"/>
      <c r="FB640" s="275"/>
      <c r="FC640" s="275"/>
      <c r="FD640" s="275"/>
      <c r="FE640" s="275"/>
      <c r="FF640" s="275"/>
      <c r="FG640" s="275"/>
      <c r="FH640" s="275"/>
      <c r="FI640" s="275"/>
      <c r="FJ640" s="275"/>
      <c r="FK640" s="275"/>
      <c r="FL640" s="275"/>
      <c r="FM640" s="275"/>
      <c r="FN640" s="275"/>
      <c r="FO640" s="275"/>
      <c r="FP640" s="275"/>
      <c r="FQ640" s="275"/>
      <c r="FR640" s="275"/>
      <c r="FS640" s="275"/>
      <c r="FT640" s="275"/>
      <c r="FU640" s="275"/>
      <c r="FV640" s="275"/>
      <c r="FW640" s="275"/>
      <c r="FX640" s="275"/>
      <c r="FY640" s="275"/>
      <c r="FZ640" s="275"/>
      <c r="GA640" s="275"/>
      <c r="GB640" s="275"/>
      <c r="GC640" s="275"/>
      <c r="GD640" s="275"/>
      <c r="GE640" s="275"/>
      <c r="GF640" s="275"/>
      <c r="GG640" s="275"/>
      <c r="GH640" s="275"/>
      <c r="GI640" s="275"/>
      <c r="GJ640" s="275"/>
      <c r="GK640" s="275"/>
      <c r="GL640" s="275"/>
      <c r="GM640" s="275"/>
      <c r="GN640" s="275"/>
      <c r="GO640" s="275"/>
      <c r="GP640" s="275"/>
      <c r="GQ640" s="275"/>
      <c r="GR640" s="275"/>
      <c r="GS640" s="275"/>
      <c r="GT640" s="275"/>
      <c r="GU640" s="275"/>
      <c r="GV640" s="275"/>
      <c r="GW640" s="275"/>
      <c r="GX640" s="275"/>
      <c r="GY640" s="275"/>
      <c r="GZ640" s="275"/>
      <c r="HA640" s="275"/>
      <c r="HB640" s="275"/>
      <c r="HC640" s="275"/>
      <c r="HD640" s="275"/>
      <c r="HE640" s="275"/>
      <c r="HF640" s="275"/>
      <c r="HG640" s="275"/>
      <c r="HH640" s="275"/>
      <c r="HI640" s="275"/>
      <c r="HJ640" s="275"/>
      <c r="HK640" s="275"/>
      <c r="HL640" s="275"/>
      <c r="HM640" s="275"/>
      <c r="HN640" s="275"/>
      <c r="HO640" s="275"/>
      <c r="HP640" s="275"/>
      <c r="HQ640" s="275"/>
      <c r="HR640" s="275"/>
    </row>
    <row r="641" spans="1:226" s="297" customFormat="1">
      <c r="A641" s="275"/>
      <c r="B641" s="21"/>
      <c r="C641" s="21"/>
      <c r="D641" s="21"/>
      <c r="E641" s="21"/>
      <c r="F641" s="275"/>
      <c r="G641" s="275"/>
      <c r="H641" s="275"/>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J641" s="275"/>
      <c r="AK641" s="275"/>
      <c r="AL641" s="275"/>
      <c r="AM641" s="275"/>
      <c r="AN641" s="275"/>
      <c r="AO641" s="275"/>
      <c r="AQ641" s="275"/>
      <c r="AR641" s="275"/>
      <c r="AS641" s="275"/>
      <c r="AT641" s="275"/>
      <c r="AU641" s="275"/>
      <c r="AV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D641" s="275"/>
      <c r="EE641" s="275"/>
      <c r="EF641" s="275"/>
      <c r="EG641" s="275"/>
      <c r="EH641" s="275"/>
      <c r="EI641" s="275"/>
      <c r="EJ641" s="275"/>
      <c r="EK641" s="275"/>
      <c r="EL641" s="275"/>
      <c r="EM641" s="275"/>
      <c r="EN641" s="275"/>
      <c r="EO641" s="275"/>
      <c r="EP641" s="275"/>
      <c r="EQ641" s="275"/>
      <c r="ER641" s="275"/>
      <c r="ES641" s="275"/>
      <c r="ET641" s="275"/>
      <c r="EU641"/>
      <c r="EV641"/>
      <c r="EW641" s="275"/>
      <c r="EX641" s="275"/>
      <c r="EY641" s="275"/>
      <c r="EZ641" s="275"/>
      <c r="FA641" s="275"/>
      <c r="FB641" s="275"/>
      <c r="FC641" s="275"/>
      <c r="FD641" s="275"/>
      <c r="FE641" s="275"/>
      <c r="FF641" s="275"/>
      <c r="FG641" s="275"/>
      <c r="FH641" s="275"/>
      <c r="FI641" s="275"/>
      <c r="FJ641" s="275"/>
      <c r="FK641" s="275"/>
      <c r="FL641" s="275"/>
      <c r="FM641" s="275"/>
      <c r="FN641" s="275"/>
      <c r="FO641" s="275"/>
      <c r="FP641" s="275"/>
      <c r="FQ641" s="275"/>
      <c r="FR641" s="275"/>
      <c r="FS641" s="275"/>
      <c r="FT641" s="275"/>
      <c r="FU641" s="275"/>
      <c r="FV641" s="275"/>
      <c r="FW641" s="275"/>
      <c r="FX641" s="275"/>
      <c r="FY641" s="275"/>
      <c r="FZ641" s="275"/>
      <c r="GA641" s="275"/>
      <c r="GB641" s="275"/>
      <c r="GC641" s="275"/>
      <c r="GD641" s="275"/>
      <c r="GE641" s="275"/>
      <c r="GF641" s="275"/>
      <c r="GG641" s="275"/>
      <c r="GH641" s="275"/>
      <c r="GI641" s="275"/>
      <c r="GJ641" s="275"/>
      <c r="GK641" s="275"/>
      <c r="GL641" s="275"/>
      <c r="GM641" s="275"/>
      <c r="GN641" s="275"/>
      <c r="GO641" s="275"/>
      <c r="GP641" s="275"/>
      <c r="GQ641" s="275"/>
      <c r="GR641" s="275"/>
      <c r="GS641" s="275"/>
      <c r="GT641" s="275"/>
      <c r="GU641" s="275"/>
      <c r="GV641" s="275"/>
      <c r="GW641" s="275"/>
      <c r="GX641" s="275"/>
      <c r="GY641" s="275"/>
      <c r="GZ641" s="275"/>
      <c r="HA641" s="275"/>
      <c r="HB641" s="275"/>
      <c r="HC641" s="275"/>
      <c r="HD641" s="275"/>
      <c r="HE641" s="275"/>
      <c r="HF641" s="275"/>
      <c r="HG641" s="275"/>
      <c r="HH641" s="275"/>
      <c r="HI641" s="275"/>
      <c r="HJ641" s="275"/>
      <c r="HK641" s="275"/>
      <c r="HL641" s="275"/>
      <c r="HM641" s="275"/>
      <c r="HN641" s="275"/>
      <c r="HO641" s="275"/>
      <c r="HP641" s="275"/>
      <c r="HQ641" s="275"/>
      <c r="HR641" s="275"/>
    </row>
    <row r="642" spans="1:226" s="297" customFormat="1">
      <c r="A642" s="275"/>
      <c r="B642" s="21"/>
      <c r="C642" s="21"/>
      <c r="D642" s="21"/>
      <c r="E642" s="21"/>
      <c r="F642" s="275"/>
      <c r="G642" s="275"/>
      <c r="H642" s="275"/>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J642" s="275"/>
      <c r="AK642" s="275"/>
      <c r="AL642" s="275"/>
      <c r="AM642" s="275"/>
      <c r="AN642" s="275"/>
      <c r="AO642" s="275"/>
      <c r="AQ642" s="275"/>
      <c r="AR642" s="275"/>
      <c r="AS642" s="275"/>
      <c r="AT642" s="275"/>
      <c r="AU642" s="275"/>
      <c r="AV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D642" s="275"/>
      <c r="EE642" s="275"/>
      <c r="EF642" s="275"/>
      <c r="EG642" s="275"/>
      <c r="EH642" s="275"/>
      <c r="EI642" s="275"/>
      <c r="EJ642" s="275"/>
      <c r="EK642" s="275"/>
      <c r="EL642" s="275"/>
      <c r="EM642" s="275"/>
      <c r="EN642" s="275"/>
      <c r="EO642" s="275"/>
      <c r="EP642" s="275"/>
      <c r="EQ642" s="275"/>
      <c r="ER642" s="275"/>
      <c r="ES642" s="275"/>
      <c r="ET642" s="275"/>
      <c r="EU642"/>
      <c r="EV642"/>
      <c r="EW642" s="275"/>
      <c r="EX642" s="275"/>
      <c r="EY642" s="275"/>
      <c r="EZ642" s="275"/>
      <c r="FA642" s="275"/>
      <c r="FB642" s="275"/>
      <c r="FC642" s="275"/>
      <c r="FD642" s="275"/>
      <c r="FE642" s="275"/>
      <c r="FF642" s="275"/>
      <c r="FG642" s="275"/>
      <c r="FH642" s="275"/>
      <c r="FI642" s="275"/>
      <c r="FJ642" s="275"/>
      <c r="FK642" s="275"/>
      <c r="FL642" s="275"/>
      <c r="FM642" s="275"/>
      <c r="FN642" s="275"/>
      <c r="FO642" s="275"/>
      <c r="FP642" s="275"/>
      <c r="FQ642" s="275"/>
      <c r="FR642" s="275"/>
      <c r="FS642" s="275"/>
      <c r="FT642" s="275"/>
      <c r="FU642" s="275"/>
      <c r="FV642" s="275"/>
      <c r="FW642" s="275"/>
      <c r="FX642" s="275"/>
      <c r="FY642" s="275"/>
      <c r="FZ642" s="275"/>
      <c r="GA642" s="275"/>
      <c r="GB642" s="275"/>
      <c r="GC642" s="275"/>
      <c r="GD642" s="275"/>
      <c r="GE642" s="275"/>
      <c r="GF642" s="275"/>
      <c r="GG642" s="275"/>
      <c r="GH642" s="275"/>
      <c r="GI642" s="275"/>
      <c r="GJ642" s="275"/>
      <c r="GK642" s="275"/>
      <c r="GL642" s="275"/>
      <c r="GM642" s="275"/>
      <c r="GN642" s="275"/>
      <c r="GO642" s="275"/>
      <c r="GP642" s="275"/>
      <c r="GQ642" s="275"/>
      <c r="GR642" s="275"/>
      <c r="GS642" s="275"/>
      <c r="GT642" s="275"/>
      <c r="GU642" s="275"/>
      <c r="GV642" s="275"/>
      <c r="GW642" s="275"/>
      <c r="GX642" s="275"/>
      <c r="GY642" s="275"/>
      <c r="GZ642" s="275"/>
      <c r="HA642" s="275"/>
      <c r="HB642" s="275"/>
      <c r="HC642" s="275"/>
      <c r="HD642" s="275"/>
      <c r="HE642" s="275"/>
      <c r="HF642" s="275"/>
      <c r="HG642" s="275"/>
      <c r="HH642" s="275"/>
      <c r="HI642" s="275"/>
      <c r="HJ642" s="275"/>
      <c r="HK642" s="275"/>
      <c r="HL642" s="275"/>
      <c r="HM642" s="275"/>
      <c r="HN642" s="275"/>
      <c r="HO642" s="275"/>
      <c r="HP642" s="275"/>
      <c r="HQ642" s="275"/>
      <c r="HR642" s="275"/>
    </row>
    <row r="643" spans="1:226" s="297" customFormat="1">
      <c r="A643" s="275"/>
      <c r="B643" s="21"/>
      <c r="C643" s="21"/>
      <c r="D643" s="21"/>
      <c r="E643" s="21"/>
      <c r="F643" s="275"/>
      <c r="G643" s="275"/>
      <c r="H643" s="275"/>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J643" s="275"/>
      <c r="AK643" s="275"/>
      <c r="AL643" s="275"/>
      <c r="AM643" s="275"/>
      <c r="AN643" s="275"/>
      <c r="AO643" s="275"/>
      <c r="AQ643" s="275"/>
      <c r="AR643" s="275"/>
      <c r="AS643" s="275"/>
      <c r="AT643" s="275"/>
      <c r="AU643" s="275"/>
      <c r="AV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D643" s="275"/>
      <c r="EE643" s="275"/>
      <c r="EF643" s="275"/>
      <c r="EG643" s="275"/>
      <c r="EH643" s="275"/>
      <c r="EI643" s="275"/>
      <c r="EJ643" s="275"/>
      <c r="EK643" s="275"/>
      <c r="EL643" s="275"/>
      <c r="EM643" s="275"/>
      <c r="EN643" s="275"/>
      <c r="EO643" s="275"/>
      <c r="EP643" s="275"/>
      <c r="EQ643" s="275"/>
      <c r="ER643" s="275"/>
      <c r="ES643" s="275"/>
      <c r="ET643" s="275"/>
      <c r="EU643"/>
      <c r="EV643"/>
      <c r="EW643" s="275"/>
      <c r="EX643" s="275"/>
      <c r="EY643" s="275"/>
      <c r="EZ643" s="275"/>
      <c r="FA643" s="275"/>
      <c r="FB643" s="275"/>
      <c r="FC643" s="275"/>
      <c r="FD643" s="275"/>
      <c r="FE643" s="275"/>
      <c r="FF643" s="275"/>
      <c r="FG643" s="275"/>
      <c r="FH643" s="275"/>
      <c r="FI643" s="275"/>
      <c r="FJ643" s="275"/>
      <c r="FK643" s="275"/>
      <c r="FL643" s="275"/>
      <c r="FM643" s="275"/>
      <c r="FN643" s="275"/>
      <c r="FO643" s="275"/>
      <c r="FP643" s="275"/>
      <c r="FQ643" s="275"/>
      <c r="FR643" s="275"/>
      <c r="FS643" s="275"/>
      <c r="FT643" s="275"/>
      <c r="FU643" s="275"/>
      <c r="FV643" s="275"/>
      <c r="FW643" s="275"/>
      <c r="FX643" s="275"/>
      <c r="FY643" s="275"/>
      <c r="FZ643" s="275"/>
      <c r="GA643" s="275"/>
      <c r="GB643" s="275"/>
      <c r="GC643" s="275"/>
      <c r="GD643" s="275"/>
      <c r="GE643" s="275"/>
      <c r="GF643" s="275"/>
      <c r="GG643" s="275"/>
      <c r="GH643" s="275"/>
      <c r="GI643" s="275"/>
      <c r="GJ643" s="275"/>
      <c r="GK643" s="275"/>
      <c r="GL643" s="275"/>
      <c r="GM643" s="275"/>
      <c r="GN643" s="275"/>
      <c r="GO643" s="275"/>
      <c r="GP643" s="275"/>
      <c r="GQ643" s="275"/>
      <c r="GR643" s="275"/>
      <c r="GS643" s="275"/>
      <c r="GT643" s="275"/>
      <c r="GU643" s="275"/>
      <c r="GV643" s="275"/>
      <c r="GW643" s="275"/>
      <c r="GX643" s="275"/>
      <c r="GY643" s="275"/>
      <c r="GZ643" s="275"/>
      <c r="HA643" s="275"/>
      <c r="HB643" s="275"/>
      <c r="HC643" s="275"/>
      <c r="HD643" s="275"/>
      <c r="HE643" s="275"/>
      <c r="HF643" s="275"/>
      <c r="HG643" s="275"/>
      <c r="HH643" s="275"/>
      <c r="HI643" s="275"/>
      <c r="HJ643" s="275"/>
      <c r="HK643" s="275"/>
      <c r="HL643" s="275"/>
      <c r="HM643" s="275"/>
      <c r="HN643" s="275"/>
      <c r="HO643" s="275"/>
      <c r="HP643" s="275"/>
      <c r="HQ643" s="275"/>
      <c r="HR643" s="275"/>
    </row>
    <row r="644" spans="1:226" s="297" customFormat="1">
      <c r="A644" s="275"/>
      <c r="B644" s="21"/>
      <c r="C644" s="21"/>
      <c r="D644" s="21"/>
      <c r="E644" s="21"/>
      <c r="F644" s="275"/>
      <c r="G644" s="275"/>
      <c r="H644" s="275"/>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J644" s="275"/>
      <c r="AK644" s="275"/>
      <c r="AL644" s="275"/>
      <c r="AM644" s="275"/>
      <c r="AN644" s="275"/>
      <c r="AO644" s="275"/>
      <c r="AQ644" s="275"/>
      <c r="AR644" s="275"/>
      <c r="AS644" s="275"/>
      <c r="AT644" s="275"/>
      <c r="AU644" s="275"/>
      <c r="AV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D644" s="275"/>
      <c r="EE644" s="275"/>
      <c r="EF644" s="275"/>
      <c r="EG644" s="275"/>
      <c r="EH644" s="275"/>
      <c r="EI644" s="275"/>
      <c r="EJ644" s="275"/>
      <c r="EK644" s="275"/>
      <c r="EL644" s="275"/>
      <c r="EM644" s="275"/>
      <c r="EN644" s="275"/>
      <c r="EO644" s="275"/>
      <c r="EP644" s="275"/>
      <c r="EQ644" s="275"/>
      <c r="ER644" s="275"/>
      <c r="ES644" s="275"/>
      <c r="ET644" s="275"/>
      <c r="EU644"/>
      <c r="EV644"/>
      <c r="EW644" s="275"/>
      <c r="EX644" s="275"/>
      <c r="EY644" s="275"/>
      <c r="EZ644" s="275"/>
      <c r="FA644" s="275"/>
      <c r="FB644" s="275"/>
      <c r="FC644" s="275"/>
      <c r="FD644" s="275"/>
      <c r="FE644" s="275"/>
      <c r="FF644" s="275"/>
      <c r="FG644" s="275"/>
      <c r="FH644" s="275"/>
      <c r="FI644" s="275"/>
      <c r="FJ644" s="275"/>
      <c r="FK644" s="275"/>
      <c r="FL644" s="275"/>
      <c r="FM644" s="275"/>
      <c r="FN644" s="275"/>
      <c r="FO644" s="275"/>
      <c r="FP644" s="275"/>
      <c r="FQ644" s="275"/>
      <c r="FR644" s="275"/>
      <c r="FS644" s="275"/>
      <c r="FT644" s="275"/>
      <c r="FU644" s="275"/>
      <c r="FV644" s="275"/>
      <c r="FW644" s="275"/>
      <c r="FX644" s="275"/>
      <c r="FY644" s="275"/>
      <c r="FZ644" s="275"/>
      <c r="GA644" s="275"/>
      <c r="GB644" s="275"/>
      <c r="GC644" s="275"/>
      <c r="GD644" s="275"/>
      <c r="GE644" s="275"/>
      <c r="GF644" s="275"/>
      <c r="GG644" s="275"/>
      <c r="GH644" s="275"/>
      <c r="GI644" s="275"/>
      <c r="GJ644" s="275"/>
      <c r="GK644" s="275"/>
      <c r="GL644" s="275"/>
      <c r="GM644" s="275"/>
      <c r="GN644" s="275"/>
      <c r="GO644" s="275"/>
      <c r="GP644" s="275"/>
      <c r="GQ644" s="275"/>
      <c r="GR644" s="275"/>
      <c r="GS644" s="275"/>
      <c r="GT644" s="275"/>
      <c r="GU644" s="275"/>
      <c r="GV644" s="275"/>
      <c r="GW644" s="275"/>
      <c r="GX644" s="275"/>
      <c r="GY644" s="275"/>
      <c r="GZ644" s="275"/>
      <c r="HA644" s="275"/>
      <c r="HB644" s="275"/>
      <c r="HC644" s="275"/>
      <c r="HD644" s="275"/>
      <c r="HE644" s="275"/>
      <c r="HF644" s="275"/>
      <c r="HG644" s="275"/>
      <c r="HH644" s="275"/>
      <c r="HI644" s="275"/>
      <c r="HJ644" s="275"/>
      <c r="HK644" s="275"/>
      <c r="HL644" s="275"/>
      <c r="HM644" s="275"/>
      <c r="HN644" s="275"/>
      <c r="HO644" s="275"/>
      <c r="HP644" s="275"/>
      <c r="HQ644" s="275"/>
      <c r="HR644" s="275"/>
    </row>
    <row r="645" spans="1:226" s="297" customFormat="1">
      <c r="A645" s="275"/>
      <c r="B645" s="21"/>
      <c r="C645" s="21"/>
      <c r="D645" s="21"/>
      <c r="E645" s="21"/>
      <c r="F645" s="275"/>
      <c r="G645" s="275"/>
      <c r="H645" s="275"/>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J645" s="275"/>
      <c r="AK645" s="275"/>
      <c r="AL645" s="275"/>
      <c r="AM645" s="275"/>
      <c r="AN645" s="275"/>
      <c r="AO645" s="275"/>
      <c r="AQ645" s="275"/>
      <c r="AR645" s="275"/>
      <c r="AS645" s="275"/>
      <c r="AT645" s="275"/>
      <c r="AU645" s="275"/>
      <c r="AV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D645" s="275"/>
      <c r="EE645" s="275"/>
      <c r="EF645" s="275"/>
      <c r="EG645" s="275"/>
      <c r="EH645" s="275"/>
      <c r="EI645" s="275"/>
      <c r="EJ645" s="275"/>
      <c r="EK645" s="275"/>
      <c r="EL645" s="275"/>
      <c r="EM645" s="275"/>
      <c r="EN645" s="275"/>
      <c r="EO645" s="275"/>
      <c r="EP645" s="275"/>
      <c r="EQ645" s="275"/>
      <c r="ER645" s="275"/>
      <c r="ES645" s="275"/>
      <c r="ET645" s="275"/>
      <c r="EU645"/>
      <c r="EV645"/>
      <c r="EW645" s="275"/>
      <c r="EX645" s="275"/>
      <c r="EY645" s="275"/>
      <c r="EZ645" s="275"/>
      <c r="FA645" s="275"/>
      <c r="FB645" s="275"/>
      <c r="FC645" s="275"/>
      <c r="FD645" s="275"/>
      <c r="FE645" s="275"/>
      <c r="FF645" s="275"/>
      <c r="FG645" s="275"/>
      <c r="FH645" s="275"/>
      <c r="FI645" s="275"/>
      <c r="FJ645" s="275"/>
      <c r="FK645" s="275"/>
      <c r="FL645" s="275"/>
      <c r="FM645" s="275"/>
      <c r="FN645" s="275"/>
      <c r="FO645" s="275"/>
      <c r="FP645" s="275"/>
      <c r="FQ645" s="275"/>
      <c r="FR645" s="275"/>
      <c r="FS645" s="275"/>
      <c r="FT645" s="275"/>
      <c r="FU645" s="275"/>
      <c r="FV645" s="275"/>
      <c r="FW645" s="275"/>
      <c r="FX645" s="275"/>
      <c r="FY645" s="275"/>
      <c r="FZ645" s="275"/>
      <c r="GA645" s="275"/>
      <c r="GB645" s="275"/>
      <c r="GC645" s="275"/>
      <c r="GD645" s="275"/>
      <c r="GE645" s="275"/>
      <c r="GF645" s="275"/>
      <c r="GG645" s="275"/>
      <c r="GH645" s="275"/>
      <c r="GI645" s="275"/>
      <c r="GJ645" s="275"/>
      <c r="GK645" s="275"/>
      <c r="GL645" s="275"/>
      <c r="GM645" s="275"/>
      <c r="GN645" s="275"/>
      <c r="GO645" s="275"/>
      <c r="GP645" s="275"/>
      <c r="GQ645" s="275"/>
      <c r="GR645" s="275"/>
      <c r="GS645" s="275"/>
      <c r="GT645" s="275"/>
      <c r="GU645" s="275"/>
      <c r="GV645" s="275"/>
      <c r="GW645" s="275"/>
      <c r="GX645" s="275"/>
      <c r="GY645" s="275"/>
      <c r="GZ645" s="275"/>
      <c r="HA645" s="275"/>
      <c r="HB645" s="275"/>
      <c r="HC645" s="275"/>
      <c r="HD645" s="275"/>
      <c r="HE645" s="275"/>
      <c r="HF645" s="275"/>
      <c r="HG645" s="275"/>
      <c r="HH645" s="275"/>
      <c r="HI645" s="275"/>
      <c r="HJ645" s="275"/>
      <c r="HK645" s="275"/>
      <c r="HL645" s="275"/>
      <c r="HM645" s="275"/>
      <c r="HN645" s="275"/>
      <c r="HO645" s="275"/>
      <c r="HP645" s="275"/>
      <c r="HQ645" s="275"/>
      <c r="HR645" s="275"/>
    </row>
    <row r="646" spans="1:226" s="297" customFormat="1">
      <c r="A646" s="275"/>
      <c r="B646" s="21"/>
      <c r="C646" s="21"/>
      <c r="D646" s="21"/>
      <c r="E646" s="21"/>
      <c r="F646" s="275"/>
      <c r="G646" s="275"/>
      <c r="H646" s="275"/>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J646" s="275"/>
      <c r="AK646" s="275"/>
      <c r="AL646" s="275"/>
      <c r="AM646" s="275"/>
      <c r="AN646" s="275"/>
      <c r="AO646" s="275"/>
      <c r="AQ646" s="275"/>
      <c r="AR646" s="275"/>
      <c r="AS646" s="275"/>
      <c r="AT646" s="275"/>
      <c r="AU646" s="275"/>
      <c r="AV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D646" s="275"/>
      <c r="EE646" s="275"/>
      <c r="EF646" s="275"/>
      <c r="EG646" s="275"/>
      <c r="EH646" s="275"/>
      <c r="EI646" s="275"/>
      <c r="EJ646" s="275"/>
      <c r="EK646" s="275"/>
      <c r="EL646" s="275"/>
      <c r="EM646" s="275"/>
      <c r="EN646" s="275"/>
      <c r="EO646" s="275"/>
      <c r="EP646" s="275"/>
      <c r="EQ646" s="275"/>
      <c r="ER646" s="275"/>
      <c r="ES646" s="275"/>
      <c r="ET646" s="275"/>
      <c r="EU646"/>
      <c r="EV646"/>
      <c r="EW646" s="275"/>
      <c r="EX646" s="275"/>
      <c r="EY646" s="275"/>
      <c r="EZ646" s="275"/>
      <c r="FA646" s="275"/>
      <c r="FB646" s="275"/>
      <c r="FC646" s="275"/>
      <c r="FD646" s="275"/>
      <c r="FE646" s="275"/>
      <c r="FF646" s="275"/>
      <c r="FG646" s="275"/>
      <c r="FH646" s="275"/>
      <c r="FI646" s="275"/>
      <c r="FJ646" s="275"/>
      <c r="FK646" s="275"/>
      <c r="FL646" s="275"/>
      <c r="FM646" s="275"/>
      <c r="FN646" s="275"/>
      <c r="FO646" s="275"/>
      <c r="FP646" s="275"/>
      <c r="FQ646" s="275"/>
      <c r="FR646" s="275"/>
      <c r="FS646" s="275"/>
      <c r="FT646" s="275"/>
      <c r="FU646" s="275"/>
      <c r="FV646" s="275"/>
      <c r="FW646" s="275"/>
      <c r="FX646" s="275"/>
      <c r="FY646" s="275"/>
      <c r="FZ646" s="275"/>
      <c r="GA646" s="275"/>
      <c r="GB646" s="275"/>
      <c r="GC646" s="275"/>
      <c r="GD646" s="275"/>
      <c r="GE646" s="275"/>
      <c r="GF646" s="275"/>
      <c r="GG646" s="275"/>
      <c r="GH646" s="275"/>
      <c r="GI646" s="275"/>
      <c r="GJ646" s="275"/>
      <c r="GK646" s="275"/>
      <c r="GL646" s="275"/>
      <c r="GM646" s="275"/>
      <c r="GN646" s="275"/>
      <c r="GO646" s="275"/>
      <c r="GP646" s="275"/>
      <c r="GQ646" s="275"/>
      <c r="GR646" s="275"/>
      <c r="GS646" s="275"/>
      <c r="GT646" s="275"/>
      <c r="GU646" s="275"/>
      <c r="GV646" s="275"/>
      <c r="GW646" s="275"/>
      <c r="GX646" s="275"/>
      <c r="GY646" s="275"/>
      <c r="GZ646" s="275"/>
      <c r="HA646" s="275"/>
      <c r="HB646" s="275"/>
      <c r="HC646" s="275"/>
      <c r="HD646" s="275"/>
      <c r="HE646" s="275"/>
      <c r="HF646" s="275"/>
      <c r="HG646" s="275"/>
      <c r="HH646" s="275"/>
      <c r="HI646" s="275"/>
      <c r="HJ646" s="275"/>
      <c r="HK646" s="275"/>
      <c r="HL646" s="275"/>
      <c r="HM646" s="275"/>
      <c r="HN646" s="275"/>
      <c r="HO646" s="275"/>
      <c r="HP646" s="275"/>
      <c r="HQ646" s="275"/>
      <c r="HR646" s="275"/>
    </row>
    <row r="647" spans="1:226" s="297" customFormat="1">
      <c r="A647" s="275"/>
      <c r="B647" s="21"/>
      <c r="C647" s="21"/>
      <c r="D647" s="21"/>
      <c r="E647" s="21"/>
      <c r="F647" s="275"/>
      <c r="G647" s="275"/>
      <c r="H647" s="275"/>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J647" s="275"/>
      <c r="AK647" s="275"/>
      <c r="AL647" s="275"/>
      <c r="AM647" s="275"/>
      <c r="AN647" s="275"/>
      <c r="AO647" s="275"/>
      <c r="AQ647" s="275"/>
      <c r="AR647" s="275"/>
      <c r="AS647" s="275"/>
      <c r="AT647" s="275"/>
      <c r="AU647" s="275"/>
      <c r="AV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D647" s="275"/>
      <c r="EE647" s="275"/>
      <c r="EF647" s="275"/>
      <c r="EG647" s="275"/>
      <c r="EH647" s="275"/>
      <c r="EI647" s="275"/>
      <c r="EJ647" s="275"/>
      <c r="EK647" s="275"/>
      <c r="EL647" s="275"/>
      <c r="EM647" s="275"/>
      <c r="EN647" s="275"/>
      <c r="EO647" s="275"/>
      <c r="EP647" s="275"/>
      <c r="EQ647" s="275"/>
      <c r="ER647" s="275"/>
      <c r="ES647" s="275"/>
      <c r="ET647" s="275"/>
      <c r="EU647"/>
      <c r="EV647"/>
      <c r="EW647" s="275"/>
      <c r="EX647" s="275"/>
      <c r="EY647" s="275"/>
      <c r="EZ647" s="275"/>
      <c r="FA647" s="275"/>
      <c r="FB647" s="275"/>
      <c r="FC647" s="275"/>
      <c r="FD647" s="275"/>
      <c r="FE647" s="275"/>
      <c r="FF647" s="275"/>
      <c r="FG647" s="275"/>
      <c r="FH647" s="275"/>
      <c r="FI647" s="275"/>
      <c r="FJ647" s="275"/>
      <c r="FK647" s="275"/>
      <c r="FL647" s="275"/>
      <c r="FM647" s="275"/>
      <c r="FN647" s="275"/>
      <c r="FO647" s="275"/>
      <c r="FP647" s="275"/>
      <c r="FQ647" s="275"/>
      <c r="FR647" s="275"/>
      <c r="FS647" s="275"/>
      <c r="FT647" s="275"/>
      <c r="FU647" s="275"/>
      <c r="FV647" s="275"/>
      <c r="FW647" s="275"/>
      <c r="FX647" s="275"/>
      <c r="FY647" s="275"/>
      <c r="FZ647" s="275"/>
      <c r="GA647" s="275"/>
      <c r="GB647" s="275"/>
      <c r="GC647" s="275"/>
      <c r="GD647" s="275"/>
      <c r="GE647" s="275"/>
      <c r="GF647" s="275"/>
      <c r="GG647" s="275"/>
      <c r="GH647" s="275"/>
      <c r="GI647" s="275"/>
      <c r="GJ647" s="275"/>
      <c r="GK647" s="275"/>
      <c r="GL647" s="275"/>
      <c r="GM647" s="275"/>
      <c r="GN647" s="275"/>
      <c r="GO647" s="275"/>
      <c r="GP647" s="275"/>
      <c r="GQ647" s="275"/>
      <c r="GR647" s="275"/>
      <c r="GS647" s="275"/>
      <c r="GT647" s="275"/>
      <c r="GU647" s="275"/>
      <c r="GV647" s="275"/>
      <c r="GW647" s="275"/>
      <c r="GX647" s="275"/>
      <c r="GY647" s="275"/>
      <c r="GZ647" s="275"/>
      <c r="HA647" s="275"/>
      <c r="HB647" s="275"/>
      <c r="HC647" s="275"/>
      <c r="HD647" s="275"/>
      <c r="HE647" s="275"/>
      <c r="HF647" s="275"/>
      <c r="HG647" s="275"/>
      <c r="HH647" s="275"/>
      <c r="HI647" s="275"/>
      <c r="HJ647" s="275"/>
      <c r="HK647" s="275"/>
      <c r="HL647" s="275"/>
      <c r="HM647" s="275"/>
      <c r="HN647" s="275"/>
      <c r="HO647" s="275"/>
      <c r="HP647" s="275"/>
      <c r="HQ647" s="275"/>
      <c r="HR647" s="275"/>
    </row>
    <row r="648" spans="1:226" s="297" customFormat="1">
      <c r="A648" s="275"/>
      <c r="B648" s="21"/>
      <c r="C648" s="21"/>
      <c r="D648" s="21"/>
      <c r="E648" s="21"/>
      <c r="F648" s="275"/>
      <c r="G648" s="275"/>
      <c r="H648" s="275"/>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J648" s="275"/>
      <c r="AK648" s="275"/>
      <c r="AL648" s="275"/>
      <c r="AM648" s="275"/>
      <c r="AN648" s="275"/>
      <c r="AO648" s="275"/>
      <c r="AQ648" s="275"/>
      <c r="AR648" s="275"/>
      <c r="AS648" s="275"/>
      <c r="AT648" s="275"/>
      <c r="AU648" s="275"/>
      <c r="AV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D648" s="275"/>
      <c r="EE648" s="275"/>
      <c r="EF648" s="275"/>
      <c r="EG648" s="275"/>
      <c r="EH648" s="275"/>
      <c r="EI648" s="275"/>
      <c r="EJ648" s="275"/>
      <c r="EK648" s="275"/>
      <c r="EL648" s="275"/>
      <c r="EM648" s="275"/>
      <c r="EN648" s="275"/>
      <c r="EO648" s="275"/>
      <c r="EP648" s="275"/>
      <c r="EQ648" s="275"/>
      <c r="ER648" s="275"/>
      <c r="ES648" s="275"/>
      <c r="ET648" s="275"/>
      <c r="EU648"/>
      <c r="EV648"/>
      <c r="EW648" s="275"/>
      <c r="EX648" s="275"/>
      <c r="EY648" s="275"/>
      <c r="EZ648" s="275"/>
      <c r="FA648" s="275"/>
      <c r="FB648" s="275"/>
      <c r="FC648" s="275"/>
      <c r="FD648" s="275"/>
      <c r="FE648" s="275"/>
      <c r="FF648" s="275"/>
      <c r="FG648" s="275"/>
      <c r="FH648" s="275"/>
      <c r="FI648" s="275"/>
      <c r="FJ648" s="275"/>
      <c r="FK648" s="275"/>
      <c r="FL648" s="275"/>
      <c r="FM648" s="275"/>
      <c r="FN648" s="275"/>
      <c r="FO648" s="275"/>
      <c r="FP648" s="275"/>
      <c r="FQ648" s="275"/>
      <c r="FR648" s="275"/>
      <c r="FS648" s="275"/>
      <c r="FT648" s="275"/>
      <c r="FU648" s="275"/>
      <c r="FV648" s="275"/>
      <c r="FW648" s="275"/>
      <c r="FX648" s="275"/>
      <c r="FY648" s="275"/>
      <c r="FZ648" s="275"/>
      <c r="GA648" s="275"/>
      <c r="GB648" s="275"/>
      <c r="GC648" s="275"/>
      <c r="GD648" s="275"/>
      <c r="GE648" s="275"/>
      <c r="GF648" s="275"/>
      <c r="GG648" s="275"/>
      <c r="GH648" s="275"/>
      <c r="GI648" s="275"/>
      <c r="GJ648" s="275"/>
      <c r="GK648" s="275"/>
      <c r="GL648" s="275"/>
      <c r="GM648" s="275"/>
      <c r="GN648" s="275"/>
      <c r="GO648" s="275"/>
      <c r="GP648" s="275"/>
      <c r="GQ648" s="275"/>
      <c r="GR648" s="275"/>
      <c r="GS648" s="275"/>
      <c r="GT648" s="275"/>
      <c r="GU648" s="275"/>
      <c r="GV648" s="275"/>
      <c r="GW648" s="275"/>
      <c r="GX648" s="275"/>
      <c r="GY648" s="275"/>
      <c r="GZ648" s="275"/>
      <c r="HA648" s="275"/>
      <c r="HB648" s="275"/>
      <c r="HC648" s="275"/>
      <c r="HD648" s="275"/>
      <c r="HE648" s="275"/>
      <c r="HF648" s="275"/>
      <c r="HG648" s="275"/>
      <c r="HH648" s="275"/>
      <c r="HI648" s="275"/>
      <c r="HJ648" s="275"/>
      <c r="HK648" s="275"/>
      <c r="HL648" s="275"/>
      <c r="HM648" s="275"/>
      <c r="HN648" s="275"/>
      <c r="HO648" s="275"/>
      <c r="HP648" s="275"/>
      <c r="HQ648" s="275"/>
      <c r="HR648" s="275"/>
    </row>
    <row r="649" spans="1:226" s="297" customFormat="1">
      <c r="A649" s="275"/>
      <c r="B649" s="21"/>
      <c r="C649" s="21"/>
      <c r="D649" s="21"/>
      <c r="E649" s="21"/>
      <c r="F649" s="275"/>
      <c r="G649" s="275"/>
      <c r="H649" s="275"/>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J649" s="275"/>
      <c r="AK649" s="275"/>
      <c r="AL649" s="275"/>
      <c r="AM649" s="275"/>
      <c r="AN649" s="275"/>
      <c r="AO649" s="275"/>
      <c r="AQ649" s="275"/>
      <c r="AR649" s="275"/>
      <c r="AS649" s="275"/>
      <c r="AT649" s="275"/>
      <c r="AU649" s="275"/>
      <c r="AV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D649" s="275"/>
      <c r="EE649" s="275"/>
      <c r="EF649" s="275"/>
      <c r="EG649" s="275"/>
      <c r="EH649" s="275"/>
      <c r="EI649" s="275"/>
      <c r="EJ649" s="275"/>
      <c r="EK649" s="275"/>
      <c r="EL649" s="275"/>
      <c r="EM649" s="275"/>
      <c r="EN649" s="275"/>
      <c r="EO649" s="275"/>
      <c r="EP649" s="275"/>
      <c r="EQ649" s="275"/>
      <c r="ER649" s="275"/>
      <c r="ES649" s="275"/>
      <c r="ET649" s="275"/>
      <c r="EU649"/>
      <c r="EV649"/>
      <c r="EW649" s="275"/>
      <c r="EX649" s="275"/>
      <c r="EY649" s="275"/>
      <c r="EZ649" s="275"/>
      <c r="FA649" s="275"/>
      <c r="FB649" s="275"/>
      <c r="FC649" s="275"/>
      <c r="FD649" s="275"/>
      <c r="FE649" s="275"/>
      <c r="FF649" s="275"/>
      <c r="FG649" s="275"/>
      <c r="FH649" s="275"/>
      <c r="FI649" s="275"/>
      <c r="FJ649" s="275"/>
      <c r="FK649" s="275"/>
      <c r="FL649" s="275"/>
      <c r="FM649" s="275"/>
      <c r="FN649" s="275"/>
      <c r="FO649" s="275"/>
      <c r="FP649" s="275"/>
      <c r="FQ649" s="275"/>
      <c r="FR649" s="275"/>
      <c r="FS649" s="275"/>
      <c r="FT649" s="275"/>
      <c r="FU649" s="275"/>
      <c r="FV649" s="275"/>
      <c r="FW649" s="275"/>
      <c r="FX649" s="275"/>
      <c r="FY649" s="275"/>
      <c r="FZ649" s="275"/>
      <c r="GA649" s="275"/>
      <c r="GB649" s="275"/>
      <c r="GC649" s="275"/>
      <c r="GD649" s="275"/>
      <c r="GE649" s="275"/>
      <c r="GF649" s="275"/>
      <c r="GG649" s="275"/>
      <c r="GH649" s="275"/>
      <c r="GI649" s="275"/>
      <c r="GJ649" s="275"/>
      <c r="GK649" s="275"/>
      <c r="GL649" s="275"/>
      <c r="GM649" s="275"/>
      <c r="GN649" s="275"/>
      <c r="GO649" s="275"/>
      <c r="GP649" s="275"/>
      <c r="GQ649" s="275"/>
      <c r="GR649" s="275"/>
      <c r="GS649" s="275"/>
      <c r="GT649" s="275"/>
      <c r="GU649" s="275"/>
      <c r="GV649" s="275"/>
      <c r="GW649" s="275"/>
      <c r="GX649" s="275"/>
      <c r="GY649" s="275"/>
      <c r="GZ649" s="275"/>
      <c r="HA649" s="275"/>
      <c r="HB649" s="275"/>
      <c r="HC649" s="275"/>
      <c r="HD649" s="275"/>
      <c r="HE649" s="275"/>
      <c r="HF649" s="275"/>
      <c r="HG649" s="275"/>
      <c r="HH649" s="275"/>
      <c r="HI649" s="275"/>
      <c r="HJ649" s="275"/>
      <c r="HK649" s="275"/>
      <c r="HL649" s="275"/>
      <c r="HM649" s="275"/>
      <c r="HN649" s="275"/>
      <c r="HO649" s="275"/>
      <c r="HP649" s="275"/>
      <c r="HQ649" s="275"/>
      <c r="HR649" s="275"/>
    </row>
    <row r="650" spans="1:226" s="297" customFormat="1">
      <c r="A650" s="275"/>
      <c r="B650" s="21"/>
      <c r="C650" s="21"/>
      <c r="D650" s="21"/>
      <c r="E650" s="21"/>
      <c r="F650" s="275"/>
      <c r="G650" s="275"/>
      <c r="H650" s="275"/>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J650" s="275"/>
      <c r="AK650" s="275"/>
      <c r="AL650" s="275"/>
      <c r="AM650" s="275"/>
      <c r="AN650" s="275"/>
      <c r="AO650" s="275"/>
      <c r="AQ650" s="275"/>
      <c r="AR650" s="275"/>
      <c r="AS650" s="275"/>
      <c r="AT650" s="275"/>
      <c r="AU650" s="275"/>
      <c r="AV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D650" s="275"/>
      <c r="EE650" s="275"/>
      <c r="EF650" s="275"/>
      <c r="EG650" s="275"/>
      <c r="EH650" s="275"/>
      <c r="EI650" s="275"/>
      <c r="EJ650" s="275"/>
      <c r="EK650" s="275"/>
      <c r="EL650" s="275"/>
      <c r="EM650" s="275"/>
      <c r="EN650" s="275"/>
      <c r="EO650" s="275"/>
      <c r="EP650" s="275"/>
      <c r="EQ650" s="275"/>
      <c r="ER650" s="275"/>
      <c r="ES650" s="275"/>
      <c r="ET650" s="275"/>
      <c r="EU650"/>
      <c r="EV650"/>
      <c r="EW650" s="275"/>
      <c r="EX650" s="275"/>
      <c r="EY650" s="275"/>
      <c r="EZ650" s="275"/>
      <c r="FA650" s="275"/>
      <c r="FB650" s="275"/>
      <c r="FC650" s="275"/>
      <c r="FD650" s="275"/>
      <c r="FE650" s="275"/>
      <c r="FF650" s="275"/>
      <c r="FG650" s="275"/>
      <c r="FH650" s="275"/>
      <c r="FI650" s="275"/>
      <c r="FJ650" s="275"/>
      <c r="FK650" s="275"/>
      <c r="FL650" s="275"/>
      <c r="FM650" s="275"/>
      <c r="FN650" s="275"/>
      <c r="FO650" s="275"/>
      <c r="FP650" s="275"/>
      <c r="FQ650" s="275"/>
      <c r="FR650" s="275"/>
      <c r="FS650" s="275"/>
      <c r="FT650" s="275"/>
      <c r="FU650" s="275"/>
      <c r="FV650" s="275"/>
      <c r="FW650" s="275"/>
      <c r="FX650" s="275"/>
      <c r="FY650" s="275"/>
      <c r="FZ650" s="275"/>
      <c r="GA650" s="275"/>
      <c r="GB650" s="275"/>
      <c r="GC650" s="275"/>
      <c r="GD650" s="275"/>
      <c r="GE650" s="275"/>
      <c r="GF650" s="275"/>
      <c r="GG650" s="275"/>
      <c r="GH650" s="275"/>
      <c r="GI650" s="275"/>
      <c r="GJ650" s="275"/>
      <c r="GK650" s="275"/>
      <c r="GL650" s="275"/>
      <c r="GM650" s="275"/>
      <c r="GN650" s="275"/>
      <c r="GO650" s="275"/>
      <c r="GP650" s="275"/>
      <c r="GQ650" s="275"/>
      <c r="GR650" s="275"/>
      <c r="GS650" s="275"/>
      <c r="GT650" s="275"/>
      <c r="GU650" s="275"/>
      <c r="GV650" s="275"/>
      <c r="GW650" s="275"/>
      <c r="GX650" s="275"/>
      <c r="GY650" s="275"/>
      <c r="GZ650" s="275"/>
      <c r="HA650" s="275"/>
      <c r="HB650" s="275"/>
      <c r="HC650" s="275"/>
      <c r="HD650" s="275"/>
      <c r="HE650" s="275"/>
      <c r="HF650" s="275"/>
      <c r="HG650" s="275"/>
      <c r="HH650" s="275"/>
      <c r="HI650" s="275"/>
      <c r="HJ650" s="275"/>
      <c r="HK650" s="275"/>
      <c r="HL650" s="275"/>
      <c r="HM650" s="275"/>
      <c r="HN650" s="275"/>
      <c r="HO650" s="275"/>
      <c r="HP650" s="275"/>
      <c r="HQ650" s="275"/>
      <c r="HR650" s="275"/>
    </row>
    <row r="651" spans="1:226" s="297" customFormat="1">
      <c r="A651" s="275"/>
      <c r="B651" s="21"/>
      <c r="C651" s="21"/>
      <c r="D651" s="21"/>
      <c r="E651" s="21"/>
      <c r="F651" s="275"/>
      <c r="G651" s="275"/>
      <c r="H651" s="275"/>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J651" s="275"/>
      <c r="AK651" s="275"/>
      <c r="AL651" s="275"/>
      <c r="AM651" s="275"/>
      <c r="AN651" s="275"/>
      <c r="AO651" s="275"/>
      <c r="AQ651" s="275"/>
      <c r="AR651" s="275"/>
      <c r="AS651" s="275"/>
      <c r="AT651" s="275"/>
      <c r="AU651" s="275"/>
      <c r="AV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D651" s="275"/>
      <c r="EE651" s="275"/>
      <c r="EF651" s="275"/>
      <c r="EG651" s="275"/>
      <c r="EH651" s="275"/>
      <c r="EI651" s="275"/>
      <c r="EJ651" s="275"/>
      <c r="EK651" s="275"/>
      <c r="EL651" s="275"/>
      <c r="EM651" s="275"/>
      <c r="EN651" s="275"/>
      <c r="EO651" s="275"/>
      <c r="EP651" s="275"/>
      <c r="EQ651" s="275"/>
      <c r="ER651" s="275"/>
      <c r="ES651" s="275"/>
      <c r="ET651" s="275"/>
      <c r="EU651"/>
      <c r="EV651"/>
      <c r="EW651" s="275"/>
      <c r="EX651" s="275"/>
      <c r="EY651" s="275"/>
      <c r="EZ651" s="275"/>
      <c r="FA651" s="275"/>
      <c r="FB651" s="275"/>
      <c r="FC651" s="275"/>
      <c r="FD651" s="275"/>
      <c r="FE651" s="275"/>
      <c r="FF651" s="275"/>
      <c r="FG651" s="275"/>
      <c r="FH651" s="275"/>
      <c r="FI651" s="275"/>
      <c r="FJ651" s="275"/>
      <c r="FK651" s="275"/>
      <c r="FL651" s="275"/>
      <c r="FM651" s="275"/>
      <c r="FN651" s="275"/>
      <c r="FO651" s="275"/>
      <c r="FP651" s="275"/>
      <c r="FQ651" s="275"/>
      <c r="FR651" s="275"/>
      <c r="FS651" s="275"/>
      <c r="FT651" s="275"/>
      <c r="FU651" s="275"/>
      <c r="FV651" s="275"/>
      <c r="FW651" s="275"/>
      <c r="FX651" s="275"/>
      <c r="FY651" s="275"/>
      <c r="FZ651" s="275"/>
      <c r="GA651" s="275"/>
      <c r="GB651" s="275"/>
      <c r="GC651" s="275"/>
      <c r="GD651" s="275"/>
      <c r="GE651" s="275"/>
      <c r="GF651" s="275"/>
      <c r="GG651" s="275"/>
      <c r="GH651" s="275"/>
      <c r="GI651" s="275"/>
      <c r="GJ651" s="275"/>
      <c r="GK651" s="275"/>
      <c r="GL651" s="275"/>
      <c r="GM651" s="275"/>
      <c r="GN651" s="275"/>
      <c r="GO651" s="275"/>
      <c r="GP651" s="275"/>
      <c r="GQ651" s="275"/>
      <c r="GR651" s="275"/>
      <c r="GS651" s="275"/>
      <c r="GT651" s="275"/>
      <c r="GU651" s="275"/>
      <c r="GV651" s="275"/>
      <c r="GW651" s="275"/>
      <c r="GX651" s="275"/>
      <c r="GY651" s="275"/>
      <c r="GZ651" s="275"/>
      <c r="HA651" s="275"/>
      <c r="HB651" s="275"/>
      <c r="HC651" s="275"/>
      <c r="HD651" s="275"/>
      <c r="HE651" s="275"/>
      <c r="HF651" s="275"/>
      <c r="HG651" s="275"/>
      <c r="HH651" s="275"/>
      <c r="HI651" s="275"/>
      <c r="HJ651" s="275"/>
      <c r="HK651" s="275"/>
      <c r="HL651" s="275"/>
      <c r="HM651" s="275"/>
      <c r="HN651" s="275"/>
      <c r="HO651" s="275"/>
      <c r="HP651" s="275"/>
      <c r="HQ651" s="275"/>
      <c r="HR651" s="275"/>
    </row>
    <row r="652" spans="1:226" s="297" customFormat="1">
      <c r="A652" s="275"/>
      <c r="B652" s="21"/>
      <c r="C652" s="21"/>
      <c r="D652" s="21"/>
      <c r="E652" s="21"/>
      <c r="F652" s="275"/>
      <c r="G652" s="275"/>
      <c r="H652" s="275"/>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J652" s="275"/>
      <c r="AK652" s="275"/>
      <c r="AL652" s="275"/>
      <c r="AM652" s="275"/>
      <c r="AN652" s="275"/>
      <c r="AO652" s="275"/>
      <c r="AQ652" s="275"/>
      <c r="AR652" s="275"/>
      <c r="AS652" s="275"/>
      <c r="AT652" s="275"/>
      <c r="AU652" s="275"/>
      <c r="AV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D652" s="275"/>
      <c r="EE652" s="275"/>
      <c r="EF652" s="275"/>
      <c r="EG652" s="275"/>
      <c r="EH652" s="275"/>
      <c r="EI652" s="275"/>
      <c r="EJ652" s="275"/>
      <c r="EK652" s="275"/>
      <c r="EL652" s="275"/>
      <c r="EM652" s="275"/>
      <c r="EN652" s="275"/>
      <c r="EO652" s="275"/>
      <c r="EP652" s="275"/>
      <c r="EQ652" s="275"/>
      <c r="ER652" s="275"/>
      <c r="ES652" s="275"/>
      <c r="ET652" s="275"/>
      <c r="EU652"/>
      <c r="EV652"/>
      <c r="EW652" s="275"/>
      <c r="EX652" s="275"/>
      <c r="EY652" s="275"/>
      <c r="EZ652" s="275"/>
      <c r="FA652" s="275"/>
      <c r="FB652" s="275"/>
      <c r="FC652" s="275"/>
      <c r="FD652" s="275"/>
      <c r="FE652" s="275"/>
      <c r="FF652" s="275"/>
      <c r="FG652" s="275"/>
      <c r="FH652" s="275"/>
      <c r="FI652" s="275"/>
      <c r="FJ652" s="275"/>
      <c r="FK652" s="275"/>
      <c r="FL652" s="275"/>
      <c r="FM652" s="275"/>
      <c r="FN652" s="275"/>
      <c r="FO652" s="275"/>
      <c r="FP652" s="275"/>
      <c r="FQ652" s="275"/>
      <c r="FR652" s="275"/>
      <c r="FS652" s="275"/>
      <c r="FT652" s="275"/>
      <c r="FU652" s="275"/>
      <c r="FV652" s="275"/>
      <c r="FW652" s="275"/>
      <c r="FX652" s="275"/>
      <c r="FY652" s="275"/>
      <c r="FZ652" s="275"/>
      <c r="GA652" s="275"/>
      <c r="GB652" s="275"/>
      <c r="GC652" s="275"/>
      <c r="GD652" s="275"/>
      <c r="GE652" s="275"/>
      <c r="GF652" s="275"/>
      <c r="GG652" s="275"/>
      <c r="GH652" s="275"/>
      <c r="GI652" s="275"/>
      <c r="GJ652" s="275"/>
      <c r="GK652" s="275"/>
      <c r="GL652" s="275"/>
      <c r="GM652" s="275"/>
      <c r="GN652" s="275"/>
      <c r="GO652" s="275"/>
      <c r="GP652" s="275"/>
      <c r="GQ652" s="275"/>
      <c r="GR652" s="275"/>
      <c r="GS652" s="275"/>
      <c r="GT652" s="275"/>
      <c r="GU652" s="275"/>
      <c r="GV652" s="275"/>
      <c r="GW652" s="275"/>
      <c r="GX652" s="275"/>
      <c r="GY652" s="275"/>
      <c r="GZ652" s="275"/>
      <c r="HA652" s="275"/>
      <c r="HB652" s="275"/>
      <c r="HC652" s="275"/>
      <c r="HD652" s="275"/>
      <c r="HE652" s="275"/>
      <c r="HF652" s="275"/>
      <c r="HG652" s="275"/>
      <c r="HH652" s="275"/>
      <c r="HI652" s="275"/>
      <c r="HJ652" s="275"/>
      <c r="HK652" s="275"/>
      <c r="HL652" s="275"/>
      <c r="HM652" s="275"/>
      <c r="HN652" s="275"/>
      <c r="HO652" s="275"/>
      <c r="HP652" s="275"/>
      <c r="HQ652" s="275"/>
      <c r="HR652" s="275"/>
    </row>
    <row r="653" spans="1:226" s="297" customFormat="1">
      <c r="A653" s="275"/>
      <c r="B653" s="21"/>
      <c r="C653" s="21"/>
      <c r="D653" s="21"/>
      <c r="E653" s="21"/>
      <c r="F653" s="275"/>
      <c r="G653" s="275"/>
      <c r="H653" s="275"/>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J653" s="275"/>
      <c r="AK653" s="275"/>
      <c r="AL653" s="275"/>
      <c r="AM653" s="275"/>
      <c r="AN653" s="275"/>
      <c r="AO653" s="275"/>
      <c r="AQ653" s="275"/>
      <c r="AR653" s="275"/>
      <c r="AS653" s="275"/>
      <c r="AT653" s="275"/>
      <c r="AU653" s="275"/>
      <c r="AV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D653" s="275"/>
      <c r="EE653" s="275"/>
      <c r="EF653" s="275"/>
      <c r="EG653" s="275"/>
      <c r="EH653" s="275"/>
      <c r="EI653" s="275"/>
      <c r="EJ653" s="275"/>
      <c r="EK653" s="275"/>
      <c r="EL653" s="275"/>
      <c r="EM653" s="275"/>
      <c r="EN653" s="275"/>
      <c r="EO653" s="275"/>
      <c r="EP653" s="275"/>
      <c r="EQ653" s="275"/>
      <c r="ER653" s="275"/>
      <c r="ES653" s="275"/>
      <c r="ET653" s="275"/>
      <c r="EU653"/>
      <c r="EV653"/>
      <c r="EW653" s="275"/>
      <c r="EX653" s="275"/>
      <c r="EY653" s="275"/>
      <c r="EZ653" s="275"/>
      <c r="FA653" s="275"/>
      <c r="FB653" s="275"/>
      <c r="FC653" s="275"/>
      <c r="FD653" s="275"/>
      <c r="FE653" s="275"/>
      <c r="FF653" s="275"/>
      <c r="FG653" s="275"/>
      <c r="FH653" s="275"/>
      <c r="FI653" s="275"/>
      <c r="FJ653" s="275"/>
      <c r="FK653" s="275"/>
      <c r="FL653" s="275"/>
      <c r="FM653" s="275"/>
      <c r="FN653" s="275"/>
      <c r="FO653" s="275"/>
      <c r="FP653" s="275"/>
      <c r="FQ653" s="275"/>
      <c r="FR653" s="275"/>
      <c r="FS653" s="275"/>
      <c r="FT653" s="275"/>
      <c r="FU653" s="275"/>
      <c r="FV653" s="275"/>
      <c r="FW653" s="275"/>
      <c r="FX653" s="275"/>
      <c r="FY653" s="275"/>
      <c r="FZ653" s="275"/>
      <c r="GA653" s="275"/>
      <c r="GB653" s="275"/>
      <c r="GC653" s="275"/>
      <c r="GD653" s="275"/>
      <c r="GE653" s="275"/>
      <c r="GF653" s="275"/>
      <c r="GG653" s="275"/>
      <c r="GH653" s="275"/>
      <c r="GI653" s="275"/>
      <c r="GJ653" s="275"/>
      <c r="GK653" s="275"/>
      <c r="GL653" s="275"/>
      <c r="GM653" s="275"/>
      <c r="GN653" s="275"/>
      <c r="GO653" s="275"/>
      <c r="GP653" s="275"/>
      <c r="GQ653" s="275"/>
      <c r="GR653" s="275"/>
      <c r="GS653" s="275"/>
      <c r="GT653" s="275"/>
      <c r="GU653" s="275"/>
      <c r="GV653" s="275"/>
      <c r="GW653" s="275"/>
      <c r="GX653" s="275"/>
      <c r="GY653" s="275"/>
      <c r="GZ653" s="275"/>
      <c r="HA653" s="275"/>
      <c r="HB653" s="275"/>
      <c r="HC653" s="275"/>
      <c r="HD653" s="275"/>
      <c r="HE653" s="275"/>
      <c r="HF653" s="275"/>
      <c r="HG653" s="275"/>
      <c r="HH653" s="275"/>
      <c r="HI653" s="275"/>
      <c r="HJ653" s="275"/>
      <c r="HK653" s="275"/>
      <c r="HL653" s="275"/>
      <c r="HM653" s="275"/>
      <c r="HN653" s="275"/>
      <c r="HO653" s="275"/>
      <c r="HP653" s="275"/>
      <c r="HQ653" s="275"/>
      <c r="HR653" s="275"/>
    </row>
    <row r="654" spans="1:226" s="297" customFormat="1">
      <c r="A654" s="275"/>
      <c r="B654" s="21"/>
      <c r="C654" s="21"/>
      <c r="D654" s="21"/>
      <c r="E654" s="21"/>
      <c r="F654" s="275"/>
      <c r="G654" s="275"/>
      <c r="H654" s="275"/>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J654" s="275"/>
      <c r="AK654" s="275"/>
      <c r="AL654" s="275"/>
      <c r="AM654" s="275"/>
      <c r="AN654" s="275"/>
      <c r="AO654" s="275"/>
      <c r="AQ654" s="275"/>
      <c r="AR654" s="275"/>
      <c r="AS654" s="275"/>
      <c r="AT654" s="275"/>
      <c r="AU654" s="275"/>
      <c r="AV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D654" s="275"/>
      <c r="EE654" s="275"/>
      <c r="EF654" s="275"/>
      <c r="EG654" s="275"/>
      <c r="EH654" s="275"/>
      <c r="EI654" s="275"/>
      <c r="EJ654" s="275"/>
      <c r="EK654" s="275"/>
      <c r="EL654" s="275"/>
      <c r="EM654" s="275"/>
      <c r="EN654" s="275"/>
      <c r="EO654" s="275"/>
      <c r="EP654" s="275"/>
      <c r="EQ654" s="275"/>
      <c r="ER654" s="275"/>
      <c r="ES654" s="275"/>
      <c r="ET654" s="275"/>
      <c r="EU654"/>
      <c r="EV654"/>
      <c r="EW654" s="275"/>
      <c r="EX654" s="275"/>
      <c r="EY654" s="275"/>
      <c r="EZ654" s="275"/>
      <c r="FA654" s="275"/>
      <c r="FB654" s="275"/>
      <c r="FC654" s="275"/>
      <c r="FD654" s="275"/>
      <c r="FE654" s="275"/>
      <c r="FF654" s="275"/>
      <c r="FG654" s="275"/>
      <c r="FH654" s="275"/>
      <c r="FI654" s="275"/>
      <c r="FJ654" s="275"/>
      <c r="FK654" s="275"/>
      <c r="FL654" s="275"/>
      <c r="FM654" s="275"/>
      <c r="FN654" s="275"/>
      <c r="FO654" s="275"/>
      <c r="FP654" s="275"/>
      <c r="FQ654" s="275"/>
      <c r="FR654" s="275"/>
      <c r="FS654" s="275"/>
      <c r="FT654" s="275"/>
      <c r="FU654" s="275"/>
      <c r="FV654" s="275"/>
      <c r="FW654" s="275"/>
      <c r="FX654" s="275"/>
      <c r="FY654" s="275"/>
      <c r="FZ654" s="275"/>
      <c r="GA654" s="275"/>
      <c r="GB654" s="275"/>
      <c r="GC654" s="275"/>
      <c r="GD654" s="275"/>
      <c r="GE654" s="275"/>
      <c r="GF654" s="275"/>
      <c r="GG654" s="275"/>
      <c r="GH654" s="275"/>
      <c r="GI654" s="275"/>
      <c r="GJ654" s="275"/>
      <c r="GK654" s="275"/>
      <c r="GL654" s="275"/>
      <c r="GM654" s="275"/>
      <c r="GN654" s="275"/>
      <c r="GO654" s="275"/>
      <c r="GP654" s="275"/>
      <c r="GQ654" s="275"/>
      <c r="GR654" s="275"/>
      <c r="GS654" s="275"/>
      <c r="GT654" s="275"/>
      <c r="GU654" s="275"/>
      <c r="GV654" s="275"/>
      <c r="GW654" s="275"/>
      <c r="GX654" s="275"/>
      <c r="GY654" s="275"/>
      <c r="GZ654" s="275"/>
      <c r="HA654" s="275"/>
      <c r="HB654" s="275"/>
      <c r="HC654" s="275"/>
      <c r="HD654" s="275"/>
      <c r="HE654" s="275"/>
      <c r="HF654" s="275"/>
      <c r="HG654" s="275"/>
      <c r="HH654" s="275"/>
      <c r="HI654" s="275"/>
      <c r="HJ654" s="275"/>
      <c r="HK654" s="275"/>
      <c r="HL654" s="275"/>
      <c r="HM654" s="275"/>
      <c r="HN654" s="275"/>
      <c r="HO654" s="275"/>
      <c r="HP654" s="275"/>
      <c r="HQ654" s="275"/>
      <c r="HR654" s="275"/>
    </row>
    <row r="655" spans="1:226" s="297" customFormat="1">
      <c r="A655" s="275"/>
      <c r="B655" s="21"/>
      <c r="C655" s="21"/>
      <c r="D655" s="21"/>
      <c r="E655" s="21"/>
      <c r="F655" s="275"/>
      <c r="G655" s="275"/>
      <c r="H655" s="275"/>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J655" s="275"/>
      <c r="AK655" s="275"/>
      <c r="AL655" s="275"/>
      <c r="AM655" s="275"/>
      <c r="AN655" s="275"/>
      <c r="AO655" s="275"/>
      <c r="AQ655" s="275"/>
      <c r="AR655" s="275"/>
      <c r="AS655" s="275"/>
      <c r="AT655" s="275"/>
      <c r="AU655" s="275"/>
      <c r="AV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D655" s="275"/>
      <c r="EE655" s="275"/>
      <c r="EF655" s="275"/>
      <c r="EG655" s="275"/>
      <c r="EH655" s="275"/>
      <c r="EI655" s="275"/>
      <c r="EJ655" s="275"/>
      <c r="EK655" s="275"/>
      <c r="EL655" s="275"/>
      <c r="EM655" s="275"/>
      <c r="EN655" s="275"/>
      <c r="EO655" s="275"/>
      <c r="EP655" s="275"/>
      <c r="EQ655" s="275"/>
      <c r="ER655" s="275"/>
      <c r="ES655" s="275"/>
      <c r="ET655" s="275"/>
      <c r="EU655"/>
      <c r="EV655"/>
      <c r="EW655" s="275"/>
      <c r="EX655" s="275"/>
      <c r="EY655" s="275"/>
      <c r="EZ655" s="275"/>
      <c r="FA655" s="275"/>
      <c r="FB655" s="275"/>
      <c r="FC655" s="275"/>
      <c r="FD655" s="275"/>
      <c r="FE655" s="275"/>
      <c r="FF655" s="275"/>
      <c r="FG655" s="275"/>
      <c r="FH655" s="275"/>
      <c r="FI655" s="275"/>
      <c r="FJ655" s="275"/>
      <c r="FK655" s="275"/>
      <c r="FL655" s="275"/>
      <c r="FM655" s="275"/>
      <c r="FN655" s="275"/>
      <c r="FO655" s="275"/>
      <c r="FP655" s="275"/>
      <c r="FQ655" s="275"/>
      <c r="FR655" s="275"/>
      <c r="FS655" s="275"/>
      <c r="FT655" s="275"/>
      <c r="FU655" s="275"/>
      <c r="FV655" s="275"/>
      <c r="FW655" s="275"/>
      <c r="FX655" s="275"/>
      <c r="FY655" s="275"/>
      <c r="FZ655" s="275"/>
      <c r="GA655" s="275"/>
      <c r="GB655" s="275"/>
      <c r="GC655" s="275"/>
      <c r="GD655" s="275"/>
      <c r="GE655" s="275"/>
      <c r="GF655" s="275"/>
      <c r="GG655" s="275"/>
      <c r="GH655" s="275"/>
      <c r="GI655" s="275"/>
      <c r="GJ655" s="275"/>
      <c r="GK655" s="275"/>
      <c r="GL655" s="275"/>
      <c r="GM655" s="275"/>
      <c r="GN655" s="275"/>
      <c r="GO655" s="275"/>
      <c r="GP655" s="275"/>
      <c r="GQ655" s="275"/>
      <c r="GR655" s="275"/>
      <c r="GS655" s="275"/>
      <c r="GT655" s="275"/>
      <c r="GU655" s="275"/>
      <c r="GV655" s="275"/>
      <c r="GW655" s="275"/>
      <c r="GX655" s="275"/>
      <c r="GY655" s="275"/>
      <c r="GZ655" s="275"/>
      <c r="HA655" s="275"/>
      <c r="HB655" s="275"/>
      <c r="HC655" s="275"/>
      <c r="HD655" s="275"/>
      <c r="HE655" s="275"/>
      <c r="HF655" s="275"/>
      <c r="HG655" s="275"/>
      <c r="HH655" s="275"/>
      <c r="HI655" s="275"/>
      <c r="HJ655" s="275"/>
      <c r="HK655" s="275"/>
      <c r="HL655" s="275"/>
      <c r="HM655" s="275"/>
      <c r="HN655" s="275"/>
      <c r="HO655" s="275"/>
      <c r="HP655" s="275"/>
      <c r="HQ655" s="275"/>
      <c r="HR655" s="275"/>
    </row>
    <row r="656" spans="1:226" s="297" customFormat="1">
      <c r="A656" s="275"/>
      <c r="B656" s="21"/>
      <c r="C656" s="21"/>
      <c r="D656" s="21"/>
      <c r="E656" s="21"/>
      <c r="F656" s="275"/>
      <c r="G656" s="275"/>
      <c r="H656" s="275"/>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J656" s="275"/>
      <c r="AK656" s="275"/>
      <c r="AL656" s="275"/>
      <c r="AM656" s="275"/>
      <c r="AN656" s="275"/>
      <c r="AO656" s="275"/>
      <c r="AQ656" s="275"/>
      <c r="AR656" s="275"/>
      <c r="AS656" s="275"/>
      <c r="AT656" s="275"/>
      <c r="AU656" s="275"/>
      <c r="AV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D656" s="275"/>
      <c r="EE656" s="275"/>
      <c r="EF656" s="275"/>
      <c r="EG656" s="275"/>
      <c r="EH656" s="275"/>
      <c r="EI656" s="275"/>
      <c r="EJ656" s="275"/>
      <c r="EK656" s="275"/>
      <c r="EL656" s="275"/>
      <c r="EM656" s="275"/>
      <c r="EN656" s="275"/>
      <c r="EO656" s="275"/>
      <c r="EP656" s="275"/>
      <c r="EQ656" s="275"/>
      <c r="ER656" s="275"/>
      <c r="ES656" s="275"/>
      <c r="ET656" s="275"/>
      <c r="EU656"/>
      <c r="EV656"/>
      <c r="EW656" s="275"/>
      <c r="EX656" s="275"/>
      <c r="EY656" s="275"/>
      <c r="EZ656" s="275"/>
      <c r="FA656" s="275"/>
      <c r="FB656" s="275"/>
      <c r="FC656" s="275"/>
      <c r="FD656" s="275"/>
      <c r="FE656" s="275"/>
      <c r="FF656" s="275"/>
      <c r="FG656" s="275"/>
      <c r="FH656" s="275"/>
      <c r="FI656" s="275"/>
      <c r="FJ656" s="275"/>
      <c r="FK656" s="275"/>
      <c r="FL656" s="275"/>
      <c r="FM656" s="275"/>
      <c r="FN656" s="275"/>
      <c r="FO656" s="275"/>
      <c r="FP656" s="275"/>
      <c r="FQ656" s="275"/>
      <c r="FR656" s="275"/>
      <c r="FS656" s="275"/>
      <c r="FT656" s="275"/>
      <c r="FU656" s="275"/>
      <c r="FV656" s="275"/>
      <c r="FW656" s="275"/>
      <c r="FX656" s="275"/>
      <c r="FY656" s="275"/>
      <c r="FZ656" s="275"/>
      <c r="GA656" s="275"/>
      <c r="GB656" s="275"/>
      <c r="GC656" s="275"/>
      <c r="GD656" s="275"/>
      <c r="GE656" s="275"/>
      <c r="GF656" s="275"/>
      <c r="GG656" s="275"/>
      <c r="GH656" s="275"/>
      <c r="GI656" s="275"/>
      <c r="GJ656" s="275"/>
      <c r="GK656" s="275"/>
      <c r="GL656" s="275"/>
      <c r="GM656" s="275"/>
      <c r="GN656" s="275"/>
      <c r="GO656" s="275"/>
      <c r="GP656" s="275"/>
      <c r="GQ656" s="275"/>
      <c r="GR656" s="275"/>
      <c r="GS656" s="275"/>
      <c r="GT656" s="275"/>
      <c r="GU656" s="275"/>
      <c r="GV656" s="275"/>
      <c r="GW656" s="275"/>
      <c r="GX656" s="275"/>
      <c r="GY656" s="275"/>
      <c r="GZ656" s="275"/>
      <c r="HA656" s="275"/>
      <c r="HB656" s="275"/>
      <c r="HC656" s="275"/>
      <c r="HD656" s="275"/>
      <c r="HE656" s="275"/>
      <c r="HF656" s="275"/>
      <c r="HG656" s="275"/>
      <c r="HH656" s="275"/>
      <c r="HI656" s="275"/>
      <c r="HJ656" s="275"/>
      <c r="HK656" s="275"/>
      <c r="HL656" s="275"/>
      <c r="HM656" s="275"/>
      <c r="HN656" s="275"/>
      <c r="HO656" s="275"/>
      <c r="HP656" s="275"/>
      <c r="HQ656" s="275"/>
      <c r="HR656" s="275"/>
    </row>
    <row r="657" spans="1:226" s="297" customFormat="1">
      <c r="A657" s="275"/>
      <c r="B657" s="21"/>
      <c r="C657" s="21"/>
      <c r="D657" s="21"/>
      <c r="E657" s="21"/>
      <c r="F657" s="275"/>
      <c r="G657" s="275"/>
      <c r="H657" s="275"/>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J657" s="275"/>
      <c r="AK657" s="275"/>
      <c r="AL657" s="275"/>
      <c r="AM657" s="275"/>
      <c r="AN657" s="275"/>
      <c r="AO657" s="275"/>
      <c r="AQ657" s="275"/>
      <c r="AR657" s="275"/>
      <c r="AS657" s="275"/>
      <c r="AT657" s="275"/>
      <c r="AU657" s="275"/>
      <c r="AV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D657" s="275"/>
      <c r="EE657" s="275"/>
      <c r="EF657" s="275"/>
      <c r="EG657" s="275"/>
      <c r="EH657" s="275"/>
      <c r="EI657" s="275"/>
      <c r="EJ657" s="275"/>
      <c r="EK657" s="275"/>
      <c r="EL657" s="275"/>
      <c r="EM657" s="275"/>
      <c r="EN657" s="275"/>
      <c r="EO657" s="275"/>
      <c r="EP657" s="275"/>
      <c r="EQ657" s="275"/>
      <c r="ER657" s="275"/>
      <c r="ES657" s="275"/>
      <c r="ET657" s="275"/>
      <c r="EU657"/>
      <c r="EV657"/>
      <c r="EW657" s="275"/>
      <c r="EX657" s="275"/>
      <c r="EY657" s="275"/>
      <c r="EZ657" s="275"/>
      <c r="FA657" s="275"/>
      <c r="FB657" s="275"/>
      <c r="FC657" s="275"/>
      <c r="FD657" s="275"/>
      <c r="FE657" s="275"/>
      <c r="FF657" s="275"/>
      <c r="FG657" s="275"/>
      <c r="FH657" s="275"/>
      <c r="FI657" s="275"/>
      <c r="FJ657" s="275"/>
      <c r="FK657" s="275"/>
      <c r="FL657" s="275"/>
      <c r="FM657" s="275"/>
      <c r="FN657" s="275"/>
      <c r="FO657" s="275"/>
      <c r="FP657" s="275"/>
      <c r="FQ657" s="275"/>
      <c r="FR657" s="275"/>
      <c r="FS657" s="275"/>
      <c r="FT657" s="275"/>
      <c r="FU657" s="275"/>
      <c r="FV657" s="275"/>
      <c r="FW657" s="275"/>
      <c r="FX657" s="275"/>
      <c r="FY657" s="275"/>
      <c r="FZ657" s="275"/>
      <c r="GA657" s="275"/>
      <c r="GB657" s="275"/>
      <c r="GC657" s="275"/>
      <c r="GD657" s="275"/>
      <c r="GE657" s="275"/>
      <c r="GF657" s="275"/>
      <c r="GG657" s="275"/>
      <c r="GH657" s="275"/>
      <c r="GI657" s="275"/>
      <c r="GJ657" s="275"/>
      <c r="GK657" s="275"/>
      <c r="GL657" s="275"/>
      <c r="GM657" s="275"/>
      <c r="GN657" s="275"/>
      <c r="GO657" s="275"/>
      <c r="GP657" s="275"/>
      <c r="GQ657" s="275"/>
      <c r="GR657" s="275"/>
      <c r="GS657" s="275"/>
      <c r="GT657" s="275"/>
      <c r="GU657" s="275"/>
      <c r="GV657" s="275"/>
      <c r="GW657" s="275"/>
      <c r="GX657" s="275"/>
      <c r="GY657" s="275"/>
      <c r="GZ657" s="275"/>
      <c r="HA657" s="275"/>
      <c r="HB657" s="275"/>
      <c r="HC657" s="275"/>
      <c r="HD657" s="275"/>
      <c r="HE657" s="275"/>
      <c r="HF657" s="275"/>
      <c r="HG657" s="275"/>
      <c r="HH657" s="275"/>
      <c r="HI657" s="275"/>
      <c r="HJ657" s="275"/>
      <c r="HK657" s="275"/>
      <c r="HL657" s="275"/>
      <c r="HM657" s="275"/>
      <c r="HN657" s="275"/>
      <c r="HO657" s="275"/>
      <c r="HP657" s="275"/>
      <c r="HQ657" s="275"/>
      <c r="HR657" s="275"/>
    </row>
    <row r="658" spans="1:226" s="297" customFormat="1">
      <c r="A658" s="275"/>
      <c r="B658" s="21"/>
      <c r="C658" s="21"/>
      <c r="D658" s="21"/>
      <c r="E658" s="21"/>
      <c r="F658" s="275"/>
      <c r="G658" s="275"/>
      <c r="H658" s="275"/>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J658" s="275"/>
      <c r="AK658" s="275"/>
      <c r="AL658" s="275"/>
      <c r="AM658" s="275"/>
      <c r="AN658" s="275"/>
      <c r="AO658" s="275"/>
      <c r="AQ658" s="275"/>
      <c r="AR658" s="275"/>
      <c r="AS658" s="275"/>
      <c r="AT658" s="275"/>
      <c r="AU658" s="275"/>
      <c r="AV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D658" s="275"/>
      <c r="EE658" s="275"/>
      <c r="EF658" s="275"/>
      <c r="EG658" s="275"/>
      <c r="EH658" s="275"/>
      <c r="EI658" s="275"/>
      <c r="EJ658" s="275"/>
      <c r="EK658" s="275"/>
      <c r="EL658" s="275"/>
      <c r="EM658" s="275"/>
      <c r="EN658" s="275"/>
      <c r="EO658" s="275"/>
      <c r="EP658" s="275"/>
      <c r="EQ658" s="275"/>
      <c r="ER658" s="275"/>
      <c r="ES658" s="275"/>
      <c r="ET658" s="275"/>
      <c r="EU658"/>
      <c r="EV658"/>
      <c r="EW658" s="275"/>
      <c r="EX658" s="275"/>
      <c r="EY658" s="275"/>
      <c r="EZ658" s="275"/>
      <c r="FA658" s="275"/>
      <c r="FB658" s="275"/>
      <c r="FC658" s="275"/>
      <c r="FD658" s="275"/>
      <c r="FE658" s="275"/>
      <c r="FF658" s="275"/>
      <c r="FG658" s="275"/>
      <c r="FH658" s="275"/>
      <c r="FI658" s="275"/>
      <c r="FJ658" s="275"/>
      <c r="FK658" s="275"/>
      <c r="FL658" s="275"/>
      <c r="FM658" s="275"/>
      <c r="FN658" s="275"/>
      <c r="FO658" s="275"/>
      <c r="FP658" s="275"/>
      <c r="FQ658" s="275"/>
      <c r="FR658" s="275"/>
      <c r="FS658" s="275"/>
      <c r="FT658" s="275"/>
      <c r="FU658" s="275"/>
      <c r="FV658" s="275"/>
      <c r="FW658" s="275"/>
      <c r="FX658" s="275"/>
      <c r="FY658" s="275"/>
      <c r="FZ658" s="275"/>
      <c r="GA658" s="275"/>
      <c r="GB658" s="275"/>
      <c r="GC658" s="275"/>
      <c r="GD658" s="275"/>
      <c r="GE658" s="275"/>
      <c r="GF658" s="275"/>
      <c r="GG658" s="275"/>
      <c r="GH658" s="275"/>
      <c r="GI658" s="275"/>
      <c r="GJ658" s="275"/>
      <c r="GK658" s="275"/>
      <c r="GL658" s="275"/>
      <c r="GM658" s="275"/>
      <c r="GN658" s="275"/>
      <c r="GO658" s="275"/>
      <c r="GP658" s="275"/>
      <c r="GQ658" s="275"/>
      <c r="GR658" s="275"/>
      <c r="GS658" s="275"/>
      <c r="GT658" s="275"/>
      <c r="GU658" s="275"/>
      <c r="GV658" s="275"/>
      <c r="GW658" s="275"/>
      <c r="GX658" s="275"/>
      <c r="GY658" s="275"/>
      <c r="GZ658" s="275"/>
      <c r="HA658" s="275"/>
      <c r="HB658" s="275"/>
      <c r="HC658" s="275"/>
      <c r="HD658" s="275"/>
      <c r="HE658" s="275"/>
      <c r="HF658" s="275"/>
      <c r="HG658" s="275"/>
      <c r="HH658" s="275"/>
      <c r="HI658" s="275"/>
      <c r="HJ658" s="275"/>
      <c r="HK658" s="275"/>
      <c r="HL658" s="275"/>
      <c r="HM658" s="275"/>
      <c r="HN658" s="275"/>
      <c r="HO658" s="275"/>
      <c r="HP658" s="275"/>
      <c r="HQ658" s="275"/>
      <c r="HR658" s="275"/>
    </row>
    <row r="659" spans="1:226" s="297" customFormat="1">
      <c r="A659" s="275"/>
      <c r="B659" s="21"/>
      <c r="C659" s="21"/>
      <c r="D659" s="21"/>
      <c r="E659" s="21"/>
      <c r="F659" s="275"/>
      <c r="G659" s="275"/>
      <c r="H659" s="275"/>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J659" s="275"/>
      <c r="AK659" s="275"/>
      <c r="AL659" s="275"/>
      <c r="AM659" s="275"/>
      <c r="AN659" s="275"/>
      <c r="AO659" s="275"/>
      <c r="AQ659" s="275"/>
      <c r="AR659" s="275"/>
      <c r="AS659" s="275"/>
      <c r="AT659" s="275"/>
      <c r="AU659" s="275"/>
      <c r="AV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D659" s="275"/>
      <c r="EE659" s="275"/>
      <c r="EF659" s="275"/>
      <c r="EG659" s="275"/>
      <c r="EH659" s="275"/>
      <c r="EI659" s="275"/>
      <c r="EJ659" s="275"/>
      <c r="EK659" s="275"/>
      <c r="EL659" s="275"/>
      <c r="EM659" s="275"/>
      <c r="EN659" s="275"/>
      <c r="EO659" s="275"/>
      <c r="EP659" s="275"/>
      <c r="EQ659" s="275"/>
      <c r="ER659" s="275"/>
      <c r="ES659" s="275"/>
      <c r="ET659" s="275"/>
      <c r="EU659"/>
      <c r="EV659"/>
      <c r="EW659" s="275"/>
      <c r="EX659" s="275"/>
      <c r="EY659" s="275"/>
      <c r="EZ659" s="275"/>
      <c r="FA659" s="275"/>
      <c r="FB659" s="275"/>
      <c r="FC659" s="275"/>
      <c r="FD659" s="275"/>
      <c r="FE659" s="275"/>
      <c r="FF659" s="275"/>
      <c r="FG659" s="275"/>
      <c r="FH659" s="275"/>
      <c r="FI659" s="275"/>
      <c r="FJ659" s="275"/>
      <c r="FK659" s="275"/>
      <c r="FL659" s="275"/>
      <c r="FM659" s="275"/>
      <c r="FN659" s="275"/>
      <c r="FO659" s="275"/>
      <c r="FP659" s="275"/>
      <c r="FQ659" s="275"/>
      <c r="FR659" s="275"/>
      <c r="FS659" s="275"/>
      <c r="FT659" s="275"/>
      <c r="FU659" s="275"/>
      <c r="FV659" s="275"/>
      <c r="FW659" s="275"/>
      <c r="FX659" s="275"/>
      <c r="FY659" s="275"/>
      <c r="FZ659" s="275"/>
      <c r="GA659" s="275"/>
      <c r="GB659" s="275"/>
      <c r="GC659" s="275"/>
      <c r="GD659" s="275"/>
      <c r="GE659" s="275"/>
      <c r="GF659" s="275"/>
      <c r="GG659" s="275"/>
      <c r="GH659" s="275"/>
      <c r="GI659" s="275"/>
      <c r="GJ659" s="275"/>
      <c r="GK659" s="275"/>
      <c r="GL659" s="275"/>
      <c r="GM659" s="275"/>
      <c r="GN659" s="275"/>
      <c r="GO659" s="275"/>
      <c r="GP659" s="275"/>
      <c r="GQ659" s="275"/>
      <c r="GR659" s="275"/>
      <c r="GS659" s="275"/>
      <c r="GT659" s="275"/>
      <c r="GU659" s="275"/>
      <c r="GV659" s="275"/>
      <c r="GW659" s="275"/>
      <c r="GX659" s="275"/>
      <c r="GY659" s="275"/>
      <c r="GZ659" s="275"/>
      <c r="HA659" s="275"/>
      <c r="HB659" s="275"/>
      <c r="HC659" s="275"/>
      <c r="HD659" s="275"/>
      <c r="HE659" s="275"/>
      <c r="HF659" s="275"/>
      <c r="HG659" s="275"/>
      <c r="HH659" s="275"/>
      <c r="HI659" s="275"/>
      <c r="HJ659" s="275"/>
      <c r="HK659" s="275"/>
      <c r="HL659" s="275"/>
      <c r="HM659" s="275"/>
      <c r="HN659" s="275"/>
      <c r="HO659" s="275"/>
      <c r="HP659" s="275"/>
      <c r="HQ659" s="275"/>
      <c r="HR659" s="275"/>
    </row>
    <row r="660" spans="1:226" s="297" customFormat="1">
      <c r="A660" s="275"/>
      <c r="B660" s="21"/>
      <c r="C660" s="21"/>
      <c r="D660" s="21"/>
      <c r="E660" s="21"/>
      <c r="F660" s="275"/>
      <c r="G660" s="275"/>
      <c r="H660" s="275"/>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J660" s="275"/>
      <c r="AK660" s="275"/>
      <c r="AL660" s="275"/>
      <c r="AM660" s="275"/>
      <c r="AN660" s="275"/>
      <c r="AO660" s="275"/>
      <c r="AQ660" s="275"/>
      <c r="AR660" s="275"/>
      <c r="AS660" s="275"/>
      <c r="AT660" s="275"/>
      <c r="AU660" s="275"/>
      <c r="AV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D660" s="275"/>
      <c r="EE660" s="275"/>
      <c r="EF660" s="275"/>
      <c r="EG660" s="275"/>
      <c r="EH660" s="275"/>
      <c r="EI660" s="275"/>
      <c r="EJ660" s="275"/>
      <c r="EK660" s="275"/>
      <c r="EL660" s="275"/>
      <c r="EM660" s="275"/>
      <c r="EN660" s="275"/>
      <c r="EO660" s="275"/>
      <c r="EP660" s="275"/>
      <c r="EQ660" s="275"/>
      <c r="ER660" s="275"/>
      <c r="ES660" s="275"/>
      <c r="ET660" s="275"/>
      <c r="EU660"/>
      <c r="EV660"/>
      <c r="EW660" s="275"/>
      <c r="EX660" s="275"/>
      <c r="EY660" s="275"/>
      <c r="EZ660" s="275"/>
      <c r="FA660" s="275"/>
      <c r="FB660" s="275"/>
      <c r="FC660" s="275"/>
      <c r="FD660" s="275"/>
      <c r="FE660" s="275"/>
      <c r="FF660" s="275"/>
      <c r="FG660" s="275"/>
      <c r="FH660" s="275"/>
      <c r="FI660" s="275"/>
      <c r="FJ660" s="275"/>
      <c r="FK660" s="275"/>
      <c r="FL660" s="275"/>
      <c r="FM660" s="275"/>
      <c r="FN660" s="275"/>
      <c r="FO660" s="275"/>
      <c r="FP660" s="275"/>
      <c r="FQ660" s="275"/>
      <c r="FR660" s="275"/>
      <c r="FS660" s="275"/>
      <c r="FT660" s="275"/>
      <c r="FU660" s="275"/>
      <c r="FV660" s="275"/>
      <c r="FW660" s="275"/>
      <c r="FX660" s="275"/>
      <c r="FY660" s="275"/>
      <c r="FZ660" s="275"/>
      <c r="GA660" s="275"/>
      <c r="GB660" s="275"/>
      <c r="GC660" s="275"/>
      <c r="GD660" s="275"/>
      <c r="GE660" s="275"/>
      <c r="GF660" s="275"/>
      <c r="GG660" s="275"/>
      <c r="GH660" s="275"/>
      <c r="GI660" s="275"/>
      <c r="GJ660" s="275"/>
      <c r="GK660" s="275"/>
      <c r="GL660" s="275"/>
      <c r="GM660" s="275"/>
      <c r="GN660" s="275"/>
      <c r="GO660" s="275"/>
      <c r="GP660" s="275"/>
      <c r="GQ660" s="275"/>
      <c r="GR660" s="275"/>
      <c r="GS660" s="275"/>
      <c r="GT660" s="275"/>
      <c r="GU660" s="275"/>
      <c r="GV660" s="275"/>
      <c r="GW660" s="275"/>
      <c r="GX660" s="275"/>
      <c r="GY660" s="275"/>
      <c r="GZ660" s="275"/>
      <c r="HA660" s="275"/>
      <c r="HB660" s="275"/>
      <c r="HC660" s="275"/>
      <c r="HD660" s="275"/>
      <c r="HE660" s="275"/>
      <c r="HF660" s="275"/>
      <c r="HG660" s="275"/>
      <c r="HH660" s="275"/>
      <c r="HI660" s="275"/>
      <c r="HJ660" s="275"/>
      <c r="HK660" s="275"/>
      <c r="HL660" s="275"/>
      <c r="HM660" s="275"/>
      <c r="HN660" s="275"/>
      <c r="HO660" s="275"/>
      <c r="HP660" s="275"/>
      <c r="HQ660" s="275"/>
      <c r="HR660" s="275"/>
    </row>
    <row r="661" spans="1:226" s="297" customFormat="1">
      <c r="A661" s="275"/>
      <c r="B661" s="21"/>
      <c r="C661" s="21"/>
      <c r="D661" s="21"/>
      <c r="E661" s="21"/>
      <c r="F661" s="275"/>
      <c r="G661" s="275"/>
      <c r="H661" s="275"/>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J661" s="275"/>
      <c r="AK661" s="275"/>
      <c r="AL661" s="275"/>
      <c r="AM661" s="275"/>
      <c r="AN661" s="275"/>
      <c r="AO661" s="275"/>
      <c r="AQ661" s="275"/>
      <c r="AR661" s="275"/>
      <c r="AS661" s="275"/>
      <c r="AT661" s="275"/>
      <c r="AU661" s="275"/>
      <c r="AV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D661" s="275"/>
      <c r="EE661" s="275"/>
      <c r="EF661" s="275"/>
      <c r="EG661" s="275"/>
      <c r="EH661" s="275"/>
      <c r="EI661" s="275"/>
      <c r="EJ661" s="275"/>
      <c r="EK661" s="275"/>
      <c r="EL661" s="275"/>
      <c r="EM661" s="275"/>
      <c r="EN661" s="275"/>
      <c r="EO661" s="275"/>
      <c r="EP661" s="275"/>
      <c r="EQ661" s="275"/>
      <c r="ER661" s="275"/>
      <c r="ES661" s="275"/>
      <c r="ET661" s="275"/>
      <c r="EU661"/>
      <c r="EV661"/>
      <c r="EW661" s="275"/>
      <c r="EX661" s="275"/>
      <c r="EY661" s="275"/>
      <c r="EZ661" s="275"/>
      <c r="FA661" s="275"/>
      <c r="FB661" s="275"/>
      <c r="FC661" s="275"/>
      <c r="FD661" s="275"/>
      <c r="FE661" s="275"/>
      <c r="FF661" s="275"/>
      <c r="FG661" s="275"/>
      <c r="FH661" s="275"/>
      <c r="FI661" s="275"/>
      <c r="FJ661" s="275"/>
      <c r="FK661" s="275"/>
      <c r="FL661" s="275"/>
      <c r="FM661" s="275"/>
      <c r="FN661" s="275"/>
      <c r="FO661" s="275"/>
      <c r="FP661" s="275"/>
      <c r="FQ661" s="275"/>
      <c r="FR661" s="275"/>
      <c r="FS661" s="275"/>
      <c r="FT661" s="275"/>
      <c r="FU661" s="275"/>
      <c r="FV661" s="275"/>
      <c r="FW661" s="275"/>
      <c r="FX661" s="275"/>
      <c r="FY661" s="275"/>
      <c r="FZ661" s="275"/>
      <c r="GA661" s="275"/>
      <c r="GB661" s="275"/>
      <c r="GC661" s="275"/>
      <c r="GD661" s="275"/>
      <c r="GE661" s="275"/>
      <c r="GF661" s="275"/>
      <c r="GG661" s="275"/>
      <c r="GH661" s="275"/>
      <c r="GI661" s="275"/>
      <c r="GJ661" s="275"/>
      <c r="GK661" s="275"/>
      <c r="GL661" s="275"/>
      <c r="GM661" s="275"/>
      <c r="GN661" s="275"/>
      <c r="GO661" s="275"/>
      <c r="GP661" s="275"/>
      <c r="GQ661" s="275"/>
      <c r="GR661" s="275"/>
      <c r="GS661" s="275"/>
      <c r="GT661" s="275"/>
      <c r="GU661" s="275"/>
      <c r="GV661" s="275"/>
      <c r="GW661" s="275"/>
      <c r="GX661" s="275"/>
      <c r="GY661" s="275"/>
      <c r="GZ661" s="275"/>
      <c r="HA661" s="275"/>
      <c r="HB661" s="275"/>
      <c r="HC661" s="275"/>
      <c r="HD661" s="275"/>
      <c r="HE661" s="275"/>
      <c r="HF661" s="275"/>
      <c r="HG661" s="275"/>
      <c r="HH661" s="275"/>
      <c r="HI661" s="275"/>
      <c r="HJ661" s="275"/>
      <c r="HK661" s="275"/>
      <c r="HL661" s="275"/>
      <c r="HM661" s="275"/>
      <c r="HN661" s="275"/>
      <c r="HO661" s="275"/>
      <c r="HP661" s="275"/>
      <c r="HQ661" s="275"/>
      <c r="HR661" s="275"/>
    </row>
    <row r="662" spans="1:226" s="297" customFormat="1">
      <c r="A662" s="275"/>
      <c r="B662" s="21"/>
      <c r="C662" s="21"/>
      <c r="D662" s="21"/>
      <c r="E662" s="21"/>
      <c r="F662" s="275"/>
      <c r="G662" s="275"/>
      <c r="H662" s="275"/>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J662" s="275"/>
      <c r="AK662" s="275"/>
      <c r="AL662" s="275"/>
      <c r="AM662" s="275"/>
      <c r="AN662" s="275"/>
      <c r="AO662" s="275"/>
      <c r="AQ662" s="275"/>
      <c r="AR662" s="275"/>
      <c r="AS662" s="275"/>
      <c r="AT662" s="275"/>
      <c r="AU662" s="275"/>
      <c r="AV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D662" s="275"/>
      <c r="EE662" s="275"/>
      <c r="EF662" s="275"/>
      <c r="EG662" s="275"/>
      <c r="EH662" s="275"/>
      <c r="EI662" s="275"/>
      <c r="EJ662" s="275"/>
      <c r="EK662" s="275"/>
      <c r="EL662" s="275"/>
      <c r="EM662" s="275"/>
      <c r="EN662" s="275"/>
      <c r="EO662" s="275"/>
      <c r="EP662" s="275"/>
      <c r="EQ662" s="275"/>
      <c r="ER662" s="275"/>
      <c r="ES662" s="275"/>
      <c r="ET662" s="275"/>
      <c r="EU662"/>
      <c r="EV662"/>
      <c r="EW662" s="275"/>
      <c r="EX662" s="275"/>
      <c r="EY662" s="275"/>
      <c r="EZ662" s="275"/>
      <c r="FA662" s="275"/>
      <c r="FB662" s="275"/>
      <c r="FC662" s="275"/>
      <c r="FD662" s="275"/>
      <c r="FE662" s="275"/>
      <c r="FF662" s="275"/>
      <c r="FG662" s="275"/>
      <c r="FH662" s="275"/>
      <c r="FI662" s="275"/>
      <c r="FJ662" s="275"/>
      <c r="FK662" s="275"/>
      <c r="FL662" s="275"/>
      <c r="FM662" s="275"/>
      <c r="FN662" s="275"/>
      <c r="FO662" s="275"/>
      <c r="FP662" s="275"/>
      <c r="FQ662" s="275"/>
      <c r="FR662" s="275"/>
      <c r="FS662" s="275"/>
      <c r="FT662" s="275"/>
      <c r="FU662" s="275"/>
      <c r="FV662" s="275"/>
      <c r="FW662" s="275"/>
      <c r="FX662" s="275"/>
      <c r="FY662" s="275"/>
      <c r="FZ662" s="275"/>
      <c r="GA662" s="275"/>
      <c r="GB662" s="275"/>
      <c r="GC662" s="275"/>
      <c r="GD662" s="275"/>
      <c r="GE662" s="275"/>
      <c r="GF662" s="275"/>
      <c r="GG662" s="275"/>
      <c r="GH662" s="275"/>
      <c r="GI662" s="275"/>
      <c r="GJ662" s="275"/>
      <c r="GK662" s="275"/>
      <c r="GL662" s="275"/>
      <c r="GM662" s="275"/>
      <c r="GN662" s="275"/>
      <c r="GO662" s="275"/>
      <c r="GP662" s="275"/>
      <c r="GQ662" s="275"/>
      <c r="GR662" s="275"/>
      <c r="GS662" s="275"/>
      <c r="GT662" s="275"/>
      <c r="GU662" s="275"/>
      <c r="GV662" s="275"/>
      <c r="GW662" s="275"/>
      <c r="GX662" s="275"/>
      <c r="GY662" s="275"/>
      <c r="GZ662" s="275"/>
      <c r="HA662" s="275"/>
      <c r="HB662" s="275"/>
      <c r="HC662" s="275"/>
      <c r="HD662" s="275"/>
      <c r="HE662" s="275"/>
      <c r="HF662" s="275"/>
      <c r="HG662" s="275"/>
      <c r="HH662" s="275"/>
      <c r="HI662" s="275"/>
      <c r="HJ662" s="275"/>
      <c r="HK662" s="275"/>
      <c r="HL662" s="275"/>
      <c r="HM662" s="275"/>
      <c r="HN662" s="275"/>
      <c r="HO662" s="275"/>
      <c r="HP662" s="275"/>
      <c r="HQ662" s="275"/>
      <c r="HR662" s="275"/>
    </row>
    <row r="663" spans="1:226" s="297" customFormat="1">
      <c r="A663" s="275"/>
      <c r="B663" s="21"/>
      <c r="C663" s="21"/>
      <c r="D663" s="21"/>
      <c r="E663" s="21"/>
      <c r="F663" s="275"/>
      <c r="G663" s="275"/>
      <c r="H663" s="275"/>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J663" s="275"/>
      <c r="AK663" s="275"/>
      <c r="AL663" s="275"/>
      <c r="AM663" s="275"/>
      <c r="AN663" s="275"/>
      <c r="AO663" s="275"/>
      <c r="AQ663" s="275"/>
      <c r="AR663" s="275"/>
      <c r="AS663" s="275"/>
      <c r="AT663" s="275"/>
      <c r="AU663" s="275"/>
      <c r="AV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D663" s="275"/>
      <c r="EE663" s="275"/>
      <c r="EF663" s="275"/>
      <c r="EG663" s="275"/>
      <c r="EH663" s="275"/>
      <c r="EI663" s="275"/>
      <c r="EJ663" s="275"/>
      <c r="EK663" s="275"/>
      <c r="EL663" s="275"/>
      <c r="EM663" s="275"/>
      <c r="EN663" s="275"/>
      <c r="EO663" s="275"/>
      <c r="EP663" s="275"/>
      <c r="EQ663" s="275"/>
      <c r="ER663" s="275"/>
      <c r="ES663" s="275"/>
      <c r="ET663" s="275"/>
      <c r="EU663"/>
      <c r="EV663"/>
      <c r="EW663" s="275"/>
      <c r="EX663" s="275"/>
      <c r="EY663" s="275"/>
      <c r="EZ663" s="275"/>
      <c r="FA663" s="275"/>
      <c r="FB663" s="275"/>
      <c r="FC663" s="275"/>
      <c r="FD663" s="275"/>
      <c r="FE663" s="275"/>
      <c r="FF663" s="275"/>
      <c r="FG663" s="275"/>
      <c r="FH663" s="275"/>
      <c r="FI663" s="275"/>
      <c r="FJ663" s="275"/>
      <c r="FK663" s="275"/>
      <c r="FL663" s="275"/>
      <c r="FM663" s="275"/>
      <c r="FN663" s="275"/>
      <c r="FO663" s="275"/>
      <c r="FP663" s="275"/>
      <c r="FQ663" s="275"/>
      <c r="FR663" s="275"/>
      <c r="FS663" s="275"/>
      <c r="FT663" s="275"/>
      <c r="FU663" s="275"/>
      <c r="FV663" s="275"/>
      <c r="FW663" s="275"/>
      <c r="FX663" s="275"/>
      <c r="FY663" s="275"/>
      <c r="FZ663" s="275"/>
      <c r="GA663" s="275"/>
      <c r="GB663" s="275"/>
      <c r="GC663" s="275"/>
      <c r="GD663" s="275"/>
      <c r="GE663" s="275"/>
      <c r="GF663" s="275"/>
      <c r="GG663" s="275"/>
      <c r="GH663" s="275"/>
      <c r="GI663" s="275"/>
      <c r="GJ663" s="275"/>
      <c r="GK663" s="275"/>
      <c r="GL663" s="275"/>
      <c r="GM663" s="275"/>
      <c r="GN663" s="275"/>
      <c r="GO663" s="275"/>
      <c r="GP663" s="275"/>
      <c r="GQ663" s="275"/>
      <c r="GR663" s="275"/>
      <c r="GS663" s="275"/>
      <c r="GT663" s="275"/>
      <c r="GU663" s="275"/>
      <c r="GV663" s="275"/>
      <c r="GW663" s="275"/>
      <c r="GX663" s="275"/>
      <c r="GY663" s="275"/>
      <c r="GZ663" s="275"/>
      <c r="HA663" s="275"/>
      <c r="HB663" s="275"/>
      <c r="HC663" s="275"/>
      <c r="HD663" s="275"/>
      <c r="HE663" s="275"/>
      <c r="HF663" s="275"/>
      <c r="HG663" s="275"/>
      <c r="HH663" s="275"/>
      <c r="HI663" s="275"/>
      <c r="HJ663" s="275"/>
      <c r="HK663" s="275"/>
      <c r="HL663" s="275"/>
      <c r="HM663" s="275"/>
      <c r="HN663" s="275"/>
      <c r="HO663" s="275"/>
      <c r="HP663" s="275"/>
      <c r="HQ663" s="275"/>
      <c r="HR663" s="275"/>
    </row>
    <row r="664" spans="1:226" s="297" customFormat="1">
      <c r="A664" s="275"/>
      <c r="B664" s="21"/>
      <c r="C664" s="21"/>
      <c r="D664" s="21"/>
      <c r="E664" s="21"/>
      <c r="F664" s="275"/>
      <c r="G664" s="275"/>
      <c r="H664" s="275"/>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J664" s="275"/>
      <c r="AK664" s="275"/>
      <c r="AL664" s="275"/>
      <c r="AM664" s="275"/>
      <c r="AN664" s="275"/>
      <c r="AO664" s="275"/>
      <c r="AQ664" s="275"/>
      <c r="AR664" s="275"/>
      <c r="AS664" s="275"/>
      <c r="AT664" s="275"/>
      <c r="AU664" s="275"/>
      <c r="AV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D664" s="275"/>
      <c r="EE664" s="275"/>
      <c r="EF664" s="275"/>
      <c r="EG664" s="275"/>
      <c r="EH664" s="275"/>
      <c r="EI664" s="275"/>
      <c r="EJ664" s="275"/>
      <c r="EK664" s="275"/>
      <c r="EL664" s="275"/>
      <c r="EM664" s="275"/>
      <c r="EN664" s="275"/>
      <c r="EO664" s="275"/>
      <c r="EP664" s="275"/>
      <c r="EQ664" s="275"/>
      <c r="ER664" s="275"/>
      <c r="ES664" s="275"/>
      <c r="ET664" s="275"/>
      <c r="EU664"/>
      <c r="EV664"/>
      <c r="EW664" s="275"/>
      <c r="EX664" s="275"/>
      <c r="EY664" s="275"/>
      <c r="EZ664" s="275"/>
      <c r="FA664" s="275"/>
      <c r="FB664" s="275"/>
      <c r="FC664" s="275"/>
      <c r="FD664" s="275"/>
      <c r="FE664" s="275"/>
      <c r="FF664" s="275"/>
      <c r="FG664" s="275"/>
      <c r="FH664" s="275"/>
      <c r="FI664" s="275"/>
      <c r="FJ664" s="275"/>
      <c r="FK664" s="275"/>
      <c r="FL664" s="275"/>
      <c r="FM664" s="275"/>
      <c r="FN664" s="275"/>
      <c r="FO664" s="275"/>
      <c r="FP664" s="275"/>
      <c r="FQ664" s="275"/>
      <c r="FR664" s="275"/>
      <c r="FS664" s="275"/>
      <c r="FT664" s="275"/>
      <c r="FU664" s="275"/>
      <c r="FV664" s="275"/>
      <c r="FW664" s="275"/>
      <c r="FX664" s="275"/>
      <c r="FY664" s="275"/>
      <c r="FZ664" s="275"/>
      <c r="GA664" s="275"/>
      <c r="GB664" s="275"/>
      <c r="GC664" s="275"/>
      <c r="GD664" s="275"/>
      <c r="GE664" s="275"/>
      <c r="GF664" s="275"/>
      <c r="GG664" s="275"/>
      <c r="GH664" s="275"/>
      <c r="GI664" s="275"/>
      <c r="GJ664" s="275"/>
      <c r="GK664" s="275"/>
      <c r="GL664" s="275"/>
      <c r="GM664" s="275"/>
      <c r="GN664" s="275"/>
      <c r="GO664" s="275"/>
      <c r="GP664" s="275"/>
      <c r="GQ664" s="275"/>
      <c r="GR664" s="275"/>
      <c r="GS664" s="275"/>
      <c r="GT664" s="275"/>
      <c r="GU664" s="275"/>
      <c r="GV664" s="275"/>
      <c r="GW664" s="275"/>
      <c r="GX664" s="275"/>
      <c r="GY664" s="275"/>
      <c r="GZ664" s="275"/>
      <c r="HA664" s="275"/>
      <c r="HB664" s="275"/>
      <c r="HC664" s="275"/>
      <c r="HD664" s="275"/>
      <c r="HE664" s="275"/>
      <c r="HF664" s="275"/>
      <c r="HG664" s="275"/>
      <c r="HH664" s="275"/>
      <c r="HI664" s="275"/>
      <c r="HJ664" s="275"/>
      <c r="HK664" s="275"/>
      <c r="HL664" s="275"/>
      <c r="HM664" s="275"/>
      <c r="HN664" s="275"/>
      <c r="HO664" s="275"/>
      <c r="HP664" s="275"/>
      <c r="HQ664" s="275"/>
      <c r="HR664" s="275"/>
    </row>
    <row r="665" spans="1:226" s="297" customFormat="1">
      <c r="A665" s="275"/>
      <c r="B665" s="21"/>
      <c r="C665" s="21"/>
      <c r="D665" s="21"/>
      <c r="E665" s="21"/>
      <c r="F665" s="275"/>
      <c r="G665" s="275"/>
      <c r="H665" s="275"/>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J665" s="275"/>
      <c r="AK665" s="275"/>
      <c r="AL665" s="275"/>
      <c r="AM665" s="275"/>
      <c r="AN665" s="275"/>
      <c r="AO665" s="275"/>
      <c r="AQ665" s="275"/>
      <c r="AR665" s="275"/>
      <c r="AS665" s="275"/>
      <c r="AT665" s="275"/>
      <c r="AU665" s="275"/>
      <c r="AV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D665" s="275"/>
      <c r="EE665" s="275"/>
      <c r="EF665" s="275"/>
      <c r="EG665" s="275"/>
      <c r="EH665" s="275"/>
      <c r="EI665" s="275"/>
      <c r="EJ665" s="275"/>
      <c r="EK665" s="275"/>
      <c r="EL665" s="275"/>
      <c r="EM665" s="275"/>
      <c r="EN665" s="275"/>
      <c r="EO665" s="275"/>
      <c r="EP665" s="275"/>
      <c r="EQ665" s="275"/>
      <c r="ER665" s="275"/>
      <c r="ES665" s="275"/>
      <c r="ET665" s="275"/>
      <c r="EU665"/>
      <c r="EV665"/>
      <c r="EW665" s="275"/>
      <c r="EX665" s="275"/>
      <c r="EY665" s="275"/>
      <c r="EZ665" s="275"/>
      <c r="FA665" s="275"/>
      <c r="FB665" s="275"/>
      <c r="FC665" s="275"/>
      <c r="FD665" s="275"/>
      <c r="FE665" s="275"/>
      <c r="FF665" s="275"/>
      <c r="FG665" s="275"/>
      <c r="FH665" s="275"/>
      <c r="FI665" s="275"/>
      <c r="FJ665" s="275"/>
      <c r="FK665" s="275"/>
      <c r="FL665" s="275"/>
      <c r="FM665" s="275"/>
      <c r="FN665" s="275"/>
      <c r="FO665" s="275"/>
      <c r="FP665" s="275"/>
      <c r="FQ665" s="275"/>
      <c r="FR665" s="275"/>
      <c r="FS665" s="275"/>
      <c r="FT665" s="275"/>
      <c r="FU665" s="275"/>
      <c r="FV665" s="275"/>
      <c r="FW665" s="275"/>
      <c r="FX665" s="275"/>
      <c r="FY665" s="275"/>
      <c r="FZ665" s="275"/>
      <c r="GA665" s="275"/>
      <c r="GB665" s="275"/>
      <c r="GC665" s="275"/>
      <c r="GD665" s="275"/>
      <c r="GE665" s="275"/>
      <c r="GF665" s="275"/>
      <c r="GG665" s="275"/>
      <c r="GH665" s="275"/>
      <c r="GI665" s="275"/>
      <c r="GJ665" s="275"/>
      <c r="GK665" s="275"/>
      <c r="GL665" s="275"/>
      <c r="GM665" s="275"/>
      <c r="GN665" s="275"/>
      <c r="GO665" s="275"/>
      <c r="GP665" s="275"/>
      <c r="GQ665" s="275"/>
      <c r="GR665" s="275"/>
      <c r="GS665" s="275"/>
      <c r="GT665" s="275"/>
      <c r="GU665" s="275"/>
      <c r="GV665" s="275"/>
      <c r="GW665" s="275"/>
      <c r="GX665" s="275"/>
      <c r="GY665" s="275"/>
      <c r="GZ665" s="275"/>
      <c r="HA665" s="275"/>
      <c r="HB665" s="275"/>
      <c r="HC665" s="275"/>
      <c r="HD665" s="275"/>
      <c r="HE665" s="275"/>
      <c r="HF665" s="275"/>
      <c r="HG665" s="275"/>
      <c r="HH665" s="275"/>
      <c r="HI665" s="275"/>
      <c r="HJ665" s="275"/>
      <c r="HK665" s="275"/>
      <c r="HL665" s="275"/>
      <c r="HM665" s="275"/>
      <c r="HN665" s="275"/>
      <c r="HO665" s="275"/>
      <c r="HP665" s="275"/>
      <c r="HQ665" s="275"/>
      <c r="HR665" s="275"/>
    </row>
    <row r="666" spans="1:226" s="297" customFormat="1">
      <c r="A666" s="275"/>
      <c r="B666" s="21"/>
      <c r="C666" s="21"/>
      <c r="D666" s="21"/>
      <c r="E666" s="21"/>
      <c r="F666" s="275"/>
      <c r="G666" s="275"/>
      <c r="H666" s="275"/>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J666" s="275"/>
      <c r="AK666" s="275"/>
      <c r="AL666" s="275"/>
      <c r="AM666" s="275"/>
      <c r="AN666" s="275"/>
      <c r="AO666" s="275"/>
      <c r="AQ666" s="275"/>
      <c r="AR666" s="275"/>
      <c r="AS666" s="275"/>
      <c r="AT666" s="275"/>
      <c r="AU666" s="275"/>
      <c r="AV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D666" s="275"/>
      <c r="EE666" s="275"/>
      <c r="EF666" s="275"/>
      <c r="EG666" s="275"/>
      <c r="EH666" s="275"/>
      <c r="EI666" s="275"/>
      <c r="EJ666" s="275"/>
      <c r="EK666" s="275"/>
      <c r="EL666" s="275"/>
      <c r="EM666" s="275"/>
      <c r="EN666" s="275"/>
      <c r="EO666" s="275"/>
      <c r="EP666" s="275"/>
      <c r="EQ666" s="275"/>
      <c r="ER666" s="275"/>
      <c r="ES666" s="275"/>
      <c r="ET666" s="275"/>
      <c r="EU666"/>
      <c r="EV666"/>
      <c r="EW666" s="275"/>
      <c r="EX666" s="275"/>
      <c r="EY666" s="275"/>
      <c r="EZ666" s="275"/>
      <c r="FA666" s="275"/>
      <c r="FB666" s="275"/>
      <c r="FC666" s="275"/>
      <c r="FD666" s="275"/>
      <c r="FE666" s="275"/>
      <c r="FF666" s="275"/>
      <c r="FG666" s="275"/>
      <c r="FH666" s="275"/>
      <c r="FI666" s="275"/>
      <c r="FJ666" s="275"/>
      <c r="FK666" s="275"/>
      <c r="FL666" s="275"/>
      <c r="FM666" s="275"/>
      <c r="FN666" s="275"/>
      <c r="FO666" s="275"/>
      <c r="FP666" s="275"/>
      <c r="FQ666" s="275"/>
      <c r="FR666" s="275"/>
      <c r="FS666" s="275"/>
      <c r="FT666" s="275"/>
      <c r="FU666" s="275"/>
      <c r="FV666" s="275"/>
      <c r="FW666" s="275"/>
      <c r="FX666" s="275"/>
      <c r="FY666" s="275"/>
      <c r="FZ666" s="275"/>
      <c r="GA666" s="275"/>
      <c r="GB666" s="275"/>
      <c r="GC666" s="275"/>
      <c r="GD666" s="275"/>
      <c r="GE666" s="275"/>
      <c r="GF666" s="275"/>
      <c r="GG666" s="275"/>
      <c r="GH666" s="275"/>
      <c r="GI666" s="275"/>
      <c r="GJ666" s="275"/>
      <c r="GK666" s="275"/>
      <c r="GL666" s="275"/>
      <c r="GM666" s="275"/>
      <c r="GN666" s="275"/>
      <c r="GO666" s="275"/>
      <c r="GP666" s="275"/>
      <c r="GQ666" s="275"/>
      <c r="GR666" s="275"/>
      <c r="GS666" s="275"/>
      <c r="GT666" s="275"/>
      <c r="GU666" s="275"/>
      <c r="GV666" s="275"/>
      <c r="GW666" s="275"/>
      <c r="GX666" s="275"/>
      <c r="GY666" s="275"/>
      <c r="GZ666" s="275"/>
      <c r="HA666" s="275"/>
      <c r="HB666" s="275"/>
      <c r="HC666" s="275"/>
      <c r="HD666" s="275"/>
      <c r="HE666" s="275"/>
      <c r="HF666" s="275"/>
      <c r="HG666" s="275"/>
      <c r="HH666" s="275"/>
      <c r="HI666" s="275"/>
      <c r="HJ666" s="275"/>
      <c r="HK666" s="275"/>
      <c r="HL666" s="275"/>
      <c r="HM666" s="275"/>
      <c r="HN666" s="275"/>
      <c r="HO666" s="275"/>
      <c r="HP666" s="275"/>
      <c r="HQ666" s="275"/>
      <c r="HR666" s="275"/>
    </row>
    <row r="667" spans="1:226" s="297" customFormat="1">
      <c r="A667" s="275"/>
      <c r="B667" s="21"/>
      <c r="C667" s="21"/>
      <c r="D667" s="21"/>
      <c r="E667" s="21"/>
      <c r="F667" s="275"/>
      <c r="G667" s="275"/>
      <c r="H667" s="275"/>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J667" s="275"/>
      <c r="AK667" s="275"/>
      <c r="AL667" s="275"/>
      <c r="AM667" s="275"/>
      <c r="AN667" s="275"/>
      <c r="AO667" s="275"/>
      <c r="AQ667" s="275"/>
      <c r="AR667" s="275"/>
      <c r="AS667" s="275"/>
      <c r="AT667" s="275"/>
      <c r="AU667" s="275"/>
      <c r="AV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D667" s="275"/>
      <c r="EE667" s="275"/>
      <c r="EF667" s="275"/>
      <c r="EG667" s="275"/>
      <c r="EH667" s="275"/>
      <c r="EI667" s="275"/>
      <c r="EJ667" s="275"/>
      <c r="EK667" s="275"/>
      <c r="EL667" s="275"/>
      <c r="EM667" s="275"/>
      <c r="EN667" s="275"/>
      <c r="EO667" s="275"/>
      <c r="EP667" s="275"/>
      <c r="EQ667" s="275"/>
      <c r="ER667" s="275"/>
      <c r="ES667" s="275"/>
      <c r="ET667" s="275"/>
      <c r="EU667"/>
      <c r="EV667"/>
      <c r="EW667" s="275"/>
      <c r="EX667" s="275"/>
      <c r="EY667" s="275"/>
      <c r="EZ667" s="275"/>
      <c r="FA667" s="275"/>
      <c r="FB667" s="275"/>
      <c r="FC667" s="275"/>
      <c r="FD667" s="275"/>
      <c r="FE667" s="275"/>
      <c r="FF667" s="275"/>
      <c r="FG667" s="275"/>
      <c r="FH667" s="275"/>
      <c r="FI667" s="275"/>
      <c r="FJ667" s="275"/>
      <c r="FK667" s="275"/>
      <c r="FL667" s="275"/>
      <c r="FM667" s="275"/>
      <c r="FN667" s="275"/>
      <c r="FO667" s="275"/>
      <c r="FP667" s="275"/>
      <c r="FQ667" s="275"/>
      <c r="FR667" s="275"/>
      <c r="FS667" s="275"/>
      <c r="FT667" s="275"/>
      <c r="FU667" s="275"/>
      <c r="FV667" s="275"/>
      <c r="FW667" s="275"/>
      <c r="FX667" s="275"/>
      <c r="FY667" s="275"/>
      <c r="FZ667" s="275"/>
      <c r="GA667" s="275"/>
      <c r="GB667" s="275"/>
      <c r="GC667" s="275"/>
      <c r="GD667" s="275"/>
      <c r="GE667" s="275"/>
      <c r="GF667" s="275"/>
      <c r="GG667" s="275"/>
      <c r="GH667" s="275"/>
      <c r="GI667" s="275"/>
      <c r="GJ667" s="275"/>
      <c r="GK667" s="275"/>
      <c r="GL667" s="275"/>
      <c r="GM667" s="275"/>
      <c r="GN667" s="275"/>
      <c r="GO667" s="275"/>
      <c r="GP667" s="275"/>
      <c r="GQ667" s="275"/>
      <c r="GR667" s="275"/>
      <c r="GS667" s="275"/>
      <c r="GT667" s="275"/>
      <c r="GU667" s="275"/>
      <c r="GV667" s="275"/>
      <c r="GW667" s="275"/>
      <c r="GX667" s="275"/>
      <c r="GY667" s="275"/>
      <c r="GZ667" s="275"/>
      <c r="HA667" s="275"/>
      <c r="HB667" s="275"/>
      <c r="HC667" s="275"/>
      <c r="HD667" s="275"/>
      <c r="HE667" s="275"/>
      <c r="HF667" s="275"/>
      <c r="HG667" s="275"/>
      <c r="HH667" s="275"/>
      <c r="HI667" s="275"/>
      <c r="HJ667" s="275"/>
      <c r="HK667" s="275"/>
      <c r="HL667" s="275"/>
      <c r="HM667" s="275"/>
      <c r="HN667" s="275"/>
      <c r="HO667" s="275"/>
      <c r="HP667" s="275"/>
      <c r="HQ667" s="275"/>
      <c r="HR667" s="275"/>
    </row>
    <row r="668" spans="1:226" s="297" customFormat="1">
      <c r="A668" s="275"/>
      <c r="B668" s="21"/>
      <c r="C668" s="21"/>
      <c r="D668" s="21"/>
      <c r="E668" s="21"/>
      <c r="F668" s="275"/>
      <c r="G668" s="275"/>
      <c r="H668" s="275"/>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J668" s="275"/>
      <c r="AK668" s="275"/>
      <c r="AL668" s="275"/>
      <c r="AM668" s="275"/>
      <c r="AN668" s="275"/>
      <c r="AO668" s="275"/>
      <c r="AQ668" s="275"/>
      <c r="AR668" s="275"/>
      <c r="AS668" s="275"/>
      <c r="AT668" s="275"/>
      <c r="AU668" s="275"/>
      <c r="AV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D668" s="275"/>
      <c r="EE668" s="275"/>
      <c r="EF668" s="275"/>
      <c r="EG668" s="275"/>
      <c r="EH668" s="275"/>
      <c r="EI668" s="275"/>
      <c r="EJ668" s="275"/>
      <c r="EK668" s="275"/>
      <c r="EL668" s="275"/>
      <c r="EM668" s="275"/>
      <c r="EN668" s="275"/>
      <c r="EO668" s="275"/>
      <c r="EP668" s="275"/>
      <c r="EQ668" s="275"/>
      <c r="ER668" s="275"/>
      <c r="ES668" s="275"/>
      <c r="ET668" s="275"/>
      <c r="EU668"/>
      <c r="EV668"/>
      <c r="EW668" s="275"/>
      <c r="EX668" s="275"/>
      <c r="EY668" s="275"/>
      <c r="EZ668" s="275"/>
      <c r="FA668" s="275"/>
      <c r="FB668" s="275"/>
      <c r="FC668" s="275"/>
      <c r="FD668" s="275"/>
      <c r="FE668" s="275"/>
      <c r="FF668" s="275"/>
      <c r="FG668" s="275"/>
      <c r="FH668" s="275"/>
      <c r="FI668" s="275"/>
      <c r="FJ668" s="275"/>
      <c r="FK668" s="275"/>
      <c r="FL668" s="275"/>
      <c r="FM668" s="275"/>
      <c r="FN668" s="275"/>
      <c r="FO668" s="275"/>
      <c r="FP668" s="275"/>
      <c r="FQ668" s="275"/>
      <c r="FR668" s="275"/>
      <c r="FS668" s="275"/>
      <c r="FT668" s="275"/>
      <c r="FU668" s="275"/>
      <c r="FV668" s="275"/>
      <c r="FW668" s="275"/>
      <c r="FX668" s="275"/>
      <c r="FY668" s="275"/>
      <c r="FZ668" s="275"/>
      <c r="GA668" s="275"/>
      <c r="GB668" s="275"/>
      <c r="GC668" s="275"/>
      <c r="GD668" s="275"/>
      <c r="GE668" s="275"/>
      <c r="GF668" s="275"/>
      <c r="GG668" s="275"/>
      <c r="GH668" s="275"/>
      <c r="GI668" s="275"/>
      <c r="GJ668" s="275"/>
      <c r="GK668" s="275"/>
      <c r="GL668" s="275"/>
      <c r="GM668" s="275"/>
      <c r="GN668" s="275"/>
      <c r="GO668" s="275"/>
      <c r="GP668" s="275"/>
      <c r="GQ668" s="275"/>
      <c r="GR668" s="275"/>
      <c r="GS668" s="275"/>
      <c r="GT668" s="275"/>
      <c r="GU668" s="275"/>
      <c r="GV668" s="275"/>
      <c r="GW668" s="275"/>
      <c r="GX668" s="275"/>
      <c r="GY668" s="275"/>
      <c r="GZ668" s="275"/>
      <c r="HA668" s="275"/>
      <c r="HB668" s="275"/>
      <c r="HC668" s="275"/>
      <c r="HD668" s="275"/>
      <c r="HE668" s="275"/>
      <c r="HF668" s="275"/>
      <c r="HG668" s="275"/>
      <c r="HH668" s="275"/>
      <c r="HI668" s="275"/>
      <c r="HJ668" s="275"/>
      <c r="HK668" s="275"/>
      <c r="HL668" s="275"/>
      <c r="HM668" s="275"/>
      <c r="HN668" s="275"/>
      <c r="HO668" s="275"/>
      <c r="HP668" s="275"/>
      <c r="HQ668" s="275"/>
      <c r="HR668" s="275"/>
    </row>
    <row r="669" spans="1:226" s="297" customFormat="1">
      <c r="A669" s="275"/>
      <c r="B669" s="21"/>
      <c r="C669" s="21"/>
      <c r="D669" s="21"/>
      <c r="E669" s="21"/>
      <c r="F669" s="275"/>
      <c r="G669" s="275"/>
      <c r="H669" s="275"/>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J669" s="275"/>
      <c r="AK669" s="275"/>
      <c r="AL669" s="275"/>
      <c r="AM669" s="275"/>
      <c r="AN669" s="275"/>
      <c r="AO669" s="275"/>
      <c r="AQ669" s="275"/>
      <c r="AR669" s="275"/>
      <c r="AS669" s="275"/>
      <c r="AT669" s="275"/>
      <c r="AU669" s="275"/>
      <c r="AV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D669" s="275"/>
      <c r="EE669" s="275"/>
      <c r="EF669" s="275"/>
      <c r="EG669" s="275"/>
      <c r="EH669" s="275"/>
      <c r="EI669" s="275"/>
      <c r="EJ669" s="275"/>
      <c r="EK669" s="275"/>
      <c r="EL669" s="275"/>
      <c r="EM669" s="275"/>
      <c r="EN669" s="275"/>
      <c r="EO669" s="275"/>
      <c r="EP669" s="275"/>
      <c r="EQ669" s="275"/>
      <c r="ER669" s="275"/>
      <c r="ES669" s="275"/>
      <c r="ET669" s="275"/>
      <c r="EU669"/>
      <c r="EV669"/>
      <c r="EW669" s="275"/>
      <c r="EX669" s="275"/>
      <c r="EY669" s="275"/>
      <c r="EZ669" s="275"/>
      <c r="FA669" s="275"/>
      <c r="FB669" s="275"/>
      <c r="FC669" s="275"/>
      <c r="FD669" s="275"/>
      <c r="FE669" s="275"/>
      <c r="FF669" s="275"/>
      <c r="FG669" s="275"/>
      <c r="FH669" s="275"/>
      <c r="FI669" s="275"/>
      <c r="FJ669" s="275"/>
      <c r="FK669" s="275"/>
      <c r="FL669" s="275"/>
      <c r="FM669" s="275"/>
      <c r="FN669" s="275"/>
      <c r="FO669" s="275"/>
      <c r="FP669" s="275"/>
      <c r="FQ669" s="275"/>
      <c r="FR669" s="275"/>
      <c r="FS669" s="275"/>
      <c r="FT669" s="275"/>
      <c r="FU669" s="275"/>
      <c r="FV669" s="275"/>
      <c r="FW669" s="275"/>
      <c r="FX669" s="275"/>
      <c r="FY669" s="275"/>
      <c r="FZ669" s="275"/>
      <c r="GA669" s="275"/>
      <c r="GB669" s="275"/>
      <c r="GC669" s="275"/>
      <c r="GD669" s="275"/>
      <c r="GE669" s="275"/>
      <c r="GF669" s="275"/>
      <c r="GG669" s="275"/>
      <c r="GH669" s="275"/>
      <c r="GI669" s="275"/>
      <c r="GJ669" s="275"/>
      <c r="GK669" s="275"/>
      <c r="GL669" s="275"/>
      <c r="GM669" s="275"/>
      <c r="GN669" s="275"/>
      <c r="GO669" s="275"/>
      <c r="GP669" s="275"/>
      <c r="GQ669" s="275"/>
      <c r="GR669" s="275"/>
      <c r="GS669" s="275"/>
      <c r="GT669" s="275"/>
      <c r="GU669" s="275"/>
      <c r="GV669" s="275"/>
      <c r="GW669" s="275"/>
      <c r="GX669" s="275"/>
      <c r="GY669" s="275"/>
      <c r="GZ669" s="275"/>
      <c r="HA669" s="275"/>
      <c r="HB669" s="275"/>
      <c r="HC669" s="275"/>
      <c r="HD669" s="275"/>
      <c r="HE669" s="275"/>
      <c r="HF669" s="275"/>
      <c r="HG669" s="275"/>
      <c r="HH669" s="275"/>
      <c r="HI669" s="275"/>
      <c r="HJ669" s="275"/>
      <c r="HK669" s="275"/>
      <c r="HL669" s="275"/>
      <c r="HM669" s="275"/>
      <c r="HN669" s="275"/>
      <c r="HO669" s="275"/>
      <c r="HP669" s="275"/>
      <c r="HQ669" s="275"/>
      <c r="HR669" s="275"/>
    </row>
    <row r="670" spans="1:226" s="297" customFormat="1">
      <c r="A670" s="275"/>
      <c r="B670" s="21"/>
      <c r="C670" s="21"/>
      <c r="D670" s="21"/>
      <c r="E670" s="21"/>
      <c r="F670" s="275"/>
      <c r="G670" s="275"/>
      <c r="H670" s="275"/>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J670" s="275"/>
      <c r="AK670" s="275"/>
      <c r="AL670" s="275"/>
      <c r="AM670" s="275"/>
      <c r="AN670" s="275"/>
      <c r="AO670" s="275"/>
      <c r="AQ670" s="275"/>
      <c r="AR670" s="275"/>
      <c r="AS670" s="275"/>
      <c r="AT670" s="275"/>
      <c r="AU670" s="275"/>
      <c r="AV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D670" s="275"/>
      <c r="EE670" s="275"/>
      <c r="EF670" s="275"/>
      <c r="EG670" s="275"/>
      <c r="EH670" s="275"/>
      <c r="EI670" s="275"/>
      <c r="EJ670" s="275"/>
      <c r="EK670" s="275"/>
      <c r="EL670" s="275"/>
      <c r="EM670" s="275"/>
      <c r="EN670" s="275"/>
      <c r="EO670" s="275"/>
      <c r="EP670" s="275"/>
      <c r="EQ670" s="275"/>
      <c r="ER670" s="275"/>
      <c r="ES670" s="275"/>
      <c r="ET670" s="275"/>
      <c r="EU670"/>
      <c r="EV670"/>
      <c r="EW670" s="275"/>
      <c r="EX670" s="275"/>
      <c r="EY670" s="275"/>
      <c r="EZ670" s="275"/>
      <c r="FA670" s="275"/>
      <c r="FB670" s="275"/>
      <c r="FC670" s="275"/>
      <c r="FD670" s="275"/>
      <c r="FE670" s="275"/>
      <c r="FF670" s="275"/>
      <c r="FG670" s="275"/>
      <c r="FH670" s="275"/>
      <c r="FI670" s="275"/>
      <c r="FJ670" s="275"/>
      <c r="FK670" s="275"/>
      <c r="FL670" s="275"/>
      <c r="FM670" s="275"/>
      <c r="FN670" s="275"/>
      <c r="FO670" s="275"/>
      <c r="FP670" s="275"/>
      <c r="FQ670" s="275"/>
      <c r="FR670" s="275"/>
      <c r="FS670" s="275"/>
      <c r="FT670" s="275"/>
      <c r="FU670" s="275"/>
      <c r="FV670" s="275"/>
      <c r="FW670" s="275"/>
      <c r="FX670" s="275"/>
      <c r="FY670" s="275"/>
      <c r="FZ670" s="275"/>
      <c r="GA670" s="275"/>
      <c r="GB670" s="275"/>
      <c r="GC670" s="275"/>
      <c r="GD670" s="275"/>
      <c r="GE670" s="275"/>
      <c r="GF670" s="275"/>
      <c r="GG670" s="275"/>
      <c r="GH670" s="275"/>
      <c r="GI670" s="275"/>
      <c r="GJ670" s="275"/>
      <c r="GK670" s="275"/>
      <c r="GL670" s="275"/>
      <c r="GM670" s="275"/>
      <c r="GN670" s="275"/>
      <c r="GO670" s="275"/>
      <c r="GP670" s="275"/>
      <c r="GQ670" s="275"/>
      <c r="GR670" s="275"/>
      <c r="GS670" s="275"/>
      <c r="GT670" s="275"/>
      <c r="GU670" s="275"/>
      <c r="GV670" s="275"/>
      <c r="GW670" s="275"/>
      <c r="GX670" s="275"/>
      <c r="GY670" s="275"/>
      <c r="GZ670" s="275"/>
      <c r="HA670" s="275"/>
      <c r="HB670" s="275"/>
      <c r="HC670" s="275"/>
      <c r="HD670" s="275"/>
      <c r="HE670" s="275"/>
      <c r="HF670" s="275"/>
      <c r="HG670" s="275"/>
      <c r="HH670" s="275"/>
      <c r="HI670" s="275"/>
      <c r="HJ670" s="275"/>
      <c r="HK670" s="275"/>
      <c r="HL670" s="275"/>
      <c r="HM670" s="275"/>
      <c r="HN670" s="275"/>
      <c r="HO670" s="275"/>
      <c r="HP670" s="275"/>
      <c r="HQ670" s="275"/>
      <c r="HR670" s="275"/>
    </row>
    <row r="671" spans="1:226" s="297" customFormat="1">
      <c r="A671" s="275"/>
      <c r="B671" s="21"/>
      <c r="C671" s="21"/>
      <c r="D671" s="21"/>
      <c r="E671" s="21"/>
      <c r="F671" s="275"/>
      <c r="G671" s="275"/>
      <c r="H671" s="275"/>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J671" s="275"/>
      <c r="AK671" s="275"/>
      <c r="AL671" s="275"/>
      <c r="AM671" s="275"/>
      <c r="AN671" s="275"/>
      <c r="AO671" s="275"/>
      <c r="AQ671" s="275"/>
      <c r="AR671" s="275"/>
      <c r="AS671" s="275"/>
      <c r="AT671" s="275"/>
      <c r="AU671" s="275"/>
      <c r="AV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D671" s="275"/>
      <c r="EE671" s="275"/>
      <c r="EF671" s="275"/>
      <c r="EG671" s="275"/>
      <c r="EH671" s="275"/>
      <c r="EI671" s="275"/>
      <c r="EJ671" s="275"/>
      <c r="EK671" s="275"/>
      <c r="EL671" s="275"/>
      <c r="EM671" s="275"/>
      <c r="EN671" s="275"/>
      <c r="EO671" s="275"/>
      <c r="EP671" s="275"/>
      <c r="EQ671" s="275"/>
      <c r="ER671" s="275"/>
      <c r="ES671" s="275"/>
      <c r="ET671" s="275"/>
      <c r="EU671"/>
      <c r="EV671"/>
      <c r="EW671" s="275"/>
      <c r="EX671" s="275"/>
      <c r="EY671" s="275"/>
      <c r="EZ671" s="275"/>
      <c r="FA671" s="275"/>
      <c r="FB671" s="275"/>
      <c r="FC671" s="275"/>
      <c r="FD671" s="275"/>
      <c r="FE671" s="275"/>
      <c r="FF671" s="275"/>
      <c r="FG671" s="275"/>
      <c r="FH671" s="275"/>
      <c r="FI671" s="275"/>
      <c r="FJ671" s="275"/>
      <c r="FK671" s="275"/>
      <c r="FL671" s="275"/>
      <c r="FM671" s="275"/>
      <c r="FN671" s="275"/>
      <c r="FO671" s="275"/>
      <c r="FP671" s="275"/>
      <c r="FQ671" s="275"/>
      <c r="FR671" s="275"/>
      <c r="FS671" s="275"/>
      <c r="FT671" s="275"/>
      <c r="FU671" s="275"/>
      <c r="FV671" s="275"/>
      <c r="FW671" s="275"/>
      <c r="FX671" s="275"/>
      <c r="FY671" s="275"/>
      <c r="FZ671" s="275"/>
      <c r="GA671" s="275"/>
      <c r="GB671" s="275"/>
      <c r="GC671" s="275"/>
      <c r="GD671" s="275"/>
      <c r="GE671" s="275"/>
      <c r="GF671" s="275"/>
      <c r="GG671" s="275"/>
      <c r="GH671" s="275"/>
      <c r="GI671" s="275"/>
      <c r="GJ671" s="275"/>
      <c r="GK671" s="275"/>
      <c r="GL671" s="275"/>
      <c r="GM671" s="275"/>
      <c r="GN671" s="275"/>
      <c r="GO671" s="275"/>
      <c r="GP671" s="275"/>
      <c r="GQ671" s="275"/>
      <c r="GR671" s="275"/>
      <c r="GS671" s="275"/>
      <c r="GT671" s="275"/>
      <c r="GU671" s="275"/>
      <c r="GV671" s="275"/>
      <c r="GW671" s="275"/>
      <c r="GX671" s="275"/>
      <c r="GY671" s="275"/>
      <c r="GZ671" s="275"/>
      <c r="HA671" s="275"/>
      <c r="HB671" s="275"/>
      <c r="HC671" s="275"/>
      <c r="HD671" s="275"/>
      <c r="HE671" s="275"/>
      <c r="HF671" s="275"/>
      <c r="HG671" s="275"/>
      <c r="HH671" s="275"/>
      <c r="HI671" s="275"/>
      <c r="HJ671" s="275"/>
      <c r="HK671" s="275"/>
      <c r="HL671" s="275"/>
      <c r="HM671" s="275"/>
      <c r="HN671" s="275"/>
      <c r="HO671" s="275"/>
      <c r="HP671" s="275"/>
      <c r="HQ671" s="275"/>
      <c r="HR671" s="275"/>
    </row>
    <row r="672" spans="1:226" s="297" customFormat="1">
      <c r="A672" s="275"/>
      <c r="B672" s="21"/>
      <c r="C672" s="21"/>
      <c r="D672" s="21"/>
      <c r="E672" s="21"/>
      <c r="F672" s="275"/>
      <c r="G672" s="275"/>
      <c r="H672" s="275"/>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J672" s="275"/>
      <c r="AK672" s="275"/>
      <c r="AL672" s="275"/>
      <c r="AM672" s="275"/>
      <c r="AN672" s="275"/>
      <c r="AO672" s="275"/>
      <c r="AQ672" s="275"/>
      <c r="AR672" s="275"/>
      <c r="AS672" s="275"/>
      <c r="AT672" s="275"/>
      <c r="AU672" s="275"/>
      <c r="AV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D672" s="275"/>
      <c r="EE672" s="275"/>
      <c r="EF672" s="275"/>
      <c r="EG672" s="275"/>
      <c r="EH672" s="275"/>
      <c r="EI672" s="275"/>
      <c r="EJ672" s="275"/>
      <c r="EK672" s="275"/>
      <c r="EL672" s="275"/>
      <c r="EM672" s="275"/>
      <c r="EN672" s="275"/>
      <c r="EO672" s="275"/>
      <c r="EP672" s="275"/>
      <c r="EQ672" s="275"/>
      <c r="ER672" s="275"/>
      <c r="ES672" s="275"/>
      <c r="ET672" s="275"/>
      <c r="EU672"/>
      <c r="EV672"/>
      <c r="EW672" s="275"/>
      <c r="EX672" s="275"/>
      <c r="EY672" s="275"/>
      <c r="EZ672" s="275"/>
      <c r="FA672" s="275"/>
      <c r="FB672" s="275"/>
      <c r="FC672" s="275"/>
      <c r="FD672" s="275"/>
      <c r="FE672" s="275"/>
      <c r="FF672" s="275"/>
      <c r="FG672" s="275"/>
      <c r="FH672" s="275"/>
      <c r="FI672" s="275"/>
      <c r="FJ672" s="275"/>
      <c r="FK672" s="275"/>
      <c r="FL672" s="275"/>
      <c r="FM672" s="275"/>
      <c r="FN672" s="275"/>
      <c r="FO672" s="275"/>
      <c r="FP672" s="275"/>
      <c r="FQ672" s="275"/>
      <c r="FR672" s="275"/>
      <c r="FS672" s="275"/>
      <c r="FT672" s="275"/>
      <c r="FU672" s="275"/>
      <c r="FV672" s="275"/>
      <c r="FW672" s="275"/>
      <c r="FX672" s="275"/>
      <c r="FY672" s="275"/>
      <c r="FZ672" s="275"/>
      <c r="GA672" s="275"/>
      <c r="GB672" s="275"/>
      <c r="GC672" s="275"/>
      <c r="GD672" s="275"/>
      <c r="GE672" s="275"/>
      <c r="GF672" s="275"/>
      <c r="GG672" s="275"/>
      <c r="GH672" s="275"/>
      <c r="GI672" s="275"/>
      <c r="GJ672" s="275"/>
      <c r="GK672" s="275"/>
      <c r="GL672" s="275"/>
      <c r="GM672" s="275"/>
      <c r="GN672" s="275"/>
      <c r="GO672" s="275"/>
      <c r="GP672" s="275"/>
      <c r="GQ672" s="275"/>
      <c r="GR672" s="275"/>
      <c r="GS672" s="275"/>
      <c r="GT672" s="275"/>
      <c r="GU672" s="275"/>
      <c r="GV672" s="275"/>
      <c r="GW672" s="275"/>
      <c r="GX672" s="275"/>
      <c r="GY672" s="275"/>
      <c r="GZ672" s="275"/>
      <c r="HA672" s="275"/>
      <c r="HB672" s="275"/>
      <c r="HC672" s="275"/>
      <c r="HD672" s="275"/>
      <c r="HE672" s="275"/>
      <c r="HF672" s="275"/>
      <c r="HG672" s="275"/>
      <c r="HH672" s="275"/>
      <c r="HI672" s="275"/>
      <c r="HJ672" s="275"/>
      <c r="HK672" s="275"/>
      <c r="HL672" s="275"/>
      <c r="HM672" s="275"/>
      <c r="HN672" s="275"/>
      <c r="HO672" s="275"/>
      <c r="HP672" s="275"/>
      <c r="HQ672" s="275"/>
      <c r="HR672" s="275"/>
    </row>
    <row r="673" spans="1:226" s="297" customFormat="1">
      <c r="A673" s="275"/>
      <c r="B673" s="21"/>
      <c r="C673" s="21"/>
      <c r="D673" s="21"/>
      <c r="E673" s="21"/>
      <c r="F673" s="275"/>
      <c r="G673" s="275"/>
      <c r="H673" s="275"/>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J673" s="275"/>
      <c r="AK673" s="275"/>
      <c r="AL673" s="275"/>
      <c r="AM673" s="275"/>
      <c r="AN673" s="275"/>
      <c r="AO673" s="275"/>
      <c r="AQ673" s="275"/>
      <c r="AR673" s="275"/>
      <c r="AS673" s="275"/>
      <c r="AT673" s="275"/>
      <c r="AU673" s="275"/>
      <c r="AV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D673" s="275"/>
      <c r="EE673" s="275"/>
      <c r="EF673" s="275"/>
      <c r="EG673" s="275"/>
      <c r="EH673" s="275"/>
      <c r="EI673" s="275"/>
      <c r="EJ673" s="275"/>
      <c r="EK673" s="275"/>
      <c r="EL673" s="275"/>
      <c r="EM673" s="275"/>
      <c r="EN673" s="275"/>
      <c r="EO673" s="275"/>
      <c r="EP673" s="275"/>
      <c r="EQ673" s="275"/>
      <c r="ER673" s="275"/>
      <c r="ES673" s="275"/>
      <c r="ET673" s="275"/>
      <c r="EU673"/>
      <c r="EV673"/>
      <c r="EW673" s="275"/>
      <c r="EX673" s="275"/>
      <c r="EY673" s="275"/>
      <c r="EZ673" s="275"/>
      <c r="FA673" s="275"/>
      <c r="FB673" s="275"/>
      <c r="FC673" s="275"/>
      <c r="FD673" s="275"/>
      <c r="FE673" s="275"/>
      <c r="FF673" s="275"/>
      <c r="FG673" s="275"/>
      <c r="FH673" s="275"/>
      <c r="FI673" s="275"/>
      <c r="FJ673" s="275"/>
      <c r="FK673" s="275"/>
      <c r="FL673" s="275"/>
      <c r="FM673" s="275"/>
      <c r="FN673" s="275"/>
      <c r="FO673" s="275"/>
      <c r="FP673" s="275"/>
      <c r="FQ673" s="275"/>
      <c r="FR673" s="275"/>
      <c r="FS673" s="275"/>
      <c r="FT673" s="275"/>
      <c r="FU673" s="275"/>
      <c r="FV673" s="275"/>
      <c r="FW673" s="275"/>
      <c r="FX673" s="275"/>
      <c r="FY673" s="275"/>
      <c r="FZ673" s="275"/>
      <c r="GA673" s="275"/>
      <c r="GB673" s="275"/>
      <c r="GC673" s="275"/>
      <c r="GD673" s="275"/>
      <c r="GE673" s="275"/>
      <c r="GF673" s="275"/>
      <c r="GG673" s="275"/>
      <c r="GH673" s="275"/>
      <c r="GI673" s="275"/>
      <c r="GJ673" s="275"/>
      <c r="GK673" s="275"/>
      <c r="GL673" s="275"/>
      <c r="GM673" s="275"/>
      <c r="GN673" s="275"/>
      <c r="GO673" s="275"/>
      <c r="GP673" s="275"/>
      <c r="GQ673" s="275"/>
      <c r="GR673" s="275"/>
      <c r="GS673" s="275"/>
      <c r="GT673" s="275"/>
      <c r="GU673" s="275"/>
      <c r="GV673" s="275"/>
      <c r="GW673" s="275"/>
      <c r="GX673" s="275"/>
      <c r="GY673" s="275"/>
      <c r="GZ673" s="275"/>
      <c r="HA673" s="275"/>
      <c r="HB673" s="275"/>
      <c r="HC673" s="275"/>
      <c r="HD673" s="275"/>
      <c r="HE673" s="275"/>
      <c r="HF673" s="275"/>
      <c r="HG673" s="275"/>
      <c r="HH673" s="275"/>
      <c r="HI673" s="275"/>
      <c r="HJ673" s="275"/>
      <c r="HK673" s="275"/>
      <c r="HL673" s="275"/>
      <c r="HM673" s="275"/>
      <c r="HN673" s="275"/>
      <c r="HO673" s="275"/>
      <c r="HP673" s="275"/>
      <c r="HQ673" s="275"/>
      <c r="HR673" s="275"/>
    </row>
    <row r="674" spans="1:226" s="297" customFormat="1">
      <c r="A674" s="275"/>
      <c r="B674" s="21"/>
      <c r="C674" s="21"/>
      <c r="D674" s="21"/>
      <c r="E674" s="21"/>
      <c r="F674" s="275"/>
      <c r="G674" s="275"/>
      <c r="H674" s="275"/>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J674" s="275"/>
      <c r="AK674" s="275"/>
      <c r="AL674" s="275"/>
      <c r="AM674" s="275"/>
      <c r="AN674" s="275"/>
      <c r="AO674" s="275"/>
      <c r="AQ674" s="275"/>
      <c r="AR674" s="275"/>
      <c r="AS674" s="275"/>
      <c r="AT674" s="275"/>
      <c r="AU674" s="275"/>
      <c r="AV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D674" s="275"/>
      <c r="EE674" s="275"/>
      <c r="EF674" s="275"/>
      <c r="EG674" s="275"/>
      <c r="EH674" s="275"/>
      <c r="EI674" s="275"/>
      <c r="EJ674" s="275"/>
      <c r="EK674" s="275"/>
      <c r="EL674" s="275"/>
      <c r="EM674" s="275"/>
      <c r="EN674" s="275"/>
      <c r="EO674" s="275"/>
      <c r="EP674" s="275"/>
      <c r="EQ674" s="275"/>
      <c r="ER674" s="275"/>
      <c r="ES674" s="275"/>
      <c r="ET674" s="275"/>
      <c r="EU674"/>
      <c r="EV674"/>
      <c r="EW674" s="275"/>
      <c r="EX674" s="275"/>
      <c r="EY674" s="275"/>
      <c r="EZ674" s="275"/>
      <c r="FA674" s="275"/>
      <c r="FB674" s="275"/>
      <c r="FC674" s="275"/>
      <c r="FD674" s="275"/>
      <c r="FE674" s="275"/>
      <c r="FF674" s="275"/>
      <c r="FG674" s="275"/>
      <c r="FH674" s="275"/>
      <c r="FI674" s="275"/>
      <c r="FJ674" s="275"/>
      <c r="FK674" s="275"/>
      <c r="FL674" s="275"/>
      <c r="FM674" s="275"/>
      <c r="FN674" s="275"/>
      <c r="FO674" s="275"/>
      <c r="FP674" s="275"/>
      <c r="FQ674" s="275"/>
      <c r="FR674" s="275"/>
      <c r="FS674" s="275"/>
      <c r="FT674" s="275"/>
      <c r="FU674" s="275"/>
      <c r="FV674" s="275"/>
      <c r="FW674" s="275"/>
      <c r="FX674" s="275"/>
      <c r="FY674" s="275"/>
      <c r="FZ674" s="275"/>
      <c r="GA674" s="275"/>
      <c r="GB674" s="275"/>
      <c r="GC674" s="275"/>
      <c r="GD674" s="275"/>
      <c r="GE674" s="275"/>
      <c r="GF674" s="275"/>
      <c r="GG674" s="275"/>
      <c r="GH674" s="275"/>
      <c r="GI674" s="275"/>
      <c r="GJ674" s="275"/>
      <c r="GK674" s="275"/>
      <c r="GL674" s="275"/>
      <c r="GM674" s="275"/>
      <c r="GN674" s="275"/>
      <c r="GO674" s="275"/>
      <c r="GP674" s="275"/>
      <c r="GQ674" s="275"/>
      <c r="GR674" s="275"/>
      <c r="GS674" s="275"/>
      <c r="GT674" s="275"/>
      <c r="GU674" s="275"/>
      <c r="GV674" s="275"/>
      <c r="GW674" s="275"/>
      <c r="GX674" s="275"/>
      <c r="GY674" s="275"/>
      <c r="GZ674" s="275"/>
      <c r="HA674" s="275"/>
      <c r="HB674" s="275"/>
      <c r="HC674" s="275"/>
      <c r="HD674" s="275"/>
      <c r="HE674" s="275"/>
      <c r="HF674" s="275"/>
      <c r="HG674" s="275"/>
      <c r="HH674" s="275"/>
      <c r="HI674" s="275"/>
      <c r="HJ674" s="275"/>
      <c r="HK674" s="275"/>
      <c r="HL674" s="275"/>
      <c r="HM674" s="275"/>
      <c r="HN674" s="275"/>
      <c r="HO674" s="275"/>
      <c r="HP674" s="275"/>
      <c r="HQ674" s="275"/>
      <c r="HR674" s="275"/>
    </row>
    <row r="675" spans="1:226" s="297" customFormat="1">
      <c r="A675" s="275"/>
      <c r="B675" s="21"/>
      <c r="C675" s="21"/>
      <c r="D675" s="21"/>
      <c r="E675" s="21"/>
      <c r="F675" s="275"/>
      <c r="G675" s="275"/>
      <c r="H675" s="275"/>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J675" s="275"/>
      <c r="AK675" s="275"/>
      <c r="AL675" s="275"/>
      <c r="AM675" s="275"/>
      <c r="AN675" s="275"/>
      <c r="AO675" s="275"/>
      <c r="AQ675" s="275"/>
      <c r="AR675" s="275"/>
      <c r="AS675" s="275"/>
      <c r="AT675" s="275"/>
      <c r="AU675" s="275"/>
      <c r="AV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D675" s="275"/>
      <c r="EE675" s="275"/>
      <c r="EF675" s="275"/>
      <c r="EG675" s="275"/>
      <c r="EH675" s="275"/>
      <c r="EI675" s="275"/>
      <c r="EJ675" s="275"/>
      <c r="EK675" s="275"/>
      <c r="EL675" s="275"/>
      <c r="EM675" s="275"/>
      <c r="EN675" s="275"/>
      <c r="EO675" s="275"/>
      <c r="EP675" s="275"/>
      <c r="EQ675" s="275"/>
      <c r="ER675" s="275"/>
      <c r="ES675" s="275"/>
      <c r="ET675" s="275"/>
      <c r="EU675"/>
      <c r="EV675"/>
      <c r="EW675" s="275"/>
      <c r="EX675" s="275"/>
      <c r="EY675" s="275"/>
      <c r="EZ675" s="275"/>
      <c r="FA675" s="275"/>
      <c r="FB675" s="275"/>
      <c r="FC675" s="275"/>
      <c r="FD675" s="275"/>
      <c r="FE675" s="275"/>
      <c r="FF675" s="275"/>
      <c r="FG675" s="275"/>
      <c r="FH675" s="275"/>
      <c r="FI675" s="275"/>
      <c r="FJ675" s="275"/>
      <c r="FK675" s="275"/>
      <c r="FL675" s="275"/>
      <c r="FM675" s="275"/>
      <c r="FN675" s="275"/>
      <c r="FO675" s="275"/>
      <c r="FP675" s="275"/>
      <c r="FQ675" s="275"/>
      <c r="FR675" s="275"/>
      <c r="FS675" s="275"/>
      <c r="FT675" s="275"/>
      <c r="FU675" s="275"/>
      <c r="FV675" s="275"/>
      <c r="FW675" s="275"/>
      <c r="FX675" s="275"/>
      <c r="FY675" s="275"/>
      <c r="FZ675" s="275"/>
      <c r="GA675" s="275"/>
      <c r="GB675" s="275"/>
      <c r="GC675" s="275"/>
      <c r="GD675" s="275"/>
      <c r="GE675" s="275"/>
      <c r="GF675" s="275"/>
      <c r="GG675" s="275"/>
      <c r="GH675" s="275"/>
      <c r="GI675" s="275"/>
      <c r="GJ675" s="275"/>
      <c r="GK675" s="275"/>
      <c r="GL675" s="275"/>
      <c r="GM675" s="275"/>
      <c r="GN675" s="275"/>
      <c r="GO675" s="275"/>
      <c r="GP675" s="275"/>
      <c r="GQ675" s="275"/>
      <c r="GR675" s="275"/>
      <c r="GS675" s="275"/>
      <c r="GT675" s="275"/>
      <c r="GU675" s="275"/>
      <c r="GV675" s="275"/>
      <c r="GW675" s="275"/>
      <c r="GX675" s="275"/>
      <c r="GY675" s="275"/>
      <c r="GZ675" s="275"/>
      <c r="HA675" s="275"/>
      <c r="HB675" s="275"/>
      <c r="HC675" s="275"/>
      <c r="HD675" s="275"/>
      <c r="HE675" s="275"/>
      <c r="HF675" s="275"/>
      <c r="HG675" s="275"/>
      <c r="HH675" s="275"/>
      <c r="HI675" s="275"/>
      <c r="HJ675" s="275"/>
      <c r="HK675" s="275"/>
      <c r="HL675" s="275"/>
      <c r="HM675" s="275"/>
      <c r="HN675" s="275"/>
      <c r="HO675" s="275"/>
      <c r="HP675" s="275"/>
      <c r="HQ675" s="275"/>
      <c r="HR675" s="275"/>
    </row>
    <row r="676" spans="1:226" s="297" customFormat="1">
      <c r="A676" s="275"/>
      <c r="B676" s="21"/>
      <c r="C676" s="21"/>
      <c r="D676" s="21"/>
      <c r="E676" s="21"/>
      <c r="F676" s="275"/>
      <c r="G676" s="275"/>
      <c r="H676" s="275"/>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J676" s="275"/>
      <c r="AK676" s="275"/>
      <c r="AL676" s="275"/>
      <c r="AM676" s="275"/>
      <c r="AN676" s="275"/>
      <c r="AO676" s="275"/>
      <c r="AQ676" s="275"/>
      <c r="AR676" s="275"/>
      <c r="AS676" s="275"/>
      <c r="AT676" s="275"/>
      <c r="AU676" s="275"/>
      <c r="AV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D676" s="275"/>
      <c r="EE676" s="275"/>
      <c r="EF676" s="275"/>
      <c r="EG676" s="275"/>
      <c r="EH676" s="275"/>
      <c r="EI676" s="275"/>
      <c r="EJ676" s="275"/>
      <c r="EK676" s="275"/>
      <c r="EL676" s="275"/>
      <c r="EM676" s="275"/>
      <c r="EN676" s="275"/>
      <c r="EO676" s="275"/>
      <c r="EP676" s="275"/>
      <c r="EQ676" s="275"/>
      <c r="ER676" s="275"/>
      <c r="ES676" s="275"/>
      <c r="ET676" s="275"/>
      <c r="EU676"/>
      <c r="EV676"/>
      <c r="EW676" s="275"/>
      <c r="EX676" s="275"/>
      <c r="EY676" s="275"/>
      <c r="EZ676" s="275"/>
      <c r="FA676" s="275"/>
      <c r="FB676" s="275"/>
      <c r="FC676" s="275"/>
      <c r="FD676" s="275"/>
      <c r="FE676" s="275"/>
      <c r="FF676" s="275"/>
      <c r="FG676" s="275"/>
      <c r="FH676" s="275"/>
      <c r="FI676" s="275"/>
      <c r="FJ676" s="275"/>
      <c r="FK676" s="275"/>
      <c r="FL676" s="275"/>
      <c r="FM676" s="275"/>
      <c r="FN676" s="275"/>
      <c r="FO676" s="275"/>
      <c r="FP676" s="275"/>
      <c r="FQ676" s="275"/>
      <c r="FR676" s="275"/>
      <c r="FS676" s="275"/>
      <c r="FT676" s="275"/>
      <c r="FU676" s="275"/>
      <c r="FV676" s="275"/>
      <c r="FW676" s="275"/>
      <c r="FX676" s="275"/>
      <c r="FY676" s="275"/>
      <c r="FZ676" s="275"/>
      <c r="GA676" s="275"/>
      <c r="GB676" s="275"/>
      <c r="GC676" s="275"/>
      <c r="GD676" s="275"/>
      <c r="GE676" s="275"/>
      <c r="GF676" s="275"/>
      <c r="GG676" s="275"/>
      <c r="GH676" s="275"/>
      <c r="GI676" s="275"/>
      <c r="GJ676" s="275"/>
      <c r="GK676" s="275"/>
      <c r="GL676" s="275"/>
      <c r="GM676" s="275"/>
      <c r="GN676" s="275"/>
      <c r="GO676" s="275"/>
      <c r="GP676" s="275"/>
      <c r="GQ676" s="275"/>
      <c r="GR676" s="275"/>
      <c r="GS676" s="275"/>
      <c r="GT676" s="275"/>
      <c r="GU676" s="275"/>
      <c r="GV676" s="275"/>
      <c r="GW676" s="275"/>
      <c r="GX676" s="275"/>
      <c r="GY676" s="275"/>
      <c r="GZ676" s="275"/>
      <c r="HA676" s="275"/>
      <c r="HB676" s="275"/>
      <c r="HC676" s="275"/>
      <c r="HD676" s="275"/>
      <c r="HE676" s="275"/>
      <c r="HF676" s="275"/>
      <c r="HG676" s="275"/>
      <c r="HH676" s="275"/>
      <c r="HI676" s="275"/>
      <c r="HJ676" s="275"/>
      <c r="HK676" s="275"/>
      <c r="HL676" s="275"/>
      <c r="HM676" s="275"/>
      <c r="HN676" s="275"/>
      <c r="HO676" s="275"/>
      <c r="HP676" s="275"/>
      <c r="HQ676" s="275"/>
      <c r="HR676" s="275"/>
    </row>
    <row r="677" spans="1:226" s="297" customFormat="1">
      <c r="A677" s="275"/>
      <c r="B677" s="21"/>
      <c r="C677" s="21"/>
      <c r="D677" s="21"/>
      <c r="E677" s="21"/>
      <c r="F677" s="275"/>
      <c r="G677" s="275"/>
      <c r="H677" s="275"/>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J677" s="275"/>
      <c r="AK677" s="275"/>
      <c r="AL677" s="275"/>
      <c r="AM677" s="275"/>
      <c r="AN677" s="275"/>
      <c r="AO677" s="275"/>
      <c r="AQ677" s="275"/>
      <c r="AR677" s="275"/>
      <c r="AS677" s="275"/>
      <c r="AT677" s="275"/>
      <c r="AU677" s="275"/>
      <c r="AV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D677" s="275"/>
      <c r="EE677" s="275"/>
      <c r="EF677" s="275"/>
      <c r="EG677" s="275"/>
      <c r="EH677" s="275"/>
      <c r="EI677" s="275"/>
      <c r="EJ677" s="275"/>
      <c r="EK677" s="275"/>
      <c r="EL677" s="275"/>
      <c r="EM677" s="275"/>
      <c r="EN677" s="275"/>
      <c r="EO677" s="275"/>
      <c r="EP677" s="275"/>
      <c r="EQ677" s="275"/>
      <c r="ER677" s="275"/>
      <c r="ES677" s="275"/>
      <c r="ET677" s="275"/>
      <c r="EU677"/>
      <c r="EV677"/>
      <c r="EW677" s="275"/>
      <c r="EX677" s="275"/>
      <c r="EY677" s="275"/>
      <c r="EZ677" s="275"/>
      <c r="FA677" s="275"/>
      <c r="FB677" s="275"/>
      <c r="FC677" s="275"/>
      <c r="FD677" s="275"/>
      <c r="FE677" s="275"/>
      <c r="FF677" s="275"/>
      <c r="FG677" s="275"/>
      <c r="FH677" s="275"/>
      <c r="FI677" s="275"/>
      <c r="FJ677" s="275"/>
      <c r="FK677" s="275"/>
      <c r="FL677" s="275"/>
      <c r="FM677" s="275"/>
      <c r="FN677" s="275"/>
      <c r="FO677" s="275"/>
      <c r="FP677" s="275"/>
      <c r="FQ677" s="275"/>
      <c r="FR677" s="275"/>
      <c r="FS677" s="275"/>
      <c r="FT677" s="275"/>
      <c r="FU677" s="275"/>
      <c r="FV677" s="275"/>
      <c r="FW677" s="275"/>
      <c r="FX677" s="275"/>
      <c r="FY677" s="275"/>
      <c r="FZ677" s="275"/>
      <c r="GA677" s="275"/>
      <c r="GB677" s="275"/>
      <c r="GC677" s="275"/>
      <c r="GD677" s="275"/>
      <c r="GE677" s="275"/>
      <c r="GF677" s="275"/>
      <c r="GG677" s="275"/>
      <c r="GH677" s="275"/>
      <c r="GI677" s="275"/>
      <c r="GJ677" s="275"/>
      <c r="GK677" s="275"/>
      <c r="GL677" s="275"/>
      <c r="GM677" s="275"/>
      <c r="GN677" s="275"/>
      <c r="GO677" s="275"/>
      <c r="GP677" s="275"/>
      <c r="GQ677" s="275"/>
      <c r="GR677" s="275"/>
      <c r="GS677" s="275"/>
      <c r="GT677" s="275"/>
      <c r="GU677" s="275"/>
      <c r="GV677" s="275"/>
      <c r="GW677" s="275"/>
      <c r="GX677" s="275"/>
      <c r="GY677" s="275"/>
      <c r="GZ677" s="275"/>
      <c r="HA677" s="275"/>
      <c r="HB677" s="275"/>
      <c r="HC677" s="275"/>
      <c r="HD677" s="275"/>
      <c r="HE677" s="275"/>
      <c r="HF677" s="275"/>
      <c r="HG677" s="275"/>
      <c r="HH677" s="275"/>
      <c r="HI677" s="275"/>
      <c r="HJ677" s="275"/>
      <c r="HK677" s="275"/>
      <c r="HL677" s="275"/>
      <c r="HM677" s="275"/>
      <c r="HN677" s="275"/>
      <c r="HO677" s="275"/>
      <c r="HP677" s="275"/>
      <c r="HQ677" s="275"/>
      <c r="HR677" s="275"/>
    </row>
    <row r="678" spans="1:226" s="297" customFormat="1">
      <c r="A678" s="275"/>
      <c r="B678" s="21"/>
      <c r="C678" s="21"/>
      <c r="D678" s="21"/>
      <c r="E678" s="21"/>
      <c r="F678" s="275"/>
      <c r="G678" s="275"/>
      <c r="H678" s="275"/>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J678" s="275"/>
      <c r="AK678" s="275"/>
      <c r="AL678" s="275"/>
      <c r="AM678" s="275"/>
      <c r="AN678" s="275"/>
      <c r="AO678" s="275"/>
      <c r="AQ678" s="275"/>
      <c r="AR678" s="275"/>
      <c r="AS678" s="275"/>
      <c r="AT678" s="275"/>
      <c r="AU678" s="275"/>
      <c r="AV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D678" s="275"/>
      <c r="EE678" s="275"/>
      <c r="EF678" s="275"/>
      <c r="EG678" s="275"/>
      <c r="EH678" s="275"/>
      <c r="EI678" s="275"/>
      <c r="EJ678" s="275"/>
      <c r="EK678" s="275"/>
      <c r="EL678" s="275"/>
      <c r="EM678" s="275"/>
      <c r="EN678" s="275"/>
      <c r="EO678" s="275"/>
      <c r="EP678" s="275"/>
      <c r="EQ678" s="275"/>
      <c r="ER678" s="275"/>
      <c r="ES678" s="275"/>
      <c r="ET678" s="275"/>
      <c r="EU678"/>
      <c r="EV678"/>
      <c r="EW678" s="275"/>
      <c r="EX678" s="275"/>
      <c r="EY678" s="275"/>
      <c r="EZ678" s="275"/>
      <c r="FA678" s="275"/>
      <c r="FB678" s="275"/>
      <c r="FC678" s="275"/>
      <c r="FD678" s="275"/>
      <c r="FE678" s="275"/>
      <c r="FF678" s="275"/>
      <c r="FG678" s="275"/>
      <c r="FH678" s="275"/>
      <c r="FI678" s="275"/>
      <c r="FJ678" s="275"/>
      <c r="FK678" s="275"/>
      <c r="FL678" s="275"/>
      <c r="FM678" s="275"/>
      <c r="FN678" s="275"/>
      <c r="FO678" s="275"/>
      <c r="FP678" s="275"/>
      <c r="FQ678" s="275"/>
      <c r="FR678" s="275"/>
      <c r="FS678" s="275"/>
      <c r="FT678" s="275"/>
      <c r="FU678" s="275"/>
      <c r="FV678" s="275"/>
      <c r="FW678" s="275"/>
      <c r="FX678" s="275"/>
      <c r="FY678" s="275"/>
      <c r="FZ678" s="275"/>
      <c r="GA678" s="275"/>
      <c r="GB678" s="275"/>
      <c r="GC678" s="275"/>
      <c r="GD678" s="275"/>
      <c r="GE678" s="275"/>
      <c r="GF678" s="275"/>
      <c r="GG678" s="275"/>
      <c r="GH678" s="275"/>
      <c r="GI678" s="275"/>
      <c r="GJ678" s="275"/>
      <c r="GK678" s="275"/>
      <c r="GL678" s="275"/>
      <c r="GM678" s="275"/>
      <c r="GN678" s="275"/>
      <c r="GO678" s="275"/>
      <c r="GP678" s="275"/>
      <c r="GQ678" s="275"/>
      <c r="GR678" s="275"/>
      <c r="GS678" s="275"/>
      <c r="GT678" s="275"/>
      <c r="GU678" s="275"/>
      <c r="GV678" s="275"/>
      <c r="GW678" s="275"/>
      <c r="GX678" s="275"/>
      <c r="GY678" s="275"/>
      <c r="GZ678" s="275"/>
      <c r="HA678" s="275"/>
      <c r="HB678" s="275"/>
      <c r="HC678" s="275"/>
      <c r="HD678" s="275"/>
      <c r="HE678" s="275"/>
      <c r="HF678" s="275"/>
      <c r="HG678" s="275"/>
      <c r="HH678" s="275"/>
      <c r="HI678" s="275"/>
      <c r="HJ678" s="275"/>
      <c r="HK678" s="275"/>
      <c r="HL678" s="275"/>
      <c r="HM678" s="275"/>
      <c r="HN678" s="275"/>
      <c r="HO678" s="275"/>
      <c r="HP678" s="275"/>
      <c r="HQ678" s="275"/>
      <c r="HR678" s="275"/>
    </row>
    <row r="679" spans="1:226" s="297" customFormat="1">
      <c r="A679" s="275"/>
      <c r="B679" s="21"/>
      <c r="C679" s="21"/>
      <c r="D679" s="21"/>
      <c r="E679" s="21"/>
      <c r="F679" s="275"/>
      <c r="G679" s="275"/>
      <c r="H679" s="275"/>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J679" s="275"/>
      <c r="AK679" s="275"/>
      <c r="AL679" s="275"/>
      <c r="AM679" s="275"/>
      <c r="AN679" s="275"/>
      <c r="AO679" s="275"/>
      <c r="AQ679" s="275"/>
      <c r="AR679" s="275"/>
      <c r="AS679" s="275"/>
      <c r="AT679" s="275"/>
      <c r="AU679" s="275"/>
      <c r="AV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D679" s="275"/>
      <c r="EE679" s="275"/>
      <c r="EF679" s="275"/>
      <c r="EG679" s="275"/>
      <c r="EH679" s="275"/>
      <c r="EI679" s="275"/>
      <c r="EJ679" s="275"/>
      <c r="EK679" s="275"/>
      <c r="EL679" s="275"/>
      <c r="EM679" s="275"/>
      <c r="EN679" s="275"/>
      <c r="EO679" s="275"/>
      <c r="EP679" s="275"/>
      <c r="EQ679" s="275"/>
      <c r="ER679" s="275"/>
      <c r="ES679" s="275"/>
      <c r="ET679" s="275"/>
      <c r="EU679"/>
      <c r="EV679"/>
      <c r="EW679" s="275"/>
      <c r="EX679" s="275"/>
      <c r="EY679" s="275"/>
      <c r="EZ679" s="275"/>
      <c r="FA679" s="275"/>
      <c r="FB679" s="275"/>
      <c r="FC679" s="275"/>
      <c r="FD679" s="275"/>
      <c r="FE679" s="275"/>
      <c r="FF679" s="275"/>
      <c r="FG679" s="275"/>
      <c r="FH679" s="275"/>
      <c r="FI679" s="275"/>
      <c r="FJ679" s="275"/>
      <c r="FK679" s="275"/>
      <c r="FL679" s="275"/>
      <c r="FM679" s="275"/>
      <c r="FN679" s="275"/>
      <c r="FO679" s="275"/>
      <c r="FP679" s="275"/>
      <c r="FQ679" s="275"/>
      <c r="FR679" s="275"/>
      <c r="FS679" s="275"/>
      <c r="FT679" s="275"/>
      <c r="FU679" s="275"/>
      <c r="FV679" s="275"/>
      <c r="FW679" s="275"/>
      <c r="FX679" s="275"/>
      <c r="FY679" s="275"/>
      <c r="FZ679" s="275"/>
      <c r="GA679" s="275"/>
      <c r="GB679" s="275"/>
      <c r="GC679" s="275"/>
      <c r="GD679" s="275"/>
      <c r="GE679" s="275"/>
      <c r="GF679" s="275"/>
      <c r="GG679" s="275"/>
      <c r="GH679" s="275"/>
      <c r="GI679" s="275"/>
      <c r="GJ679" s="275"/>
      <c r="GK679" s="275"/>
      <c r="GL679" s="275"/>
      <c r="GM679" s="275"/>
      <c r="GN679" s="275"/>
      <c r="GO679" s="275"/>
      <c r="GP679" s="275"/>
      <c r="GQ679" s="275"/>
      <c r="GR679" s="275"/>
      <c r="GS679" s="275"/>
      <c r="GT679" s="275"/>
      <c r="GU679" s="275"/>
      <c r="GV679" s="275"/>
      <c r="GW679" s="275"/>
      <c r="GX679" s="275"/>
      <c r="GY679" s="275"/>
      <c r="GZ679" s="275"/>
      <c r="HA679" s="275"/>
      <c r="HB679" s="275"/>
      <c r="HC679" s="275"/>
      <c r="HD679" s="275"/>
      <c r="HE679" s="275"/>
      <c r="HF679" s="275"/>
      <c r="HG679" s="275"/>
      <c r="HH679" s="275"/>
      <c r="HI679" s="275"/>
      <c r="HJ679" s="275"/>
      <c r="HK679" s="275"/>
      <c r="HL679" s="275"/>
      <c r="HM679" s="275"/>
      <c r="HN679" s="275"/>
      <c r="HO679" s="275"/>
      <c r="HP679" s="275"/>
      <c r="HQ679" s="275"/>
      <c r="HR679" s="275"/>
    </row>
    <row r="680" spans="1:226" s="297" customFormat="1">
      <c r="A680" s="275"/>
      <c r="B680" s="21"/>
      <c r="C680" s="21"/>
      <c r="D680" s="21"/>
      <c r="E680" s="21"/>
      <c r="F680" s="275"/>
      <c r="G680" s="275"/>
      <c r="H680" s="275"/>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J680" s="275"/>
      <c r="AK680" s="275"/>
      <c r="AL680" s="275"/>
      <c r="AM680" s="275"/>
      <c r="AN680" s="275"/>
      <c r="AO680" s="275"/>
      <c r="AQ680" s="275"/>
      <c r="AR680" s="275"/>
      <c r="AS680" s="275"/>
      <c r="AT680" s="275"/>
      <c r="AU680" s="275"/>
      <c r="AV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D680" s="275"/>
      <c r="EE680" s="275"/>
      <c r="EF680" s="275"/>
      <c r="EG680" s="275"/>
      <c r="EH680" s="275"/>
      <c r="EI680" s="275"/>
      <c r="EJ680" s="275"/>
      <c r="EK680" s="275"/>
      <c r="EL680" s="275"/>
      <c r="EM680" s="275"/>
      <c r="EN680" s="275"/>
      <c r="EO680" s="275"/>
      <c r="EP680" s="275"/>
      <c r="EQ680" s="275"/>
      <c r="ER680" s="275"/>
      <c r="ES680" s="275"/>
      <c r="ET680" s="275"/>
      <c r="EU680"/>
      <c r="EV680"/>
      <c r="EW680" s="275"/>
      <c r="EX680" s="275"/>
      <c r="EY680" s="275"/>
      <c r="EZ680" s="275"/>
      <c r="FA680" s="275"/>
      <c r="FB680" s="275"/>
      <c r="FC680" s="275"/>
      <c r="FD680" s="275"/>
      <c r="FE680" s="275"/>
      <c r="FF680" s="275"/>
      <c r="FG680" s="275"/>
      <c r="FH680" s="275"/>
      <c r="FI680" s="275"/>
      <c r="FJ680" s="275"/>
      <c r="FK680" s="275"/>
      <c r="FL680" s="275"/>
      <c r="FM680" s="275"/>
      <c r="FN680" s="275"/>
      <c r="FO680" s="275"/>
      <c r="FP680" s="275"/>
      <c r="FQ680" s="275"/>
      <c r="FR680" s="275"/>
      <c r="FS680" s="275"/>
      <c r="FT680" s="275"/>
      <c r="FU680" s="275"/>
      <c r="FV680" s="275"/>
      <c r="FW680" s="275"/>
      <c r="FX680" s="275"/>
      <c r="FY680" s="275"/>
      <c r="FZ680" s="275"/>
      <c r="GA680" s="275"/>
      <c r="GB680" s="275"/>
      <c r="GC680" s="275"/>
      <c r="GD680" s="275"/>
      <c r="GE680" s="275"/>
      <c r="GF680" s="275"/>
      <c r="GG680" s="275"/>
      <c r="GH680" s="275"/>
      <c r="GI680" s="275"/>
      <c r="GJ680" s="275"/>
      <c r="GK680" s="275"/>
      <c r="GL680" s="275"/>
      <c r="GM680" s="275"/>
      <c r="GN680" s="275"/>
      <c r="GO680" s="275"/>
      <c r="GP680" s="275"/>
      <c r="GQ680" s="275"/>
      <c r="GR680" s="275"/>
      <c r="GS680" s="275"/>
      <c r="GT680" s="275"/>
      <c r="GU680" s="275"/>
      <c r="GV680" s="275"/>
      <c r="GW680" s="275"/>
      <c r="GX680" s="275"/>
      <c r="GY680" s="275"/>
      <c r="GZ680" s="275"/>
      <c r="HA680" s="275"/>
      <c r="HB680" s="275"/>
      <c r="HC680" s="275"/>
      <c r="HD680" s="275"/>
      <c r="HE680" s="275"/>
      <c r="HF680" s="275"/>
      <c r="HG680" s="275"/>
      <c r="HH680" s="275"/>
      <c r="HI680" s="275"/>
      <c r="HJ680" s="275"/>
      <c r="HK680" s="275"/>
      <c r="HL680" s="275"/>
      <c r="HM680" s="275"/>
      <c r="HN680" s="275"/>
      <c r="HO680" s="275"/>
      <c r="HP680" s="275"/>
      <c r="HQ680" s="275"/>
      <c r="HR680" s="275"/>
    </row>
    <row r="681" spans="1:226" s="297" customFormat="1">
      <c r="A681" s="275"/>
      <c r="B681" s="21"/>
      <c r="C681" s="21"/>
      <c r="D681" s="21"/>
      <c r="E681" s="21"/>
      <c r="F681" s="275"/>
      <c r="G681" s="275"/>
      <c r="H681" s="275"/>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J681" s="275"/>
      <c r="AK681" s="275"/>
      <c r="AL681" s="275"/>
      <c r="AM681" s="275"/>
      <c r="AN681" s="275"/>
      <c r="AO681" s="275"/>
      <c r="AQ681" s="275"/>
      <c r="AR681" s="275"/>
      <c r="AS681" s="275"/>
      <c r="AT681" s="275"/>
      <c r="AU681" s="275"/>
      <c r="AV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D681" s="275"/>
      <c r="EE681" s="275"/>
      <c r="EF681" s="275"/>
      <c r="EG681" s="275"/>
      <c r="EH681" s="275"/>
      <c r="EI681" s="275"/>
      <c r="EJ681" s="275"/>
      <c r="EK681" s="275"/>
      <c r="EL681" s="275"/>
      <c r="EM681" s="275"/>
      <c r="EN681" s="275"/>
      <c r="EO681" s="275"/>
      <c r="EP681" s="275"/>
      <c r="EQ681" s="275"/>
      <c r="ER681" s="275"/>
      <c r="ES681" s="275"/>
      <c r="ET681" s="275"/>
      <c r="EU681"/>
      <c r="EV681"/>
      <c r="EW681" s="275"/>
      <c r="EX681" s="275"/>
      <c r="EY681" s="275"/>
      <c r="EZ681" s="275"/>
      <c r="FA681" s="275"/>
      <c r="FB681" s="275"/>
      <c r="FC681" s="275"/>
      <c r="FD681" s="275"/>
      <c r="FE681" s="275"/>
      <c r="FF681" s="275"/>
      <c r="FG681" s="275"/>
      <c r="FH681" s="275"/>
      <c r="FI681" s="275"/>
      <c r="FJ681" s="275"/>
      <c r="FK681" s="275"/>
      <c r="FL681" s="275"/>
      <c r="FM681" s="275"/>
      <c r="FN681" s="275"/>
      <c r="FO681" s="275"/>
      <c r="FP681" s="275"/>
      <c r="FQ681" s="275"/>
      <c r="FR681" s="275"/>
      <c r="FS681" s="275"/>
      <c r="FT681" s="275"/>
      <c r="FU681" s="275"/>
      <c r="FV681" s="275"/>
      <c r="FW681" s="275"/>
      <c r="FX681" s="275"/>
      <c r="FY681" s="275"/>
      <c r="FZ681" s="275"/>
      <c r="GA681" s="275"/>
      <c r="GB681" s="275"/>
      <c r="GC681" s="275"/>
      <c r="GD681" s="275"/>
      <c r="GE681" s="275"/>
      <c r="GF681" s="275"/>
      <c r="GG681" s="275"/>
      <c r="GH681" s="275"/>
      <c r="GI681" s="275"/>
      <c r="GJ681" s="275"/>
      <c r="GK681" s="275"/>
      <c r="GL681" s="275"/>
      <c r="GM681" s="275"/>
      <c r="GN681" s="275"/>
      <c r="GO681" s="275"/>
      <c r="GP681" s="275"/>
      <c r="GQ681" s="275"/>
      <c r="GR681" s="275"/>
      <c r="GS681" s="275"/>
      <c r="GT681" s="275"/>
      <c r="GU681" s="275"/>
      <c r="GV681" s="275"/>
      <c r="GW681" s="275"/>
      <c r="GX681" s="275"/>
      <c r="GY681" s="275"/>
      <c r="GZ681" s="275"/>
      <c r="HA681" s="275"/>
      <c r="HB681" s="275"/>
      <c r="HC681" s="275"/>
      <c r="HD681" s="275"/>
      <c r="HE681" s="275"/>
      <c r="HF681" s="275"/>
      <c r="HG681" s="275"/>
      <c r="HH681" s="275"/>
      <c r="HI681" s="275"/>
      <c r="HJ681" s="275"/>
      <c r="HK681" s="275"/>
      <c r="HL681" s="275"/>
      <c r="HM681" s="275"/>
      <c r="HN681" s="275"/>
      <c r="HO681" s="275"/>
      <c r="HP681" s="275"/>
      <c r="HQ681" s="275"/>
      <c r="HR681" s="275"/>
    </row>
    <row r="682" spans="1:226" s="297" customFormat="1">
      <c r="A682" s="275"/>
      <c r="B682" s="21"/>
      <c r="C682" s="21"/>
      <c r="D682" s="21"/>
      <c r="E682" s="21"/>
      <c r="F682" s="275"/>
      <c r="G682" s="275"/>
      <c r="H682" s="275"/>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J682" s="275"/>
      <c r="AK682" s="275"/>
      <c r="AL682" s="275"/>
      <c r="AM682" s="275"/>
      <c r="AN682" s="275"/>
      <c r="AO682" s="275"/>
      <c r="AQ682" s="275"/>
      <c r="AR682" s="275"/>
      <c r="AS682" s="275"/>
      <c r="AT682" s="275"/>
      <c r="AU682" s="275"/>
      <c r="AV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D682" s="275"/>
      <c r="EE682" s="275"/>
      <c r="EF682" s="275"/>
      <c r="EG682" s="275"/>
      <c r="EH682" s="275"/>
      <c r="EI682" s="275"/>
      <c r="EJ682" s="275"/>
      <c r="EK682" s="275"/>
      <c r="EL682" s="275"/>
      <c r="EM682" s="275"/>
      <c r="EN682" s="275"/>
      <c r="EO682" s="275"/>
      <c r="EP682" s="275"/>
      <c r="EQ682" s="275"/>
      <c r="ER682" s="275"/>
      <c r="ES682" s="275"/>
      <c r="ET682" s="275"/>
      <c r="EU682"/>
      <c r="EV682"/>
      <c r="EW682" s="275"/>
      <c r="EX682" s="275"/>
      <c r="EY682" s="275"/>
      <c r="EZ682" s="275"/>
      <c r="FA682" s="275"/>
      <c r="FB682" s="275"/>
      <c r="FC682" s="275"/>
      <c r="FD682" s="275"/>
      <c r="FE682" s="275"/>
      <c r="FF682" s="275"/>
      <c r="FG682" s="275"/>
      <c r="FH682" s="275"/>
      <c r="FI682" s="275"/>
      <c r="FJ682" s="275"/>
      <c r="FK682" s="275"/>
      <c r="FL682" s="275"/>
      <c r="FM682" s="275"/>
      <c r="FN682" s="275"/>
      <c r="FO682" s="275"/>
      <c r="FP682" s="275"/>
      <c r="FQ682" s="275"/>
      <c r="FR682" s="275"/>
      <c r="FS682" s="275"/>
      <c r="FT682" s="275"/>
      <c r="FU682" s="275"/>
      <c r="FV682" s="275"/>
      <c r="FW682" s="275"/>
      <c r="FX682" s="275"/>
      <c r="FY682" s="275"/>
      <c r="FZ682" s="275"/>
      <c r="GA682" s="275"/>
      <c r="GB682" s="275"/>
      <c r="GC682" s="275"/>
      <c r="GD682" s="275"/>
      <c r="GE682" s="275"/>
      <c r="GF682" s="275"/>
      <c r="GG682" s="275"/>
      <c r="GH682" s="275"/>
      <c r="GI682" s="275"/>
      <c r="GJ682" s="275"/>
      <c r="GK682" s="275"/>
      <c r="GL682" s="275"/>
      <c r="GM682" s="275"/>
      <c r="GN682" s="275"/>
      <c r="GO682" s="275"/>
      <c r="GP682" s="275"/>
      <c r="GQ682" s="275"/>
      <c r="GR682" s="275"/>
      <c r="GS682" s="275"/>
      <c r="GT682" s="275"/>
      <c r="GU682" s="275"/>
      <c r="GV682" s="275"/>
      <c r="GW682" s="275"/>
      <c r="GX682" s="275"/>
      <c r="GY682" s="275"/>
      <c r="GZ682" s="275"/>
      <c r="HA682" s="275"/>
      <c r="HB682" s="275"/>
      <c r="HC682" s="275"/>
      <c r="HD682" s="275"/>
      <c r="HE682" s="275"/>
      <c r="HF682" s="275"/>
      <c r="HG682" s="275"/>
      <c r="HH682" s="275"/>
      <c r="HI682" s="275"/>
      <c r="HJ682" s="275"/>
      <c r="HK682" s="275"/>
      <c r="HL682" s="275"/>
      <c r="HM682" s="275"/>
      <c r="HN682" s="275"/>
      <c r="HO682" s="275"/>
      <c r="HP682" s="275"/>
      <c r="HQ682" s="275"/>
      <c r="HR682" s="275"/>
    </row>
    <row r="683" spans="1:226" s="297" customFormat="1">
      <c r="A683" s="275"/>
      <c r="B683" s="21"/>
      <c r="C683" s="21"/>
      <c r="D683" s="21"/>
      <c r="E683" s="21"/>
      <c r="F683" s="275"/>
      <c r="G683" s="275"/>
      <c r="H683" s="275"/>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J683" s="275"/>
      <c r="AK683" s="275"/>
      <c r="AL683" s="275"/>
      <c r="AM683" s="275"/>
      <c r="AN683" s="275"/>
      <c r="AO683" s="275"/>
      <c r="AQ683" s="275"/>
      <c r="AR683" s="275"/>
      <c r="AS683" s="275"/>
      <c r="AT683" s="275"/>
      <c r="AU683" s="275"/>
      <c r="AV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D683" s="275"/>
      <c r="EE683" s="275"/>
      <c r="EF683" s="275"/>
      <c r="EG683" s="275"/>
      <c r="EH683" s="275"/>
      <c r="EI683" s="275"/>
      <c r="EJ683" s="275"/>
      <c r="EK683" s="275"/>
      <c r="EL683" s="275"/>
      <c r="EM683" s="275"/>
      <c r="EN683" s="275"/>
      <c r="EO683" s="275"/>
      <c r="EP683" s="275"/>
      <c r="EQ683" s="275"/>
      <c r="ER683" s="275"/>
      <c r="ES683" s="275"/>
      <c r="ET683" s="275"/>
      <c r="EU683"/>
      <c r="EV683"/>
      <c r="EW683" s="275"/>
      <c r="EX683" s="275"/>
      <c r="EY683" s="275"/>
      <c r="EZ683" s="275"/>
      <c r="FA683" s="275"/>
      <c r="FB683" s="275"/>
      <c r="FC683" s="275"/>
      <c r="FD683" s="275"/>
      <c r="FE683" s="275"/>
      <c r="FF683" s="275"/>
      <c r="FG683" s="275"/>
      <c r="FH683" s="275"/>
      <c r="FI683" s="275"/>
      <c r="FJ683" s="275"/>
      <c r="FK683" s="275"/>
      <c r="FL683" s="275"/>
      <c r="FM683" s="275"/>
      <c r="FN683" s="275"/>
      <c r="FO683" s="275"/>
      <c r="FP683" s="275"/>
      <c r="FQ683" s="275"/>
      <c r="FR683" s="275"/>
      <c r="FS683" s="275"/>
      <c r="FT683" s="275"/>
      <c r="FU683" s="275"/>
      <c r="FV683" s="275"/>
      <c r="FW683" s="275"/>
      <c r="FX683" s="275"/>
      <c r="FY683" s="275"/>
      <c r="FZ683" s="275"/>
      <c r="GA683" s="275"/>
      <c r="GB683" s="275"/>
      <c r="GC683" s="275"/>
      <c r="GD683" s="275"/>
      <c r="GE683" s="275"/>
      <c r="GF683" s="275"/>
      <c r="GG683" s="275"/>
      <c r="GH683" s="275"/>
      <c r="GI683" s="275"/>
      <c r="GJ683" s="275"/>
      <c r="GK683" s="275"/>
      <c r="GL683" s="275"/>
      <c r="GM683" s="275"/>
      <c r="GN683" s="275"/>
      <c r="GO683" s="275"/>
      <c r="GP683" s="275"/>
      <c r="GQ683" s="275"/>
      <c r="GR683" s="275"/>
      <c r="GS683" s="275"/>
      <c r="GT683" s="275"/>
      <c r="GU683" s="275"/>
      <c r="GV683" s="275"/>
      <c r="GW683" s="275"/>
      <c r="GX683" s="275"/>
      <c r="GY683" s="275"/>
      <c r="GZ683" s="275"/>
      <c r="HA683" s="275"/>
      <c r="HB683" s="275"/>
      <c r="HC683" s="275"/>
      <c r="HD683" s="275"/>
      <c r="HE683" s="275"/>
      <c r="HF683" s="275"/>
      <c r="HG683" s="275"/>
      <c r="HH683" s="275"/>
      <c r="HI683" s="275"/>
      <c r="HJ683" s="275"/>
      <c r="HK683" s="275"/>
      <c r="HL683" s="275"/>
      <c r="HM683" s="275"/>
      <c r="HN683" s="275"/>
      <c r="HO683" s="275"/>
      <c r="HP683" s="275"/>
      <c r="HQ683" s="275"/>
      <c r="HR683" s="275"/>
    </row>
    <row r="684" spans="1:226" s="297" customFormat="1">
      <c r="A684" s="275"/>
      <c r="B684" s="21"/>
      <c r="C684" s="21"/>
      <c r="D684" s="21"/>
      <c r="E684" s="21"/>
      <c r="F684" s="275"/>
      <c r="G684" s="275"/>
      <c r="H684" s="275"/>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J684" s="275"/>
      <c r="AK684" s="275"/>
      <c r="AL684" s="275"/>
      <c r="AM684" s="275"/>
      <c r="AN684" s="275"/>
      <c r="AO684" s="275"/>
      <c r="AQ684" s="275"/>
      <c r="AR684" s="275"/>
      <c r="AS684" s="275"/>
      <c r="AT684" s="275"/>
      <c r="AU684" s="275"/>
      <c r="AV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D684" s="275"/>
      <c r="EE684" s="275"/>
      <c r="EF684" s="275"/>
      <c r="EG684" s="275"/>
      <c r="EH684" s="275"/>
      <c r="EI684" s="275"/>
      <c r="EJ684" s="275"/>
      <c r="EK684" s="275"/>
      <c r="EL684" s="275"/>
      <c r="EM684" s="275"/>
      <c r="EN684" s="275"/>
      <c r="EO684" s="275"/>
      <c r="EP684" s="275"/>
      <c r="EQ684" s="275"/>
      <c r="ER684" s="275"/>
      <c r="ES684" s="275"/>
      <c r="ET684" s="275"/>
      <c r="EU684"/>
      <c r="EV684"/>
      <c r="EW684" s="275"/>
      <c r="EX684" s="275"/>
      <c r="EY684" s="275"/>
      <c r="EZ684" s="275"/>
      <c r="FA684" s="275"/>
      <c r="FB684" s="275"/>
      <c r="FC684" s="275"/>
      <c r="FD684" s="275"/>
      <c r="FE684" s="275"/>
      <c r="FF684" s="275"/>
      <c r="FG684" s="275"/>
      <c r="FH684" s="275"/>
      <c r="FI684" s="275"/>
      <c r="FJ684" s="275"/>
      <c r="FK684" s="275"/>
      <c r="FL684" s="275"/>
      <c r="FM684" s="275"/>
      <c r="FN684" s="275"/>
      <c r="FO684" s="275"/>
      <c r="FP684" s="275"/>
      <c r="FQ684" s="275"/>
      <c r="FR684" s="275"/>
      <c r="FS684" s="275"/>
      <c r="FT684" s="275"/>
      <c r="FU684" s="275"/>
      <c r="FV684" s="275"/>
      <c r="FW684" s="275"/>
      <c r="FX684" s="275"/>
      <c r="FY684" s="275"/>
      <c r="FZ684" s="275"/>
      <c r="GA684" s="275"/>
      <c r="GB684" s="275"/>
      <c r="GC684" s="275"/>
      <c r="GD684" s="275"/>
      <c r="GE684" s="275"/>
      <c r="GF684" s="275"/>
      <c r="GG684" s="275"/>
      <c r="GH684" s="275"/>
      <c r="GI684" s="275"/>
      <c r="GJ684" s="275"/>
      <c r="GK684" s="275"/>
      <c r="GL684" s="275"/>
      <c r="GM684" s="275"/>
      <c r="GN684" s="275"/>
      <c r="GO684" s="275"/>
      <c r="GP684" s="275"/>
      <c r="GQ684" s="275"/>
      <c r="GR684" s="275"/>
      <c r="GS684" s="275"/>
      <c r="GT684" s="275"/>
      <c r="GU684" s="275"/>
      <c r="GV684" s="275"/>
      <c r="GW684" s="275"/>
      <c r="GX684" s="275"/>
      <c r="GY684" s="275"/>
      <c r="GZ684" s="275"/>
      <c r="HA684" s="275"/>
      <c r="HB684" s="275"/>
      <c r="HC684" s="275"/>
      <c r="HD684" s="275"/>
      <c r="HE684" s="275"/>
      <c r="HF684" s="275"/>
      <c r="HG684" s="275"/>
      <c r="HH684" s="275"/>
      <c r="HI684" s="275"/>
      <c r="HJ684" s="275"/>
      <c r="HK684" s="275"/>
      <c r="HL684" s="275"/>
      <c r="HM684" s="275"/>
      <c r="HN684" s="275"/>
      <c r="HO684" s="275"/>
      <c r="HP684" s="275"/>
      <c r="HQ684" s="275"/>
      <c r="HR684" s="275"/>
    </row>
    <row r="685" spans="1:226" s="297" customFormat="1">
      <c r="A685" s="275"/>
      <c r="B685" s="21"/>
      <c r="C685" s="21"/>
      <c r="D685" s="21"/>
      <c r="E685" s="21"/>
      <c r="F685" s="275"/>
      <c r="G685" s="275"/>
      <c r="H685" s="275"/>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J685" s="275"/>
      <c r="AK685" s="275"/>
      <c r="AL685" s="275"/>
      <c r="AM685" s="275"/>
      <c r="AN685" s="275"/>
      <c r="AO685" s="275"/>
      <c r="AQ685" s="275"/>
      <c r="AR685" s="275"/>
      <c r="AS685" s="275"/>
      <c r="AT685" s="275"/>
      <c r="AU685" s="275"/>
      <c r="AV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D685" s="275"/>
      <c r="EE685" s="275"/>
      <c r="EF685" s="275"/>
      <c r="EG685" s="275"/>
      <c r="EH685" s="275"/>
      <c r="EI685" s="275"/>
      <c r="EJ685" s="275"/>
      <c r="EK685" s="275"/>
      <c r="EL685" s="275"/>
      <c r="EM685" s="275"/>
      <c r="EN685" s="275"/>
      <c r="EO685" s="275"/>
      <c r="EP685" s="275"/>
      <c r="EQ685" s="275"/>
      <c r="ER685" s="275"/>
      <c r="ES685" s="275"/>
      <c r="ET685" s="275"/>
      <c r="EU685"/>
      <c r="EV685"/>
      <c r="EW685" s="275"/>
      <c r="EX685" s="275"/>
      <c r="EY685" s="275"/>
      <c r="EZ685" s="275"/>
      <c r="FA685" s="275"/>
      <c r="FB685" s="275"/>
      <c r="FC685" s="275"/>
      <c r="FD685" s="275"/>
      <c r="FE685" s="275"/>
      <c r="FF685" s="275"/>
      <c r="FG685" s="275"/>
      <c r="FH685" s="275"/>
      <c r="FI685" s="275"/>
      <c r="FJ685" s="275"/>
      <c r="FK685" s="275"/>
      <c r="FL685" s="275"/>
      <c r="FM685" s="275"/>
      <c r="FN685" s="275"/>
      <c r="FO685" s="275"/>
      <c r="FP685" s="275"/>
      <c r="FQ685" s="275"/>
      <c r="FR685" s="275"/>
      <c r="FS685" s="275"/>
      <c r="FT685" s="275"/>
      <c r="FU685" s="275"/>
      <c r="FV685" s="275"/>
      <c r="FW685" s="275"/>
      <c r="FX685" s="275"/>
      <c r="FY685" s="275"/>
      <c r="FZ685" s="275"/>
      <c r="GA685" s="275"/>
      <c r="GB685" s="275"/>
      <c r="GC685" s="275"/>
      <c r="GD685" s="275"/>
      <c r="GE685" s="275"/>
      <c r="GF685" s="275"/>
      <c r="GG685" s="275"/>
      <c r="GH685" s="275"/>
      <c r="GI685" s="275"/>
      <c r="GJ685" s="275"/>
      <c r="GK685" s="275"/>
      <c r="GL685" s="275"/>
      <c r="GM685" s="275"/>
      <c r="GN685" s="275"/>
      <c r="GO685" s="275"/>
      <c r="GP685" s="275"/>
      <c r="GQ685" s="275"/>
      <c r="GR685" s="275"/>
      <c r="GS685" s="275"/>
      <c r="GT685" s="275"/>
      <c r="GU685" s="275"/>
      <c r="GV685" s="275"/>
      <c r="GW685" s="275"/>
      <c r="GX685" s="275"/>
      <c r="GY685" s="275"/>
      <c r="GZ685" s="275"/>
      <c r="HA685" s="275"/>
      <c r="HB685" s="275"/>
      <c r="HC685" s="275"/>
      <c r="HD685" s="275"/>
      <c r="HE685" s="275"/>
      <c r="HF685" s="275"/>
      <c r="HG685" s="275"/>
      <c r="HH685" s="275"/>
      <c r="HI685" s="275"/>
      <c r="HJ685" s="275"/>
      <c r="HK685" s="275"/>
      <c r="HL685" s="275"/>
      <c r="HM685" s="275"/>
      <c r="HN685" s="275"/>
      <c r="HO685" s="275"/>
      <c r="HP685" s="275"/>
      <c r="HQ685" s="275"/>
      <c r="HR685" s="275"/>
    </row>
    <row r="686" spans="1:226" s="297" customFormat="1">
      <c r="A686" s="275"/>
      <c r="B686" s="21"/>
      <c r="C686" s="21"/>
      <c r="D686" s="21"/>
      <c r="E686" s="21"/>
      <c r="F686" s="275"/>
      <c r="G686" s="275"/>
      <c r="H686" s="275"/>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J686" s="275"/>
      <c r="AK686" s="275"/>
      <c r="AL686" s="275"/>
      <c r="AM686" s="275"/>
      <c r="AN686" s="275"/>
      <c r="AO686" s="275"/>
      <c r="AQ686" s="275"/>
      <c r="AR686" s="275"/>
      <c r="AS686" s="275"/>
      <c r="AT686" s="275"/>
      <c r="AU686" s="275"/>
      <c r="AV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D686" s="275"/>
      <c r="EE686" s="275"/>
      <c r="EF686" s="275"/>
      <c r="EG686" s="275"/>
      <c r="EH686" s="275"/>
      <c r="EI686" s="275"/>
      <c r="EJ686" s="275"/>
      <c r="EK686" s="275"/>
      <c r="EL686" s="275"/>
      <c r="EM686" s="275"/>
      <c r="EN686" s="275"/>
      <c r="EO686" s="275"/>
      <c r="EP686" s="275"/>
      <c r="EQ686" s="275"/>
      <c r="ER686" s="275"/>
      <c r="ES686" s="275"/>
      <c r="ET686" s="275"/>
      <c r="EU686"/>
      <c r="EV686"/>
      <c r="EW686" s="275"/>
      <c r="EX686" s="275"/>
      <c r="EY686" s="275"/>
      <c r="EZ686" s="275"/>
      <c r="FA686" s="275"/>
      <c r="FB686" s="275"/>
      <c r="FC686" s="275"/>
      <c r="FD686" s="275"/>
      <c r="FE686" s="275"/>
      <c r="FF686" s="275"/>
      <c r="FG686" s="275"/>
      <c r="FH686" s="275"/>
      <c r="FI686" s="275"/>
      <c r="FJ686" s="275"/>
      <c r="FK686" s="275"/>
      <c r="FL686" s="275"/>
      <c r="FM686" s="275"/>
      <c r="FN686" s="275"/>
      <c r="FO686" s="275"/>
      <c r="FP686" s="275"/>
      <c r="FQ686" s="275"/>
      <c r="FR686" s="275"/>
      <c r="FS686" s="275"/>
      <c r="FT686" s="275"/>
      <c r="FU686" s="275"/>
      <c r="FV686" s="275"/>
      <c r="FW686" s="275"/>
      <c r="FX686" s="275"/>
      <c r="FY686" s="275"/>
      <c r="FZ686" s="275"/>
      <c r="GA686" s="275"/>
      <c r="GB686" s="275"/>
      <c r="GC686" s="275"/>
      <c r="GD686" s="275"/>
      <c r="GE686" s="275"/>
      <c r="GF686" s="275"/>
      <c r="GG686" s="275"/>
      <c r="GH686" s="275"/>
      <c r="GI686" s="275"/>
      <c r="GJ686" s="275"/>
      <c r="GK686" s="275"/>
      <c r="GL686" s="275"/>
      <c r="GM686" s="275"/>
      <c r="GN686" s="275"/>
      <c r="GO686" s="275"/>
      <c r="GP686" s="275"/>
      <c r="GQ686" s="275"/>
      <c r="GR686" s="275"/>
      <c r="GS686" s="275"/>
      <c r="GT686" s="275"/>
      <c r="GU686" s="275"/>
      <c r="GV686" s="275"/>
      <c r="GW686" s="275"/>
      <c r="GX686" s="275"/>
      <c r="GY686" s="275"/>
      <c r="GZ686" s="275"/>
      <c r="HA686" s="275"/>
      <c r="HB686" s="275"/>
      <c r="HC686" s="275"/>
      <c r="HD686" s="275"/>
      <c r="HE686" s="275"/>
      <c r="HF686" s="275"/>
      <c r="HG686" s="275"/>
      <c r="HH686" s="275"/>
      <c r="HI686" s="275"/>
      <c r="HJ686" s="275"/>
      <c r="HK686" s="275"/>
      <c r="HL686" s="275"/>
      <c r="HM686" s="275"/>
      <c r="HN686" s="275"/>
      <c r="HO686" s="275"/>
      <c r="HP686" s="275"/>
      <c r="HQ686" s="275"/>
      <c r="HR686" s="275"/>
    </row>
    <row r="687" spans="1:226" s="297" customFormat="1">
      <c r="A687" s="275"/>
      <c r="B687" s="21"/>
      <c r="C687" s="21"/>
      <c r="D687" s="21"/>
      <c r="E687" s="21"/>
      <c r="F687" s="275"/>
      <c r="G687" s="275"/>
      <c r="H687" s="275"/>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J687" s="275"/>
      <c r="AK687" s="275"/>
      <c r="AL687" s="275"/>
      <c r="AM687" s="275"/>
      <c r="AN687" s="275"/>
      <c r="AO687" s="275"/>
      <c r="AQ687" s="275"/>
      <c r="AR687" s="275"/>
      <c r="AS687" s="275"/>
      <c r="AT687" s="275"/>
      <c r="AU687" s="275"/>
      <c r="AV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D687" s="275"/>
      <c r="EE687" s="275"/>
      <c r="EF687" s="275"/>
      <c r="EG687" s="275"/>
      <c r="EH687" s="275"/>
      <c r="EI687" s="275"/>
      <c r="EJ687" s="275"/>
      <c r="EK687" s="275"/>
      <c r="EL687" s="275"/>
      <c r="EM687" s="275"/>
      <c r="EN687" s="275"/>
      <c r="EO687" s="275"/>
      <c r="EP687" s="275"/>
      <c r="EQ687" s="275"/>
      <c r="ER687" s="275"/>
      <c r="ES687" s="275"/>
      <c r="ET687" s="275"/>
      <c r="EU687"/>
      <c r="EV687"/>
      <c r="EW687" s="275"/>
      <c r="EX687" s="275"/>
      <c r="EY687" s="275"/>
      <c r="EZ687" s="275"/>
      <c r="FA687" s="275"/>
      <c r="FB687" s="275"/>
      <c r="FC687" s="275"/>
      <c r="FD687" s="275"/>
      <c r="FE687" s="275"/>
      <c r="FF687" s="275"/>
      <c r="FG687" s="275"/>
      <c r="FH687" s="275"/>
      <c r="FI687" s="275"/>
      <c r="FJ687" s="275"/>
      <c r="FK687" s="275"/>
      <c r="FL687" s="275"/>
      <c r="FM687" s="275"/>
      <c r="FN687" s="275"/>
      <c r="FO687" s="275"/>
      <c r="FP687" s="275"/>
      <c r="FQ687" s="275"/>
      <c r="FR687" s="275"/>
      <c r="FS687" s="275"/>
      <c r="FT687" s="275"/>
      <c r="FU687" s="275"/>
      <c r="FV687" s="275"/>
      <c r="FW687" s="275"/>
      <c r="FX687" s="275"/>
      <c r="FY687" s="275"/>
      <c r="FZ687" s="275"/>
      <c r="GA687" s="275"/>
      <c r="GB687" s="275"/>
      <c r="GC687" s="275"/>
      <c r="GD687" s="275"/>
      <c r="GE687" s="275"/>
      <c r="GF687" s="275"/>
      <c r="GG687" s="275"/>
      <c r="GH687" s="275"/>
      <c r="GI687" s="275"/>
      <c r="GJ687" s="275"/>
      <c r="GK687" s="275"/>
      <c r="GL687" s="275"/>
      <c r="GM687" s="275"/>
      <c r="GN687" s="275"/>
      <c r="GO687" s="275"/>
      <c r="GP687" s="275"/>
      <c r="GQ687" s="275"/>
      <c r="GR687" s="275"/>
      <c r="GS687" s="275"/>
      <c r="GT687" s="275"/>
      <c r="GU687" s="275"/>
      <c r="GV687" s="275"/>
      <c r="GW687" s="275"/>
      <c r="GX687" s="275"/>
      <c r="GY687" s="275"/>
      <c r="GZ687" s="275"/>
      <c r="HA687" s="275"/>
      <c r="HB687" s="275"/>
      <c r="HC687" s="275"/>
      <c r="HD687" s="275"/>
      <c r="HE687" s="275"/>
      <c r="HF687" s="275"/>
      <c r="HG687" s="275"/>
      <c r="HH687" s="275"/>
      <c r="HI687" s="275"/>
      <c r="HJ687" s="275"/>
      <c r="HK687" s="275"/>
      <c r="HL687" s="275"/>
      <c r="HM687" s="275"/>
      <c r="HN687" s="275"/>
      <c r="HO687" s="275"/>
      <c r="HP687" s="275"/>
      <c r="HQ687" s="275"/>
      <c r="HR687" s="275"/>
    </row>
    <row r="688" spans="1:226" s="297" customFormat="1">
      <c r="A688" s="275"/>
      <c r="B688" s="21"/>
      <c r="C688" s="21"/>
      <c r="D688" s="21"/>
      <c r="E688" s="21"/>
      <c r="F688" s="275"/>
      <c r="G688" s="275"/>
      <c r="H688" s="275"/>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J688" s="275"/>
      <c r="AK688" s="275"/>
      <c r="AL688" s="275"/>
      <c r="AM688" s="275"/>
      <c r="AN688" s="275"/>
      <c r="AO688" s="275"/>
      <c r="AQ688" s="275"/>
      <c r="AR688" s="275"/>
      <c r="AS688" s="275"/>
      <c r="AT688" s="275"/>
      <c r="AU688" s="275"/>
      <c r="AV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D688" s="275"/>
      <c r="EE688" s="275"/>
      <c r="EF688" s="275"/>
      <c r="EG688" s="275"/>
      <c r="EH688" s="275"/>
      <c r="EI688" s="275"/>
      <c r="EJ688" s="275"/>
      <c r="EK688" s="275"/>
      <c r="EL688" s="275"/>
      <c r="EM688" s="275"/>
      <c r="EN688" s="275"/>
      <c r="EO688" s="275"/>
      <c r="EP688" s="275"/>
      <c r="EQ688" s="275"/>
      <c r="ER688" s="275"/>
      <c r="ES688" s="275"/>
      <c r="ET688" s="275"/>
      <c r="EU688"/>
      <c r="EV688"/>
      <c r="EW688" s="275"/>
      <c r="EX688" s="275"/>
      <c r="EY688" s="275"/>
      <c r="EZ688" s="275"/>
      <c r="FA688" s="275"/>
      <c r="FB688" s="275"/>
      <c r="FC688" s="275"/>
      <c r="FD688" s="275"/>
      <c r="FE688" s="275"/>
      <c r="FF688" s="275"/>
      <c r="FG688" s="275"/>
      <c r="FH688" s="275"/>
      <c r="FI688" s="275"/>
      <c r="FJ688" s="275"/>
      <c r="FK688" s="275"/>
      <c r="FL688" s="275"/>
      <c r="FM688" s="275"/>
      <c r="FN688" s="275"/>
      <c r="FO688" s="275"/>
      <c r="FP688" s="275"/>
      <c r="FQ688" s="275"/>
      <c r="FR688" s="275"/>
      <c r="FS688" s="275"/>
      <c r="FT688" s="275"/>
      <c r="FU688" s="275"/>
      <c r="FV688" s="275"/>
      <c r="FW688" s="275"/>
      <c r="FX688" s="275"/>
      <c r="FY688" s="275"/>
      <c r="FZ688" s="275"/>
      <c r="GA688" s="275"/>
      <c r="GB688" s="275"/>
      <c r="GC688" s="275"/>
      <c r="GD688" s="275"/>
      <c r="GE688" s="275"/>
      <c r="GF688" s="275"/>
      <c r="GG688" s="275"/>
      <c r="GH688" s="275"/>
      <c r="GI688" s="275"/>
      <c r="GJ688" s="275"/>
      <c r="GK688" s="275"/>
      <c r="GL688" s="275"/>
      <c r="GM688" s="275"/>
      <c r="GN688" s="275"/>
      <c r="GO688" s="275"/>
      <c r="GP688" s="275"/>
      <c r="GQ688" s="275"/>
      <c r="GR688" s="275"/>
      <c r="GS688" s="275"/>
      <c r="GT688" s="275"/>
      <c r="GU688" s="275"/>
      <c r="GV688" s="275"/>
      <c r="GW688" s="275"/>
      <c r="GX688" s="275"/>
      <c r="GY688" s="275"/>
      <c r="GZ688" s="275"/>
      <c r="HA688" s="275"/>
      <c r="HB688" s="275"/>
      <c r="HC688" s="275"/>
      <c r="HD688" s="275"/>
      <c r="HE688" s="275"/>
      <c r="HF688" s="275"/>
      <c r="HG688" s="275"/>
      <c r="HH688" s="275"/>
      <c r="HI688" s="275"/>
      <c r="HJ688" s="275"/>
      <c r="HK688" s="275"/>
      <c r="HL688" s="275"/>
      <c r="HM688" s="275"/>
      <c r="HN688" s="275"/>
      <c r="HO688" s="275"/>
      <c r="HP688" s="275"/>
      <c r="HQ688" s="275"/>
      <c r="HR688" s="275"/>
    </row>
    <row r="689" spans="1:226" s="297" customFormat="1">
      <c r="A689" s="275"/>
      <c r="B689" s="21"/>
      <c r="C689" s="21"/>
      <c r="D689" s="21"/>
      <c r="E689" s="21"/>
      <c r="F689" s="275"/>
      <c r="G689" s="275"/>
      <c r="H689" s="275"/>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J689" s="275"/>
      <c r="AK689" s="275"/>
      <c r="AL689" s="275"/>
      <c r="AM689" s="275"/>
      <c r="AN689" s="275"/>
      <c r="AO689" s="275"/>
      <c r="AQ689" s="275"/>
      <c r="AR689" s="275"/>
      <c r="AS689" s="275"/>
      <c r="AT689" s="275"/>
      <c r="AU689" s="275"/>
      <c r="AV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D689" s="275"/>
      <c r="EE689" s="275"/>
      <c r="EF689" s="275"/>
      <c r="EG689" s="275"/>
      <c r="EH689" s="275"/>
      <c r="EI689" s="275"/>
      <c r="EJ689" s="275"/>
      <c r="EK689" s="275"/>
      <c r="EL689" s="275"/>
      <c r="EM689" s="275"/>
      <c r="EN689" s="275"/>
      <c r="EO689" s="275"/>
      <c r="EP689" s="275"/>
      <c r="EQ689" s="275"/>
      <c r="ER689" s="275"/>
      <c r="ES689" s="275"/>
      <c r="ET689" s="275"/>
      <c r="EU689"/>
      <c r="EV689"/>
      <c r="EW689" s="275"/>
      <c r="EX689" s="275"/>
      <c r="EY689" s="275"/>
      <c r="EZ689" s="275"/>
      <c r="FA689" s="275"/>
      <c r="FB689" s="275"/>
      <c r="FC689" s="275"/>
      <c r="FD689" s="275"/>
      <c r="FE689" s="275"/>
      <c r="FF689" s="275"/>
      <c r="FG689" s="275"/>
      <c r="FH689" s="275"/>
      <c r="FI689" s="275"/>
      <c r="FJ689" s="275"/>
      <c r="FK689" s="275"/>
      <c r="FL689" s="275"/>
      <c r="FM689" s="275"/>
      <c r="FN689" s="275"/>
      <c r="FO689" s="275"/>
      <c r="FP689" s="275"/>
      <c r="FQ689" s="275"/>
      <c r="FR689" s="275"/>
      <c r="FS689" s="275"/>
      <c r="FT689" s="275"/>
      <c r="FU689" s="275"/>
      <c r="FV689" s="275"/>
      <c r="FW689" s="275"/>
      <c r="FX689" s="275"/>
      <c r="FY689" s="275"/>
      <c r="FZ689" s="275"/>
      <c r="GA689" s="275"/>
      <c r="GB689" s="275"/>
      <c r="GC689" s="275"/>
      <c r="GD689" s="275"/>
      <c r="GE689" s="275"/>
      <c r="GF689" s="275"/>
      <c r="GG689" s="275"/>
      <c r="GH689" s="275"/>
      <c r="GI689" s="275"/>
      <c r="GJ689" s="275"/>
      <c r="GK689" s="275"/>
      <c r="GL689" s="275"/>
      <c r="GM689" s="275"/>
      <c r="GN689" s="275"/>
      <c r="GO689" s="275"/>
      <c r="GP689" s="275"/>
      <c r="GQ689" s="275"/>
      <c r="GR689" s="275"/>
      <c r="GS689" s="275"/>
      <c r="GT689" s="275"/>
      <c r="GU689" s="275"/>
      <c r="GV689" s="275"/>
      <c r="GW689" s="275"/>
      <c r="GX689" s="275"/>
      <c r="GY689" s="275"/>
      <c r="GZ689" s="275"/>
      <c r="HA689" s="275"/>
      <c r="HB689" s="275"/>
      <c r="HC689" s="275"/>
      <c r="HD689" s="275"/>
      <c r="HE689" s="275"/>
      <c r="HF689" s="275"/>
      <c r="HG689" s="275"/>
      <c r="HH689" s="275"/>
      <c r="HI689" s="275"/>
      <c r="HJ689" s="275"/>
      <c r="HK689" s="275"/>
      <c r="HL689" s="275"/>
      <c r="HM689" s="275"/>
      <c r="HN689" s="275"/>
      <c r="HO689" s="275"/>
      <c r="HP689" s="275"/>
      <c r="HQ689" s="275"/>
      <c r="HR689" s="275"/>
    </row>
    <row r="690" spans="1:226" s="297" customFormat="1">
      <c r="A690" s="275"/>
      <c r="B690" s="21"/>
      <c r="C690" s="21"/>
      <c r="D690" s="21"/>
      <c r="E690" s="21"/>
      <c r="F690" s="275"/>
      <c r="G690" s="275"/>
      <c r="H690" s="275"/>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J690" s="275"/>
      <c r="AK690" s="275"/>
      <c r="AL690" s="275"/>
      <c r="AM690" s="275"/>
      <c r="AN690" s="275"/>
      <c r="AO690" s="275"/>
      <c r="AQ690" s="275"/>
      <c r="AR690" s="275"/>
      <c r="AS690" s="275"/>
      <c r="AT690" s="275"/>
      <c r="AU690" s="275"/>
      <c r="AV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D690" s="275"/>
      <c r="EE690" s="275"/>
      <c r="EF690" s="275"/>
      <c r="EG690" s="275"/>
      <c r="EH690" s="275"/>
      <c r="EI690" s="275"/>
      <c r="EJ690" s="275"/>
      <c r="EK690" s="275"/>
      <c r="EL690" s="275"/>
      <c r="EM690" s="275"/>
      <c r="EN690" s="275"/>
      <c r="EO690" s="275"/>
      <c r="EP690" s="275"/>
      <c r="EQ690" s="275"/>
      <c r="ER690" s="275"/>
      <c r="ES690" s="275"/>
      <c r="ET690" s="275"/>
      <c r="EU690"/>
      <c r="EV690"/>
      <c r="EW690" s="275"/>
      <c r="EX690" s="275"/>
      <c r="EY690" s="275"/>
      <c r="EZ690" s="275"/>
      <c r="FA690" s="275"/>
      <c r="FB690" s="275"/>
      <c r="FC690" s="275"/>
      <c r="FD690" s="275"/>
      <c r="FE690" s="275"/>
      <c r="FF690" s="275"/>
      <c r="FG690" s="275"/>
      <c r="FH690" s="275"/>
      <c r="FI690" s="275"/>
      <c r="FJ690" s="275"/>
      <c r="FK690" s="275"/>
      <c r="FL690" s="275"/>
      <c r="FM690" s="275"/>
      <c r="FN690" s="275"/>
      <c r="FO690" s="275"/>
      <c r="FP690" s="275"/>
      <c r="FQ690" s="275"/>
      <c r="FR690" s="275"/>
      <c r="FS690" s="275"/>
      <c r="FT690" s="275"/>
      <c r="FU690" s="275"/>
      <c r="FV690" s="275"/>
      <c r="FW690" s="275"/>
      <c r="FX690" s="275"/>
      <c r="FY690" s="275"/>
      <c r="FZ690" s="275"/>
      <c r="GA690" s="275"/>
      <c r="GB690" s="275"/>
      <c r="GC690" s="275"/>
      <c r="GD690" s="275"/>
      <c r="GE690" s="275"/>
      <c r="GF690" s="275"/>
      <c r="GG690" s="275"/>
      <c r="GH690" s="275"/>
      <c r="GI690" s="275"/>
      <c r="GJ690" s="275"/>
      <c r="GK690" s="275"/>
      <c r="GL690" s="275"/>
      <c r="GM690" s="275"/>
      <c r="GN690" s="275"/>
      <c r="GO690" s="275"/>
      <c r="GP690" s="275"/>
      <c r="GQ690" s="275"/>
      <c r="GR690" s="275"/>
      <c r="GS690" s="275"/>
      <c r="GT690" s="275"/>
      <c r="GU690" s="275"/>
      <c r="GV690" s="275"/>
      <c r="GW690" s="275"/>
      <c r="GX690" s="275"/>
      <c r="GY690" s="275"/>
      <c r="GZ690" s="275"/>
      <c r="HA690" s="275"/>
      <c r="HB690" s="275"/>
      <c r="HC690" s="275"/>
      <c r="HD690" s="275"/>
      <c r="HE690" s="275"/>
      <c r="HF690" s="275"/>
      <c r="HG690" s="275"/>
      <c r="HH690" s="275"/>
      <c r="HI690" s="275"/>
      <c r="HJ690" s="275"/>
      <c r="HK690" s="275"/>
      <c r="HL690" s="275"/>
      <c r="HM690" s="275"/>
      <c r="HN690" s="275"/>
      <c r="HO690" s="275"/>
      <c r="HP690" s="275"/>
      <c r="HQ690" s="275"/>
      <c r="HR690" s="275"/>
    </row>
    <row r="691" spans="1:226" s="297" customFormat="1">
      <c r="A691" s="275"/>
      <c r="B691" s="21"/>
      <c r="C691" s="21"/>
      <c r="D691" s="21"/>
      <c r="E691" s="21"/>
      <c r="F691" s="275"/>
      <c r="G691" s="275"/>
      <c r="H691" s="275"/>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J691" s="275"/>
      <c r="AK691" s="275"/>
      <c r="AL691" s="275"/>
      <c r="AM691" s="275"/>
      <c r="AN691" s="275"/>
      <c r="AO691" s="275"/>
      <c r="AQ691" s="275"/>
      <c r="AR691" s="275"/>
      <c r="AS691" s="275"/>
      <c r="AT691" s="275"/>
      <c r="AU691" s="275"/>
      <c r="AV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D691" s="275"/>
      <c r="EE691" s="275"/>
      <c r="EF691" s="275"/>
      <c r="EG691" s="275"/>
      <c r="EH691" s="275"/>
      <c r="EI691" s="275"/>
      <c r="EJ691" s="275"/>
      <c r="EK691" s="275"/>
      <c r="EL691" s="275"/>
      <c r="EM691" s="275"/>
      <c r="EN691" s="275"/>
      <c r="EO691" s="275"/>
      <c r="EP691" s="275"/>
      <c r="EQ691" s="275"/>
      <c r="ER691" s="275"/>
      <c r="ES691" s="275"/>
      <c r="ET691" s="275"/>
      <c r="EU691"/>
      <c r="EV691"/>
      <c r="EW691" s="275"/>
      <c r="EX691" s="275"/>
      <c r="EY691" s="275"/>
      <c r="EZ691" s="275"/>
      <c r="FA691" s="275"/>
      <c r="FB691" s="275"/>
      <c r="FC691" s="275"/>
      <c r="FD691" s="275"/>
      <c r="FE691" s="275"/>
      <c r="FF691" s="275"/>
      <c r="FG691" s="275"/>
      <c r="FH691" s="275"/>
      <c r="FI691" s="275"/>
      <c r="FJ691" s="275"/>
      <c r="FK691" s="275"/>
      <c r="FL691" s="275"/>
      <c r="FM691" s="275"/>
      <c r="FN691" s="275"/>
      <c r="FO691" s="275"/>
      <c r="FP691" s="275"/>
      <c r="FQ691" s="275"/>
      <c r="FR691" s="275"/>
      <c r="FS691" s="275"/>
      <c r="FT691" s="275"/>
      <c r="FU691" s="275"/>
      <c r="FV691" s="275"/>
      <c r="FW691" s="275"/>
      <c r="FX691" s="275"/>
      <c r="FY691" s="275"/>
      <c r="FZ691" s="275"/>
      <c r="GA691" s="275"/>
      <c r="GB691" s="275"/>
      <c r="GC691" s="275"/>
      <c r="GD691" s="275"/>
      <c r="GE691" s="275"/>
      <c r="GF691" s="275"/>
      <c r="GG691" s="275"/>
      <c r="GH691" s="275"/>
      <c r="GI691" s="275"/>
      <c r="GJ691" s="275"/>
      <c r="GK691" s="275"/>
      <c r="GL691" s="275"/>
      <c r="GM691" s="275"/>
      <c r="GN691" s="275"/>
      <c r="GO691" s="275"/>
      <c r="GP691" s="275"/>
      <c r="GQ691" s="275"/>
      <c r="GR691" s="275"/>
      <c r="GS691" s="275"/>
      <c r="GT691" s="275"/>
      <c r="GU691" s="275"/>
      <c r="GV691" s="275"/>
      <c r="GW691" s="275"/>
      <c r="GX691" s="275"/>
      <c r="GY691" s="275"/>
      <c r="GZ691" s="275"/>
      <c r="HA691" s="275"/>
      <c r="HB691" s="275"/>
      <c r="HC691" s="275"/>
      <c r="HD691" s="275"/>
      <c r="HE691" s="275"/>
      <c r="HF691" s="275"/>
      <c r="HG691" s="275"/>
      <c r="HH691" s="275"/>
      <c r="HI691" s="275"/>
      <c r="HJ691" s="275"/>
      <c r="HK691" s="275"/>
      <c r="HL691" s="275"/>
      <c r="HM691" s="275"/>
      <c r="HN691" s="275"/>
      <c r="HO691" s="275"/>
      <c r="HP691" s="275"/>
      <c r="HQ691" s="275"/>
      <c r="HR691" s="275"/>
    </row>
    <row r="692" spans="1:226" s="297" customFormat="1">
      <c r="A692" s="275"/>
      <c r="B692" s="21"/>
      <c r="C692" s="21"/>
      <c r="D692" s="21"/>
      <c r="E692" s="21"/>
      <c r="F692" s="275"/>
      <c r="G692" s="275"/>
      <c r="H692" s="275"/>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J692" s="275"/>
      <c r="AK692" s="275"/>
      <c r="AL692" s="275"/>
      <c r="AM692" s="275"/>
      <c r="AN692" s="275"/>
      <c r="AO692" s="275"/>
      <c r="AQ692" s="275"/>
      <c r="AR692" s="275"/>
      <c r="AS692" s="275"/>
      <c r="AT692" s="275"/>
      <c r="AU692" s="275"/>
      <c r="AV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D692" s="275"/>
      <c r="EE692" s="275"/>
      <c r="EF692" s="275"/>
      <c r="EG692" s="275"/>
      <c r="EH692" s="275"/>
      <c r="EI692" s="275"/>
      <c r="EJ692" s="275"/>
      <c r="EK692" s="275"/>
      <c r="EL692" s="275"/>
      <c r="EM692" s="275"/>
      <c r="EN692" s="275"/>
      <c r="EO692" s="275"/>
      <c r="EP692" s="275"/>
      <c r="EQ692" s="275"/>
      <c r="ER692" s="275"/>
      <c r="ES692" s="275"/>
      <c r="ET692" s="275"/>
      <c r="EU692"/>
      <c r="EV692"/>
      <c r="EW692" s="275"/>
      <c r="EX692" s="275"/>
      <c r="EY692" s="275"/>
      <c r="EZ692" s="275"/>
      <c r="FA692" s="275"/>
      <c r="FB692" s="275"/>
      <c r="FC692" s="275"/>
      <c r="FD692" s="275"/>
      <c r="FE692" s="275"/>
      <c r="FF692" s="275"/>
      <c r="FG692" s="275"/>
      <c r="FH692" s="275"/>
      <c r="FI692" s="275"/>
      <c r="FJ692" s="275"/>
      <c r="FK692" s="275"/>
      <c r="FL692" s="275"/>
      <c r="FM692" s="275"/>
      <c r="FN692" s="275"/>
      <c r="FO692" s="275"/>
      <c r="FP692" s="275"/>
      <c r="FQ692" s="275"/>
      <c r="FR692" s="275"/>
      <c r="FS692" s="275"/>
      <c r="FT692" s="275"/>
      <c r="FU692" s="275"/>
      <c r="FV692" s="275"/>
      <c r="FW692" s="275"/>
      <c r="FX692" s="275"/>
      <c r="FY692" s="275"/>
      <c r="FZ692" s="275"/>
      <c r="GA692" s="275"/>
      <c r="GB692" s="275"/>
      <c r="GC692" s="275"/>
      <c r="GD692" s="275"/>
      <c r="GE692" s="275"/>
      <c r="GF692" s="275"/>
      <c r="GG692" s="275"/>
      <c r="GH692" s="275"/>
      <c r="GI692" s="275"/>
      <c r="GJ692" s="275"/>
      <c r="GK692" s="275"/>
      <c r="GL692" s="275"/>
      <c r="GM692" s="275"/>
      <c r="GN692" s="275"/>
      <c r="GO692" s="275"/>
      <c r="GP692" s="275"/>
      <c r="GQ692" s="275"/>
      <c r="GR692" s="275"/>
      <c r="GS692" s="275"/>
      <c r="GT692" s="275"/>
      <c r="GU692" s="275"/>
      <c r="GV692" s="275"/>
      <c r="GW692" s="275"/>
      <c r="GX692" s="275"/>
      <c r="GY692" s="275"/>
      <c r="GZ692" s="275"/>
      <c r="HA692" s="275"/>
      <c r="HB692" s="275"/>
      <c r="HC692" s="275"/>
      <c r="HD692" s="275"/>
      <c r="HE692" s="275"/>
      <c r="HF692" s="275"/>
      <c r="HG692" s="275"/>
      <c r="HH692" s="275"/>
      <c r="HI692" s="275"/>
      <c r="HJ692" s="275"/>
      <c r="HK692" s="275"/>
      <c r="HL692" s="275"/>
      <c r="HM692" s="275"/>
      <c r="HN692" s="275"/>
      <c r="HO692" s="275"/>
      <c r="HP692" s="275"/>
      <c r="HQ692" s="275"/>
      <c r="HR692" s="275"/>
    </row>
    <row r="693" spans="1:226" s="297" customFormat="1">
      <c r="A693" s="275"/>
      <c r="B693" s="21"/>
      <c r="C693" s="21"/>
      <c r="D693" s="21"/>
      <c r="E693" s="21"/>
      <c r="F693" s="275"/>
      <c r="G693" s="275"/>
      <c r="H693" s="275"/>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J693" s="275"/>
      <c r="AK693" s="275"/>
      <c r="AL693" s="275"/>
      <c r="AM693" s="275"/>
      <c r="AN693" s="275"/>
      <c r="AO693" s="275"/>
      <c r="AQ693" s="275"/>
      <c r="AR693" s="275"/>
      <c r="AS693" s="275"/>
      <c r="AT693" s="275"/>
      <c r="AU693" s="275"/>
      <c r="AV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D693" s="275"/>
      <c r="EE693" s="275"/>
      <c r="EF693" s="275"/>
      <c r="EG693" s="275"/>
      <c r="EH693" s="275"/>
      <c r="EI693" s="275"/>
      <c r="EJ693" s="275"/>
      <c r="EK693" s="275"/>
      <c r="EL693" s="275"/>
      <c r="EM693" s="275"/>
      <c r="EN693" s="275"/>
      <c r="EO693" s="275"/>
      <c r="EP693" s="275"/>
      <c r="EQ693" s="275"/>
      <c r="ER693" s="275"/>
      <c r="ES693" s="275"/>
      <c r="ET693" s="275"/>
      <c r="EU693"/>
      <c r="EV693"/>
      <c r="EW693" s="275"/>
      <c r="EX693" s="275"/>
      <c r="EY693" s="275"/>
      <c r="EZ693" s="275"/>
      <c r="FA693" s="275"/>
      <c r="FB693" s="275"/>
      <c r="FC693" s="275"/>
      <c r="FD693" s="275"/>
      <c r="FE693" s="275"/>
      <c r="FF693" s="275"/>
      <c r="FG693" s="275"/>
      <c r="FH693" s="275"/>
      <c r="FI693" s="275"/>
      <c r="FJ693" s="275"/>
      <c r="FK693" s="275"/>
      <c r="FL693" s="275"/>
      <c r="FM693" s="275"/>
      <c r="FN693" s="275"/>
      <c r="FO693" s="275"/>
      <c r="FP693" s="275"/>
      <c r="FQ693" s="275"/>
      <c r="FR693" s="275"/>
      <c r="FS693" s="275"/>
      <c r="FT693" s="275"/>
      <c r="FU693" s="275"/>
      <c r="FV693" s="275"/>
      <c r="FW693" s="275"/>
      <c r="FX693" s="275"/>
      <c r="FY693" s="275"/>
      <c r="FZ693" s="275"/>
      <c r="GA693" s="275"/>
      <c r="GB693" s="275"/>
      <c r="GC693" s="275"/>
      <c r="GD693" s="275"/>
      <c r="GE693" s="275"/>
      <c r="GF693" s="275"/>
      <c r="GG693" s="275"/>
      <c r="GH693" s="275"/>
      <c r="GI693" s="275"/>
      <c r="GJ693" s="275"/>
      <c r="GK693" s="275"/>
      <c r="GL693" s="275"/>
      <c r="GM693" s="275"/>
      <c r="GN693" s="275"/>
      <c r="GO693" s="275"/>
      <c r="GP693" s="275"/>
      <c r="GQ693" s="275"/>
      <c r="GR693" s="275"/>
      <c r="GS693" s="275"/>
      <c r="GT693" s="275"/>
      <c r="GU693" s="275"/>
      <c r="GV693" s="275"/>
      <c r="GW693" s="275"/>
      <c r="GX693" s="275"/>
      <c r="GY693" s="275"/>
      <c r="GZ693" s="275"/>
      <c r="HA693" s="275"/>
      <c r="HB693" s="275"/>
      <c r="HC693" s="275"/>
      <c r="HD693" s="275"/>
      <c r="HE693" s="275"/>
      <c r="HF693" s="275"/>
      <c r="HG693" s="275"/>
      <c r="HH693" s="275"/>
      <c r="HI693" s="275"/>
      <c r="HJ693" s="275"/>
      <c r="HK693" s="275"/>
      <c r="HL693" s="275"/>
      <c r="HM693" s="275"/>
      <c r="HN693" s="275"/>
      <c r="HO693" s="275"/>
      <c r="HP693" s="275"/>
      <c r="HQ693" s="275"/>
      <c r="HR693" s="275"/>
    </row>
    <row r="694" spans="1:226" s="297" customFormat="1">
      <c r="A694" s="275"/>
      <c r="B694" s="21"/>
      <c r="C694" s="21"/>
      <c r="D694" s="21"/>
      <c r="E694" s="21"/>
      <c r="F694" s="275"/>
      <c r="G694" s="275"/>
      <c r="H694" s="275"/>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J694" s="275"/>
      <c r="AK694" s="275"/>
      <c r="AL694" s="275"/>
      <c r="AM694" s="275"/>
      <c r="AN694" s="275"/>
      <c r="AO694" s="275"/>
      <c r="AQ694" s="275"/>
      <c r="AR694" s="275"/>
      <c r="AS694" s="275"/>
      <c r="AT694" s="275"/>
      <c r="AU694" s="275"/>
      <c r="AV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D694" s="275"/>
      <c r="EE694" s="275"/>
      <c r="EF694" s="275"/>
      <c r="EG694" s="275"/>
      <c r="EH694" s="275"/>
      <c r="EI694" s="275"/>
      <c r="EJ694" s="275"/>
      <c r="EK694" s="275"/>
      <c r="EL694" s="275"/>
      <c r="EM694" s="275"/>
      <c r="EN694" s="275"/>
      <c r="EO694" s="275"/>
      <c r="EP694" s="275"/>
      <c r="EQ694" s="275"/>
      <c r="ER694" s="275"/>
      <c r="ES694" s="275"/>
      <c r="ET694" s="275"/>
      <c r="EU694"/>
      <c r="EV694"/>
      <c r="EW694" s="275"/>
      <c r="EX694" s="275"/>
      <c r="EY694" s="275"/>
      <c r="EZ694" s="275"/>
      <c r="FA694" s="275"/>
      <c r="FB694" s="275"/>
      <c r="FC694" s="275"/>
      <c r="FD694" s="275"/>
      <c r="FE694" s="275"/>
      <c r="FF694" s="275"/>
      <c r="FG694" s="275"/>
      <c r="FH694" s="275"/>
      <c r="FI694" s="275"/>
      <c r="FJ694" s="275"/>
      <c r="FK694" s="275"/>
      <c r="FL694" s="275"/>
      <c r="FM694" s="275"/>
      <c r="FN694" s="275"/>
      <c r="FO694" s="275"/>
      <c r="FP694" s="275"/>
      <c r="FQ694" s="275"/>
      <c r="FR694" s="275"/>
      <c r="FS694" s="275"/>
      <c r="FT694" s="275"/>
      <c r="FU694" s="275"/>
      <c r="FV694" s="275"/>
      <c r="FW694" s="275"/>
      <c r="FX694" s="275"/>
      <c r="FY694" s="275"/>
      <c r="FZ694" s="275"/>
      <c r="GA694" s="275"/>
      <c r="GB694" s="275"/>
      <c r="GC694" s="275"/>
      <c r="GD694" s="275"/>
      <c r="GE694" s="275"/>
      <c r="GF694" s="275"/>
      <c r="GG694" s="275"/>
      <c r="GH694" s="275"/>
      <c r="GI694" s="275"/>
      <c r="GJ694" s="275"/>
      <c r="GK694" s="275"/>
      <c r="GL694" s="275"/>
      <c r="GM694" s="275"/>
      <c r="GN694" s="275"/>
      <c r="GO694" s="275"/>
      <c r="GP694" s="275"/>
      <c r="GQ694" s="275"/>
      <c r="GR694" s="275"/>
      <c r="GS694" s="275"/>
      <c r="GT694" s="275"/>
      <c r="GU694" s="275"/>
      <c r="GV694" s="275"/>
      <c r="GW694" s="275"/>
      <c r="GX694" s="275"/>
      <c r="GY694" s="275"/>
      <c r="GZ694" s="275"/>
      <c r="HA694" s="275"/>
      <c r="HB694" s="275"/>
      <c r="HC694" s="275"/>
      <c r="HD694" s="275"/>
      <c r="HE694" s="275"/>
      <c r="HF694" s="275"/>
      <c r="HG694" s="275"/>
      <c r="HH694" s="275"/>
      <c r="HI694" s="275"/>
      <c r="HJ694" s="275"/>
      <c r="HK694" s="275"/>
      <c r="HL694" s="275"/>
      <c r="HM694" s="275"/>
      <c r="HN694" s="275"/>
      <c r="HO694" s="275"/>
      <c r="HP694" s="275"/>
      <c r="HQ694" s="275"/>
      <c r="HR694" s="275"/>
    </row>
    <row r="695" spans="1:226" s="297" customFormat="1">
      <c r="A695" s="275"/>
      <c r="B695" s="21"/>
      <c r="C695" s="21"/>
      <c r="D695" s="21"/>
      <c r="E695" s="21"/>
      <c r="F695" s="275"/>
      <c r="G695" s="275"/>
      <c r="H695" s="275"/>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J695" s="275"/>
      <c r="AK695" s="275"/>
      <c r="AL695" s="275"/>
      <c r="AM695" s="275"/>
      <c r="AN695" s="275"/>
      <c r="AO695" s="275"/>
      <c r="AQ695" s="275"/>
      <c r="AR695" s="275"/>
      <c r="AS695" s="275"/>
      <c r="AT695" s="275"/>
      <c r="AU695" s="275"/>
      <c r="AV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D695" s="275"/>
      <c r="EE695" s="275"/>
      <c r="EF695" s="275"/>
      <c r="EG695" s="275"/>
      <c r="EH695" s="275"/>
      <c r="EI695" s="275"/>
      <c r="EJ695" s="275"/>
      <c r="EK695" s="275"/>
      <c r="EL695" s="275"/>
      <c r="EM695" s="275"/>
      <c r="EN695" s="275"/>
      <c r="EO695" s="275"/>
      <c r="EP695" s="275"/>
      <c r="EQ695" s="275"/>
      <c r="ER695" s="275"/>
      <c r="ES695" s="275"/>
      <c r="ET695" s="275"/>
      <c r="EU695"/>
      <c r="EV695"/>
      <c r="EW695" s="275"/>
      <c r="EX695" s="275"/>
      <c r="EY695" s="275"/>
      <c r="EZ695" s="275"/>
      <c r="FA695" s="275"/>
      <c r="FB695" s="275"/>
      <c r="FC695" s="275"/>
      <c r="FD695" s="275"/>
      <c r="FE695" s="275"/>
      <c r="FF695" s="275"/>
      <c r="FG695" s="275"/>
      <c r="FH695" s="275"/>
      <c r="FI695" s="275"/>
      <c r="FJ695" s="275"/>
      <c r="FK695" s="275"/>
      <c r="FL695" s="275"/>
      <c r="FM695" s="275"/>
      <c r="FN695" s="275"/>
      <c r="FO695" s="275"/>
      <c r="FP695" s="275"/>
      <c r="FQ695" s="275"/>
      <c r="FR695" s="275"/>
      <c r="FS695" s="275"/>
      <c r="FT695" s="275"/>
      <c r="FU695" s="275"/>
      <c r="FV695" s="275"/>
      <c r="FW695" s="275"/>
      <c r="FX695" s="275"/>
      <c r="FY695" s="275"/>
      <c r="FZ695" s="275"/>
      <c r="GA695" s="275"/>
      <c r="GB695" s="275"/>
      <c r="GC695" s="275"/>
      <c r="GD695" s="275"/>
      <c r="GE695" s="275"/>
      <c r="GF695" s="275"/>
      <c r="GG695" s="275"/>
      <c r="GH695" s="275"/>
      <c r="GI695" s="275"/>
      <c r="GJ695" s="275"/>
      <c r="GK695" s="275"/>
      <c r="GL695" s="275"/>
      <c r="GM695" s="275"/>
      <c r="GN695" s="275"/>
      <c r="GO695" s="275"/>
      <c r="GP695" s="275"/>
      <c r="GQ695" s="275"/>
      <c r="GR695" s="275"/>
      <c r="GS695" s="275"/>
      <c r="GT695" s="275"/>
      <c r="GU695" s="275"/>
      <c r="GV695" s="275"/>
      <c r="GW695" s="275"/>
      <c r="GX695" s="275"/>
      <c r="GY695" s="275"/>
      <c r="GZ695" s="275"/>
      <c r="HA695" s="275"/>
      <c r="HB695" s="275"/>
      <c r="HC695" s="275"/>
      <c r="HD695" s="275"/>
      <c r="HE695" s="275"/>
      <c r="HF695" s="275"/>
      <c r="HG695" s="275"/>
      <c r="HH695" s="275"/>
      <c r="HI695" s="275"/>
      <c r="HJ695" s="275"/>
      <c r="HK695" s="275"/>
      <c r="HL695" s="275"/>
      <c r="HM695" s="275"/>
      <c r="HN695" s="275"/>
      <c r="HO695" s="275"/>
      <c r="HP695" s="275"/>
      <c r="HQ695" s="275"/>
      <c r="HR695" s="275"/>
    </row>
    <row r="696" spans="1:226" s="297" customFormat="1">
      <c r="A696" s="275"/>
      <c r="B696" s="21"/>
      <c r="C696" s="21"/>
      <c r="D696" s="21"/>
      <c r="E696" s="21"/>
      <c r="F696" s="275"/>
      <c r="G696" s="275"/>
      <c r="H696" s="275"/>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J696" s="275"/>
      <c r="AK696" s="275"/>
      <c r="AL696" s="275"/>
      <c r="AM696" s="275"/>
      <c r="AN696" s="275"/>
      <c r="AO696" s="275"/>
      <c r="AQ696" s="275"/>
      <c r="AR696" s="275"/>
      <c r="AS696" s="275"/>
      <c r="AT696" s="275"/>
      <c r="AU696" s="275"/>
      <c r="AV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D696" s="275"/>
      <c r="EE696" s="275"/>
      <c r="EF696" s="275"/>
      <c r="EG696" s="275"/>
      <c r="EH696" s="275"/>
      <c r="EI696" s="275"/>
      <c r="EJ696" s="275"/>
      <c r="EK696" s="275"/>
      <c r="EL696" s="275"/>
      <c r="EM696" s="275"/>
      <c r="EN696" s="275"/>
      <c r="EO696" s="275"/>
      <c r="EP696" s="275"/>
      <c r="EQ696" s="275"/>
      <c r="ER696" s="275"/>
      <c r="ES696" s="275"/>
      <c r="ET696" s="275"/>
      <c r="EU696"/>
      <c r="EV696"/>
      <c r="EW696" s="275"/>
      <c r="EX696" s="275"/>
      <c r="EY696" s="275"/>
      <c r="EZ696" s="275"/>
      <c r="FA696" s="275"/>
      <c r="FB696" s="275"/>
      <c r="FC696" s="275"/>
      <c r="FD696" s="275"/>
      <c r="FE696" s="275"/>
      <c r="FF696" s="275"/>
      <c r="FG696" s="275"/>
      <c r="FH696" s="275"/>
      <c r="FI696" s="275"/>
      <c r="FJ696" s="275"/>
      <c r="FK696" s="275"/>
      <c r="FL696" s="275"/>
      <c r="FM696" s="275"/>
      <c r="FN696" s="275"/>
      <c r="FO696" s="275"/>
      <c r="FP696" s="275"/>
      <c r="FQ696" s="275"/>
      <c r="FR696" s="275"/>
      <c r="FS696" s="275"/>
      <c r="FT696" s="275"/>
      <c r="FU696" s="275"/>
      <c r="FV696" s="275"/>
      <c r="FW696" s="275"/>
      <c r="FX696" s="275"/>
      <c r="FY696" s="275"/>
      <c r="FZ696" s="275"/>
      <c r="GA696" s="275"/>
      <c r="GB696" s="275"/>
      <c r="GC696" s="275"/>
      <c r="GD696" s="275"/>
      <c r="GE696" s="275"/>
      <c r="GF696" s="275"/>
      <c r="GG696" s="275"/>
      <c r="GH696" s="275"/>
      <c r="GI696" s="275"/>
      <c r="GJ696" s="275"/>
      <c r="GK696" s="275"/>
      <c r="GL696" s="275"/>
      <c r="GM696" s="275"/>
      <c r="GN696" s="275"/>
      <c r="GO696" s="275"/>
      <c r="GP696" s="275"/>
      <c r="GQ696" s="275"/>
      <c r="GR696" s="275"/>
      <c r="GS696" s="275"/>
      <c r="GT696" s="275"/>
      <c r="GU696" s="275"/>
      <c r="GV696" s="275"/>
      <c r="GW696" s="275"/>
      <c r="GX696" s="275"/>
      <c r="GY696" s="275"/>
      <c r="GZ696" s="275"/>
      <c r="HA696" s="275"/>
      <c r="HB696" s="275"/>
      <c r="HC696" s="275"/>
      <c r="HD696" s="275"/>
      <c r="HE696" s="275"/>
      <c r="HF696" s="275"/>
      <c r="HG696" s="275"/>
      <c r="HH696" s="275"/>
      <c r="HI696" s="275"/>
      <c r="HJ696" s="275"/>
      <c r="HK696" s="275"/>
      <c r="HL696" s="275"/>
      <c r="HM696" s="275"/>
      <c r="HN696" s="275"/>
      <c r="HO696" s="275"/>
      <c r="HP696" s="275"/>
      <c r="HQ696" s="275"/>
      <c r="HR696" s="275"/>
    </row>
    <row r="697" spans="1:226" s="297" customFormat="1">
      <c r="A697" s="275"/>
      <c r="B697" s="21"/>
      <c r="C697" s="21"/>
      <c r="D697" s="21"/>
      <c r="E697" s="21"/>
      <c r="F697" s="275"/>
      <c r="G697" s="275"/>
      <c r="H697" s="275"/>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J697" s="275"/>
      <c r="AK697" s="275"/>
      <c r="AL697" s="275"/>
      <c r="AM697" s="275"/>
      <c r="AN697" s="275"/>
      <c r="AO697" s="275"/>
      <c r="AQ697" s="275"/>
      <c r="AR697" s="275"/>
      <c r="AS697" s="275"/>
      <c r="AT697" s="275"/>
      <c r="AU697" s="275"/>
      <c r="AV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D697" s="275"/>
      <c r="EE697" s="275"/>
      <c r="EF697" s="275"/>
      <c r="EG697" s="275"/>
      <c r="EH697" s="275"/>
      <c r="EI697" s="275"/>
      <c r="EJ697" s="275"/>
      <c r="EK697" s="275"/>
      <c r="EL697" s="275"/>
      <c r="EM697" s="275"/>
      <c r="EN697" s="275"/>
      <c r="EO697" s="275"/>
      <c r="EP697" s="275"/>
      <c r="EQ697" s="275"/>
      <c r="ER697" s="275"/>
      <c r="ES697" s="275"/>
      <c r="ET697" s="275"/>
      <c r="EU697"/>
      <c r="EV697"/>
      <c r="EW697" s="275"/>
      <c r="EX697" s="275"/>
      <c r="EY697" s="275"/>
      <c r="EZ697" s="275"/>
      <c r="FA697" s="275"/>
      <c r="FB697" s="275"/>
      <c r="FC697" s="275"/>
      <c r="FD697" s="275"/>
      <c r="FE697" s="275"/>
      <c r="FF697" s="275"/>
      <c r="FG697" s="275"/>
      <c r="FH697" s="275"/>
      <c r="FI697" s="275"/>
      <c r="FJ697" s="275"/>
      <c r="FK697" s="275"/>
      <c r="FL697" s="275"/>
      <c r="FM697" s="275"/>
      <c r="FN697" s="275"/>
      <c r="FO697" s="275"/>
      <c r="FP697" s="275"/>
      <c r="FQ697" s="275"/>
      <c r="FR697" s="275"/>
      <c r="FS697" s="275"/>
      <c r="FT697" s="275"/>
      <c r="FU697" s="275"/>
      <c r="FV697" s="275"/>
      <c r="FW697" s="275"/>
      <c r="FX697" s="275"/>
      <c r="FY697" s="275"/>
      <c r="FZ697" s="275"/>
      <c r="GA697" s="275"/>
      <c r="GB697" s="275"/>
      <c r="GC697" s="275"/>
      <c r="GD697" s="275"/>
      <c r="GE697" s="275"/>
      <c r="GF697" s="275"/>
      <c r="GG697" s="275"/>
      <c r="GH697" s="275"/>
      <c r="GI697" s="275"/>
      <c r="GJ697" s="275"/>
      <c r="GK697" s="275"/>
      <c r="GL697" s="275"/>
      <c r="GM697" s="275"/>
      <c r="GN697" s="275"/>
      <c r="GO697" s="275"/>
      <c r="GP697" s="275"/>
      <c r="GQ697" s="275"/>
      <c r="GR697" s="275"/>
      <c r="GS697" s="275"/>
      <c r="GT697" s="275"/>
      <c r="GU697" s="275"/>
      <c r="GV697" s="275"/>
      <c r="GW697" s="275"/>
      <c r="GX697" s="275"/>
      <c r="GY697" s="275"/>
      <c r="GZ697" s="275"/>
      <c r="HA697" s="275"/>
      <c r="HB697" s="275"/>
      <c r="HC697" s="275"/>
      <c r="HD697" s="275"/>
      <c r="HE697" s="275"/>
      <c r="HF697" s="275"/>
      <c r="HG697" s="275"/>
      <c r="HH697" s="275"/>
      <c r="HI697" s="275"/>
      <c r="HJ697" s="275"/>
      <c r="HK697" s="275"/>
      <c r="HL697" s="275"/>
      <c r="HM697" s="275"/>
      <c r="HN697" s="275"/>
      <c r="HO697" s="275"/>
      <c r="HP697" s="275"/>
      <c r="HQ697" s="275"/>
      <c r="HR697" s="275"/>
    </row>
    <row r="698" spans="1:226" s="297" customFormat="1">
      <c r="A698" s="275"/>
      <c r="B698" s="21"/>
      <c r="C698" s="21"/>
      <c r="D698" s="21"/>
      <c r="E698" s="21"/>
      <c r="F698" s="275"/>
      <c r="G698" s="275"/>
      <c r="H698" s="275"/>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J698" s="275"/>
      <c r="AK698" s="275"/>
      <c r="AL698" s="275"/>
      <c r="AM698" s="275"/>
      <c r="AN698" s="275"/>
      <c r="AO698" s="275"/>
      <c r="AQ698" s="275"/>
      <c r="AR698" s="275"/>
      <c r="AS698" s="275"/>
      <c r="AT698" s="275"/>
      <c r="AU698" s="275"/>
      <c r="AV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D698" s="275"/>
      <c r="EE698" s="275"/>
      <c r="EF698" s="275"/>
      <c r="EG698" s="275"/>
      <c r="EH698" s="275"/>
      <c r="EI698" s="275"/>
      <c r="EJ698" s="275"/>
      <c r="EK698" s="275"/>
      <c r="EL698" s="275"/>
      <c r="EM698" s="275"/>
      <c r="EN698" s="275"/>
      <c r="EO698" s="275"/>
      <c r="EP698" s="275"/>
      <c r="EQ698" s="275"/>
      <c r="ER698" s="275"/>
      <c r="ES698" s="275"/>
      <c r="ET698" s="275"/>
      <c r="EU698"/>
      <c r="EV698"/>
      <c r="EW698" s="275"/>
      <c r="EX698" s="275"/>
      <c r="EY698" s="275"/>
      <c r="EZ698" s="275"/>
      <c r="FA698" s="275"/>
      <c r="FB698" s="275"/>
      <c r="FC698" s="275"/>
      <c r="FD698" s="275"/>
      <c r="FE698" s="275"/>
      <c r="FF698" s="275"/>
      <c r="FG698" s="275"/>
      <c r="FH698" s="275"/>
      <c r="FI698" s="275"/>
      <c r="FJ698" s="275"/>
      <c r="FK698" s="275"/>
      <c r="FL698" s="275"/>
      <c r="FM698" s="275"/>
      <c r="FN698" s="275"/>
      <c r="FO698" s="275"/>
      <c r="FP698" s="275"/>
      <c r="FQ698" s="275"/>
      <c r="FR698" s="275"/>
      <c r="FS698" s="275"/>
      <c r="FT698" s="275"/>
      <c r="FU698" s="275"/>
      <c r="FV698" s="275"/>
      <c r="FW698" s="275"/>
      <c r="FX698" s="275"/>
      <c r="FY698" s="275"/>
      <c r="FZ698" s="275"/>
      <c r="GA698" s="275"/>
      <c r="GB698" s="275"/>
      <c r="GC698" s="275"/>
      <c r="GD698" s="275"/>
      <c r="GE698" s="275"/>
      <c r="GF698" s="275"/>
      <c r="GG698" s="275"/>
      <c r="GH698" s="275"/>
      <c r="GI698" s="275"/>
      <c r="GJ698" s="275"/>
      <c r="GK698" s="275"/>
      <c r="GL698" s="275"/>
      <c r="GM698" s="275"/>
      <c r="GN698" s="275"/>
      <c r="GO698" s="275"/>
      <c r="GP698" s="275"/>
      <c r="GQ698" s="275"/>
      <c r="GR698" s="275"/>
      <c r="GS698" s="275"/>
      <c r="GT698" s="275"/>
      <c r="GU698" s="275"/>
      <c r="GV698" s="275"/>
      <c r="GW698" s="275"/>
      <c r="GX698" s="275"/>
      <c r="GY698" s="275"/>
      <c r="GZ698" s="275"/>
      <c r="HA698" s="275"/>
      <c r="HB698" s="275"/>
      <c r="HC698" s="275"/>
      <c r="HD698" s="275"/>
      <c r="HE698" s="275"/>
      <c r="HF698" s="275"/>
      <c r="HG698" s="275"/>
      <c r="HH698" s="275"/>
      <c r="HI698" s="275"/>
      <c r="HJ698" s="275"/>
      <c r="HK698" s="275"/>
      <c r="HL698" s="275"/>
      <c r="HM698" s="275"/>
      <c r="HN698" s="275"/>
      <c r="HO698" s="275"/>
      <c r="HP698" s="275"/>
      <c r="HQ698" s="275"/>
      <c r="HR698" s="275"/>
    </row>
    <row r="699" spans="1:226" s="297" customFormat="1">
      <c r="A699" s="275"/>
      <c r="B699" s="21"/>
      <c r="C699" s="21"/>
      <c r="D699" s="21"/>
      <c r="E699" s="21"/>
      <c r="F699" s="275"/>
      <c r="G699" s="275"/>
      <c r="H699" s="275"/>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J699" s="275"/>
      <c r="AK699" s="275"/>
      <c r="AL699" s="275"/>
      <c r="AM699" s="275"/>
      <c r="AN699" s="275"/>
      <c r="AO699" s="275"/>
      <c r="AQ699" s="275"/>
      <c r="AR699" s="275"/>
      <c r="AS699" s="275"/>
      <c r="AT699" s="275"/>
      <c r="AU699" s="275"/>
      <c r="AV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D699" s="275"/>
      <c r="EE699" s="275"/>
      <c r="EF699" s="275"/>
      <c r="EG699" s="275"/>
      <c r="EH699" s="275"/>
      <c r="EI699" s="275"/>
      <c r="EJ699" s="275"/>
      <c r="EK699" s="275"/>
      <c r="EL699" s="275"/>
      <c r="EM699" s="275"/>
      <c r="EN699" s="275"/>
      <c r="EO699" s="275"/>
      <c r="EP699" s="275"/>
      <c r="EQ699" s="275"/>
      <c r="ER699" s="275"/>
      <c r="ES699" s="275"/>
      <c r="ET699" s="275"/>
      <c r="EU699"/>
      <c r="EV699"/>
      <c r="EW699" s="275"/>
      <c r="EX699" s="275"/>
      <c r="EY699" s="275"/>
      <c r="EZ699" s="275"/>
      <c r="FA699" s="275"/>
      <c r="FB699" s="275"/>
      <c r="FC699" s="275"/>
      <c r="FD699" s="275"/>
      <c r="FE699" s="275"/>
      <c r="FF699" s="275"/>
      <c r="FG699" s="275"/>
      <c r="FH699" s="275"/>
      <c r="FI699" s="275"/>
      <c r="FJ699" s="275"/>
      <c r="FK699" s="275"/>
      <c r="FL699" s="275"/>
      <c r="FM699" s="275"/>
      <c r="FN699" s="275"/>
      <c r="FO699" s="275"/>
      <c r="FP699" s="275"/>
      <c r="FQ699" s="275"/>
      <c r="FR699" s="275"/>
      <c r="FS699" s="275"/>
      <c r="FT699" s="275"/>
      <c r="FU699" s="275"/>
      <c r="FV699" s="275"/>
      <c r="FW699" s="275"/>
      <c r="FX699" s="275"/>
      <c r="FY699" s="275"/>
      <c r="FZ699" s="275"/>
      <c r="GA699" s="275"/>
      <c r="GB699" s="275"/>
      <c r="GC699" s="275"/>
      <c r="GD699" s="275"/>
      <c r="GE699" s="275"/>
      <c r="GF699" s="275"/>
      <c r="GG699" s="275"/>
      <c r="GH699" s="275"/>
      <c r="GI699" s="275"/>
      <c r="GJ699" s="275"/>
      <c r="GK699" s="275"/>
      <c r="GL699" s="275"/>
      <c r="GM699" s="275"/>
      <c r="GN699" s="275"/>
      <c r="GO699" s="275"/>
      <c r="GP699" s="275"/>
      <c r="GQ699" s="275"/>
      <c r="GR699" s="275"/>
      <c r="GS699" s="275"/>
      <c r="GT699" s="275"/>
      <c r="GU699" s="275"/>
      <c r="GV699" s="275"/>
      <c r="GW699" s="275"/>
      <c r="GX699" s="275"/>
      <c r="GY699" s="275"/>
      <c r="GZ699" s="275"/>
      <c r="HA699" s="275"/>
      <c r="HB699" s="275"/>
      <c r="HC699" s="275"/>
      <c r="HD699" s="275"/>
      <c r="HE699" s="275"/>
      <c r="HF699" s="275"/>
      <c r="HG699" s="275"/>
      <c r="HH699" s="275"/>
      <c r="HI699" s="275"/>
      <c r="HJ699" s="275"/>
      <c r="HK699" s="275"/>
      <c r="HL699" s="275"/>
      <c r="HM699" s="275"/>
      <c r="HN699" s="275"/>
      <c r="HO699" s="275"/>
      <c r="HP699" s="275"/>
      <c r="HQ699" s="275"/>
      <c r="HR699" s="275"/>
    </row>
    <row r="700" spans="1:226" s="297" customFormat="1">
      <c r="A700" s="275"/>
      <c r="B700" s="21"/>
      <c r="C700" s="21"/>
      <c r="D700" s="21"/>
      <c r="E700" s="21"/>
      <c r="F700" s="275"/>
      <c r="G700" s="275"/>
      <c r="H700" s="275"/>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J700" s="275"/>
      <c r="AK700" s="275"/>
      <c r="AL700" s="275"/>
      <c r="AM700" s="275"/>
      <c r="AN700" s="275"/>
      <c r="AO700" s="275"/>
      <c r="AQ700" s="275"/>
      <c r="AR700" s="275"/>
      <c r="AS700" s="275"/>
      <c r="AT700" s="275"/>
      <c r="AU700" s="275"/>
      <c r="AV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D700" s="275"/>
      <c r="EE700" s="275"/>
      <c r="EF700" s="275"/>
      <c r="EG700" s="275"/>
      <c r="EH700" s="275"/>
      <c r="EI700" s="275"/>
      <c r="EJ700" s="275"/>
      <c r="EK700" s="275"/>
      <c r="EL700" s="275"/>
      <c r="EM700" s="275"/>
      <c r="EN700" s="275"/>
      <c r="EO700" s="275"/>
      <c r="EP700" s="275"/>
      <c r="EQ700" s="275"/>
      <c r="ER700" s="275"/>
      <c r="ES700" s="275"/>
      <c r="ET700" s="275"/>
      <c r="EU700"/>
      <c r="EV700"/>
      <c r="EW700" s="275"/>
      <c r="EX700" s="275"/>
      <c r="EY700" s="275"/>
      <c r="EZ700" s="275"/>
      <c r="FA700" s="275"/>
      <c r="FB700" s="275"/>
      <c r="FC700" s="275"/>
      <c r="FD700" s="275"/>
      <c r="FE700" s="275"/>
      <c r="FF700" s="275"/>
      <c r="FG700" s="275"/>
      <c r="FH700" s="275"/>
      <c r="FI700" s="275"/>
      <c r="FJ700" s="275"/>
      <c r="FK700" s="275"/>
      <c r="FL700" s="275"/>
      <c r="FM700" s="275"/>
      <c r="FN700" s="275"/>
      <c r="FO700" s="275"/>
      <c r="FP700" s="275"/>
      <c r="FQ700" s="275"/>
      <c r="FR700" s="275"/>
      <c r="FS700" s="275"/>
      <c r="FT700" s="275"/>
      <c r="FU700" s="275"/>
      <c r="FV700" s="275"/>
      <c r="FW700" s="275"/>
      <c r="FX700" s="275"/>
      <c r="FY700" s="275"/>
      <c r="FZ700" s="275"/>
      <c r="GA700" s="275"/>
      <c r="GB700" s="275"/>
      <c r="GC700" s="275"/>
      <c r="GD700" s="275"/>
      <c r="GE700" s="275"/>
      <c r="GF700" s="275"/>
      <c r="GG700" s="275"/>
      <c r="GH700" s="275"/>
      <c r="GI700" s="275"/>
      <c r="GJ700" s="275"/>
      <c r="GK700" s="275"/>
      <c r="GL700" s="275"/>
      <c r="GM700" s="275"/>
      <c r="GN700" s="275"/>
      <c r="GO700" s="275"/>
      <c r="GP700" s="275"/>
      <c r="GQ700" s="275"/>
      <c r="GR700" s="275"/>
      <c r="GS700" s="275"/>
      <c r="GT700" s="275"/>
      <c r="GU700" s="275"/>
      <c r="GV700" s="275"/>
      <c r="GW700" s="275"/>
      <c r="GX700" s="275"/>
      <c r="GY700" s="275"/>
      <c r="GZ700" s="275"/>
      <c r="HA700" s="275"/>
      <c r="HB700" s="275"/>
      <c r="HC700" s="275"/>
      <c r="HD700" s="275"/>
      <c r="HE700" s="275"/>
      <c r="HF700" s="275"/>
      <c r="HG700" s="275"/>
      <c r="HH700" s="275"/>
      <c r="HI700" s="275"/>
      <c r="HJ700" s="275"/>
      <c r="HK700" s="275"/>
      <c r="HL700" s="275"/>
      <c r="HM700" s="275"/>
      <c r="HN700" s="275"/>
      <c r="HO700" s="275"/>
      <c r="HP700" s="275"/>
      <c r="HQ700" s="275"/>
      <c r="HR700" s="275"/>
    </row>
    <row r="701" spans="1:226" s="297" customFormat="1">
      <c r="A701" s="275"/>
      <c r="B701" s="21"/>
      <c r="C701" s="21"/>
      <c r="D701" s="21"/>
      <c r="E701" s="21"/>
      <c r="F701" s="275"/>
      <c r="G701" s="275"/>
      <c r="H701" s="275"/>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J701" s="275"/>
      <c r="AK701" s="275"/>
      <c r="AL701" s="275"/>
      <c r="AM701" s="275"/>
      <c r="AN701" s="275"/>
      <c r="AO701" s="275"/>
      <c r="AQ701" s="275"/>
      <c r="AR701" s="275"/>
      <c r="AS701" s="275"/>
      <c r="AT701" s="275"/>
      <c r="AU701" s="275"/>
      <c r="AV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D701" s="275"/>
      <c r="EE701" s="275"/>
      <c r="EF701" s="275"/>
      <c r="EG701" s="275"/>
      <c r="EH701" s="275"/>
      <c r="EI701" s="275"/>
      <c r="EJ701" s="275"/>
      <c r="EK701" s="275"/>
      <c r="EL701" s="275"/>
      <c r="EM701" s="275"/>
      <c r="EN701" s="275"/>
      <c r="EO701" s="275"/>
      <c r="EP701" s="275"/>
      <c r="EQ701" s="275"/>
      <c r="ER701" s="275"/>
      <c r="ES701" s="275"/>
      <c r="ET701" s="275"/>
      <c r="EU701"/>
      <c r="EV701"/>
      <c r="EW701" s="275"/>
      <c r="EX701" s="275"/>
      <c r="EY701" s="275"/>
      <c r="EZ701" s="275"/>
      <c r="FA701" s="275"/>
      <c r="FB701" s="275"/>
      <c r="FC701" s="275"/>
      <c r="FD701" s="275"/>
      <c r="FE701" s="275"/>
      <c r="FF701" s="275"/>
      <c r="FG701" s="275"/>
      <c r="FH701" s="275"/>
      <c r="FI701" s="275"/>
      <c r="FJ701" s="275"/>
      <c r="FK701" s="275"/>
      <c r="FL701" s="275"/>
      <c r="FM701" s="275"/>
      <c r="FN701" s="275"/>
      <c r="FO701" s="275"/>
      <c r="FP701" s="275"/>
      <c r="FQ701" s="275"/>
      <c r="FR701" s="275"/>
      <c r="FS701" s="275"/>
      <c r="FT701" s="275"/>
      <c r="FU701" s="275"/>
      <c r="FV701" s="275"/>
      <c r="FW701" s="275"/>
      <c r="FX701" s="275"/>
      <c r="FY701" s="275"/>
      <c r="FZ701" s="275"/>
      <c r="GA701" s="275"/>
      <c r="GB701" s="275"/>
      <c r="GC701" s="275"/>
      <c r="GD701" s="275"/>
      <c r="GE701" s="275"/>
      <c r="GF701" s="275"/>
      <c r="GG701" s="275"/>
      <c r="GH701" s="275"/>
      <c r="GI701" s="275"/>
      <c r="GJ701" s="275"/>
      <c r="GK701" s="275"/>
      <c r="GL701" s="275"/>
      <c r="GM701" s="275"/>
      <c r="GN701" s="275"/>
      <c r="GO701" s="275"/>
      <c r="GP701" s="275"/>
      <c r="GQ701" s="275"/>
      <c r="GR701" s="275"/>
      <c r="GS701" s="275"/>
      <c r="GT701" s="275"/>
      <c r="GU701" s="275"/>
      <c r="GV701" s="275"/>
      <c r="GW701" s="275"/>
      <c r="GX701" s="275"/>
      <c r="GY701" s="275"/>
      <c r="GZ701" s="275"/>
      <c r="HA701" s="275"/>
      <c r="HB701" s="275"/>
      <c r="HC701" s="275"/>
      <c r="HD701" s="275"/>
      <c r="HE701" s="275"/>
      <c r="HF701" s="275"/>
      <c r="HG701" s="275"/>
      <c r="HH701" s="275"/>
      <c r="HI701" s="275"/>
      <c r="HJ701" s="275"/>
      <c r="HK701" s="275"/>
      <c r="HL701" s="275"/>
      <c r="HM701" s="275"/>
      <c r="HN701" s="275"/>
      <c r="HO701" s="275"/>
      <c r="HP701" s="275"/>
      <c r="HQ701" s="275"/>
      <c r="HR701" s="275"/>
    </row>
    <row r="702" spans="1:226" s="297" customFormat="1">
      <c r="A702" s="275"/>
      <c r="B702" s="21"/>
      <c r="C702" s="21"/>
      <c r="D702" s="21"/>
      <c r="E702" s="21"/>
      <c r="F702" s="275"/>
      <c r="G702" s="275"/>
      <c r="H702" s="275"/>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J702" s="275"/>
      <c r="AK702" s="275"/>
      <c r="AL702" s="275"/>
      <c r="AM702" s="275"/>
      <c r="AN702" s="275"/>
      <c r="AO702" s="275"/>
      <c r="AQ702" s="275"/>
      <c r="AR702" s="275"/>
      <c r="AS702" s="275"/>
      <c r="AT702" s="275"/>
      <c r="AU702" s="275"/>
      <c r="AV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D702" s="275"/>
      <c r="EE702" s="275"/>
      <c r="EF702" s="275"/>
      <c r="EG702" s="275"/>
      <c r="EH702" s="275"/>
      <c r="EI702" s="275"/>
      <c r="EJ702" s="275"/>
      <c r="EK702" s="275"/>
      <c r="EL702" s="275"/>
      <c r="EM702" s="275"/>
      <c r="EN702" s="275"/>
      <c r="EO702" s="275"/>
      <c r="EP702" s="275"/>
      <c r="EQ702" s="275"/>
      <c r="ER702" s="275"/>
      <c r="ES702" s="275"/>
      <c r="ET702" s="275"/>
      <c r="EU702"/>
      <c r="EV702"/>
      <c r="EW702" s="275"/>
      <c r="EX702" s="275"/>
      <c r="EY702" s="275"/>
      <c r="EZ702" s="275"/>
      <c r="FA702" s="275"/>
      <c r="FB702" s="275"/>
      <c r="FC702" s="275"/>
      <c r="FD702" s="275"/>
      <c r="FE702" s="275"/>
      <c r="FF702" s="275"/>
      <c r="FG702" s="275"/>
      <c r="FH702" s="275"/>
      <c r="FI702" s="275"/>
      <c r="FJ702" s="275"/>
      <c r="FK702" s="275"/>
      <c r="FL702" s="275"/>
      <c r="FM702" s="275"/>
      <c r="FN702" s="275"/>
      <c r="FO702" s="275"/>
      <c r="FP702" s="275"/>
      <c r="FQ702" s="275"/>
      <c r="FR702" s="275"/>
      <c r="FS702" s="275"/>
      <c r="FT702" s="275"/>
      <c r="FU702" s="275"/>
      <c r="FV702" s="275"/>
      <c r="FW702" s="275"/>
      <c r="FX702" s="275"/>
      <c r="FY702" s="275"/>
      <c r="FZ702" s="275"/>
      <c r="GA702" s="275"/>
      <c r="GB702" s="275"/>
      <c r="GC702" s="275"/>
      <c r="GD702" s="275"/>
      <c r="GE702" s="275"/>
      <c r="GF702" s="275"/>
      <c r="GG702" s="275"/>
      <c r="GH702" s="275"/>
      <c r="GI702" s="275"/>
      <c r="GJ702" s="275"/>
      <c r="GK702" s="275"/>
      <c r="GL702" s="275"/>
      <c r="GM702" s="275"/>
      <c r="GN702" s="275"/>
      <c r="GO702" s="275"/>
      <c r="GP702" s="275"/>
      <c r="GQ702" s="275"/>
      <c r="GR702" s="275"/>
      <c r="GS702" s="275"/>
      <c r="GT702" s="275"/>
      <c r="GU702" s="275"/>
      <c r="GV702" s="275"/>
      <c r="GW702" s="275"/>
      <c r="GX702" s="275"/>
      <c r="GY702" s="275"/>
      <c r="GZ702" s="275"/>
      <c r="HA702" s="275"/>
      <c r="HB702" s="275"/>
      <c r="HC702" s="275"/>
      <c r="HD702" s="275"/>
      <c r="HE702" s="275"/>
      <c r="HF702" s="275"/>
      <c r="HG702" s="275"/>
      <c r="HH702" s="275"/>
      <c r="HI702" s="275"/>
      <c r="HJ702" s="275"/>
      <c r="HK702" s="275"/>
      <c r="HL702" s="275"/>
      <c r="HM702" s="275"/>
      <c r="HN702" s="275"/>
      <c r="HO702" s="275"/>
      <c r="HP702" s="275"/>
      <c r="HQ702" s="275"/>
      <c r="HR702" s="275"/>
    </row>
    <row r="703" spans="1:226" s="297" customFormat="1">
      <c r="A703" s="275"/>
      <c r="B703" s="21"/>
      <c r="C703" s="21"/>
      <c r="D703" s="21"/>
      <c r="E703" s="21"/>
      <c r="F703" s="275"/>
      <c r="G703" s="275"/>
      <c r="H703" s="275"/>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J703" s="275"/>
      <c r="AK703" s="275"/>
      <c r="AL703" s="275"/>
      <c r="AM703" s="275"/>
      <c r="AN703" s="275"/>
      <c r="AO703" s="275"/>
      <c r="AQ703" s="275"/>
      <c r="AR703" s="275"/>
      <c r="AS703" s="275"/>
      <c r="AT703" s="275"/>
      <c r="AU703" s="275"/>
      <c r="AV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D703" s="275"/>
      <c r="EE703" s="275"/>
      <c r="EF703" s="275"/>
      <c r="EG703" s="275"/>
      <c r="EH703" s="275"/>
      <c r="EI703" s="275"/>
      <c r="EJ703" s="275"/>
      <c r="EK703" s="275"/>
      <c r="EL703" s="275"/>
      <c r="EM703" s="275"/>
      <c r="EN703" s="275"/>
      <c r="EO703" s="275"/>
      <c r="EP703" s="275"/>
      <c r="EQ703" s="275"/>
      <c r="ER703" s="275"/>
      <c r="ES703" s="275"/>
      <c r="ET703" s="275"/>
      <c r="EU703"/>
      <c r="EV703"/>
      <c r="EW703" s="275"/>
      <c r="EX703" s="275"/>
      <c r="EY703" s="275"/>
      <c r="EZ703" s="275"/>
      <c r="FA703" s="275"/>
      <c r="FB703" s="275"/>
      <c r="FC703" s="275"/>
      <c r="FD703" s="275"/>
      <c r="FE703" s="275"/>
      <c r="FF703" s="275"/>
      <c r="FG703" s="275"/>
      <c r="FH703" s="275"/>
      <c r="FI703" s="275"/>
      <c r="FJ703" s="275"/>
      <c r="FK703" s="275"/>
      <c r="FL703" s="275"/>
      <c r="FM703" s="275"/>
      <c r="FN703" s="275"/>
      <c r="FO703" s="275"/>
      <c r="FP703" s="275"/>
      <c r="FQ703" s="275"/>
      <c r="FR703" s="275"/>
      <c r="FS703" s="275"/>
      <c r="FT703" s="275"/>
      <c r="FU703" s="275"/>
      <c r="FV703" s="275"/>
      <c r="FW703" s="275"/>
      <c r="FX703" s="275"/>
      <c r="FY703" s="275"/>
      <c r="FZ703" s="275"/>
      <c r="GA703" s="275"/>
      <c r="GB703" s="275"/>
      <c r="GC703" s="275"/>
      <c r="GD703" s="275"/>
      <c r="GE703" s="275"/>
      <c r="GF703" s="275"/>
      <c r="GG703" s="275"/>
      <c r="GH703" s="275"/>
      <c r="GI703" s="275"/>
      <c r="GJ703" s="275"/>
      <c r="GK703" s="275"/>
      <c r="GL703" s="275"/>
      <c r="GM703" s="275"/>
      <c r="GN703" s="275"/>
      <c r="GO703" s="275"/>
      <c r="GP703" s="275"/>
      <c r="GQ703" s="275"/>
      <c r="GR703" s="275"/>
      <c r="GS703" s="275"/>
      <c r="GT703" s="275"/>
      <c r="GU703" s="275"/>
      <c r="GV703" s="275"/>
      <c r="GW703" s="275"/>
      <c r="GX703" s="275"/>
      <c r="GY703" s="275"/>
      <c r="GZ703" s="275"/>
      <c r="HA703" s="275"/>
      <c r="HB703" s="275"/>
      <c r="HC703" s="275"/>
      <c r="HD703" s="275"/>
      <c r="HE703" s="275"/>
      <c r="HF703" s="275"/>
      <c r="HG703" s="275"/>
      <c r="HH703" s="275"/>
      <c r="HI703" s="275"/>
      <c r="HJ703" s="275"/>
      <c r="HK703" s="275"/>
      <c r="HL703" s="275"/>
      <c r="HM703" s="275"/>
      <c r="HN703" s="275"/>
      <c r="HO703" s="275"/>
      <c r="HP703" s="275"/>
      <c r="HQ703" s="275"/>
      <c r="HR703" s="275"/>
    </row>
    <row r="704" spans="1:226" s="297" customFormat="1">
      <c r="A704" s="275"/>
      <c r="B704" s="21"/>
      <c r="C704" s="21"/>
      <c r="D704" s="21"/>
      <c r="E704" s="21"/>
      <c r="F704" s="275"/>
      <c r="G704" s="275"/>
      <c r="H704" s="275"/>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J704" s="275"/>
      <c r="AK704" s="275"/>
      <c r="AL704" s="275"/>
      <c r="AM704" s="275"/>
      <c r="AN704" s="275"/>
      <c r="AO704" s="275"/>
      <c r="AQ704" s="275"/>
      <c r="AR704" s="275"/>
      <c r="AS704" s="275"/>
      <c r="AT704" s="275"/>
      <c r="AU704" s="275"/>
      <c r="AV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D704" s="275"/>
      <c r="EE704" s="275"/>
      <c r="EF704" s="275"/>
      <c r="EG704" s="275"/>
      <c r="EH704" s="275"/>
      <c r="EI704" s="275"/>
      <c r="EJ704" s="275"/>
      <c r="EK704" s="275"/>
      <c r="EL704" s="275"/>
      <c r="EM704" s="275"/>
      <c r="EN704" s="275"/>
      <c r="EO704" s="275"/>
      <c r="EP704" s="275"/>
      <c r="EQ704" s="275"/>
      <c r="ER704" s="275"/>
      <c r="ES704" s="275"/>
      <c r="ET704" s="275"/>
      <c r="EU704"/>
      <c r="EV704"/>
      <c r="EW704" s="275"/>
      <c r="EX704" s="275"/>
      <c r="EY704" s="275"/>
      <c r="EZ704" s="275"/>
      <c r="FA704" s="275"/>
      <c r="FB704" s="275"/>
      <c r="FC704" s="275"/>
      <c r="FD704" s="275"/>
      <c r="FE704" s="275"/>
      <c r="FF704" s="275"/>
      <c r="FG704" s="275"/>
      <c r="FH704" s="275"/>
      <c r="FI704" s="275"/>
      <c r="FJ704" s="275"/>
      <c r="FK704" s="275"/>
      <c r="FL704" s="275"/>
      <c r="FM704" s="275"/>
      <c r="FN704" s="275"/>
      <c r="FO704" s="275"/>
      <c r="FP704" s="275"/>
      <c r="FQ704" s="275"/>
      <c r="FR704" s="275"/>
      <c r="FS704" s="275"/>
      <c r="FT704" s="275"/>
      <c r="FU704" s="275"/>
      <c r="FV704" s="275"/>
      <c r="FW704" s="275"/>
      <c r="FX704" s="275"/>
      <c r="FY704" s="275"/>
      <c r="FZ704" s="275"/>
      <c r="GA704" s="275"/>
      <c r="GB704" s="275"/>
      <c r="GC704" s="275"/>
      <c r="GD704" s="275"/>
      <c r="GE704" s="275"/>
      <c r="GF704" s="275"/>
      <c r="GG704" s="275"/>
      <c r="GH704" s="275"/>
      <c r="GI704" s="275"/>
      <c r="GJ704" s="275"/>
      <c r="GK704" s="275"/>
      <c r="GL704" s="275"/>
      <c r="GM704" s="275"/>
      <c r="GN704" s="275"/>
      <c r="GO704" s="275"/>
      <c r="GP704" s="275"/>
      <c r="GQ704" s="275"/>
      <c r="GR704" s="275"/>
      <c r="GS704" s="275"/>
      <c r="GT704" s="275"/>
      <c r="GU704" s="275"/>
      <c r="GV704" s="275"/>
      <c r="GW704" s="275"/>
      <c r="GX704" s="275"/>
      <c r="GY704" s="275"/>
      <c r="GZ704" s="275"/>
      <c r="HA704" s="275"/>
      <c r="HB704" s="275"/>
      <c r="HC704" s="275"/>
      <c r="HD704" s="275"/>
      <c r="HE704" s="275"/>
      <c r="HF704" s="275"/>
      <c r="HG704" s="275"/>
      <c r="HH704" s="275"/>
      <c r="HI704" s="275"/>
      <c r="HJ704" s="275"/>
      <c r="HK704" s="275"/>
      <c r="HL704" s="275"/>
      <c r="HM704" s="275"/>
      <c r="HN704" s="275"/>
      <c r="HO704" s="275"/>
      <c r="HP704" s="275"/>
      <c r="HQ704" s="275"/>
      <c r="HR704" s="275"/>
    </row>
    <row r="705" spans="1:226" s="297" customFormat="1">
      <c r="A705" s="275"/>
      <c r="B705" s="21"/>
      <c r="C705" s="21"/>
      <c r="D705" s="21"/>
      <c r="E705" s="21"/>
      <c r="F705" s="275"/>
      <c r="G705" s="275"/>
      <c r="H705" s="275"/>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J705" s="275"/>
      <c r="AK705" s="275"/>
      <c r="AL705" s="275"/>
      <c r="AM705" s="275"/>
      <c r="AN705" s="275"/>
      <c r="AO705" s="275"/>
      <c r="AQ705" s="275"/>
      <c r="AR705" s="275"/>
      <c r="AS705" s="275"/>
      <c r="AT705" s="275"/>
      <c r="AU705" s="275"/>
      <c r="AV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D705" s="275"/>
      <c r="EE705" s="275"/>
      <c r="EF705" s="275"/>
      <c r="EG705" s="275"/>
      <c r="EH705" s="275"/>
      <c r="EI705" s="275"/>
      <c r="EJ705" s="275"/>
      <c r="EK705" s="275"/>
      <c r="EL705" s="275"/>
      <c r="EM705" s="275"/>
      <c r="EN705" s="275"/>
      <c r="EO705" s="275"/>
      <c r="EP705" s="275"/>
      <c r="EQ705" s="275"/>
      <c r="ER705" s="275"/>
      <c r="ES705" s="275"/>
      <c r="ET705" s="275"/>
      <c r="EU705"/>
      <c r="EV705"/>
      <c r="EW705" s="275"/>
      <c r="EX705" s="275"/>
      <c r="EY705" s="275"/>
      <c r="EZ705" s="275"/>
      <c r="FA705" s="275"/>
      <c r="FB705" s="275"/>
      <c r="FC705" s="275"/>
      <c r="FD705" s="275"/>
      <c r="FE705" s="275"/>
      <c r="FF705" s="275"/>
      <c r="FG705" s="275"/>
      <c r="FH705" s="275"/>
      <c r="FI705" s="275"/>
      <c r="FJ705" s="275"/>
      <c r="FK705" s="275"/>
      <c r="FL705" s="275"/>
      <c r="FM705" s="275"/>
      <c r="FN705" s="275"/>
      <c r="FO705" s="275"/>
      <c r="FP705" s="275"/>
      <c r="FQ705" s="275"/>
      <c r="FR705" s="275"/>
      <c r="FS705" s="275"/>
      <c r="FT705" s="275"/>
      <c r="FU705" s="275"/>
      <c r="FV705" s="275"/>
      <c r="FW705" s="275"/>
      <c r="FX705" s="275"/>
      <c r="FY705" s="275"/>
      <c r="FZ705" s="275"/>
      <c r="GA705" s="275"/>
      <c r="GB705" s="275"/>
      <c r="GC705" s="275"/>
      <c r="GD705" s="275"/>
      <c r="GE705" s="275"/>
      <c r="GF705" s="275"/>
      <c r="GG705" s="275"/>
      <c r="GH705" s="275"/>
      <c r="GI705" s="275"/>
      <c r="GJ705" s="275"/>
      <c r="GK705" s="275"/>
      <c r="GL705" s="275"/>
      <c r="GM705" s="275"/>
      <c r="GN705" s="275"/>
      <c r="GO705" s="275"/>
      <c r="GP705" s="275"/>
      <c r="GQ705" s="275"/>
      <c r="GR705" s="275"/>
      <c r="GS705" s="275"/>
      <c r="GT705" s="275"/>
      <c r="GU705" s="275"/>
      <c r="GV705" s="275"/>
      <c r="GW705" s="275"/>
      <c r="GX705" s="275"/>
      <c r="GY705" s="275"/>
      <c r="GZ705" s="275"/>
      <c r="HA705" s="275"/>
      <c r="HB705" s="275"/>
      <c r="HC705" s="275"/>
      <c r="HD705" s="275"/>
      <c r="HE705" s="275"/>
      <c r="HF705" s="275"/>
      <c r="HG705" s="275"/>
      <c r="HH705" s="275"/>
      <c r="HI705" s="275"/>
      <c r="HJ705" s="275"/>
      <c r="HK705" s="275"/>
      <c r="HL705" s="275"/>
      <c r="HM705" s="275"/>
      <c r="HN705" s="275"/>
      <c r="HO705" s="275"/>
      <c r="HP705" s="275"/>
      <c r="HQ705" s="275"/>
      <c r="HR705" s="275"/>
    </row>
    <row r="706" spans="1:226" s="297" customFormat="1">
      <c r="A706" s="275"/>
      <c r="B706" s="21"/>
      <c r="C706" s="21"/>
      <c r="D706" s="21"/>
      <c r="E706" s="21"/>
      <c r="F706" s="275"/>
      <c r="G706" s="275"/>
      <c r="H706" s="275"/>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J706" s="275"/>
      <c r="AK706" s="275"/>
      <c r="AL706" s="275"/>
      <c r="AM706" s="275"/>
      <c r="AN706" s="275"/>
      <c r="AO706" s="275"/>
      <c r="AQ706" s="275"/>
      <c r="AR706" s="275"/>
      <c r="AS706" s="275"/>
      <c r="AT706" s="275"/>
      <c r="AU706" s="275"/>
      <c r="AV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D706" s="275"/>
      <c r="EE706" s="275"/>
      <c r="EF706" s="275"/>
      <c r="EG706" s="275"/>
      <c r="EH706" s="275"/>
      <c r="EI706" s="275"/>
      <c r="EJ706" s="275"/>
      <c r="EK706" s="275"/>
      <c r="EL706" s="275"/>
      <c r="EM706" s="275"/>
      <c r="EN706" s="275"/>
      <c r="EO706" s="275"/>
      <c r="EP706" s="275"/>
      <c r="EQ706" s="275"/>
      <c r="ER706" s="275"/>
      <c r="ES706" s="275"/>
      <c r="ET706" s="275"/>
      <c r="EU706"/>
      <c r="EV706"/>
      <c r="EW706" s="275"/>
      <c r="EX706" s="275"/>
      <c r="EY706" s="275"/>
      <c r="EZ706" s="275"/>
      <c r="FA706" s="275"/>
      <c r="FB706" s="275"/>
      <c r="FC706" s="275"/>
      <c r="FD706" s="275"/>
      <c r="FE706" s="275"/>
      <c r="FF706" s="275"/>
      <c r="FG706" s="275"/>
      <c r="FH706" s="275"/>
      <c r="FI706" s="275"/>
      <c r="FJ706" s="275"/>
      <c r="FK706" s="275"/>
      <c r="FL706" s="275"/>
      <c r="FM706" s="275"/>
      <c r="FN706" s="275"/>
      <c r="FO706" s="275"/>
      <c r="FP706" s="275"/>
      <c r="FQ706" s="275"/>
      <c r="FR706" s="275"/>
      <c r="FS706" s="275"/>
      <c r="FT706" s="275"/>
      <c r="FU706" s="275"/>
      <c r="FV706" s="275"/>
      <c r="FW706" s="275"/>
      <c r="FX706" s="275"/>
      <c r="FY706" s="275"/>
      <c r="FZ706" s="275"/>
      <c r="GA706" s="275"/>
      <c r="GB706" s="275"/>
      <c r="GC706" s="275"/>
      <c r="GD706" s="275"/>
      <c r="GE706" s="275"/>
      <c r="GF706" s="275"/>
      <c r="GG706" s="275"/>
      <c r="GH706" s="275"/>
      <c r="GI706" s="275"/>
      <c r="GJ706" s="275"/>
      <c r="GK706" s="275"/>
      <c r="GL706" s="275"/>
      <c r="GM706" s="275"/>
      <c r="GN706" s="275"/>
      <c r="GO706" s="275"/>
      <c r="GP706" s="275"/>
      <c r="GQ706" s="275"/>
      <c r="GR706" s="275"/>
      <c r="GS706" s="275"/>
      <c r="GT706" s="275"/>
      <c r="GU706" s="275"/>
      <c r="GV706" s="275"/>
      <c r="GW706" s="275"/>
      <c r="GX706" s="275"/>
      <c r="GY706" s="275"/>
      <c r="GZ706" s="275"/>
      <c r="HA706" s="275"/>
      <c r="HB706" s="275"/>
      <c r="HC706" s="275"/>
      <c r="HD706" s="275"/>
      <c r="HE706" s="275"/>
      <c r="HF706" s="275"/>
      <c r="HG706" s="275"/>
      <c r="HH706" s="275"/>
      <c r="HI706" s="275"/>
      <c r="HJ706" s="275"/>
      <c r="HK706" s="275"/>
      <c r="HL706" s="275"/>
      <c r="HM706" s="275"/>
      <c r="HN706" s="275"/>
      <c r="HO706" s="275"/>
      <c r="HP706" s="275"/>
      <c r="HQ706" s="275"/>
      <c r="HR706" s="275"/>
    </row>
    <row r="707" spans="1:226" s="297" customFormat="1">
      <c r="A707" s="275"/>
      <c r="B707" s="21"/>
      <c r="C707" s="21"/>
      <c r="D707" s="21"/>
      <c r="E707" s="21"/>
      <c r="F707" s="275"/>
      <c r="G707" s="275"/>
      <c r="H707" s="275"/>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J707" s="275"/>
      <c r="AK707" s="275"/>
      <c r="AL707" s="275"/>
      <c r="AM707" s="275"/>
      <c r="AN707" s="275"/>
      <c r="AO707" s="275"/>
      <c r="AQ707" s="275"/>
      <c r="AR707" s="275"/>
      <c r="AS707" s="275"/>
      <c r="AT707" s="275"/>
      <c r="AU707" s="275"/>
      <c r="AV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D707" s="275"/>
      <c r="EE707" s="275"/>
      <c r="EF707" s="275"/>
      <c r="EG707" s="275"/>
      <c r="EH707" s="275"/>
      <c r="EI707" s="275"/>
      <c r="EJ707" s="275"/>
      <c r="EK707" s="275"/>
      <c r="EL707" s="275"/>
      <c r="EM707" s="275"/>
      <c r="EN707" s="275"/>
      <c r="EO707" s="275"/>
      <c r="EP707" s="275"/>
      <c r="EQ707" s="275"/>
      <c r="ER707" s="275"/>
      <c r="ES707" s="275"/>
      <c r="ET707" s="275"/>
      <c r="EU707"/>
      <c r="EV707"/>
      <c r="EW707" s="275"/>
      <c r="EX707" s="275"/>
      <c r="EY707" s="275"/>
      <c r="EZ707" s="275"/>
      <c r="FA707" s="275"/>
      <c r="FB707" s="275"/>
      <c r="FC707" s="275"/>
      <c r="FD707" s="275"/>
      <c r="FE707" s="275"/>
      <c r="FF707" s="275"/>
      <c r="FG707" s="275"/>
      <c r="FH707" s="275"/>
      <c r="FI707" s="275"/>
      <c r="FJ707" s="275"/>
      <c r="FK707" s="275"/>
      <c r="FL707" s="275"/>
      <c r="FM707" s="275"/>
      <c r="FN707" s="275"/>
      <c r="FO707" s="275"/>
      <c r="FP707" s="275"/>
      <c r="FQ707" s="275"/>
      <c r="FR707" s="275"/>
      <c r="FS707" s="275"/>
      <c r="FT707" s="275"/>
      <c r="FU707" s="275"/>
      <c r="FV707" s="275"/>
      <c r="FW707" s="275"/>
      <c r="FX707" s="275"/>
      <c r="FY707" s="275"/>
      <c r="FZ707" s="275"/>
      <c r="GA707" s="275"/>
      <c r="GB707" s="275"/>
      <c r="GC707" s="275"/>
      <c r="GD707" s="275"/>
      <c r="GE707" s="275"/>
      <c r="GF707" s="275"/>
      <c r="GG707" s="275"/>
      <c r="GH707" s="275"/>
      <c r="GI707" s="275"/>
      <c r="GJ707" s="275"/>
      <c r="GK707" s="275"/>
      <c r="GL707" s="275"/>
      <c r="GM707" s="275"/>
      <c r="GN707" s="275"/>
      <c r="GO707" s="275"/>
      <c r="GP707" s="275"/>
      <c r="GQ707" s="275"/>
      <c r="GR707" s="275"/>
      <c r="GS707" s="275"/>
      <c r="GT707" s="275"/>
      <c r="GU707" s="275"/>
      <c r="GV707" s="275"/>
      <c r="GW707" s="275"/>
      <c r="GX707" s="275"/>
      <c r="GY707" s="275"/>
      <c r="GZ707" s="275"/>
      <c r="HA707" s="275"/>
      <c r="HB707" s="275"/>
      <c r="HC707" s="275"/>
      <c r="HD707" s="275"/>
      <c r="HE707" s="275"/>
      <c r="HF707" s="275"/>
      <c r="HG707" s="275"/>
      <c r="HH707" s="275"/>
      <c r="HI707" s="275"/>
      <c r="HJ707" s="275"/>
      <c r="HK707" s="275"/>
      <c r="HL707" s="275"/>
      <c r="HM707" s="275"/>
      <c r="HN707" s="275"/>
      <c r="HO707" s="275"/>
      <c r="HP707" s="275"/>
      <c r="HQ707" s="275"/>
      <c r="HR707" s="275"/>
    </row>
    <row r="708" spans="1:226" s="297" customFormat="1">
      <c r="A708" s="275"/>
      <c r="B708" s="21"/>
      <c r="C708" s="21"/>
      <c r="D708" s="21"/>
      <c r="E708" s="21"/>
      <c r="F708" s="275"/>
      <c r="G708" s="275"/>
      <c r="H708" s="275"/>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J708" s="275"/>
      <c r="AK708" s="275"/>
      <c r="AL708" s="275"/>
      <c r="AM708" s="275"/>
      <c r="AN708" s="275"/>
      <c r="AO708" s="275"/>
      <c r="AQ708" s="275"/>
      <c r="AR708" s="275"/>
      <c r="AS708" s="275"/>
      <c r="AT708" s="275"/>
      <c r="AU708" s="275"/>
      <c r="AV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D708" s="275"/>
      <c r="EE708" s="275"/>
      <c r="EF708" s="275"/>
      <c r="EG708" s="275"/>
      <c r="EH708" s="275"/>
      <c r="EI708" s="275"/>
      <c r="EJ708" s="275"/>
      <c r="EK708" s="275"/>
      <c r="EL708" s="275"/>
      <c r="EM708" s="275"/>
      <c r="EN708" s="275"/>
      <c r="EO708" s="275"/>
      <c r="EP708" s="275"/>
      <c r="EQ708" s="275"/>
      <c r="ER708" s="275"/>
      <c r="ES708" s="275"/>
      <c r="ET708" s="275"/>
      <c r="EU708"/>
      <c r="EV708"/>
      <c r="EW708" s="275"/>
      <c r="EX708" s="275"/>
      <c r="EY708" s="275"/>
      <c r="EZ708" s="275"/>
      <c r="FA708" s="275"/>
      <c r="FB708" s="275"/>
      <c r="FC708" s="275"/>
      <c r="FD708" s="275"/>
      <c r="FE708" s="275"/>
      <c r="FF708" s="275"/>
      <c r="FG708" s="275"/>
      <c r="FH708" s="275"/>
      <c r="FI708" s="275"/>
      <c r="FJ708" s="275"/>
      <c r="FK708" s="275"/>
      <c r="FL708" s="275"/>
      <c r="FM708" s="275"/>
      <c r="FN708" s="275"/>
      <c r="FO708" s="275"/>
      <c r="FP708" s="275"/>
      <c r="FQ708" s="275"/>
      <c r="FR708" s="275"/>
      <c r="FS708" s="275"/>
      <c r="FT708" s="275"/>
      <c r="FU708" s="275"/>
      <c r="FV708" s="275"/>
      <c r="FW708" s="275"/>
      <c r="FX708" s="275"/>
      <c r="FY708" s="275"/>
      <c r="FZ708" s="275"/>
      <c r="GA708" s="275"/>
      <c r="GB708" s="275"/>
      <c r="GC708" s="275"/>
      <c r="GD708" s="275"/>
      <c r="GE708" s="275"/>
      <c r="GF708" s="275"/>
      <c r="GG708" s="275"/>
      <c r="GH708" s="275"/>
      <c r="GI708" s="275"/>
      <c r="GJ708" s="275"/>
      <c r="GK708" s="275"/>
      <c r="GL708" s="275"/>
      <c r="GM708" s="275"/>
      <c r="GN708" s="275"/>
      <c r="GO708" s="275"/>
      <c r="GP708" s="275"/>
      <c r="GQ708" s="275"/>
      <c r="GR708" s="275"/>
      <c r="GS708" s="275"/>
      <c r="GT708" s="275"/>
      <c r="GU708" s="275"/>
      <c r="GV708" s="275"/>
      <c r="GW708" s="275"/>
      <c r="GX708" s="275"/>
      <c r="GY708" s="275"/>
      <c r="GZ708" s="275"/>
      <c r="HA708" s="275"/>
      <c r="HB708" s="275"/>
      <c r="HC708" s="275"/>
      <c r="HD708" s="275"/>
      <c r="HE708" s="275"/>
      <c r="HF708" s="275"/>
      <c r="HG708" s="275"/>
      <c r="HH708" s="275"/>
      <c r="HI708" s="275"/>
      <c r="HJ708" s="275"/>
      <c r="HK708" s="275"/>
      <c r="HL708" s="275"/>
      <c r="HM708" s="275"/>
      <c r="HN708" s="275"/>
      <c r="HO708" s="275"/>
      <c r="HP708" s="275"/>
      <c r="HQ708" s="275"/>
      <c r="HR708" s="275"/>
    </row>
    <row r="709" spans="1:226" s="297" customFormat="1">
      <c r="A709" s="275"/>
      <c r="B709" s="21"/>
      <c r="C709" s="21"/>
      <c r="D709" s="21"/>
      <c r="E709" s="21"/>
      <c r="F709" s="275"/>
      <c r="G709" s="275"/>
      <c r="H709" s="275"/>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J709" s="275"/>
      <c r="AK709" s="275"/>
      <c r="AL709" s="275"/>
      <c r="AM709" s="275"/>
      <c r="AN709" s="275"/>
      <c r="AO709" s="275"/>
      <c r="AQ709" s="275"/>
      <c r="AR709" s="275"/>
      <c r="AS709" s="275"/>
      <c r="AT709" s="275"/>
      <c r="AU709" s="275"/>
      <c r="AV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D709" s="275"/>
      <c r="EE709" s="275"/>
      <c r="EF709" s="275"/>
      <c r="EG709" s="275"/>
      <c r="EH709" s="275"/>
      <c r="EI709" s="275"/>
      <c r="EJ709" s="275"/>
      <c r="EK709" s="275"/>
      <c r="EL709" s="275"/>
      <c r="EM709" s="275"/>
      <c r="EN709" s="275"/>
      <c r="EO709" s="275"/>
      <c r="EP709" s="275"/>
      <c r="EQ709" s="275"/>
      <c r="ER709" s="275"/>
      <c r="ES709" s="275"/>
      <c r="ET709" s="275"/>
      <c r="EU709"/>
      <c r="EV709"/>
      <c r="EW709" s="275"/>
      <c r="EX709" s="275"/>
      <c r="EY709" s="275"/>
      <c r="EZ709" s="275"/>
      <c r="FA709" s="275"/>
      <c r="FB709" s="275"/>
      <c r="FC709" s="275"/>
      <c r="FD709" s="275"/>
      <c r="FE709" s="275"/>
      <c r="FF709" s="275"/>
      <c r="FG709" s="275"/>
      <c r="FH709" s="275"/>
      <c r="FI709" s="275"/>
      <c r="FJ709" s="275"/>
      <c r="FK709" s="275"/>
      <c r="FL709" s="275"/>
      <c r="FM709" s="275"/>
      <c r="FN709" s="275"/>
      <c r="FO709" s="275"/>
      <c r="FP709" s="275"/>
      <c r="FQ709" s="275"/>
      <c r="FR709" s="275"/>
      <c r="FS709" s="275"/>
      <c r="FT709" s="275"/>
      <c r="FU709" s="275"/>
      <c r="FV709" s="275"/>
      <c r="FW709" s="275"/>
      <c r="FX709" s="275"/>
      <c r="FY709" s="275"/>
      <c r="FZ709" s="275"/>
      <c r="GA709" s="275"/>
      <c r="GB709" s="275"/>
      <c r="GC709" s="275"/>
      <c r="GD709" s="275"/>
      <c r="GE709" s="275"/>
      <c r="GF709" s="275"/>
      <c r="GG709" s="275"/>
      <c r="GH709" s="275"/>
      <c r="GI709" s="275"/>
      <c r="GJ709" s="275"/>
      <c r="GK709" s="275"/>
      <c r="GL709" s="275"/>
      <c r="GM709" s="275"/>
      <c r="GN709" s="275"/>
      <c r="GO709" s="275"/>
      <c r="GP709" s="275"/>
      <c r="GQ709" s="275"/>
      <c r="GR709" s="275"/>
      <c r="GS709" s="275"/>
      <c r="GT709" s="275"/>
      <c r="GU709" s="275"/>
      <c r="GV709" s="275"/>
      <c r="GW709" s="275"/>
      <c r="GX709" s="275"/>
      <c r="GY709" s="275"/>
      <c r="GZ709" s="275"/>
      <c r="HA709" s="275"/>
      <c r="HB709" s="275"/>
      <c r="HC709" s="275"/>
      <c r="HD709" s="275"/>
      <c r="HE709" s="275"/>
      <c r="HF709" s="275"/>
      <c r="HG709" s="275"/>
      <c r="HH709" s="275"/>
      <c r="HI709" s="275"/>
      <c r="HJ709" s="275"/>
      <c r="HK709" s="275"/>
      <c r="HL709" s="275"/>
      <c r="HM709" s="275"/>
      <c r="HN709" s="275"/>
      <c r="HO709" s="275"/>
      <c r="HP709" s="275"/>
      <c r="HQ709" s="275"/>
      <c r="HR709" s="275"/>
    </row>
    <row r="710" spans="1:226" s="297" customFormat="1">
      <c r="A710" s="275"/>
      <c r="B710" s="21"/>
      <c r="C710" s="21"/>
      <c r="D710" s="21"/>
      <c r="E710" s="21"/>
      <c r="F710" s="275"/>
      <c r="G710" s="275"/>
      <c r="H710" s="275"/>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J710" s="275"/>
      <c r="AK710" s="275"/>
      <c r="AL710" s="275"/>
      <c r="AM710" s="275"/>
      <c r="AN710" s="275"/>
      <c r="AO710" s="275"/>
      <c r="AQ710" s="275"/>
      <c r="AR710" s="275"/>
      <c r="AS710" s="275"/>
      <c r="AT710" s="275"/>
      <c r="AU710" s="275"/>
      <c r="AV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D710" s="275"/>
      <c r="EE710" s="275"/>
      <c r="EF710" s="275"/>
      <c r="EG710" s="275"/>
      <c r="EH710" s="275"/>
      <c r="EI710" s="275"/>
      <c r="EJ710" s="275"/>
      <c r="EK710" s="275"/>
      <c r="EL710" s="275"/>
      <c r="EM710" s="275"/>
      <c r="EN710" s="275"/>
      <c r="EO710" s="275"/>
      <c r="EP710" s="275"/>
      <c r="EQ710" s="275"/>
      <c r="ER710" s="275"/>
      <c r="ES710" s="275"/>
      <c r="ET710" s="275"/>
      <c r="EU710"/>
      <c r="EV710"/>
      <c r="EW710" s="275"/>
      <c r="EX710" s="275"/>
      <c r="EY710" s="275"/>
      <c r="EZ710" s="275"/>
      <c r="FA710" s="275"/>
      <c r="FB710" s="275"/>
      <c r="FC710" s="275"/>
      <c r="FD710" s="275"/>
      <c r="FE710" s="275"/>
      <c r="FF710" s="275"/>
      <c r="FG710" s="275"/>
      <c r="FH710" s="275"/>
      <c r="FI710" s="275"/>
      <c r="FJ710" s="275"/>
      <c r="FK710" s="275"/>
      <c r="FL710" s="275"/>
      <c r="FM710" s="275"/>
      <c r="FN710" s="275"/>
      <c r="FO710" s="275"/>
      <c r="FP710" s="275"/>
      <c r="FQ710" s="275"/>
      <c r="FR710" s="275"/>
      <c r="FS710" s="275"/>
      <c r="FT710" s="275"/>
      <c r="FU710" s="275"/>
      <c r="FV710" s="275"/>
      <c r="FW710" s="275"/>
      <c r="FX710" s="275"/>
      <c r="FY710" s="275"/>
      <c r="FZ710" s="275"/>
      <c r="GA710" s="275"/>
      <c r="GB710" s="275"/>
      <c r="GC710" s="275"/>
      <c r="GD710" s="275"/>
      <c r="GE710" s="275"/>
      <c r="GF710" s="275"/>
      <c r="GG710" s="275"/>
      <c r="GH710" s="275"/>
      <c r="GI710" s="275"/>
      <c r="GJ710" s="275"/>
      <c r="GK710" s="275"/>
      <c r="GL710" s="275"/>
      <c r="GM710" s="275"/>
      <c r="GN710" s="275"/>
      <c r="GO710" s="275"/>
      <c r="GP710" s="275"/>
      <c r="GQ710" s="275"/>
      <c r="GR710" s="275"/>
      <c r="GS710" s="275"/>
      <c r="GT710" s="275"/>
      <c r="GU710" s="275"/>
      <c r="GV710" s="275"/>
      <c r="GW710" s="275"/>
      <c r="GX710" s="275"/>
      <c r="GY710" s="275"/>
      <c r="GZ710" s="275"/>
      <c r="HA710" s="275"/>
      <c r="HB710" s="275"/>
      <c r="HC710" s="275"/>
      <c r="HD710" s="275"/>
      <c r="HE710" s="275"/>
      <c r="HF710" s="275"/>
      <c r="HG710" s="275"/>
      <c r="HH710" s="275"/>
      <c r="HI710" s="275"/>
      <c r="HJ710" s="275"/>
      <c r="HK710" s="275"/>
      <c r="HL710" s="275"/>
      <c r="HM710" s="275"/>
      <c r="HN710" s="275"/>
      <c r="HO710" s="275"/>
      <c r="HP710" s="275"/>
      <c r="HQ710" s="275"/>
      <c r="HR710" s="275"/>
    </row>
    <row r="711" spans="1:226" s="297" customFormat="1">
      <c r="A711" s="275"/>
      <c r="B711" s="21"/>
      <c r="C711" s="21"/>
      <c r="D711" s="21"/>
      <c r="E711" s="21"/>
      <c r="F711" s="275"/>
      <c r="G711" s="275"/>
      <c r="H711" s="275"/>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J711" s="275"/>
      <c r="AK711" s="275"/>
      <c r="AL711" s="275"/>
      <c r="AM711" s="275"/>
      <c r="AN711" s="275"/>
      <c r="AO711" s="275"/>
      <c r="AQ711" s="275"/>
      <c r="AR711" s="275"/>
      <c r="AS711" s="275"/>
      <c r="AT711" s="275"/>
      <c r="AU711" s="275"/>
      <c r="AV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D711" s="275"/>
      <c r="EE711" s="275"/>
      <c r="EF711" s="275"/>
      <c r="EG711" s="275"/>
      <c r="EH711" s="275"/>
      <c r="EI711" s="275"/>
      <c r="EJ711" s="275"/>
      <c r="EK711" s="275"/>
      <c r="EL711" s="275"/>
      <c r="EM711" s="275"/>
      <c r="EN711" s="275"/>
      <c r="EO711" s="275"/>
      <c r="EP711" s="275"/>
      <c r="EQ711" s="275"/>
      <c r="ER711" s="275"/>
      <c r="ES711" s="275"/>
      <c r="ET711" s="275"/>
      <c r="EU711"/>
      <c r="EV711"/>
      <c r="EW711" s="275"/>
      <c r="EX711" s="275"/>
      <c r="EY711" s="275"/>
      <c r="EZ711" s="275"/>
      <c r="FA711" s="275"/>
      <c r="FB711" s="275"/>
      <c r="FC711" s="275"/>
      <c r="FD711" s="275"/>
      <c r="FE711" s="275"/>
      <c r="FF711" s="275"/>
      <c r="FG711" s="275"/>
      <c r="FH711" s="275"/>
      <c r="FI711" s="275"/>
      <c r="FJ711" s="275"/>
      <c r="FK711" s="275"/>
      <c r="FL711" s="275"/>
      <c r="FM711" s="275"/>
      <c r="FN711" s="275"/>
      <c r="FO711" s="275"/>
      <c r="FP711" s="275"/>
      <c r="FQ711" s="275"/>
      <c r="FR711" s="275"/>
      <c r="FS711" s="275"/>
      <c r="FT711" s="275"/>
      <c r="FU711" s="275"/>
      <c r="FV711" s="275"/>
      <c r="FW711" s="275"/>
      <c r="FX711" s="275"/>
      <c r="FY711" s="275"/>
      <c r="FZ711" s="275"/>
      <c r="GA711" s="275"/>
      <c r="GB711" s="275"/>
      <c r="GC711" s="275"/>
      <c r="GD711" s="275"/>
      <c r="GE711" s="275"/>
      <c r="GF711" s="275"/>
      <c r="GG711" s="275"/>
      <c r="GH711" s="275"/>
      <c r="GI711" s="275"/>
      <c r="GJ711" s="275"/>
      <c r="GK711" s="275"/>
      <c r="GL711" s="275"/>
      <c r="GM711" s="275"/>
      <c r="GN711" s="275"/>
      <c r="GO711" s="275"/>
      <c r="GP711" s="275"/>
      <c r="GQ711" s="275"/>
      <c r="GR711" s="275"/>
      <c r="GS711" s="275"/>
      <c r="GT711" s="275"/>
      <c r="GU711" s="275"/>
      <c r="GV711" s="275"/>
      <c r="GW711" s="275"/>
      <c r="GX711" s="275"/>
      <c r="GY711" s="275"/>
      <c r="GZ711" s="275"/>
      <c r="HA711" s="275"/>
      <c r="HB711" s="275"/>
      <c r="HC711" s="275"/>
      <c r="HD711" s="275"/>
      <c r="HE711" s="275"/>
      <c r="HF711" s="275"/>
      <c r="HG711" s="275"/>
      <c r="HH711" s="275"/>
      <c r="HI711" s="275"/>
      <c r="HJ711" s="275"/>
      <c r="HK711" s="275"/>
      <c r="HL711" s="275"/>
      <c r="HM711" s="275"/>
      <c r="HN711" s="275"/>
      <c r="HO711" s="275"/>
      <c r="HP711" s="275"/>
      <c r="HQ711" s="275"/>
      <c r="HR711" s="275"/>
    </row>
    <row r="712" spans="1:226" s="297" customFormat="1">
      <c r="A712" s="275"/>
      <c r="B712" s="21"/>
      <c r="C712" s="21"/>
      <c r="D712" s="21"/>
      <c r="E712" s="21"/>
      <c r="F712" s="275"/>
      <c r="G712" s="275"/>
      <c r="H712" s="275"/>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J712" s="275"/>
      <c r="AK712" s="275"/>
      <c r="AL712" s="275"/>
      <c r="AM712" s="275"/>
      <c r="AN712" s="275"/>
      <c r="AO712" s="275"/>
      <c r="AQ712" s="275"/>
      <c r="AR712" s="275"/>
      <c r="AS712" s="275"/>
      <c r="AT712" s="275"/>
      <c r="AU712" s="275"/>
      <c r="AV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D712" s="275"/>
      <c r="EE712" s="275"/>
      <c r="EF712" s="275"/>
      <c r="EG712" s="275"/>
      <c r="EH712" s="275"/>
      <c r="EI712" s="275"/>
      <c r="EJ712" s="275"/>
      <c r="EK712" s="275"/>
      <c r="EL712" s="275"/>
      <c r="EM712" s="275"/>
      <c r="EN712" s="275"/>
      <c r="EO712" s="275"/>
      <c r="EP712" s="275"/>
      <c r="EQ712" s="275"/>
      <c r="ER712" s="275"/>
      <c r="ES712" s="275"/>
      <c r="ET712" s="275"/>
      <c r="EU712"/>
      <c r="EV712"/>
      <c r="EW712" s="275"/>
      <c r="EX712" s="275"/>
      <c r="EY712" s="275"/>
      <c r="EZ712" s="275"/>
      <c r="FA712" s="275"/>
      <c r="FB712" s="275"/>
      <c r="FC712" s="275"/>
      <c r="FD712" s="275"/>
      <c r="FE712" s="275"/>
      <c r="FF712" s="275"/>
      <c r="FG712" s="275"/>
      <c r="FH712" s="275"/>
      <c r="FI712" s="275"/>
      <c r="FJ712" s="275"/>
      <c r="FK712" s="275"/>
      <c r="FL712" s="275"/>
      <c r="FM712" s="275"/>
      <c r="FN712" s="275"/>
      <c r="FO712" s="275"/>
      <c r="FP712" s="275"/>
      <c r="FQ712" s="275"/>
      <c r="FR712" s="275"/>
      <c r="FS712" s="275"/>
      <c r="FT712" s="275"/>
      <c r="FU712" s="275"/>
      <c r="FV712" s="275"/>
      <c r="FW712" s="275"/>
      <c r="FX712" s="275"/>
      <c r="FY712" s="275"/>
      <c r="FZ712" s="275"/>
      <c r="GA712" s="275"/>
      <c r="GB712" s="275"/>
      <c r="GC712" s="275"/>
      <c r="GD712" s="275"/>
      <c r="GE712" s="275"/>
      <c r="GF712" s="275"/>
      <c r="GG712" s="275"/>
      <c r="GH712" s="275"/>
      <c r="GI712" s="275"/>
      <c r="GJ712" s="275"/>
      <c r="GK712" s="275"/>
      <c r="GL712" s="275"/>
      <c r="GM712" s="275"/>
      <c r="GN712" s="275"/>
      <c r="GO712" s="275"/>
      <c r="GP712" s="275"/>
      <c r="GQ712" s="275"/>
      <c r="GR712" s="275"/>
      <c r="GS712" s="275"/>
      <c r="GT712" s="275"/>
      <c r="GU712" s="275"/>
      <c r="GV712" s="275"/>
      <c r="GW712" s="275"/>
      <c r="GX712" s="275"/>
      <c r="GY712" s="275"/>
      <c r="GZ712" s="275"/>
      <c r="HA712" s="275"/>
      <c r="HB712" s="275"/>
      <c r="HC712" s="275"/>
      <c r="HD712" s="275"/>
      <c r="HE712" s="275"/>
      <c r="HF712" s="275"/>
      <c r="HG712" s="275"/>
      <c r="HH712" s="275"/>
      <c r="HI712" s="275"/>
      <c r="HJ712" s="275"/>
      <c r="HK712" s="275"/>
      <c r="HL712" s="275"/>
      <c r="HM712" s="275"/>
      <c r="HN712" s="275"/>
      <c r="HO712" s="275"/>
      <c r="HP712" s="275"/>
      <c r="HQ712" s="275"/>
      <c r="HR712" s="275"/>
    </row>
    <row r="713" spans="1:226" s="297" customFormat="1">
      <c r="A713" s="275"/>
      <c r="B713" s="21"/>
      <c r="C713" s="21"/>
      <c r="D713" s="21"/>
      <c r="E713" s="21"/>
      <c r="F713" s="275"/>
      <c r="G713" s="275"/>
      <c r="H713" s="275"/>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J713" s="275"/>
      <c r="AK713" s="275"/>
      <c r="AL713" s="275"/>
      <c r="AM713" s="275"/>
      <c r="AN713" s="275"/>
      <c r="AO713" s="275"/>
      <c r="AQ713" s="275"/>
      <c r="AR713" s="275"/>
      <c r="AS713" s="275"/>
      <c r="AT713" s="275"/>
      <c r="AU713" s="275"/>
      <c r="AV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D713" s="275"/>
      <c r="EE713" s="275"/>
      <c r="EF713" s="275"/>
      <c r="EG713" s="275"/>
      <c r="EH713" s="275"/>
      <c r="EI713" s="275"/>
      <c r="EJ713" s="275"/>
      <c r="EK713" s="275"/>
      <c r="EL713" s="275"/>
      <c r="EM713" s="275"/>
      <c r="EN713" s="275"/>
      <c r="EO713" s="275"/>
      <c r="EP713" s="275"/>
      <c r="EQ713" s="275"/>
      <c r="ER713" s="275"/>
      <c r="ES713" s="275"/>
      <c r="ET713" s="275"/>
      <c r="EU713"/>
      <c r="EV713"/>
      <c r="EW713" s="275"/>
      <c r="EX713" s="275"/>
      <c r="EY713" s="275"/>
      <c r="EZ713" s="275"/>
      <c r="FA713" s="275"/>
      <c r="FB713" s="275"/>
      <c r="FC713" s="275"/>
      <c r="FD713" s="275"/>
      <c r="FE713" s="275"/>
      <c r="FF713" s="275"/>
      <c r="FG713" s="275"/>
      <c r="FH713" s="275"/>
      <c r="FI713" s="275"/>
      <c r="FJ713" s="275"/>
      <c r="FK713" s="275"/>
      <c r="FL713" s="275"/>
      <c r="FM713" s="275"/>
      <c r="FN713" s="275"/>
      <c r="FO713" s="275"/>
      <c r="FP713" s="275"/>
      <c r="FQ713" s="275"/>
      <c r="FR713" s="275"/>
      <c r="FS713" s="275"/>
      <c r="FT713" s="275"/>
      <c r="FU713" s="275"/>
      <c r="FV713" s="275"/>
      <c r="FW713" s="275"/>
      <c r="FX713" s="275"/>
      <c r="FY713" s="275"/>
      <c r="FZ713" s="275"/>
      <c r="GA713" s="275"/>
      <c r="GB713" s="275"/>
      <c r="GC713" s="275"/>
      <c r="GD713" s="275"/>
      <c r="GE713" s="275"/>
      <c r="GF713" s="275"/>
      <c r="GG713" s="275"/>
      <c r="GH713" s="275"/>
      <c r="GI713" s="275"/>
      <c r="GJ713" s="275"/>
      <c r="GK713" s="275"/>
      <c r="GL713" s="275"/>
      <c r="GM713" s="275"/>
      <c r="GN713" s="275"/>
      <c r="GO713" s="275"/>
      <c r="GP713" s="275"/>
      <c r="GQ713" s="275"/>
      <c r="GR713" s="275"/>
      <c r="GS713" s="275"/>
      <c r="GT713" s="275"/>
      <c r="GU713" s="275"/>
      <c r="GV713" s="275"/>
      <c r="GW713" s="275"/>
      <c r="GX713" s="275"/>
      <c r="GY713" s="275"/>
      <c r="GZ713" s="275"/>
      <c r="HA713" s="275"/>
      <c r="HB713" s="275"/>
      <c r="HC713" s="275"/>
      <c r="HD713" s="275"/>
      <c r="HE713" s="275"/>
      <c r="HF713" s="275"/>
      <c r="HG713" s="275"/>
      <c r="HH713" s="275"/>
      <c r="HI713" s="275"/>
      <c r="HJ713" s="275"/>
      <c r="HK713" s="275"/>
      <c r="HL713" s="275"/>
      <c r="HM713" s="275"/>
      <c r="HN713" s="275"/>
      <c r="HO713" s="275"/>
      <c r="HP713" s="275"/>
      <c r="HQ713" s="275"/>
      <c r="HR713" s="275"/>
    </row>
    <row r="714" spans="1:226" s="297" customFormat="1">
      <c r="A714" s="275"/>
      <c r="B714" s="21"/>
      <c r="C714" s="21"/>
      <c r="D714" s="21"/>
      <c r="E714" s="21"/>
      <c r="F714" s="275"/>
      <c r="G714" s="275"/>
      <c r="H714" s="275"/>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J714" s="275"/>
      <c r="AK714" s="275"/>
      <c r="AL714" s="275"/>
      <c r="AM714" s="275"/>
      <c r="AN714" s="275"/>
      <c r="AO714" s="275"/>
      <c r="AQ714" s="275"/>
      <c r="AR714" s="275"/>
      <c r="AS714" s="275"/>
      <c r="AT714" s="275"/>
      <c r="AU714" s="275"/>
      <c r="AV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D714" s="275"/>
      <c r="EE714" s="275"/>
      <c r="EF714" s="275"/>
      <c r="EG714" s="275"/>
      <c r="EH714" s="275"/>
      <c r="EI714" s="275"/>
      <c r="EJ714" s="275"/>
      <c r="EK714" s="275"/>
      <c r="EL714" s="275"/>
      <c r="EM714" s="275"/>
      <c r="EN714" s="275"/>
      <c r="EO714" s="275"/>
      <c r="EP714" s="275"/>
      <c r="EQ714" s="275"/>
      <c r="ER714" s="275"/>
      <c r="ES714" s="275"/>
      <c r="ET714" s="275"/>
      <c r="EU714"/>
      <c r="EV714"/>
      <c r="EW714" s="275"/>
      <c r="EX714" s="275"/>
      <c r="EY714" s="275"/>
      <c r="EZ714" s="275"/>
      <c r="FA714" s="275"/>
      <c r="FB714" s="275"/>
      <c r="FC714" s="275"/>
      <c r="FD714" s="275"/>
      <c r="FE714" s="275"/>
      <c r="FF714" s="275"/>
      <c r="FG714" s="275"/>
      <c r="FH714" s="275"/>
      <c r="FI714" s="275"/>
      <c r="FJ714" s="275"/>
      <c r="FK714" s="275"/>
      <c r="FL714" s="275"/>
      <c r="FM714" s="275"/>
      <c r="FN714" s="275"/>
      <c r="FO714" s="275"/>
      <c r="FP714" s="275"/>
      <c r="FQ714" s="275"/>
      <c r="FR714" s="275"/>
      <c r="FS714" s="275"/>
      <c r="FT714" s="275"/>
      <c r="FU714" s="275"/>
      <c r="FV714" s="275"/>
      <c r="FW714" s="275"/>
      <c r="FX714" s="275"/>
      <c r="FY714" s="275"/>
      <c r="FZ714" s="275"/>
      <c r="GA714" s="275"/>
      <c r="GB714" s="275"/>
      <c r="GC714" s="275"/>
      <c r="GD714" s="275"/>
      <c r="GE714" s="275"/>
      <c r="GF714" s="275"/>
      <c r="GG714" s="275"/>
      <c r="GH714" s="275"/>
      <c r="GI714" s="275"/>
      <c r="GJ714" s="275"/>
      <c r="GK714" s="275"/>
      <c r="GL714" s="275"/>
      <c r="GM714" s="275"/>
      <c r="GN714" s="275"/>
      <c r="GO714" s="275"/>
      <c r="GP714" s="275"/>
      <c r="GQ714" s="275"/>
      <c r="GR714" s="275"/>
      <c r="GS714" s="275"/>
      <c r="GT714" s="275"/>
      <c r="GU714" s="275"/>
      <c r="GV714" s="275"/>
      <c r="GW714" s="275"/>
      <c r="GX714" s="275"/>
      <c r="GY714" s="275"/>
      <c r="GZ714" s="275"/>
      <c r="HA714" s="275"/>
      <c r="HB714" s="275"/>
      <c r="HC714" s="275"/>
      <c r="HD714" s="275"/>
      <c r="HE714" s="275"/>
      <c r="HF714" s="275"/>
      <c r="HG714" s="275"/>
      <c r="HH714" s="275"/>
      <c r="HI714" s="275"/>
      <c r="HJ714" s="275"/>
      <c r="HK714" s="275"/>
      <c r="HL714" s="275"/>
      <c r="HM714" s="275"/>
      <c r="HN714" s="275"/>
      <c r="HO714" s="275"/>
      <c r="HP714" s="275"/>
      <c r="HQ714" s="275"/>
      <c r="HR714" s="275"/>
    </row>
    <row r="715" spans="1:226" s="297" customFormat="1">
      <c r="A715" s="275"/>
      <c r="B715" s="21"/>
      <c r="C715" s="21"/>
      <c r="D715" s="21"/>
      <c r="E715" s="21"/>
      <c r="F715" s="275"/>
      <c r="G715" s="275"/>
      <c r="H715" s="275"/>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J715" s="275"/>
      <c r="AK715" s="275"/>
      <c r="AL715" s="275"/>
      <c r="AM715" s="275"/>
      <c r="AN715" s="275"/>
      <c r="AO715" s="275"/>
      <c r="AQ715" s="275"/>
      <c r="AR715" s="275"/>
      <c r="AS715" s="275"/>
      <c r="AT715" s="275"/>
      <c r="AU715" s="275"/>
      <c r="AV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D715" s="275"/>
      <c r="EE715" s="275"/>
      <c r="EF715" s="275"/>
      <c r="EG715" s="275"/>
      <c r="EH715" s="275"/>
      <c r="EI715" s="275"/>
      <c r="EJ715" s="275"/>
      <c r="EK715" s="275"/>
      <c r="EL715" s="275"/>
      <c r="EM715" s="275"/>
      <c r="EN715" s="275"/>
      <c r="EO715" s="275"/>
      <c r="EP715" s="275"/>
      <c r="EQ715" s="275"/>
      <c r="ER715" s="275"/>
      <c r="ES715" s="275"/>
      <c r="ET715" s="275"/>
      <c r="EU715"/>
      <c r="EV715"/>
      <c r="EW715" s="275"/>
      <c r="EX715" s="275"/>
      <c r="EY715" s="275"/>
      <c r="EZ715" s="275"/>
      <c r="FA715" s="275"/>
      <c r="FB715" s="275"/>
      <c r="FC715" s="275"/>
      <c r="FD715" s="275"/>
      <c r="FE715" s="275"/>
      <c r="FF715" s="275"/>
      <c r="FG715" s="275"/>
      <c r="FH715" s="275"/>
      <c r="FI715" s="275"/>
      <c r="FJ715" s="275"/>
      <c r="FK715" s="275"/>
      <c r="FL715" s="275"/>
      <c r="FM715" s="275"/>
      <c r="FN715" s="275"/>
      <c r="FO715" s="275"/>
      <c r="FP715" s="275"/>
      <c r="FQ715" s="275"/>
      <c r="FR715" s="275"/>
      <c r="FS715" s="275"/>
      <c r="FT715" s="275"/>
      <c r="FU715" s="275"/>
      <c r="FV715" s="275"/>
      <c r="FW715" s="275"/>
      <c r="FX715" s="275"/>
      <c r="FY715" s="275"/>
      <c r="FZ715" s="275"/>
      <c r="GA715" s="275"/>
      <c r="GB715" s="275"/>
      <c r="GC715" s="275"/>
      <c r="GD715" s="275"/>
      <c r="GE715" s="275"/>
      <c r="GF715" s="275"/>
      <c r="GG715" s="275"/>
      <c r="GH715" s="275"/>
      <c r="GI715" s="275"/>
      <c r="GJ715" s="275"/>
      <c r="GK715" s="275"/>
      <c r="GL715" s="275"/>
      <c r="GM715" s="275"/>
      <c r="GN715" s="275"/>
      <c r="GO715" s="275"/>
      <c r="GP715" s="275"/>
      <c r="GQ715" s="275"/>
      <c r="GR715" s="275"/>
      <c r="GS715" s="275"/>
      <c r="GT715" s="275"/>
      <c r="GU715" s="275"/>
      <c r="GV715" s="275"/>
      <c r="GW715" s="275"/>
      <c r="GX715" s="275"/>
      <c r="GY715" s="275"/>
      <c r="GZ715" s="275"/>
      <c r="HA715" s="275"/>
      <c r="HB715" s="275"/>
      <c r="HC715" s="275"/>
      <c r="HD715" s="275"/>
      <c r="HE715" s="275"/>
      <c r="HF715" s="275"/>
      <c r="HG715" s="275"/>
      <c r="HH715" s="275"/>
      <c r="HI715" s="275"/>
      <c r="HJ715" s="275"/>
      <c r="HK715" s="275"/>
      <c r="HL715" s="275"/>
      <c r="HM715" s="275"/>
      <c r="HN715" s="275"/>
      <c r="HO715" s="275"/>
      <c r="HP715" s="275"/>
      <c r="HQ715" s="275"/>
      <c r="HR715" s="275"/>
    </row>
    <row r="716" spans="1:226" s="297" customFormat="1">
      <c r="A716" s="275"/>
      <c r="B716" s="21"/>
      <c r="C716" s="21"/>
      <c r="D716" s="21"/>
      <c r="E716" s="21"/>
      <c r="F716" s="275"/>
      <c r="G716" s="275"/>
      <c r="H716" s="275"/>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J716" s="275"/>
      <c r="AK716" s="275"/>
      <c r="AL716" s="275"/>
      <c r="AM716" s="275"/>
      <c r="AN716" s="275"/>
      <c r="AO716" s="275"/>
      <c r="AQ716" s="275"/>
      <c r="AR716" s="275"/>
      <c r="AS716" s="275"/>
      <c r="AT716" s="275"/>
      <c r="AU716" s="275"/>
      <c r="AV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D716" s="275"/>
      <c r="EE716" s="275"/>
      <c r="EF716" s="275"/>
      <c r="EG716" s="275"/>
      <c r="EH716" s="275"/>
      <c r="EI716" s="275"/>
      <c r="EJ716" s="275"/>
      <c r="EK716" s="275"/>
      <c r="EL716" s="275"/>
      <c r="EM716" s="275"/>
      <c r="EN716" s="275"/>
      <c r="EO716" s="275"/>
      <c r="EP716" s="275"/>
      <c r="EQ716" s="275"/>
      <c r="ER716" s="275"/>
      <c r="ES716" s="275"/>
      <c r="ET716" s="275"/>
      <c r="EU716"/>
      <c r="EV716"/>
      <c r="EW716" s="275"/>
      <c r="EX716" s="275"/>
      <c r="EY716" s="275"/>
      <c r="EZ716" s="275"/>
      <c r="FA716" s="275"/>
      <c r="FB716" s="275"/>
      <c r="FC716" s="275"/>
      <c r="FD716" s="275"/>
      <c r="FE716" s="275"/>
      <c r="FF716" s="275"/>
      <c r="FG716" s="275"/>
      <c r="FH716" s="275"/>
      <c r="FI716" s="275"/>
      <c r="FJ716" s="275"/>
      <c r="FK716" s="275"/>
      <c r="FL716" s="275"/>
      <c r="FM716" s="275"/>
      <c r="FN716" s="275"/>
      <c r="FO716" s="275"/>
      <c r="FP716" s="275"/>
      <c r="FQ716" s="275"/>
      <c r="FR716" s="275"/>
      <c r="FS716" s="275"/>
      <c r="FT716" s="275"/>
      <c r="FU716" s="275"/>
      <c r="FV716" s="275"/>
      <c r="FW716" s="275"/>
      <c r="FX716" s="275"/>
      <c r="FY716" s="275"/>
      <c r="FZ716" s="275"/>
      <c r="GA716" s="275"/>
      <c r="GB716" s="275"/>
      <c r="GC716" s="275"/>
      <c r="GD716" s="275"/>
      <c r="GE716" s="275"/>
      <c r="GF716" s="275"/>
      <c r="GG716" s="275"/>
      <c r="GH716" s="275"/>
      <c r="GI716" s="275"/>
      <c r="GJ716" s="275"/>
      <c r="GK716" s="275"/>
      <c r="GL716" s="275"/>
      <c r="GM716" s="275"/>
      <c r="GN716" s="275"/>
      <c r="GO716" s="275"/>
      <c r="GP716" s="275"/>
      <c r="GQ716" s="275"/>
      <c r="GR716" s="275"/>
      <c r="GS716" s="275"/>
      <c r="GT716" s="275"/>
      <c r="GU716" s="275"/>
      <c r="GV716" s="275"/>
      <c r="GW716" s="275"/>
      <c r="GX716" s="275"/>
      <c r="GY716" s="275"/>
      <c r="GZ716" s="275"/>
      <c r="HA716" s="275"/>
      <c r="HB716" s="275"/>
      <c r="HC716" s="275"/>
      <c r="HD716" s="275"/>
      <c r="HE716" s="275"/>
      <c r="HF716" s="275"/>
      <c r="HG716" s="275"/>
      <c r="HH716" s="275"/>
      <c r="HI716" s="275"/>
      <c r="HJ716" s="275"/>
      <c r="HK716" s="275"/>
      <c r="HL716" s="275"/>
      <c r="HM716" s="275"/>
      <c r="HN716" s="275"/>
      <c r="HO716" s="275"/>
      <c r="HP716" s="275"/>
      <c r="HQ716" s="275"/>
      <c r="HR716" s="275"/>
    </row>
    <row r="717" spans="1:226" s="297" customFormat="1">
      <c r="A717" s="275"/>
      <c r="B717" s="21"/>
      <c r="C717" s="21"/>
      <c r="D717" s="21"/>
      <c r="E717" s="21"/>
      <c r="F717" s="275"/>
      <c r="G717" s="275"/>
      <c r="H717" s="275"/>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J717" s="275"/>
      <c r="AK717" s="275"/>
      <c r="AL717" s="275"/>
      <c r="AM717" s="275"/>
      <c r="AN717" s="275"/>
      <c r="AO717" s="275"/>
      <c r="AQ717" s="275"/>
      <c r="AR717" s="275"/>
      <c r="AS717" s="275"/>
      <c r="AT717" s="275"/>
      <c r="AU717" s="275"/>
      <c r="AV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D717" s="275"/>
      <c r="EE717" s="275"/>
      <c r="EF717" s="275"/>
      <c r="EG717" s="275"/>
      <c r="EH717" s="275"/>
      <c r="EI717" s="275"/>
      <c r="EJ717" s="275"/>
      <c r="EK717" s="275"/>
      <c r="EL717" s="275"/>
      <c r="EM717" s="275"/>
      <c r="EN717" s="275"/>
      <c r="EO717" s="275"/>
      <c r="EP717" s="275"/>
      <c r="EQ717" s="275"/>
      <c r="ER717" s="275"/>
      <c r="ES717" s="275"/>
      <c r="ET717" s="275"/>
      <c r="EU717"/>
      <c r="EV717"/>
      <c r="EW717" s="275"/>
      <c r="EX717" s="275"/>
      <c r="EY717" s="275"/>
      <c r="EZ717" s="275"/>
      <c r="FA717" s="275"/>
      <c r="FB717" s="275"/>
      <c r="FC717" s="275"/>
      <c r="FD717" s="275"/>
      <c r="FE717" s="275"/>
      <c r="FF717" s="275"/>
      <c r="FG717" s="275"/>
      <c r="FH717" s="275"/>
      <c r="FI717" s="275"/>
      <c r="FJ717" s="275"/>
      <c r="FK717" s="275"/>
      <c r="FL717" s="275"/>
      <c r="FM717" s="275"/>
      <c r="FN717" s="275"/>
      <c r="FO717" s="275"/>
      <c r="FP717" s="275"/>
      <c r="FQ717" s="275"/>
      <c r="FR717" s="275"/>
      <c r="FS717" s="275"/>
      <c r="FT717" s="275"/>
      <c r="FU717" s="275"/>
      <c r="FV717" s="275"/>
      <c r="FW717" s="275"/>
      <c r="FX717" s="275"/>
      <c r="FY717" s="275"/>
      <c r="FZ717" s="275"/>
      <c r="GA717" s="275"/>
      <c r="GB717" s="275"/>
      <c r="GC717" s="275"/>
      <c r="GD717" s="275"/>
      <c r="GE717" s="275"/>
      <c r="GF717" s="275"/>
      <c r="GG717" s="275"/>
      <c r="GH717" s="275"/>
      <c r="GI717" s="275"/>
      <c r="GJ717" s="275"/>
      <c r="GK717" s="275"/>
      <c r="GL717" s="275"/>
      <c r="GM717" s="275"/>
      <c r="GN717" s="275"/>
      <c r="GO717" s="275"/>
      <c r="GP717" s="275"/>
      <c r="GQ717" s="275"/>
      <c r="GR717" s="275"/>
      <c r="GS717" s="275"/>
      <c r="GT717" s="275"/>
      <c r="GU717" s="275"/>
      <c r="GV717" s="275"/>
      <c r="GW717" s="275"/>
      <c r="GX717" s="275"/>
      <c r="GY717" s="275"/>
      <c r="GZ717" s="275"/>
      <c r="HA717" s="275"/>
      <c r="HB717" s="275"/>
      <c r="HC717" s="275"/>
      <c r="HD717" s="275"/>
      <c r="HE717" s="275"/>
      <c r="HF717" s="275"/>
      <c r="HG717" s="275"/>
      <c r="HH717" s="275"/>
      <c r="HI717" s="275"/>
      <c r="HJ717" s="275"/>
      <c r="HK717" s="275"/>
      <c r="HL717" s="275"/>
      <c r="HM717" s="275"/>
      <c r="HN717" s="275"/>
      <c r="HO717" s="275"/>
      <c r="HP717" s="275"/>
      <c r="HQ717" s="275"/>
      <c r="HR717" s="275"/>
    </row>
    <row r="718" spans="1:226" s="297" customFormat="1">
      <c r="A718" s="275"/>
      <c r="B718" s="21"/>
      <c r="C718" s="21"/>
      <c r="D718" s="21"/>
      <c r="E718" s="21"/>
      <c r="F718" s="275"/>
      <c r="G718" s="275"/>
      <c r="H718" s="275"/>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J718" s="275"/>
      <c r="AK718" s="275"/>
      <c r="AL718" s="275"/>
      <c r="AM718" s="275"/>
      <c r="AN718" s="275"/>
      <c r="AO718" s="275"/>
      <c r="AQ718" s="275"/>
      <c r="AR718" s="275"/>
      <c r="AS718" s="275"/>
      <c r="AT718" s="275"/>
      <c r="AU718" s="275"/>
      <c r="AV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D718" s="275"/>
      <c r="EE718" s="275"/>
      <c r="EF718" s="275"/>
      <c r="EG718" s="275"/>
      <c r="EH718" s="275"/>
      <c r="EI718" s="275"/>
      <c r="EJ718" s="275"/>
      <c r="EK718" s="275"/>
      <c r="EL718" s="275"/>
      <c r="EM718" s="275"/>
      <c r="EN718" s="275"/>
      <c r="EO718" s="275"/>
      <c r="EP718" s="275"/>
      <c r="EQ718" s="275"/>
      <c r="ER718" s="275"/>
      <c r="ES718" s="275"/>
      <c r="ET718" s="275"/>
      <c r="EU718"/>
      <c r="EV718"/>
      <c r="EW718" s="275"/>
      <c r="EX718" s="275"/>
      <c r="EY718" s="275"/>
      <c r="EZ718" s="275"/>
      <c r="FA718" s="275"/>
      <c r="FB718" s="275"/>
      <c r="FC718" s="275"/>
      <c r="FD718" s="275"/>
      <c r="FE718" s="275"/>
      <c r="FF718" s="275"/>
      <c r="FG718" s="275"/>
      <c r="FH718" s="275"/>
      <c r="FI718" s="275"/>
      <c r="FJ718" s="275"/>
      <c r="FK718" s="275"/>
      <c r="FL718" s="275"/>
      <c r="FM718" s="275"/>
      <c r="FN718" s="275"/>
      <c r="FO718" s="275"/>
      <c r="FP718" s="275"/>
      <c r="FQ718" s="275"/>
      <c r="FR718" s="275"/>
      <c r="FS718" s="275"/>
      <c r="FT718" s="275"/>
      <c r="FU718" s="275"/>
      <c r="FV718" s="275"/>
      <c r="FW718" s="275"/>
      <c r="FX718" s="275"/>
      <c r="FY718" s="275"/>
      <c r="FZ718" s="275"/>
      <c r="GA718" s="275"/>
      <c r="GB718" s="275"/>
      <c r="GC718" s="275"/>
      <c r="GD718" s="275"/>
      <c r="GE718" s="275"/>
      <c r="GF718" s="275"/>
      <c r="GG718" s="275"/>
      <c r="GH718" s="275"/>
      <c r="GI718" s="275"/>
      <c r="GJ718" s="275"/>
      <c r="GK718" s="275"/>
      <c r="GL718" s="275"/>
      <c r="GM718" s="275"/>
      <c r="GN718" s="275"/>
      <c r="GO718" s="275"/>
      <c r="GP718" s="275"/>
      <c r="GQ718" s="275"/>
      <c r="GR718" s="275"/>
      <c r="GS718" s="275"/>
      <c r="GT718" s="275"/>
      <c r="GU718" s="275"/>
      <c r="GV718" s="275"/>
      <c r="GW718" s="275"/>
      <c r="GX718" s="275"/>
      <c r="GY718" s="275"/>
      <c r="GZ718" s="275"/>
      <c r="HA718" s="275"/>
      <c r="HB718" s="275"/>
      <c r="HC718" s="275"/>
      <c r="HD718" s="275"/>
      <c r="HE718" s="275"/>
      <c r="HF718" s="275"/>
      <c r="HG718" s="275"/>
      <c r="HH718" s="275"/>
      <c r="HI718" s="275"/>
      <c r="HJ718" s="275"/>
      <c r="HK718" s="275"/>
      <c r="HL718" s="275"/>
      <c r="HM718" s="275"/>
      <c r="HN718" s="275"/>
      <c r="HO718" s="275"/>
      <c r="HP718" s="275"/>
      <c r="HQ718" s="275"/>
      <c r="HR718" s="275"/>
    </row>
    <row r="719" spans="1:226" s="297" customFormat="1">
      <c r="A719" s="275"/>
      <c r="B719" s="21"/>
      <c r="C719" s="21"/>
      <c r="D719" s="21"/>
      <c r="E719" s="21"/>
      <c r="F719" s="275"/>
      <c r="G719" s="275"/>
      <c r="H719" s="275"/>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J719" s="275"/>
      <c r="AK719" s="275"/>
      <c r="AL719" s="275"/>
      <c r="AM719" s="275"/>
      <c r="AN719" s="275"/>
      <c r="AO719" s="275"/>
      <c r="AQ719" s="275"/>
      <c r="AR719" s="275"/>
      <c r="AS719" s="275"/>
      <c r="AT719" s="275"/>
      <c r="AU719" s="275"/>
      <c r="AV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D719" s="275"/>
      <c r="EE719" s="275"/>
      <c r="EF719" s="275"/>
      <c r="EG719" s="275"/>
      <c r="EH719" s="275"/>
      <c r="EI719" s="275"/>
      <c r="EJ719" s="275"/>
      <c r="EK719" s="275"/>
      <c r="EL719" s="275"/>
      <c r="EM719" s="275"/>
      <c r="EN719" s="275"/>
      <c r="EO719" s="275"/>
      <c r="EP719" s="275"/>
      <c r="EQ719" s="275"/>
      <c r="ER719" s="275"/>
      <c r="ES719" s="275"/>
      <c r="ET719" s="275"/>
      <c r="EU719"/>
      <c r="EV719"/>
      <c r="EW719" s="275"/>
      <c r="EX719" s="275"/>
      <c r="EY719" s="275"/>
      <c r="EZ719" s="275"/>
      <c r="FA719" s="275"/>
      <c r="FB719" s="275"/>
      <c r="FC719" s="275"/>
      <c r="FD719" s="275"/>
      <c r="FE719" s="275"/>
      <c r="FF719" s="275"/>
      <c r="FG719" s="275"/>
      <c r="FH719" s="275"/>
      <c r="FI719" s="275"/>
      <c r="FJ719" s="275"/>
      <c r="FK719" s="275"/>
      <c r="FL719" s="275"/>
      <c r="FM719" s="275"/>
      <c r="FN719" s="275"/>
      <c r="FO719" s="275"/>
      <c r="FP719" s="275"/>
      <c r="FQ719" s="275"/>
      <c r="FR719" s="275"/>
      <c r="FS719" s="275"/>
      <c r="FT719" s="275"/>
      <c r="FU719" s="275"/>
      <c r="FV719" s="275"/>
      <c r="FW719" s="275"/>
      <c r="FX719" s="275"/>
      <c r="FY719" s="275"/>
      <c r="FZ719" s="275"/>
      <c r="GA719" s="275"/>
      <c r="GB719" s="275"/>
      <c r="GC719" s="275"/>
      <c r="GD719" s="275"/>
      <c r="GE719" s="275"/>
      <c r="GF719" s="275"/>
      <c r="GG719" s="275"/>
      <c r="GH719" s="275"/>
      <c r="GI719" s="275"/>
      <c r="GJ719" s="275"/>
      <c r="GK719" s="275"/>
      <c r="GL719" s="275"/>
      <c r="GM719" s="275"/>
      <c r="GN719" s="275"/>
      <c r="GO719" s="275"/>
      <c r="GP719" s="275"/>
      <c r="GQ719" s="275"/>
      <c r="GR719" s="275"/>
      <c r="GS719" s="275"/>
      <c r="GT719" s="275"/>
      <c r="GU719" s="275"/>
      <c r="GV719" s="275"/>
      <c r="GW719" s="275"/>
      <c r="GX719" s="275"/>
      <c r="GY719" s="275"/>
      <c r="GZ719" s="275"/>
      <c r="HA719" s="275"/>
      <c r="HB719" s="275"/>
      <c r="HC719" s="275"/>
      <c r="HD719" s="275"/>
      <c r="HE719" s="275"/>
      <c r="HF719" s="275"/>
      <c r="HG719" s="275"/>
      <c r="HH719" s="275"/>
      <c r="HI719" s="275"/>
      <c r="HJ719" s="275"/>
      <c r="HK719" s="275"/>
      <c r="HL719" s="275"/>
      <c r="HM719" s="275"/>
      <c r="HN719" s="275"/>
      <c r="HO719" s="275"/>
      <c r="HP719" s="275"/>
      <c r="HQ719" s="275"/>
      <c r="HR719" s="275"/>
    </row>
    <row r="720" spans="1:226" s="297" customFormat="1">
      <c r="A720" s="275"/>
      <c r="B720" s="21"/>
      <c r="C720" s="21"/>
      <c r="D720" s="21"/>
      <c r="E720" s="21"/>
      <c r="F720" s="275"/>
      <c r="G720" s="275"/>
      <c r="H720" s="275"/>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J720" s="275"/>
      <c r="AK720" s="275"/>
      <c r="AL720" s="275"/>
      <c r="AM720" s="275"/>
      <c r="AN720" s="275"/>
      <c r="AO720" s="275"/>
      <c r="AQ720" s="275"/>
      <c r="AR720" s="275"/>
      <c r="AS720" s="275"/>
      <c r="AT720" s="275"/>
      <c r="AU720" s="275"/>
      <c r="AV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D720" s="275"/>
      <c r="EE720" s="275"/>
      <c r="EF720" s="275"/>
      <c r="EG720" s="275"/>
      <c r="EH720" s="275"/>
      <c r="EI720" s="275"/>
      <c r="EJ720" s="275"/>
      <c r="EK720" s="275"/>
      <c r="EL720" s="275"/>
      <c r="EM720" s="275"/>
      <c r="EN720" s="275"/>
      <c r="EO720" s="275"/>
      <c r="EP720" s="275"/>
      <c r="EQ720" s="275"/>
      <c r="ER720" s="275"/>
      <c r="ES720" s="275"/>
      <c r="ET720" s="275"/>
      <c r="EU720"/>
      <c r="EV720"/>
      <c r="EW720" s="275"/>
      <c r="EX720" s="275"/>
      <c r="EY720" s="275"/>
      <c r="EZ720" s="275"/>
      <c r="FA720" s="275"/>
      <c r="FB720" s="275"/>
      <c r="FC720" s="275"/>
      <c r="FD720" s="275"/>
      <c r="FE720" s="275"/>
      <c r="FF720" s="275"/>
      <c r="FG720" s="275"/>
      <c r="FH720" s="275"/>
      <c r="FI720" s="275"/>
      <c r="FJ720" s="275"/>
      <c r="FK720" s="275"/>
      <c r="FL720" s="275"/>
      <c r="FM720" s="275"/>
      <c r="FN720" s="275"/>
      <c r="FO720" s="275"/>
      <c r="FP720" s="275"/>
      <c r="FQ720" s="275"/>
      <c r="FR720" s="275"/>
      <c r="FS720" s="275"/>
      <c r="FT720" s="275"/>
      <c r="FU720" s="275"/>
      <c r="FV720" s="275"/>
      <c r="FW720" s="275"/>
      <c r="FX720" s="275"/>
      <c r="FY720" s="275"/>
      <c r="FZ720" s="275"/>
      <c r="GA720" s="275"/>
      <c r="GB720" s="275"/>
      <c r="GC720" s="275"/>
      <c r="GD720" s="275"/>
      <c r="GE720" s="275"/>
      <c r="GF720" s="275"/>
      <c r="GG720" s="275"/>
      <c r="GH720" s="275"/>
      <c r="GI720" s="275"/>
      <c r="GJ720" s="275"/>
      <c r="GK720" s="275"/>
      <c r="GL720" s="275"/>
      <c r="GM720" s="275"/>
      <c r="GN720" s="275"/>
      <c r="GO720" s="275"/>
      <c r="GP720" s="275"/>
      <c r="GQ720" s="275"/>
      <c r="GR720" s="275"/>
      <c r="GS720" s="275"/>
      <c r="GT720" s="275"/>
      <c r="GU720" s="275"/>
      <c r="GV720" s="275"/>
      <c r="GW720" s="275"/>
      <c r="GX720" s="275"/>
      <c r="GY720" s="275"/>
      <c r="GZ720" s="275"/>
      <c r="HA720" s="275"/>
      <c r="HB720" s="275"/>
      <c r="HC720" s="275"/>
      <c r="HD720" s="275"/>
      <c r="HE720" s="275"/>
      <c r="HF720" s="275"/>
      <c r="HG720" s="275"/>
      <c r="HH720" s="275"/>
      <c r="HI720" s="275"/>
      <c r="HJ720" s="275"/>
      <c r="HK720" s="275"/>
      <c r="HL720" s="275"/>
      <c r="HM720" s="275"/>
      <c r="HN720" s="275"/>
      <c r="HO720" s="275"/>
      <c r="HP720" s="275"/>
      <c r="HQ720" s="275"/>
      <c r="HR720" s="275"/>
    </row>
    <row r="721" spans="1:226" s="297" customFormat="1">
      <c r="A721" s="275"/>
      <c r="B721" s="21"/>
      <c r="C721" s="21"/>
      <c r="D721" s="21"/>
      <c r="E721" s="21"/>
      <c r="F721" s="275"/>
      <c r="G721" s="275"/>
      <c r="H721" s="275"/>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J721" s="275"/>
      <c r="AK721" s="275"/>
      <c r="AL721" s="275"/>
      <c r="AM721" s="275"/>
      <c r="AN721" s="275"/>
      <c r="AO721" s="275"/>
      <c r="AQ721" s="275"/>
      <c r="AR721" s="275"/>
      <c r="AS721" s="275"/>
      <c r="AT721" s="275"/>
      <c r="AU721" s="275"/>
      <c r="AV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D721" s="275"/>
      <c r="EE721" s="275"/>
      <c r="EF721" s="275"/>
      <c r="EG721" s="275"/>
      <c r="EH721" s="275"/>
      <c r="EI721" s="275"/>
      <c r="EJ721" s="275"/>
      <c r="EK721" s="275"/>
      <c r="EL721" s="275"/>
      <c r="EM721" s="275"/>
      <c r="EN721" s="275"/>
      <c r="EO721" s="275"/>
      <c r="EP721" s="275"/>
      <c r="EQ721" s="275"/>
      <c r="ER721" s="275"/>
      <c r="ES721" s="275"/>
      <c r="ET721" s="275"/>
      <c r="EU721"/>
      <c r="EV721"/>
      <c r="EW721" s="275"/>
      <c r="EX721" s="275"/>
      <c r="EY721" s="275"/>
      <c r="EZ721" s="275"/>
      <c r="FA721" s="275"/>
      <c r="FB721" s="275"/>
      <c r="FC721" s="275"/>
      <c r="FD721" s="275"/>
      <c r="FE721" s="275"/>
      <c r="FF721" s="275"/>
      <c r="FG721" s="275"/>
      <c r="FH721" s="275"/>
      <c r="FI721" s="275"/>
      <c r="FJ721" s="275"/>
      <c r="FK721" s="275"/>
      <c r="FL721" s="275"/>
      <c r="FM721" s="275"/>
      <c r="FN721" s="275"/>
      <c r="FO721" s="275"/>
      <c r="FP721" s="275"/>
      <c r="FQ721" s="275"/>
      <c r="FR721" s="275"/>
      <c r="FS721" s="275"/>
      <c r="FT721" s="275"/>
      <c r="FU721" s="275"/>
      <c r="FV721" s="275"/>
      <c r="FW721" s="275"/>
      <c r="FX721" s="275"/>
      <c r="FY721" s="275"/>
      <c r="FZ721" s="275"/>
      <c r="GA721" s="275"/>
      <c r="GB721" s="275"/>
      <c r="GC721" s="275"/>
      <c r="GD721" s="275"/>
      <c r="GE721" s="275"/>
      <c r="GF721" s="275"/>
      <c r="GG721" s="275"/>
      <c r="GH721" s="275"/>
      <c r="GI721" s="275"/>
      <c r="GJ721" s="275"/>
      <c r="GK721" s="275"/>
      <c r="GL721" s="275"/>
      <c r="GM721" s="275"/>
      <c r="GN721" s="275"/>
      <c r="GO721" s="275"/>
      <c r="GP721" s="275"/>
      <c r="GQ721" s="275"/>
      <c r="GR721" s="275"/>
      <c r="GS721" s="275"/>
      <c r="GT721" s="275"/>
      <c r="GU721" s="275"/>
      <c r="GV721" s="275"/>
      <c r="GW721" s="275"/>
      <c r="GX721" s="275"/>
      <c r="GY721" s="275"/>
      <c r="GZ721" s="275"/>
      <c r="HA721" s="275"/>
      <c r="HB721" s="275"/>
      <c r="HC721" s="275"/>
      <c r="HD721" s="275"/>
      <c r="HE721" s="275"/>
      <c r="HF721" s="275"/>
      <c r="HG721" s="275"/>
      <c r="HH721" s="275"/>
      <c r="HI721" s="275"/>
      <c r="HJ721" s="275"/>
      <c r="HK721" s="275"/>
      <c r="HL721" s="275"/>
      <c r="HM721" s="275"/>
      <c r="HN721" s="275"/>
      <c r="HO721" s="275"/>
      <c r="HP721" s="275"/>
      <c r="HQ721" s="275"/>
      <c r="HR721" s="275"/>
    </row>
    <row r="722" spans="1:226" s="297" customFormat="1">
      <c r="A722" s="275"/>
      <c r="B722" s="21"/>
      <c r="C722" s="21"/>
      <c r="D722" s="21"/>
      <c r="E722" s="21"/>
      <c r="F722" s="275"/>
      <c r="G722" s="275"/>
      <c r="H722" s="275"/>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J722" s="275"/>
      <c r="AK722" s="275"/>
      <c r="AL722" s="275"/>
      <c r="AM722" s="275"/>
      <c r="AN722" s="275"/>
      <c r="AO722" s="275"/>
      <c r="AQ722" s="275"/>
      <c r="AR722" s="275"/>
      <c r="AS722" s="275"/>
      <c r="AT722" s="275"/>
      <c r="AU722" s="275"/>
      <c r="AV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D722" s="275"/>
      <c r="EE722" s="275"/>
      <c r="EF722" s="275"/>
      <c r="EG722" s="275"/>
      <c r="EH722" s="275"/>
      <c r="EI722" s="275"/>
      <c r="EJ722" s="275"/>
      <c r="EK722" s="275"/>
      <c r="EL722" s="275"/>
      <c r="EM722" s="275"/>
      <c r="EN722" s="275"/>
      <c r="EO722" s="275"/>
      <c r="EP722" s="275"/>
      <c r="EQ722" s="275"/>
      <c r="ER722" s="275"/>
      <c r="ES722" s="275"/>
      <c r="ET722" s="275"/>
      <c r="EU722"/>
      <c r="EV722"/>
      <c r="EW722" s="275"/>
      <c r="EX722" s="275"/>
      <c r="EY722" s="275"/>
      <c r="EZ722" s="275"/>
      <c r="FA722" s="275"/>
      <c r="FB722" s="275"/>
      <c r="FC722" s="275"/>
      <c r="FD722" s="275"/>
      <c r="FE722" s="275"/>
      <c r="FF722" s="275"/>
      <c r="FG722" s="275"/>
      <c r="FH722" s="275"/>
      <c r="FI722" s="275"/>
      <c r="FJ722" s="275"/>
      <c r="FK722" s="275"/>
      <c r="FL722" s="275"/>
      <c r="FM722" s="275"/>
      <c r="FN722" s="275"/>
      <c r="FO722" s="275"/>
      <c r="FP722" s="275"/>
      <c r="FQ722" s="275"/>
      <c r="FR722" s="275"/>
      <c r="FS722" s="275"/>
      <c r="FT722" s="275"/>
      <c r="FU722" s="275"/>
      <c r="FV722" s="275"/>
      <c r="FW722" s="275"/>
      <c r="FX722" s="275"/>
      <c r="FY722" s="275"/>
      <c r="FZ722" s="275"/>
      <c r="GA722" s="275"/>
      <c r="GB722" s="275"/>
      <c r="GC722" s="275"/>
      <c r="GD722" s="275"/>
      <c r="GE722" s="275"/>
      <c r="GF722" s="275"/>
      <c r="GG722" s="275"/>
      <c r="GH722" s="275"/>
      <c r="GI722" s="275"/>
      <c r="GJ722" s="275"/>
      <c r="GK722" s="275"/>
      <c r="GL722" s="275"/>
      <c r="GM722" s="275"/>
      <c r="GN722" s="275"/>
      <c r="GO722" s="275"/>
      <c r="GP722" s="275"/>
      <c r="GQ722" s="275"/>
      <c r="GR722" s="275"/>
      <c r="GS722" s="275"/>
      <c r="GT722" s="275"/>
      <c r="GU722" s="275"/>
      <c r="GV722" s="275"/>
      <c r="GW722" s="275"/>
      <c r="GX722" s="275"/>
      <c r="GY722" s="275"/>
      <c r="GZ722" s="275"/>
      <c r="HA722" s="275"/>
      <c r="HB722" s="275"/>
      <c r="HC722" s="275"/>
      <c r="HD722" s="275"/>
      <c r="HE722" s="275"/>
      <c r="HF722" s="275"/>
      <c r="HG722" s="275"/>
      <c r="HH722" s="275"/>
      <c r="HI722" s="275"/>
      <c r="HJ722" s="275"/>
      <c r="HK722" s="275"/>
      <c r="HL722" s="275"/>
      <c r="HM722" s="275"/>
      <c r="HN722" s="275"/>
      <c r="HO722" s="275"/>
      <c r="HP722" s="275"/>
      <c r="HQ722" s="275"/>
      <c r="HR722" s="275"/>
    </row>
    <row r="723" spans="1:226" s="297" customFormat="1">
      <c r="A723" s="275"/>
      <c r="B723" s="21"/>
      <c r="C723" s="21"/>
      <c r="D723" s="21"/>
      <c r="E723" s="21"/>
      <c r="F723" s="275"/>
      <c r="G723" s="275"/>
      <c r="H723" s="275"/>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J723" s="275"/>
      <c r="AK723" s="275"/>
      <c r="AL723" s="275"/>
      <c r="AM723" s="275"/>
      <c r="AN723" s="275"/>
      <c r="AO723" s="275"/>
      <c r="AQ723" s="275"/>
      <c r="AR723" s="275"/>
      <c r="AS723" s="275"/>
      <c r="AT723" s="275"/>
      <c r="AU723" s="275"/>
      <c r="AV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D723" s="275"/>
      <c r="EE723" s="275"/>
      <c r="EF723" s="275"/>
      <c r="EG723" s="275"/>
      <c r="EH723" s="275"/>
      <c r="EI723" s="275"/>
      <c r="EJ723" s="275"/>
      <c r="EK723" s="275"/>
      <c r="EL723" s="275"/>
      <c r="EM723" s="275"/>
      <c r="EN723" s="275"/>
      <c r="EO723" s="275"/>
      <c r="EP723" s="275"/>
      <c r="EQ723" s="275"/>
      <c r="ER723" s="275"/>
      <c r="ES723" s="275"/>
      <c r="ET723" s="275"/>
      <c r="EU723"/>
      <c r="EV723"/>
      <c r="EW723" s="275"/>
      <c r="EX723" s="275"/>
      <c r="EY723" s="275"/>
      <c r="EZ723" s="275"/>
      <c r="FA723" s="275"/>
      <c r="FB723" s="275"/>
      <c r="FC723" s="275"/>
      <c r="FD723" s="275"/>
      <c r="FE723" s="275"/>
      <c r="FF723" s="275"/>
      <c r="FG723" s="275"/>
      <c r="FH723" s="275"/>
      <c r="FI723" s="275"/>
      <c r="FJ723" s="275"/>
      <c r="FK723" s="275"/>
      <c r="FL723" s="275"/>
      <c r="FM723" s="275"/>
      <c r="FN723" s="275"/>
      <c r="FO723" s="275"/>
      <c r="FP723" s="275"/>
      <c r="FQ723" s="275"/>
      <c r="FR723" s="275"/>
      <c r="FS723" s="275"/>
      <c r="FT723" s="275"/>
      <c r="FU723" s="275"/>
      <c r="FV723" s="275"/>
      <c r="FW723" s="275"/>
      <c r="FX723" s="275"/>
      <c r="FY723" s="275"/>
      <c r="FZ723" s="275"/>
      <c r="GA723" s="275"/>
      <c r="GB723" s="275"/>
      <c r="GC723" s="275"/>
      <c r="GD723" s="275"/>
      <c r="GE723" s="275"/>
      <c r="GF723" s="275"/>
      <c r="GG723" s="275"/>
      <c r="GH723" s="275"/>
      <c r="GI723" s="275"/>
      <c r="GJ723" s="275"/>
      <c r="GK723" s="275"/>
      <c r="GL723" s="275"/>
      <c r="GM723" s="275"/>
      <c r="GN723" s="275"/>
      <c r="GO723" s="275"/>
      <c r="GP723" s="275"/>
      <c r="GQ723" s="275"/>
      <c r="GR723" s="275"/>
      <c r="GS723" s="275"/>
      <c r="GT723" s="275"/>
      <c r="GU723" s="275"/>
      <c r="GV723" s="275"/>
      <c r="GW723" s="275"/>
      <c r="GX723" s="275"/>
      <c r="GY723" s="275"/>
      <c r="GZ723" s="275"/>
      <c r="HA723" s="275"/>
      <c r="HB723" s="275"/>
      <c r="HC723" s="275"/>
      <c r="HD723" s="275"/>
      <c r="HE723" s="275"/>
      <c r="HF723" s="275"/>
      <c r="HG723" s="275"/>
      <c r="HH723" s="275"/>
      <c r="HI723" s="275"/>
      <c r="HJ723" s="275"/>
      <c r="HK723" s="275"/>
      <c r="HL723" s="275"/>
      <c r="HM723" s="275"/>
      <c r="HN723" s="275"/>
      <c r="HO723" s="275"/>
      <c r="HP723" s="275"/>
      <c r="HQ723" s="275"/>
      <c r="HR723" s="275"/>
    </row>
    <row r="724" spans="1:226" s="297" customFormat="1">
      <c r="A724" s="275"/>
      <c r="B724" s="21"/>
      <c r="C724" s="21"/>
      <c r="D724" s="21"/>
      <c r="E724" s="21"/>
      <c r="F724" s="275"/>
      <c r="G724" s="275"/>
      <c r="H724" s="275"/>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J724" s="275"/>
      <c r="AK724" s="275"/>
      <c r="AL724" s="275"/>
      <c r="AM724" s="275"/>
      <c r="AN724" s="275"/>
      <c r="AO724" s="275"/>
      <c r="AQ724" s="275"/>
      <c r="AR724" s="275"/>
      <c r="AS724" s="275"/>
      <c r="AT724" s="275"/>
      <c r="AU724" s="275"/>
      <c r="AV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D724" s="275"/>
      <c r="EE724" s="275"/>
      <c r="EF724" s="275"/>
      <c r="EG724" s="275"/>
      <c r="EH724" s="275"/>
      <c r="EI724" s="275"/>
      <c r="EJ724" s="275"/>
      <c r="EK724" s="275"/>
      <c r="EL724" s="275"/>
      <c r="EM724" s="275"/>
      <c r="EN724" s="275"/>
      <c r="EO724" s="275"/>
      <c r="EP724" s="275"/>
      <c r="EQ724" s="275"/>
      <c r="ER724" s="275"/>
      <c r="ES724" s="275"/>
      <c r="ET724" s="275"/>
      <c r="EU724"/>
      <c r="EV724"/>
      <c r="EW724" s="275"/>
      <c r="EX724" s="275"/>
      <c r="EY724" s="275"/>
      <c r="EZ724" s="275"/>
      <c r="FA724" s="275"/>
      <c r="FB724" s="275"/>
      <c r="FC724" s="275"/>
      <c r="FD724" s="275"/>
      <c r="FE724" s="275"/>
      <c r="FF724" s="275"/>
      <c r="FG724" s="275"/>
      <c r="FH724" s="275"/>
      <c r="FI724" s="275"/>
      <c r="FJ724" s="275"/>
      <c r="FK724" s="275"/>
      <c r="FL724" s="275"/>
      <c r="FM724" s="275"/>
      <c r="FN724" s="275"/>
      <c r="FO724" s="275"/>
      <c r="FP724" s="275"/>
      <c r="FQ724" s="275"/>
      <c r="FR724" s="275"/>
      <c r="FS724" s="275"/>
      <c r="FT724" s="275"/>
      <c r="FU724" s="275"/>
      <c r="FV724" s="275"/>
      <c r="FW724" s="275"/>
      <c r="FX724" s="275"/>
      <c r="FY724" s="275"/>
      <c r="FZ724" s="275"/>
      <c r="GA724" s="275"/>
      <c r="GB724" s="275"/>
      <c r="GC724" s="275"/>
      <c r="GD724" s="275"/>
      <c r="GE724" s="275"/>
      <c r="GF724" s="275"/>
      <c r="GG724" s="275"/>
      <c r="GH724" s="275"/>
      <c r="GI724" s="275"/>
      <c r="GJ724" s="275"/>
      <c r="GK724" s="275"/>
      <c r="GL724" s="275"/>
      <c r="GM724" s="275"/>
      <c r="GN724" s="275"/>
      <c r="GO724" s="275"/>
      <c r="GP724" s="275"/>
      <c r="GQ724" s="275"/>
      <c r="GR724" s="275"/>
      <c r="GS724" s="275"/>
      <c r="GT724" s="275"/>
      <c r="GU724" s="275"/>
      <c r="GV724" s="275"/>
      <c r="GW724" s="275"/>
      <c r="GX724" s="275"/>
      <c r="GY724" s="275"/>
      <c r="GZ724" s="275"/>
      <c r="HA724" s="275"/>
      <c r="HB724" s="275"/>
      <c r="HC724" s="275"/>
      <c r="HD724" s="275"/>
      <c r="HE724" s="275"/>
      <c r="HF724" s="275"/>
      <c r="HG724" s="275"/>
      <c r="HH724" s="275"/>
      <c r="HI724" s="275"/>
      <c r="HJ724" s="275"/>
      <c r="HK724" s="275"/>
      <c r="HL724" s="275"/>
      <c r="HM724" s="275"/>
      <c r="HN724" s="275"/>
      <c r="HO724" s="275"/>
      <c r="HP724" s="275"/>
      <c r="HQ724" s="275"/>
      <c r="HR724" s="275"/>
    </row>
    <row r="725" spans="1:226" s="297" customFormat="1">
      <c r="A725" s="275"/>
      <c r="B725" s="21"/>
      <c r="C725" s="21"/>
      <c r="D725" s="21"/>
      <c r="E725" s="21"/>
      <c r="F725" s="275"/>
      <c r="G725" s="275"/>
      <c r="H725" s="275"/>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J725" s="275"/>
      <c r="AK725" s="275"/>
      <c r="AL725" s="275"/>
      <c r="AM725" s="275"/>
      <c r="AN725" s="275"/>
      <c r="AO725" s="275"/>
      <c r="AQ725" s="275"/>
      <c r="AR725" s="275"/>
      <c r="AS725" s="275"/>
      <c r="AT725" s="275"/>
      <c r="AU725" s="275"/>
      <c r="AV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D725" s="275"/>
      <c r="EE725" s="275"/>
      <c r="EF725" s="275"/>
      <c r="EG725" s="275"/>
      <c r="EH725" s="275"/>
      <c r="EI725" s="275"/>
      <c r="EJ725" s="275"/>
      <c r="EK725" s="275"/>
      <c r="EL725" s="275"/>
      <c r="EM725" s="275"/>
      <c r="EN725" s="275"/>
      <c r="EO725" s="275"/>
      <c r="EP725" s="275"/>
      <c r="EQ725" s="275"/>
      <c r="ER725" s="275"/>
      <c r="ES725" s="275"/>
      <c r="ET725" s="275"/>
      <c r="EU725"/>
      <c r="EV725"/>
      <c r="EW725" s="275"/>
      <c r="EX725" s="275"/>
      <c r="EY725" s="275"/>
      <c r="EZ725" s="275"/>
      <c r="FA725" s="275"/>
      <c r="FB725" s="275"/>
      <c r="FC725" s="275"/>
      <c r="FD725" s="275"/>
      <c r="FE725" s="275"/>
      <c r="FF725" s="275"/>
      <c r="FG725" s="275"/>
      <c r="FH725" s="275"/>
      <c r="FI725" s="275"/>
      <c r="FJ725" s="275"/>
      <c r="FK725" s="275"/>
      <c r="FL725" s="275"/>
      <c r="FM725" s="275"/>
      <c r="FN725" s="275"/>
      <c r="FO725" s="275"/>
      <c r="FP725" s="275"/>
      <c r="FQ725" s="275"/>
      <c r="FR725" s="275"/>
      <c r="FS725" s="275"/>
      <c r="FT725" s="275"/>
      <c r="FU725" s="275"/>
      <c r="FV725" s="275"/>
      <c r="FW725" s="275"/>
      <c r="FX725" s="275"/>
      <c r="FY725" s="275"/>
      <c r="FZ725" s="275"/>
      <c r="GA725" s="275"/>
      <c r="GB725" s="275"/>
      <c r="GC725" s="275"/>
      <c r="GD725" s="275"/>
      <c r="GE725" s="275"/>
      <c r="GF725" s="275"/>
      <c r="GG725" s="275"/>
      <c r="GH725" s="275"/>
      <c r="GI725" s="275"/>
      <c r="GJ725" s="275"/>
      <c r="GK725" s="275"/>
      <c r="GL725" s="275"/>
      <c r="GM725" s="275"/>
      <c r="GN725" s="275"/>
      <c r="GO725" s="275"/>
      <c r="GP725" s="275"/>
      <c r="GQ725" s="275"/>
      <c r="GR725" s="275"/>
      <c r="GS725" s="275"/>
      <c r="GT725" s="275"/>
      <c r="GU725" s="275"/>
      <c r="GV725" s="275"/>
      <c r="GW725" s="275"/>
      <c r="GX725" s="275"/>
      <c r="GY725" s="275"/>
      <c r="GZ725" s="275"/>
      <c r="HA725" s="275"/>
      <c r="HB725" s="275"/>
      <c r="HC725" s="275"/>
      <c r="HD725" s="275"/>
      <c r="HE725" s="275"/>
      <c r="HF725" s="275"/>
      <c r="HG725" s="275"/>
      <c r="HH725" s="275"/>
      <c r="HI725" s="275"/>
      <c r="HJ725" s="275"/>
      <c r="HK725" s="275"/>
      <c r="HL725" s="275"/>
      <c r="HM725" s="275"/>
      <c r="HN725" s="275"/>
      <c r="HO725" s="275"/>
      <c r="HP725" s="275"/>
      <c r="HQ725" s="275"/>
      <c r="HR725" s="275"/>
    </row>
    <row r="726" spans="1:226" s="297" customFormat="1">
      <c r="A726" s="275"/>
      <c r="B726" s="21"/>
      <c r="C726" s="21"/>
      <c r="D726" s="21"/>
      <c r="E726" s="21"/>
      <c r="F726" s="275"/>
      <c r="G726" s="275"/>
      <c r="H726" s="275"/>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J726" s="275"/>
      <c r="AK726" s="275"/>
      <c r="AL726" s="275"/>
      <c r="AM726" s="275"/>
      <c r="AN726" s="275"/>
      <c r="AO726" s="275"/>
      <c r="AQ726" s="275"/>
      <c r="AR726" s="275"/>
      <c r="AS726" s="275"/>
      <c r="AT726" s="275"/>
      <c r="AU726" s="275"/>
      <c r="AV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D726" s="275"/>
      <c r="EE726" s="275"/>
      <c r="EF726" s="275"/>
      <c r="EG726" s="275"/>
      <c r="EH726" s="275"/>
      <c r="EI726" s="275"/>
      <c r="EJ726" s="275"/>
      <c r="EK726" s="275"/>
      <c r="EL726" s="275"/>
      <c r="EM726" s="275"/>
      <c r="EN726" s="275"/>
      <c r="EO726" s="275"/>
      <c r="EP726" s="275"/>
      <c r="EQ726" s="275"/>
      <c r="ER726" s="275"/>
      <c r="ES726" s="275"/>
      <c r="ET726" s="275"/>
      <c r="EU726"/>
      <c r="EV726"/>
      <c r="EW726" s="275"/>
      <c r="EX726" s="275"/>
      <c r="EY726" s="275"/>
      <c r="EZ726" s="275"/>
      <c r="FA726" s="275"/>
      <c r="FB726" s="275"/>
      <c r="FC726" s="275"/>
      <c r="FD726" s="275"/>
      <c r="FE726" s="275"/>
      <c r="FF726" s="275"/>
      <c r="FG726" s="275"/>
      <c r="FH726" s="275"/>
      <c r="FI726" s="275"/>
      <c r="FJ726" s="275"/>
      <c r="FK726" s="275"/>
      <c r="FL726" s="275"/>
      <c r="FM726" s="275"/>
      <c r="FN726" s="275"/>
      <c r="FO726" s="275"/>
      <c r="FP726" s="275"/>
      <c r="FQ726" s="275"/>
      <c r="FR726" s="275"/>
      <c r="FS726" s="275"/>
      <c r="FT726" s="275"/>
      <c r="FU726" s="275"/>
      <c r="FV726" s="275"/>
      <c r="FW726" s="275"/>
      <c r="FX726" s="275"/>
      <c r="FY726" s="275"/>
      <c r="FZ726" s="275"/>
      <c r="GA726" s="275"/>
      <c r="GB726" s="275"/>
      <c r="GC726" s="275"/>
      <c r="GD726" s="275"/>
      <c r="GE726" s="275"/>
      <c r="GF726" s="275"/>
      <c r="GG726" s="275"/>
      <c r="GH726" s="275"/>
      <c r="GI726" s="275"/>
      <c r="GJ726" s="275"/>
      <c r="GK726" s="275"/>
      <c r="GL726" s="275"/>
      <c r="GM726" s="275"/>
      <c r="GN726" s="275"/>
      <c r="GO726" s="275"/>
      <c r="GP726" s="275"/>
      <c r="GQ726" s="275"/>
      <c r="GR726" s="275"/>
      <c r="GS726" s="275"/>
      <c r="GT726" s="275"/>
      <c r="GU726" s="275"/>
      <c r="GV726" s="275"/>
      <c r="GW726" s="275"/>
      <c r="GX726" s="275"/>
      <c r="GY726" s="275"/>
      <c r="GZ726" s="275"/>
      <c r="HA726" s="275"/>
      <c r="HB726" s="275"/>
      <c r="HC726" s="275"/>
      <c r="HD726" s="275"/>
      <c r="HE726" s="275"/>
      <c r="HF726" s="275"/>
      <c r="HG726" s="275"/>
      <c r="HH726" s="275"/>
      <c r="HI726" s="275"/>
      <c r="HJ726" s="275"/>
      <c r="HK726" s="275"/>
      <c r="HL726" s="275"/>
      <c r="HM726" s="275"/>
      <c r="HN726" s="275"/>
      <c r="HO726" s="275"/>
      <c r="HP726" s="275"/>
      <c r="HQ726" s="275"/>
      <c r="HR726" s="275"/>
    </row>
    <row r="727" spans="1:226" s="297" customFormat="1">
      <c r="A727" s="275"/>
      <c r="B727" s="21"/>
      <c r="C727" s="21"/>
      <c r="D727" s="21"/>
      <c r="E727" s="21"/>
      <c r="F727" s="275"/>
      <c r="G727" s="275"/>
      <c r="H727" s="275"/>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J727" s="275"/>
      <c r="AK727" s="275"/>
      <c r="AL727" s="275"/>
      <c r="AM727" s="275"/>
      <c r="AN727" s="275"/>
      <c r="AO727" s="275"/>
      <c r="AQ727" s="275"/>
      <c r="AR727" s="275"/>
      <c r="AS727" s="275"/>
      <c r="AT727" s="275"/>
      <c r="AU727" s="275"/>
      <c r="AV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D727" s="275"/>
      <c r="EE727" s="275"/>
      <c r="EF727" s="275"/>
      <c r="EG727" s="275"/>
      <c r="EH727" s="275"/>
      <c r="EI727" s="275"/>
      <c r="EJ727" s="275"/>
      <c r="EK727" s="275"/>
      <c r="EL727" s="275"/>
      <c r="EM727" s="275"/>
      <c r="EN727" s="275"/>
      <c r="EO727" s="275"/>
      <c r="EP727" s="275"/>
      <c r="EQ727" s="275"/>
      <c r="ER727" s="275"/>
      <c r="ES727" s="275"/>
      <c r="ET727" s="275"/>
      <c r="EU727"/>
      <c r="EV727"/>
      <c r="EW727" s="275"/>
      <c r="EX727" s="275"/>
      <c r="EY727" s="275"/>
      <c r="EZ727" s="275"/>
      <c r="FA727" s="275"/>
      <c r="FB727" s="275"/>
      <c r="FC727" s="275"/>
      <c r="FD727" s="275"/>
      <c r="FE727" s="275"/>
      <c r="FF727" s="275"/>
      <c r="FG727" s="275"/>
      <c r="FH727" s="275"/>
      <c r="FI727" s="275"/>
      <c r="FJ727" s="275"/>
      <c r="FK727" s="275"/>
      <c r="FL727" s="275"/>
      <c r="FM727" s="275"/>
      <c r="FN727" s="275"/>
      <c r="FO727" s="275"/>
      <c r="FP727" s="275"/>
      <c r="FQ727" s="275"/>
      <c r="FR727" s="275"/>
      <c r="FS727" s="275"/>
      <c r="FT727" s="275"/>
      <c r="FU727" s="275"/>
      <c r="FV727" s="275"/>
      <c r="FW727" s="275"/>
      <c r="FX727" s="275"/>
      <c r="FY727" s="275"/>
      <c r="FZ727" s="275"/>
      <c r="GA727" s="275"/>
      <c r="GB727" s="275"/>
      <c r="GC727" s="275"/>
      <c r="GD727" s="275"/>
      <c r="GE727" s="275"/>
      <c r="GF727" s="275"/>
      <c r="GG727" s="275"/>
      <c r="GH727" s="275"/>
      <c r="GI727" s="275"/>
      <c r="GJ727" s="275"/>
      <c r="GK727" s="275"/>
      <c r="GL727" s="275"/>
      <c r="GM727" s="275"/>
      <c r="GN727" s="275"/>
      <c r="GO727" s="275"/>
      <c r="GP727" s="275"/>
      <c r="GQ727" s="275"/>
      <c r="GR727" s="275"/>
      <c r="GS727" s="275"/>
      <c r="GT727" s="275"/>
      <c r="GU727" s="275"/>
      <c r="GV727" s="275"/>
      <c r="GW727" s="275"/>
      <c r="GX727" s="275"/>
      <c r="GY727" s="275"/>
      <c r="GZ727" s="275"/>
      <c r="HA727" s="275"/>
      <c r="HB727" s="275"/>
      <c r="HC727" s="275"/>
      <c r="HD727" s="275"/>
      <c r="HE727" s="275"/>
      <c r="HF727" s="275"/>
      <c r="HG727" s="275"/>
      <c r="HH727" s="275"/>
      <c r="HI727" s="275"/>
      <c r="HJ727" s="275"/>
      <c r="HK727" s="275"/>
      <c r="HL727" s="275"/>
      <c r="HM727" s="275"/>
      <c r="HN727" s="275"/>
      <c r="HO727" s="275"/>
      <c r="HP727" s="275"/>
      <c r="HQ727" s="275"/>
      <c r="HR727" s="275"/>
    </row>
    <row r="728" spans="1:226" s="297" customFormat="1">
      <c r="A728" s="275"/>
      <c r="B728" s="21"/>
      <c r="C728" s="21"/>
      <c r="D728" s="21"/>
      <c r="E728" s="21"/>
      <c r="F728" s="275"/>
      <c r="G728" s="275"/>
      <c r="H728" s="275"/>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J728" s="275"/>
      <c r="AK728" s="275"/>
      <c r="AL728" s="275"/>
      <c r="AM728" s="275"/>
      <c r="AN728" s="275"/>
      <c r="AO728" s="275"/>
      <c r="AQ728" s="275"/>
      <c r="AR728" s="275"/>
      <c r="AS728" s="275"/>
      <c r="AT728" s="275"/>
      <c r="AU728" s="275"/>
      <c r="AV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D728" s="275"/>
      <c r="EE728" s="275"/>
      <c r="EF728" s="275"/>
      <c r="EG728" s="275"/>
      <c r="EH728" s="275"/>
      <c r="EI728" s="275"/>
      <c r="EJ728" s="275"/>
      <c r="EK728" s="275"/>
      <c r="EL728" s="275"/>
      <c r="EM728" s="275"/>
      <c r="EN728" s="275"/>
      <c r="EO728" s="275"/>
      <c r="EP728" s="275"/>
      <c r="EQ728" s="275"/>
      <c r="ER728" s="275"/>
      <c r="ES728" s="275"/>
      <c r="ET728" s="275"/>
      <c r="EU728"/>
      <c r="EV728"/>
      <c r="EW728" s="275"/>
      <c r="EX728" s="275"/>
      <c r="EY728" s="275"/>
      <c r="EZ728" s="275"/>
      <c r="FA728" s="275"/>
      <c r="FB728" s="275"/>
      <c r="FC728" s="275"/>
      <c r="FD728" s="275"/>
      <c r="FE728" s="275"/>
      <c r="FF728" s="275"/>
      <c r="FG728" s="275"/>
      <c r="FH728" s="275"/>
      <c r="FI728" s="275"/>
      <c r="FJ728" s="275"/>
      <c r="FK728" s="275"/>
      <c r="FL728" s="275"/>
      <c r="FM728" s="275"/>
      <c r="FN728" s="275"/>
      <c r="FO728" s="275"/>
      <c r="FP728" s="275"/>
      <c r="FQ728" s="275"/>
      <c r="FR728" s="275"/>
      <c r="FS728" s="275"/>
      <c r="FT728" s="275"/>
      <c r="FU728" s="275"/>
      <c r="FV728" s="275"/>
      <c r="FW728" s="275"/>
      <c r="FX728" s="275"/>
      <c r="FY728" s="275"/>
      <c r="FZ728" s="275"/>
      <c r="GA728" s="275"/>
      <c r="GB728" s="275"/>
      <c r="GC728" s="275"/>
      <c r="GD728" s="275"/>
      <c r="GE728" s="275"/>
      <c r="GF728" s="275"/>
      <c r="GG728" s="275"/>
      <c r="GH728" s="275"/>
      <c r="GI728" s="275"/>
      <c r="GJ728" s="275"/>
      <c r="GK728" s="275"/>
      <c r="GL728" s="275"/>
      <c r="GM728" s="275"/>
      <c r="GN728" s="275"/>
      <c r="GO728" s="275"/>
      <c r="GP728" s="275"/>
      <c r="GQ728" s="275"/>
      <c r="GR728" s="275"/>
      <c r="GS728" s="275"/>
      <c r="GT728" s="275"/>
      <c r="GU728" s="275"/>
      <c r="GV728" s="275"/>
      <c r="GW728" s="275"/>
      <c r="GX728" s="275"/>
      <c r="GY728" s="275"/>
      <c r="GZ728" s="275"/>
      <c r="HA728" s="275"/>
      <c r="HB728" s="275"/>
      <c r="HC728" s="275"/>
      <c r="HD728" s="275"/>
      <c r="HE728" s="275"/>
      <c r="HF728" s="275"/>
      <c r="HG728" s="275"/>
      <c r="HH728" s="275"/>
      <c r="HI728" s="275"/>
      <c r="HJ728" s="275"/>
      <c r="HK728" s="275"/>
      <c r="HL728" s="275"/>
      <c r="HM728" s="275"/>
      <c r="HN728" s="275"/>
      <c r="HO728" s="275"/>
      <c r="HP728" s="275"/>
      <c r="HQ728" s="275"/>
      <c r="HR728" s="275"/>
    </row>
    <row r="729" spans="1:226" s="297" customFormat="1">
      <c r="A729" s="275"/>
      <c r="B729" s="21"/>
      <c r="C729" s="21"/>
      <c r="D729" s="21"/>
      <c r="E729" s="21"/>
      <c r="F729" s="275"/>
      <c r="G729" s="275"/>
      <c r="H729" s="275"/>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J729" s="275"/>
      <c r="AK729" s="275"/>
      <c r="AL729" s="275"/>
      <c r="AM729" s="275"/>
      <c r="AN729" s="275"/>
      <c r="AO729" s="275"/>
      <c r="AQ729" s="275"/>
      <c r="AR729" s="275"/>
      <c r="AS729" s="275"/>
      <c r="AT729" s="275"/>
      <c r="AU729" s="275"/>
      <c r="AV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D729" s="275"/>
      <c r="EE729" s="275"/>
      <c r="EF729" s="275"/>
      <c r="EG729" s="275"/>
      <c r="EH729" s="275"/>
      <c r="EI729" s="275"/>
      <c r="EJ729" s="275"/>
      <c r="EK729" s="275"/>
      <c r="EL729" s="275"/>
      <c r="EM729" s="275"/>
      <c r="EN729" s="275"/>
      <c r="EO729" s="275"/>
      <c r="EP729" s="275"/>
      <c r="EQ729" s="275"/>
      <c r="ER729" s="275"/>
      <c r="ES729" s="275"/>
      <c r="ET729" s="275"/>
      <c r="EU729"/>
      <c r="EV729"/>
      <c r="EW729" s="275"/>
      <c r="EX729" s="275"/>
      <c r="EY729" s="275"/>
      <c r="EZ729" s="275"/>
      <c r="FA729" s="275"/>
      <c r="FB729" s="275"/>
      <c r="FC729" s="275"/>
      <c r="FD729" s="275"/>
      <c r="FE729" s="275"/>
      <c r="FF729" s="275"/>
      <c r="FG729" s="275"/>
      <c r="FH729" s="275"/>
      <c r="FI729" s="275"/>
      <c r="FJ729" s="275"/>
      <c r="FK729" s="275"/>
      <c r="FL729" s="275"/>
      <c r="FM729" s="275"/>
      <c r="FN729" s="275"/>
      <c r="FO729" s="275"/>
      <c r="FP729" s="275"/>
      <c r="FQ729" s="275"/>
      <c r="FR729" s="275"/>
      <c r="FS729" s="275"/>
      <c r="FT729" s="275"/>
      <c r="FU729" s="275"/>
      <c r="FV729" s="275"/>
      <c r="FW729" s="275"/>
      <c r="FX729" s="275"/>
      <c r="FY729" s="275"/>
      <c r="FZ729" s="275"/>
      <c r="GA729" s="275"/>
      <c r="GB729" s="275"/>
      <c r="GC729" s="275"/>
      <c r="GD729" s="275"/>
      <c r="GE729" s="275"/>
      <c r="GF729" s="275"/>
      <c r="GG729" s="275"/>
      <c r="GH729" s="275"/>
      <c r="GI729" s="275"/>
      <c r="GJ729" s="275"/>
      <c r="GK729" s="275"/>
      <c r="GL729" s="275"/>
      <c r="GM729" s="275"/>
      <c r="GN729" s="275"/>
      <c r="GO729" s="275"/>
      <c r="GP729" s="275"/>
      <c r="GQ729" s="275"/>
      <c r="GR729" s="275"/>
      <c r="GS729" s="275"/>
      <c r="GT729" s="275"/>
      <c r="GU729" s="275"/>
      <c r="GV729" s="275"/>
      <c r="GW729" s="275"/>
      <c r="GX729" s="275"/>
      <c r="GY729" s="275"/>
      <c r="GZ729" s="275"/>
      <c r="HA729" s="275"/>
      <c r="HB729" s="275"/>
      <c r="HC729" s="275"/>
      <c r="HD729" s="275"/>
      <c r="HE729" s="275"/>
      <c r="HF729" s="275"/>
      <c r="HG729" s="275"/>
      <c r="HH729" s="275"/>
      <c r="HI729" s="275"/>
      <c r="HJ729" s="275"/>
      <c r="HK729" s="275"/>
      <c r="HL729" s="275"/>
      <c r="HM729" s="275"/>
      <c r="HN729" s="275"/>
      <c r="HO729" s="275"/>
      <c r="HP729" s="275"/>
      <c r="HQ729" s="275"/>
      <c r="HR729" s="275"/>
    </row>
    <row r="730" spans="1:226" s="297" customFormat="1">
      <c r="A730" s="275"/>
      <c r="B730" s="21"/>
      <c r="C730" s="21"/>
      <c r="D730" s="21"/>
      <c r="E730" s="21"/>
      <c r="F730" s="275"/>
      <c r="G730" s="275"/>
      <c r="H730" s="275"/>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J730" s="275"/>
      <c r="AK730" s="275"/>
      <c r="AL730" s="275"/>
      <c r="AM730" s="275"/>
      <c r="AN730" s="275"/>
      <c r="AO730" s="275"/>
      <c r="AQ730" s="275"/>
      <c r="AR730" s="275"/>
      <c r="AS730" s="275"/>
      <c r="AT730" s="275"/>
      <c r="AU730" s="275"/>
      <c r="AV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D730" s="275"/>
      <c r="EE730" s="275"/>
      <c r="EF730" s="275"/>
      <c r="EG730" s="275"/>
      <c r="EH730" s="275"/>
      <c r="EI730" s="275"/>
      <c r="EJ730" s="275"/>
      <c r="EK730" s="275"/>
      <c r="EL730" s="275"/>
      <c r="EM730" s="275"/>
      <c r="EN730" s="275"/>
      <c r="EO730" s="275"/>
      <c r="EP730" s="275"/>
      <c r="EQ730" s="275"/>
      <c r="ER730" s="275"/>
      <c r="ES730" s="275"/>
      <c r="ET730" s="275"/>
      <c r="EU730"/>
      <c r="EV730"/>
      <c r="EW730" s="275"/>
      <c r="EX730" s="275"/>
      <c r="EY730" s="275"/>
      <c r="EZ730" s="275"/>
      <c r="FA730" s="275"/>
      <c r="FB730" s="275"/>
      <c r="FC730" s="275"/>
      <c r="FD730" s="275"/>
      <c r="FE730" s="275"/>
      <c r="FF730" s="275"/>
      <c r="FG730" s="275"/>
      <c r="FH730" s="275"/>
      <c r="FI730" s="275"/>
      <c r="FJ730" s="275"/>
      <c r="FK730" s="275"/>
      <c r="FL730" s="275"/>
      <c r="FM730" s="275"/>
      <c r="FN730" s="275"/>
      <c r="FO730" s="275"/>
      <c r="FP730" s="275"/>
      <c r="FQ730" s="275"/>
      <c r="FR730" s="275"/>
      <c r="FS730" s="275"/>
      <c r="FT730" s="275"/>
      <c r="FU730" s="275"/>
      <c r="FV730" s="275"/>
      <c r="FW730" s="275"/>
      <c r="FX730" s="275"/>
      <c r="FY730" s="275"/>
      <c r="FZ730" s="275"/>
      <c r="GA730" s="275"/>
      <c r="GB730" s="275"/>
      <c r="GC730" s="275"/>
      <c r="GD730" s="275"/>
      <c r="GE730" s="275"/>
      <c r="GF730" s="275"/>
      <c r="GG730" s="275"/>
      <c r="GH730" s="275"/>
      <c r="GI730" s="275"/>
      <c r="GJ730" s="275"/>
      <c r="GK730" s="275"/>
      <c r="GL730" s="275"/>
      <c r="GM730" s="275"/>
      <c r="GN730" s="275"/>
      <c r="GO730" s="275"/>
      <c r="GP730" s="275"/>
      <c r="GQ730" s="275"/>
      <c r="GR730" s="275"/>
      <c r="GS730" s="275"/>
      <c r="GT730" s="275"/>
      <c r="GU730" s="275"/>
      <c r="GV730" s="275"/>
      <c r="GW730" s="275"/>
      <c r="GX730" s="275"/>
      <c r="GY730" s="275"/>
      <c r="GZ730" s="275"/>
      <c r="HA730" s="275"/>
      <c r="HB730" s="275"/>
      <c r="HC730" s="275"/>
      <c r="HD730" s="275"/>
      <c r="HE730" s="275"/>
      <c r="HF730" s="275"/>
      <c r="HG730" s="275"/>
      <c r="HH730" s="275"/>
      <c r="HI730" s="275"/>
      <c r="HJ730" s="275"/>
      <c r="HK730" s="275"/>
      <c r="HL730" s="275"/>
      <c r="HM730" s="275"/>
      <c r="HN730" s="275"/>
      <c r="HO730" s="275"/>
      <c r="HP730" s="275"/>
      <c r="HQ730" s="275"/>
      <c r="HR730" s="275"/>
    </row>
    <row r="731" spans="1:226" s="297" customFormat="1">
      <c r="A731" s="275"/>
      <c r="B731" s="21"/>
      <c r="C731" s="21"/>
      <c r="D731" s="21"/>
      <c r="E731" s="21"/>
      <c r="F731" s="275"/>
      <c r="G731" s="275"/>
      <c r="H731" s="275"/>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J731" s="275"/>
      <c r="AK731" s="275"/>
      <c r="AL731" s="275"/>
      <c r="AM731" s="275"/>
      <c r="AN731" s="275"/>
      <c r="AO731" s="275"/>
      <c r="AQ731" s="275"/>
      <c r="AR731" s="275"/>
      <c r="AS731" s="275"/>
      <c r="AT731" s="275"/>
      <c r="AU731" s="275"/>
      <c r="AV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D731" s="275"/>
      <c r="EE731" s="275"/>
      <c r="EF731" s="275"/>
      <c r="EG731" s="275"/>
      <c r="EH731" s="275"/>
      <c r="EI731" s="275"/>
      <c r="EJ731" s="275"/>
      <c r="EK731" s="275"/>
      <c r="EL731" s="275"/>
      <c r="EM731" s="275"/>
      <c r="EN731" s="275"/>
      <c r="EO731" s="275"/>
      <c r="EP731" s="275"/>
      <c r="EQ731" s="275"/>
      <c r="ER731" s="275"/>
      <c r="ES731" s="275"/>
      <c r="ET731" s="275"/>
      <c r="EU731"/>
      <c r="EV731"/>
      <c r="EW731" s="275"/>
      <c r="EX731" s="275"/>
      <c r="EY731" s="275"/>
      <c r="EZ731" s="275"/>
      <c r="FA731" s="275"/>
      <c r="FB731" s="275"/>
      <c r="FC731" s="275"/>
      <c r="FD731" s="275"/>
      <c r="FE731" s="275"/>
      <c r="FF731" s="275"/>
      <c r="FG731" s="275"/>
      <c r="FH731" s="275"/>
      <c r="FI731" s="275"/>
      <c r="FJ731" s="275"/>
      <c r="FK731" s="275"/>
      <c r="FL731" s="275"/>
      <c r="FM731" s="275"/>
      <c r="FN731" s="275"/>
      <c r="FO731" s="275"/>
      <c r="FP731" s="275"/>
      <c r="FQ731" s="275"/>
      <c r="FR731" s="275"/>
      <c r="FS731" s="275"/>
      <c r="FT731" s="275"/>
      <c r="FU731" s="275"/>
      <c r="FV731" s="275"/>
      <c r="FW731" s="275"/>
      <c r="FX731" s="275"/>
      <c r="FY731" s="275"/>
      <c r="FZ731" s="275"/>
      <c r="GA731" s="275"/>
      <c r="GB731" s="275"/>
      <c r="GC731" s="275"/>
      <c r="GD731" s="275"/>
      <c r="GE731" s="275"/>
      <c r="GF731" s="275"/>
      <c r="GG731" s="275"/>
      <c r="GH731" s="275"/>
      <c r="GI731" s="275"/>
      <c r="GJ731" s="275"/>
      <c r="GK731" s="275"/>
      <c r="GL731" s="275"/>
      <c r="GM731" s="275"/>
      <c r="GN731" s="275"/>
      <c r="GO731" s="275"/>
      <c r="GP731" s="275"/>
      <c r="GQ731" s="275"/>
      <c r="GR731" s="275"/>
      <c r="GS731" s="275"/>
      <c r="GT731" s="275"/>
      <c r="GU731" s="275"/>
      <c r="GV731" s="275"/>
      <c r="GW731" s="275"/>
      <c r="GX731" s="275"/>
      <c r="GY731" s="275"/>
      <c r="GZ731" s="275"/>
      <c r="HA731" s="275"/>
      <c r="HB731" s="275"/>
      <c r="HC731" s="275"/>
      <c r="HD731" s="275"/>
      <c r="HE731" s="275"/>
      <c r="HF731" s="275"/>
      <c r="HG731" s="275"/>
      <c r="HH731" s="275"/>
      <c r="HI731" s="275"/>
      <c r="HJ731" s="275"/>
      <c r="HK731" s="275"/>
      <c r="HL731" s="275"/>
      <c r="HM731" s="275"/>
      <c r="HN731" s="275"/>
      <c r="HO731" s="275"/>
      <c r="HP731" s="275"/>
      <c r="HQ731" s="275"/>
      <c r="HR731" s="275"/>
    </row>
    <row r="732" spans="1:226" s="297" customFormat="1">
      <c r="A732" s="275"/>
      <c r="B732" s="21"/>
      <c r="C732" s="21"/>
      <c r="D732" s="21"/>
      <c r="E732" s="21"/>
      <c r="F732" s="275"/>
      <c r="G732" s="275"/>
      <c r="H732" s="275"/>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J732" s="275"/>
      <c r="AK732" s="275"/>
      <c r="AL732" s="275"/>
      <c r="AM732" s="275"/>
      <c r="AN732" s="275"/>
      <c r="AO732" s="275"/>
      <c r="AQ732" s="275"/>
      <c r="AR732" s="275"/>
      <c r="AS732" s="275"/>
      <c r="AT732" s="275"/>
      <c r="AU732" s="275"/>
      <c r="AV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D732" s="275"/>
      <c r="EE732" s="275"/>
      <c r="EF732" s="275"/>
      <c r="EG732" s="275"/>
      <c r="EH732" s="275"/>
      <c r="EI732" s="275"/>
      <c r="EJ732" s="275"/>
      <c r="EK732" s="275"/>
      <c r="EL732" s="275"/>
      <c r="EM732" s="275"/>
      <c r="EN732" s="275"/>
      <c r="EO732" s="275"/>
      <c r="EP732" s="275"/>
      <c r="EQ732" s="275"/>
      <c r="ER732" s="275"/>
      <c r="ES732" s="275"/>
      <c r="ET732" s="275"/>
      <c r="EU732"/>
      <c r="EV732"/>
      <c r="EW732" s="275"/>
      <c r="EX732" s="275"/>
      <c r="EY732" s="275"/>
      <c r="EZ732" s="275"/>
      <c r="FA732" s="275"/>
      <c r="FB732" s="275"/>
      <c r="FC732" s="275"/>
      <c r="FD732" s="275"/>
      <c r="FE732" s="275"/>
      <c r="FF732" s="275"/>
      <c r="FG732" s="275"/>
      <c r="FH732" s="275"/>
      <c r="FI732" s="275"/>
      <c r="FJ732" s="275"/>
      <c r="FK732" s="275"/>
      <c r="FL732" s="275"/>
      <c r="FM732" s="275"/>
      <c r="FN732" s="275"/>
      <c r="FO732" s="275"/>
      <c r="FP732" s="275"/>
      <c r="FQ732" s="275"/>
      <c r="FR732" s="275"/>
      <c r="FS732" s="275"/>
      <c r="FT732" s="275"/>
      <c r="FU732" s="275"/>
      <c r="FV732" s="275"/>
      <c r="FW732" s="275"/>
      <c r="FX732" s="275"/>
      <c r="FY732" s="275"/>
      <c r="FZ732" s="275"/>
      <c r="GA732" s="275"/>
      <c r="GB732" s="275"/>
      <c r="GC732" s="275"/>
      <c r="GD732" s="275"/>
      <c r="GE732" s="275"/>
      <c r="GF732" s="275"/>
      <c r="GG732" s="275"/>
      <c r="GH732" s="275"/>
      <c r="GI732" s="275"/>
      <c r="GJ732" s="275"/>
      <c r="GK732" s="275"/>
      <c r="GL732" s="275"/>
      <c r="GM732" s="275"/>
      <c r="GN732" s="275"/>
      <c r="GO732" s="275"/>
      <c r="GP732" s="275"/>
      <c r="GQ732" s="275"/>
      <c r="GR732" s="275"/>
      <c r="GS732" s="275"/>
      <c r="GT732" s="275"/>
      <c r="GU732" s="275"/>
      <c r="GV732" s="275"/>
      <c r="GW732" s="275"/>
      <c r="GX732" s="275"/>
      <c r="GY732" s="275"/>
      <c r="GZ732" s="275"/>
      <c r="HA732" s="275"/>
      <c r="HB732" s="275"/>
      <c r="HC732" s="275"/>
      <c r="HD732" s="275"/>
      <c r="HE732" s="275"/>
      <c r="HF732" s="275"/>
      <c r="HG732" s="275"/>
      <c r="HH732" s="275"/>
      <c r="HI732" s="275"/>
      <c r="HJ732" s="275"/>
      <c r="HK732" s="275"/>
      <c r="HL732" s="275"/>
      <c r="HM732" s="275"/>
      <c r="HN732" s="275"/>
      <c r="HO732" s="275"/>
      <c r="HP732" s="275"/>
      <c r="HQ732" s="275"/>
      <c r="HR732" s="275"/>
    </row>
    <row r="733" spans="1:226" s="297" customFormat="1">
      <c r="A733" s="275"/>
      <c r="B733" s="21"/>
      <c r="C733" s="21"/>
      <c r="D733" s="21"/>
      <c r="E733" s="21"/>
      <c r="F733" s="275"/>
      <c r="G733" s="275"/>
      <c r="H733" s="275"/>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J733" s="275"/>
      <c r="AK733" s="275"/>
      <c r="AL733" s="275"/>
      <c r="AM733" s="275"/>
      <c r="AN733" s="275"/>
      <c r="AO733" s="275"/>
      <c r="AQ733" s="275"/>
      <c r="AR733" s="275"/>
      <c r="AS733" s="275"/>
      <c r="AT733" s="275"/>
      <c r="AU733" s="275"/>
      <c r="AV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D733" s="275"/>
      <c r="EE733" s="275"/>
      <c r="EF733" s="275"/>
      <c r="EG733" s="275"/>
      <c r="EH733" s="275"/>
      <c r="EI733" s="275"/>
      <c r="EJ733" s="275"/>
      <c r="EK733" s="275"/>
      <c r="EL733" s="275"/>
      <c r="EM733" s="275"/>
      <c r="EN733" s="275"/>
      <c r="EO733" s="275"/>
      <c r="EP733" s="275"/>
      <c r="EQ733" s="275"/>
      <c r="ER733" s="275"/>
      <c r="ES733" s="275"/>
      <c r="ET733" s="275"/>
      <c r="EU733"/>
      <c r="EV733"/>
      <c r="EW733" s="275"/>
      <c r="EX733" s="275"/>
      <c r="EY733" s="275"/>
      <c r="EZ733" s="275"/>
      <c r="FA733" s="275"/>
      <c r="FB733" s="275"/>
      <c r="FC733" s="275"/>
      <c r="FD733" s="275"/>
      <c r="FE733" s="275"/>
      <c r="FF733" s="275"/>
      <c r="FG733" s="275"/>
      <c r="FH733" s="275"/>
      <c r="FI733" s="275"/>
      <c r="FJ733" s="275"/>
      <c r="FK733" s="275"/>
      <c r="FL733" s="275"/>
      <c r="FM733" s="275"/>
      <c r="FN733" s="275"/>
      <c r="FO733" s="275"/>
      <c r="FP733" s="275"/>
      <c r="FQ733" s="275"/>
      <c r="FR733" s="275"/>
      <c r="FS733" s="275"/>
      <c r="FT733" s="275"/>
      <c r="FU733" s="275"/>
      <c r="FV733" s="275"/>
      <c r="FW733" s="275"/>
      <c r="FX733" s="275"/>
      <c r="FY733" s="275"/>
      <c r="FZ733" s="275"/>
      <c r="GA733" s="275"/>
      <c r="GB733" s="275"/>
      <c r="GC733" s="275"/>
      <c r="GD733" s="275"/>
      <c r="GE733" s="275"/>
      <c r="GF733" s="275"/>
      <c r="GG733" s="275"/>
      <c r="GH733" s="275"/>
      <c r="GI733" s="275"/>
      <c r="GJ733" s="275"/>
      <c r="GK733" s="275"/>
      <c r="GL733" s="275"/>
      <c r="GM733" s="275"/>
      <c r="GN733" s="275"/>
      <c r="GO733" s="275"/>
      <c r="GP733" s="275"/>
      <c r="GQ733" s="275"/>
      <c r="GR733" s="275"/>
      <c r="GS733" s="275"/>
      <c r="GT733" s="275"/>
      <c r="GU733" s="275"/>
      <c r="GV733" s="275"/>
      <c r="GW733" s="275"/>
      <c r="GX733" s="275"/>
      <c r="GY733" s="275"/>
      <c r="GZ733" s="275"/>
      <c r="HA733" s="275"/>
      <c r="HB733" s="275"/>
      <c r="HC733" s="275"/>
      <c r="HD733" s="275"/>
      <c r="HE733" s="275"/>
      <c r="HF733" s="275"/>
      <c r="HG733" s="275"/>
      <c r="HH733" s="275"/>
      <c r="HI733" s="275"/>
      <c r="HJ733" s="275"/>
      <c r="HK733" s="275"/>
      <c r="HL733" s="275"/>
      <c r="HM733" s="275"/>
      <c r="HN733" s="275"/>
      <c r="HO733" s="275"/>
      <c r="HP733" s="275"/>
      <c r="HQ733" s="275"/>
      <c r="HR733" s="275"/>
    </row>
    <row r="734" spans="1:226" s="297" customFormat="1">
      <c r="A734" s="275"/>
      <c r="B734" s="21"/>
      <c r="C734" s="21"/>
      <c r="D734" s="21"/>
      <c r="E734" s="21"/>
      <c r="F734" s="275"/>
      <c r="G734" s="275"/>
      <c r="H734" s="275"/>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J734" s="275"/>
      <c r="AK734" s="275"/>
      <c r="AL734" s="275"/>
      <c r="AM734" s="275"/>
      <c r="AN734" s="275"/>
      <c r="AO734" s="275"/>
      <c r="AQ734" s="275"/>
      <c r="AR734" s="275"/>
      <c r="AS734" s="275"/>
      <c r="AT734" s="275"/>
      <c r="AU734" s="275"/>
      <c r="AV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D734" s="275"/>
      <c r="EE734" s="275"/>
      <c r="EF734" s="275"/>
      <c r="EG734" s="275"/>
      <c r="EH734" s="275"/>
      <c r="EI734" s="275"/>
      <c r="EJ734" s="275"/>
      <c r="EK734" s="275"/>
      <c r="EL734" s="275"/>
      <c r="EM734" s="275"/>
      <c r="EN734" s="275"/>
      <c r="EO734" s="275"/>
      <c r="EP734" s="275"/>
      <c r="EQ734" s="275"/>
      <c r="ER734" s="275"/>
      <c r="ES734" s="275"/>
      <c r="ET734" s="275"/>
      <c r="EU734"/>
      <c r="EV734"/>
      <c r="EW734" s="275"/>
      <c r="EX734" s="275"/>
      <c r="EY734" s="275"/>
      <c r="EZ734" s="275"/>
      <c r="FA734" s="275"/>
      <c r="FB734" s="275"/>
      <c r="FC734" s="275"/>
      <c r="FD734" s="275"/>
      <c r="FE734" s="275"/>
      <c r="FF734" s="275"/>
      <c r="FG734" s="275"/>
      <c r="FH734" s="275"/>
      <c r="FI734" s="275"/>
      <c r="FJ734" s="275"/>
      <c r="FK734" s="275"/>
      <c r="FL734" s="275"/>
      <c r="FM734" s="275"/>
      <c r="FN734" s="275"/>
      <c r="FO734" s="275"/>
      <c r="FP734" s="275"/>
      <c r="FQ734" s="275"/>
      <c r="FR734" s="275"/>
      <c r="FS734" s="275"/>
      <c r="FT734" s="275"/>
      <c r="FU734" s="275"/>
      <c r="FV734" s="275"/>
      <c r="FW734" s="275"/>
      <c r="FX734" s="275"/>
      <c r="FY734" s="275"/>
      <c r="FZ734" s="275"/>
      <c r="GA734" s="275"/>
      <c r="GB734" s="275"/>
      <c r="GC734" s="275"/>
      <c r="GD734" s="275"/>
      <c r="GE734" s="275"/>
      <c r="GF734" s="275"/>
      <c r="GG734" s="275"/>
      <c r="GH734" s="275"/>
      <c r="GI734" s="275"/>
      <c r="GJ734" s="275"/>
      <c r="GK734" s="275"/>
      <c r="GL734" s="275"/>
      <c r="GM734" s="275"/>
      <c r="GN734" s="275"/>
      <c r="GO734" s="275"/>
      <c r="GP734" s="275"/>
      <c r="GQ734" s="275"/>
      <c r="GR734" s="275"/>
      <c r="GS734" s="275"/>
      <c r="GT734" s="275"/>
      <c r="GU734" s="275"/>
      <c r="GV734" s="275"/>
      <c r="GW734" s="275"/>
      <c r="GX734" s="275"/>
      <c r="GY734" s="275"/>
      <c r="GZ734" s="275"/>
      <c r="HA734" s="275"/>
      <c r="HB734" s="275"/>
      <c r="HC734" s="275"/>
      <c r="HD734" s="275"/>
      <c r="HE734" s="275"/>
      <c r="HF734" s="275"/>
      <c r="HG734" s="275"/>
      <c r="HH734" s="275"/>
      <c r="HI734" s="275"/>
      <c r="HJ734" s="275"/>
      <c r="HK734" s="275"/>
      <c r="HL734" s="275"/>
      <c r="HM734" s="275"/>
      <c r="HN734" s="275"/>
      <c r="HO734" s="275"/>
      <c r="HP734" s="275"/>
      <c r="HQ734" s="275"/>
      <c r="HR734" s="275"/>
    </row>
    <row r="735" spans="1:226" s="297" customFormat="1">
      <c r="A735" s="275"/>
      <c r="B735" s="21"/>
      <c r="C735" s="21"/>
      <c r="D735" s="21"/>
      <c r="E735" s="21"/>
      <c r="F735" s="275"/>
      <c r="G735" s="275"/>
      <c r="H735" s="275"/>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J735" s="275"/>
      <c r="AK735" s="275"/>
      <c r="AL735" s="275"/>
      <c r="AM735" s="275"/>
      <c r="AN735" s="275"/>
      <c r="AO735" s="275"/>
      <c r="AQ735" s="275"/>
      <c r="AR735" s="275"/>
      <c r="AS735" s="275"/>
      <c r="AT735" s="275"/>
      <c r="AU735" s="275"/>
      <c r="AV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D735" s="275"/>
      <c r="EE735" s="275"/>
      <c r="EF735" s="275"/>
      <c r="EG735" s="275"/>
      <c r="EH735" s="275"/>
      <c r="EI735" s="275"/>
      <c r="EJ735" s="275"/>
      <c r="EK735" s="275"/>
      <c r="EL735" s="275"/>
      <c r="EM735" s="275"/>
      <c r="EN735" s="275"/>
      <c r="EO735" s="275"/>
      <c r="EP735" s="275"/>
      <c r="EQ735" s="275"/>
      <c r="ER735" s="275"/>
      <c r="ES735" s="275"/>
      <c r="ET735" s="275"/>
      <c r="EU735"/>
      <c r="EV735"/>
      <c r="EW735" s="275"/>
      <c r="EX735" s="275"/>
      <c r="EY735" s="275"/>
      <c r="EZ735" s="275"/>
      <c r="FA735" s="275"/>
      <c r="FB735" s="275"/>
      <c r="FC735" s="275"/>
      <c r="FD735" s="275"/>
      <c r="FE735" s="275"/>
      <c r="FF735" s="275"/>
      <c r="FG735" s="275"/>
      <c r="FH735" s="275"/>
      <c r="FI735" s="275"/>
      <c r="FJ735" s="275"/>
      <c r="FK735" s="275"/>
      <c r="FL735" s="275"/>
      <c r="FM735" s="275"/>
      <c r="FN735" s="275"/>
      <c r="FO735" s="275"/>
      <c r="FP735" s="275"/>
      <c r="FQ735" s="275"/>
      <c r="FR735" s="275"/>
      <c r="FS735" s="275"/>
      <c r="FT735" s="275"/>
      <c r="FU735" s="275"/>
      <c r="FV735" s="275"/>
      <c r="FW735" s="275"/>
      <c r="FX735" s="275"/>
      <c r="FY735" s="275"/>
      <c r="FZ735" s="275"/>
      <c r="GA735" s="275"/>
      <c r="GB735" s="275"/>
      <c r="GC735" s="275"/>
      <c r="GD735" s="275"/>
      <c r="GE735" s="275"/>
      <c r="GF735" s="275"/>
      <c r="GG735" s="275"/>
      <c r="GH735" s="275"/>
      <c r="GI735" s="275"/>
      <c r="GJ735" s="275"/>
      <c r="GK735" s="275"/>
      <c r="GL735" s="275"/>
      <c r="GM735" s="275"/>
      <c r="GN735" s="275"/>
      <c r="GO735" s="275"/>
      <c r="GP735" s="275"/>
      <c r="GQ735" s="275"/>
      <c r="GR735" s="275"/>
      <c r="GS735" s="275"/>
      <c r="GT735" s="275"/>
      <c r="GU735" s="275"/>
      <c r="GV735" s="275"/>
      <c r="GW735" s="275"/>
      <c r="GX735" s="275"/>
      <c r="GY735" s="275"/>
      <c r="GZ735" s="275"/>
      <c r="HA735" s="275"/>
      <c r="HB735" s="275"/>
      <c r="HC735" s="275"/>
      <c r="HD735" s="275"/>
      <c r="HE735" s="275"/>
      <c r="HF735" s="275"/>
      <c r="HG735" s="275"/>
      <c r="HH735" s="275"/>
      <c r="HI735" s="275"/>
      <c r="HJ735" s="275"/>
      <c r="HK735" s="275"/>
      <c r="HL735" s="275"/>
      <c r="HM735" s="275"/>
      <c r="HN735" s="275"/>
      <c r="HO735" s="275"/>
      <c r="HP735" s="275"/>
      <c r="HQ735" s="275"/>
      <c r="HR735" s="275"/>
    </row>
    <row r="736" spans="1:226" s="297" customFormat="1">
      <c r="A736" s="275"/>
      <c r="B736" s="21"/>
      <c r="C736" s="21"/>
      <c r="D736" s="21"/>
      <c r="E736" s="21"/>
      <c r="F736" s="275"/>
      <c r="G736" s="275"/>
      <c r="H736" s="275"/>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J736" s="275"/>
      <c r="AK736" s="275"/>
      <c r="AL736" s="275"/>
      <c r="AM736" s="275"/>
      <c r="AN736" s="275"/>
      <c r="AO736" s="275"/>
      <c r="AQ736" s="275"/>
      <c r="AR736" s="275"/>
      <c r="AS736" s="275"/>
      <c r="AT736" s="275"/>
      <c r="AU736" s="275"/>
      <c r="AV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D736" s="275"/>
      <c r="EE736" s="275"/>
      <c r="EF736" s="275"/>
      <c r="EG736" s="275"/>
      <c r="EH736" s="275"/>
      <c r="EI736" s="275"/>
      <c r="EJ736" s="275"/>
      <c r="EK736" s="275"/>
      <c r="EL736" s="275"/>
      <c r="EM736" s="275"/>
      <c r="EN736" s="275"/>
      <c r="EO736" s="275"/>
      <c r="EP736" s="275"/>
      <c r="EQ736" s="275"/>
      <c r="ER736" s="275"/>
      <c r="ES736" s="275"/>
      <c r="ET736" s="275"/>
      <c r="EU736"/>
      <c r="EV736"/>
      <c r="EW736" s="275"/>
      <c r="EX736" s="275"/>
      <c r="EY736" s="275"/>
      <c r="EZ736" s="275"/>
      <c r="FA736" s="275"/>
      <c r="FB736" s="275"/>
      <c r="FC736" s="275"/>
      <c r="FD736" s="275"/>
      <c r="FE736" s="275"/>
      <c r="FF736" s="275"/>
      <c r="FG736" s="275"/>
      <c r="FH736" s="275"/>
      <c r="FI736" s="275"/>
      <c r="FJ736" s="275"/>
      <c r="FK736" s="275"/>
      <c r="FL736" s="275"/>
      <c r="FM736" s="275"/>
      <c r="FN736" s="275"/>
      <c r="FO736" s="275"/>
      <c r="FP736" s="275"/>
      <c r="FQ736" s="275"/>
      <c r="FR736" s="275"/>
      <c r="FS736" s="275"/>
      <c r="FT736" s="275"/>
      <c r="FU736" s="275"/>
      <c r="FV736" s="275"/>
      <c r="FW736" s="275"/>
      <c r="FX736" s="275"/>
      <c r="FY736" s="275"/>
      <c r="FZ736" s="275"/>
      <c r="GA736" s="275"/>
      <c r="GB736" s="275"/>
      <c r="GC736" s="275"/>
      <c r="GD736" s="275"/>
      <c r="GE736" s="275"/>
      <c r="GF736" s="275"/>
      <c r="GG736" s="275"/>
      <c r="GH736" s="275"/>
      <c r="GI736" s="275"/>
      <c r="GJ736" s="275"/>
      <c r="GK736" s="275"/>
      <c r="GL736" s="275"/>
      <c r="GM736" s="275"/>
      <c r="GN736" s="275"/>
      <c r="GO736" s="275"/>
      <c r="GP736" s="275"/>
      <c r="GQ736" s="275"/>
      <c r="GR736" s="275"/>
      <c r="GS736" s="275"/>
      <c r="GT736" s="275"/>
      <c r="GU736" s="275"/>
      <c r="GV736" s="275"/>
      <c r="GW736" s="275"/>
      <c r="GX736" s="275"/>
      <c r="GY736" s="275"/>
      <c r="GZ736" s="275"/>
      <c r="HA736" s="275"/>
      <c r="HB736" s="275"/>
      <c r="HC736" s="275"/>
      <c r="HD736" s="275"/>
      <c r="HE736" s="275"/>
      <c r="HF736" s="275"/>
      <c r="HG736" s="275"/>
      <c r="HH736" s="275"/>
      <c r="HI736" s="275"/>
      <c r="HJ736" s="275"/>
      <c r="HK736" s="275"/>
      <c r="HL736" s="275"/>
      <c r="HM736" s="275"/>
      <c r="HN736" s="275"/>
      <c r="HO736" s="275"/>
      <c r="HP736" s="275"/>
      <c r="HQ736" s="275"/>
      <c r="HR736" s="275"/>
    </row>
    <row r="737" spans="1:226" s="297" customFormat="1">
      <c r="A737" s="275"/>
      <c r="B737" s="21"/>
      <c r="C737" s="21"/>
      <c r="D737" s="21"/>
      <c r="E737" s="21"/>
      <c r="F737" s="275"/>
      <c r="G737" s="275"/>
      <c r="H737" s="275"/>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J737" s="275"/>
      <c r="AK737" s="275"/>
      <c r="AL737" s="275"/>
      <c r="AM737" s="275"/>
      <c r="AN737" s="275"/>
      <c r="AO737" s="275"/>
      <c r="AQ737" s="275"/>
      <c r="AR737" s="275"/>
      <c r="AS737" s="275"/>
      <c r="AT737" s="275"/>
      <c r="AU737" s="275"/>
      <c r="AV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D737" s="275"/>
      <c r="EE737" s="275"/>
      <c r="EF737" s="275"/>
      <c r="EG737" s="275"/>
      <c r="EH737" s="275"/>
      <c r="EI737" s="275"/>
      <c r="EJ737" s="275"/>
      <c r="EK737" s="275"/>
      <c r="EL737" s="275"/>
      <c r="EM737" s="275"/>
      <c r="EN737" s="275"/>
      <c r="EO737" s="275"/>
      <c r="EP737" s="275"/>
      <c r="EQ737" s="275"/>
      <c r="ER737" s="275"/>
      <c r="ES737" s="275"/>
      <c r="ET737" s="275"/>
      <c r="EU737"/>
      <c r="EV737"/>
      <c r="EW737" s="275"/>
      <c r="EX737" s="275"/>
      <c r="EY737" s="275"/>
      <c r="EZ737" s="275"/>
      <c r="FA737" s="275"/>
      <c r="FB737" s="275"/>
      <c r="FC737" s="275"/>
      <c r="FD737" s="275"/>
      <c r="FE737" s="275"/>
      <c r="FF737" s="275"/>
      <c r="FG737" s="275"/>
      <c r="FH737" s="275"/>
      <c r="FI737" s="275"/>
      <c r="FJ737" s="275"/>
      <c r="FK737" s="275"/>
      <c r="FL737" s="275"/>
      <c r="FM737" s="275"/>
      <c r="FN737" s="275"/>
      <c r="FO737" s="275"/>
      <c r="FP737" s="275"/>
      <c r="FQ737" s="275"/>
      <c r="FR737" s="275"/>
      <c r="FS737" s="275"/>
      <c r="FT737" s="275"/>
      <c r="FU737" s="275"/>
      <c r="FV737" s="275"/>
      <c r="FW737" s="275"/>
      <c r="FX737" s="275"/>
      <c r="FY737" s="275"/>
      <c r="FZ737" s="275"/>
      <c r="GA737" s="275"/>
      <c r="GB737" s="275"/>
      <c r="GC737" s="275"/>
      <c r="GD737" s="275"/>
      <c r="GE737" s="275"/>
      <c r="GF737" s="275"/>
      <c r="GG737" s="275"/>
      <c r="GH737" s="275"/>
      <c r="GI737" s="275"/>
      <c r="GJ737" s="275"/>
      <c r="GK737" s="275"/>
      <c r="GL737" s="275"/>
      <c r="GM737" s="275"/>
      <c r="GN737" s="275"/>
      <c r="GO737" s="275"/>
      <c r="GP737" s="275"/>
      <c r="GQ737" s="275"/>
      <c r="GR737" s="275"/>
      <c r="GS737" s="275"/>
      <c r="GT737" s="275"/>
      <c r="GU737" s="275"/>
      <c r="GV737" s="275"/>
      <c r="GW737" s="275"/>
      <c r="GX737" s="275"/>
      <c r="GY737" s="275"/>
      <c r="GZ737" s="275"/>
      <c r="HA737" s="275"/>
      <c r="HB737" s="275"/>
      <c r="HC737" s="275"/>
      <c r="HD737" s="275"/>
      <c r="HE737" s="275"/>
      <c r="HF737" s="275"/>
      <c r="HG737" s="275"/>
      <c r="HH737" s="275"/>
      <c r="HI737" s="275"/>
      <c r="HJ737" s="275"/>
      <c r="HK737" s="275"/>
      <c r="HL737" s="275"/>
      <c r="HM737" s="275"/>
      <c r="HN737" s="275"/>
      <c r="HO737" s="275"/>
      <c r="HP737" s="275"/>
      <c r="HQ737" s="275"/>
      <c r="HR737" s="275"/>
    </row>
    <row r="738" spans="1:226" s="297" customFormat="1">
      <c r="A738" s="275"/>
      <c r="B738" s="21"/>
      <c r="C738" s="21"/>
      <c r="D738" s="21"/>
      <c r="E738" s="21"/>
      <c r="F738" s="275"/>
      <c r="G738" s="275"/>
      <c r="H738" s="275"/>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J738" s="275"/>
      <c r="AK738" s="275"/>
      <c r="AL738" s="275"/>
      <c r="AM738" s="275"/>
      <c r="AN738" s="275"/>
      <c r="AO738" s="275"/>
      <c r="AQ738" s="275"/>
      <c r="AR738" s="275"/>
      <c r="AS738" s="275"/>
      <c r="AT738" s="275"/>
      <c r="AU738" s="275"/>
      <c r="AV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D738" s="275"/>
      <c r="EE738" s="275"/>
      <c r="EF738" s="275"/>
      <c r="EG738" s="275"/>
      <c r="EH738" s="275"/>
      <c r="EI738" s="275"/>
      <c r="EJ738" s="275"/>
      <c r="EK738" s="275"/>
      <c r="EL738" s="275"/>
      <c r="EM738" s="275"/>
      <c r="EN738" s="275"/>
      <c r="EO738" s="275"/>
      <c r="EP738" s="275"/>
      <c r="EQ738" s="275"/>
      <c r="ER738" s="275"/>
      <c r="ES738" s="275"/>
      <c r="ET738" s="275"/>
      <c r="EU738"/>
      <c r="EV738"/>
      <c r="EW738" s="275"/>
      <c r="EX738" s="275"/>
      <c r="EY738" s="275"/>
      <c r="EZ738" s="275"/>
      <c r="FA738" s="275"/>
      <c r="FB738" s="275"/>
      <c r="FC738" s="275"/>
      <c r="FD738" s="275"/>
      <c r="FE738" s="275"/>
      <c r="FF738" s="275"/>
      <c r="FG738" s="275"/>
      <c r="FH738" s="275"/>
      <c r="FI738" s="275"/>
      <c r="FJ738" s="275"/>
      <c r="FK738" s="275"/>
      <c r="FL738" s="275"/>
      <c r="FM738" s="275"/>
      <c r="FN738" s="275"/>
      <c r="FO738" s="275"/>
      <c r="FP738" s="275"/>
      <c r="FQ738" s="275"/>
      <c r="FR738" s="275"/>
      <c r="FS738" s="275"/>
      <c r="FT738" s="275"/>
      <c r="FU738" s="275"/>
      <c r="FV738" s="275"/>
      <c r="FW738" s="275"/>
      <c r="FX738" s="275"/>
      <c r="FY738" s="275"/>
      <c r="FZ738" s="275"/>
      <c r="GA738" s="275"/>
      <c r="GB738" s="275"/>
      <c r="GC738" s="275"/>
      <c r="GD738" s="275"/>
      <c r="GE738" s="275"/>
      <c r="GF738" s="275"/>
      <c r="GG738" s="275"/>
      <c r="GH738" s="275"/>
      <c r="GI738" s="275"/>
      <c r="GJ738" s="275"/>
      <c r="GK738" s="275"/>
      <c r="GL738" s="275"/>
      <c r="GM738" s="275"/>
      <c r="GN738" s="275"/>
      <c r="GO738" s="275"/>
      <c r="GP738" s="275"/>
      <c r="GQ738" s="275"/>
      <c r="GR738" s="275"/>
      <c r="GS738" s="275"/>
      <c r="GT738" s="275"/>
      <c r="GU738" s="275"/>
      <c r="GV738" s="275"/>
      <c r="GW738" s="275"/>
      <c r="GX738" s="275"/>
      <c r="GY738" s="275"/>
      <c r="GZ738" s="275"/>
      <c r="HA738" s="275"/>
      <c r="HB738" s="275"/>
      <c r="HC738" s="275"/>
      <c r="HD738" s="275"/>
      <c r="HE738" s="275"/>
      <c r="HF738" s="275"/>
      <c r="HG738" s="275"/>
      <c r="HH738" s="275"/>
      <c r="HI738" s="275"/>
      <c r="HJ738" s="275"/>
      <c r="HK738" s="275"/>
      <c r="HL738" s="275"/>
      <c r="HM738" s="275"/>
      <c r="HN738" s="275"/>
      <c r="HO738" s="275"/>
      <c r="HP738" s="275"/>
      <c r="HQ738" s="275"/>
      <c r="HR738" s="275"/>
    </row>
    <row r="739" spans="1:226" s="297" customFormat="1">
      <c r="A739" s="275"/>
      <c r="B739" s="21"/>
      <c r="C739" s="21"/>
      <c r="D739" s="21"/>
      <c r="E739" s="21"/>
      <c r="F739" s="275"/>
      <c r="G739" s="275"/>
      <c r="H739" s="275"/>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J739" s="275"/>
      <c r="AK739" s="275"/>
      <c r="AL739" s="275"/>
      <c r="AM739" s="275"/>
      <c r="AN739" s="275"/>
      <c r="AO739" s="275"/>
      <c r="AQ739" s="275"/>
      <c r="AR739" s="275"/>
      <c r="AS739" s="275"/>
      <c r="AT739" s="275"/>
      <c r="AU739" s="275"/>
      <c r="AV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D739" s="275"/>
      <c r="EE739" s="275"/>
      <c r="EF739" s="275"/>
      <c r="EG739" s="275"/>
      <c r="EH739" s="275"/>
      <c r="EI739" s="275"/>
      <c r="EJ739" s="275"/>
      <c r="EK739" s="275"/>
      <c r="EL739" s="275"/>
      <c r="EM739" s="275"/>
      <c r="EN739" s="275"/>
      <c r="EO739" s="275"/>
      <c r="EP739" s="275"/>
      <c r="EQ739" s="275"/>
      <c r="ER739" s="275"/>
      <c r="ES739" s="275"/>
      <c r="ET739" s="275"/>
      <c r="EU739"/>
      <c r="EV739"/>
      <c r="EW739" s="275"/>
      <c r="EX739" s="275"/>
      <c r="EY739" s="275"/>
      <c r="EZ739" s="275"/>
      <c r="FA739" s="275"/>
      <c r="FB739" s="275"/>
      <c r="FC739" s="275"/>
      <c r="FD739" s="275"/>
      <c r="FE739" s="275"/>
      <c r="FF739" s="275"/>
      <c r="FG739" s="275"/>
      <c r="FH739" s="275"/>
      <c r="FI739" s="275"/>
      <c r="FJ739" s="275"/>
      <c r="FK739" s="275"/>
      <c r="FL739" s="275"/>
      <c r="FM739" s="275"/>
      <c r="FN739" s="275"/>
      <c r="FO739" s="275"/>
      <c r="FP739" s="275"/>
      <c r="FQ739" s="275"/>
      <c r="FR739" s="275"/>
      <c r="FS739" s="275"/>
      <c r="FT739" s="275"/>
      <c r="FU739" s="275"/>
      <c r="FV739" s="275"/>
      <c r="FW739" s="275"/>
      <c r="FX739" s="275"/>
      <c r="FY739" s="275"/>
      <c r="FZ739" s="275"/>
      <c r="GA739" s="275"/>
      <c r="GB739" s="275"/>
      <c r="GC739" s="275"/>
      <c r="GD739" s="275"/>
      <c r="GE739" s="275"/>
      <c r="GF739" s="275"/>
      <c r="GG739" s="275"/>
      <c r="GH739" s="275"/>
      <c r="GI739" s="275"/>
      <c r="GJ739" s="275"/>
      <c r="GK739" s="275"/>
      <c r="GL739" s="275"/>
      <c r="GM739" s="275"/>
      <c r="GN739" s="275"/>
      <c r="GO739" s="275"/>
      <c r="GP739" s="275"/>
      <c r="GQ739" s="275"/>
      <c r="GR739" s="275"/>
      <c r="GS739" s="275"/>
      <c r="GT739" s="275"/>
      <c r="GU739" s="275"/>
      <c r="GV739" s="275"/>
      <c r="GW739" s="275"/>
      <c r="GX739" s="275"/>
      <c r="GY739" s="275"/>
      <c r="GZ739" s="275"/>
      <c r="HA739" s="275"/>
      <c r="HB739" s="275"/>
      <c r="HC739" s="275"/>
      <c r="HD739" s="275"/>
      <c r="HE739" s="275"/>
      <c r="HF739" s="275"/>
      <c r="HG739" s="275"/>
      <c r="HH739" s="275"/>
      <c r="HI739" s="275"/>
      <c r="HJ739" s="275"/>
      <c r="HK739" s="275"/>
      <c r="HL739" s="275"/>
      <c r="HM739" s="275"/>
      <c r="HN739" s="275"/>
      <c r="HO739" s="275"/>
      <c r="HP739" s="275"/>
      <c r="HQ739" s="275"/>
      <c r="HR739" s="275"/>
    </row>
  </sheetData>
  <sheetProtection algorithmName="SHA-512" hashValue="hLW+kiCMjiVcbkZ48VFe36LFV5b/SygajtKxLFfDyu8/hovXrZuIbKYU3bNIr7afK85YYnDHaaVOVFlAdn7noA==" saltValue="9OK/hsba4yEHS+WPz18TO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E7" sqref="E7"/>
    </sheetView>
  </sheetViews>
  <sheetFormatPr baseColWidth="10" defaultRowHeight="16"/>
  <cols>
    <col min="1" max="1" width="10.83203125" style="612"/>
    <col min="2" max="2" width="15.6640625" customWidth="1"/>
    <col min="4" max="4" width="10.83203125" style="426"/>
    <col min="5" max="5" width="20.33203125" customWidth="1"/>
    <col min="6" max="6" width="42" customWidth="1"/>
    <col min="7" max="7" width="10.83203125" style="428"/>
  </cols>
  <sheetData>
    <row r="1" spans="1:7">
      <c r="A1" s="612" t="s">
        <v>1919</v>
      </c>
      <c r="B1" s="429" t="s">
        <v>27</v>
      </c>
      <c r="C1" s="429" t="s">
        <v>54</v>
      </c>
      <c r="D1" s="447" t="s">
        <v>2004</v>
      </c>
      <c r="E1" s="430" t="s">
        <v>1006</v>
      </c>
      <c r="F1" s="433" t="s">
        <v>1921</v>
      </c>
      <c r="G1" s="148" t="s">
        <v>1920</v>
      </c>
    </row>
    <row r="2" spans="1:7">
      <c r="A2" s="613" t="s">
        <v>2122</v>
      </c>
      <c r="B2" s="431">
        <v>1</v>
      </c>
      <c r="C2" s="431" t="s">
        <v>34</v>
      </c>
      <c r="D2" t="s">
        <v>28</v>
      </c>
      <c r="E2" s="41" t="s">
        <v>1323</v>
      </c>
      <c r="F2" s="42" t="s">
        <v>502</v>
      </c>
      <c r="G2" s="428" t="e">
        <f>COUNTIF(#REF!,B2)</f>
        <v>#REF!</v>
      </c>
    </row>
    <row r="3" spans="1:7">
      <c r="A3" s="613"/>
      <c r="B3" s="431">
        <v>2</v>
      </c>
      <c r="C3" s="431" t="s">
        <v>35</v>
      </c>
      <c r="D3" t="s">
        <v>943</v>
      </c>
      <c r="E3" s="41" t="s">
        <v>1324</v>
      </c>
      <c r="F3" s="42" t="s">
        <v>503</v>
      </c>
      <c r="G3" s="428" t="e">
        <f>COUNTIF(#REF!,B3)</f>
        <v>#REF!</v>
      </c>
    </row>
    <row r="4" spans="1:7">
      <c r="A4" s="613" t="s">
        <v>2123</v>
      </c>
      <c r="B4" s="431">
        <v>3</v>
      </c>
      <c r="C4" s="431" t="s">
        <v>31</v>
      </c>
      <c r="D4" t="s">
        <v>28</v>
      </c>
      <c r="E4" s="41" t="s">
        <v>1325</v>
      </c>
      <c r="F4" s="42" t="s">
        <v>504</v>
      </c>
      <c r="G4" s="428" t="e">
        <f>COUNTIF(#REF!,B4)</f>
        <v>#REF!</v>
      </c>
    </row>
    <row r="5" spans="1:7">
      <c r="A5" s="613" t="s">
        <v>2124</v>
      </c>
      <c r="B5" s="431">
        <v>4</v>
      </c>
      <c r="C5" s="431" t="s">
        <v>36</v>
      </c>
      <c r="D5" t="s">
        <v>28</v>
      </c>
      <c r="E5" s="41" t="s">
        <v>1326</v>
      </c>
      <c r="F5" s="42" t="s">
        <v>505</v>
      </c>
      <c r="G5" s="428" t="e">
        <f>COUNTIF(#REF!,B5)</f>
        <v>#REF!</v>
      </c>
    </row>
    <row r="6" spans="1:7">
      <c r="A6" s="613" t="s">
        <v>2125</v>
      </c>
      <c r="B6" s="431">
        <v>5</v>
      </c>
      <c r="C6" s="431" t="s">
        <v>37</v>
      </c>
      <c r="D6" t="s">
        <v>28</v>
      </c>
      <c r="E6" s="41" t="s">
        <v>1327</v>
      </c>
      <c r="F6" s="42" t="s">
        <v>506</v>
      </c>
      <c r="G6" s="428" t="e">
        <f>COUNTIF(#REF!,B6)</f>
        <v>#REF!</v>
      </c>
    </row>
    <row r="7" spans="1:7">
      <c r="A7" s="613" t="s">
        <v>2126</v>
      </c>
      <c r="B7" s="431">
        <v>6</v>
      </c>
      <c r="C7" s="431" t="s">
        <v>38</v>
      </c>
      <c r="D7" t="s">
        <v>29</v>
      </c>
      <c r="E7" s="41" t="s">
        <v>1328</v>
      </c>
      <c r="F7" s="42" t="s">
        <v>507</v>
      </c>
      <c r="G7" s="428" t="e">
        <f>COUNTIF(#REF!,B7)</f>
        <v>#REF!</v>
      </c>
    </row>
    <row r="8" spans="1:7">
      <c r="A8" s="613" t="s">
        <v>2127</v>
      </c>
      <c r="B8" s="431">
        <v>7</v>
      </c>
      <c r="C8" s="431" t="s">
        <v>39</v>
      </c>
      <c r="D8" t="s">
        <v>28</v>
      </c>
      <c r="E8" s="41" t="s">
        <v>1329</v>
      </c>
      <c r="F8" s="42" t="s">
        <v>508</v>
      </c>
      <c r="G8" s="428" t="e">
        <f>COUNTIF(#REF!,B8)</f>
        <v>#REF!</v>
      </c>
    </row>
    <row r="9" spans="1:7">
      <c r="A9" s="613" t="s">
        <v>2128</v>
      </c>
      <c r="B9" s="431">
        <v>8</v>
      </c>
      <c r="C9" s="431" t="s">
        <v>40</v>
      </c>
      <c r="D9" t="s">
        <v>943</v>
      </c>
      <c r="E9" s="41" t="s">
        <v>1330</v>
      </c>
      <c r="F9" s="42" t="s">
        <v>509</v>
      </c>
      <c r="G9" s="428" t="e">
        <f>COUNTIF(#REF!,B9)</f>
        <v>#REF!</v>
      </c>
    </row>
    <row r="10" spans="1:7">
      <c r="A10" s="612" t="s">
        <v>2129</v>
      </c>
      <c r="B10" s="431">
        <v>9</v>
      </c>
      <c r="C10" s="431" t="s">
        <v>41</v>
      </c>
      <c r="D10" t="s">
        <v>28</v>
      </c>
      <c r="E10" s="41" t="s">
        <v>1331</v>
      </c>
      <c r="F10" s="42" t="s">
        <v>510</v>
      </c>
      <c r="G10" s="428" t="e">
        <f>COUNTIF(#REF!,B10)</f>
        <v>#REF!</v>
      </c>
    </row>
    <row r="11" spans="1:7">
      <c r="A11" s="612" t="s">
        <v>2130</v>
      </c>
      <c r="B11" s="431">
        <v>10</v>
      </c>
      <c r="C11" s="431" t="s">
        <v>42</v>
      </c>
      <c r="D11" t="s">
        <v>28</v>
      </c>
      <c r="E11" s="41" t="s">
        <v>1332</v>
      </c>
      <c r="F11" s="42" t="s">
        <v>511</v>
      </c>
      <c r="G11" s="428" t="e">
        <f>COUNTIF(#REF!,B11)</f>
        <v>#REF!</v>
      </c>
    </row>
    <row r="12" spans="1:7">
      <c r="A12" s="612" t="s">
        <v>2131</v>
      </c>
      <c r="B12" s="431">
        <v>11</v>
      </c>
      <c r="C12" s="431" t="s">
        <v>43</v>
      </c>
      <c r="D12" t="s">
        <v>28</v>
      </c>
      <c r="E12" s="41" t="s">
        <v>1333</v>
      </c>
      <c r="F12" s="42" t="s">
        <v>512</v>
      </c>
      <c r="G12" s="428" t="e">
        <f>COUNTIF(#REF!,B12)</f>
        <v>#REF!</v>
      </c>
    </row>
    <row r="13" spans="1:7">
      <c r="A13" s="612" t="s">
        <v>2132</v>
      </c>
      <c r="B13" s="431">
        <v>12</v>
      </c>
      <c r="C13" s="431" t="s">
        <v>44</v>
      </c>
      <c r="D13" t="s">
        <v>28</v>
      </c>
      <c r="E13" s="41" t="s">
        <v>1334</v>
      </c>
      <c r="F13" s="42" t="s">
        <v>513</v>
      </c>
      <c r="G13" s="428" t="e">
        <f>COUNTIF(#REF!,B13)</f>
        <v>#REF!</v>
      </c>
    </row>
    <row r="14" spans="1:7">
      <c r="A14" s="612" t="s">
        <v>2133</v>
      </c>
      <c r="B14" s="431">
        <v>13</v>
      </c>
      <c r="C14" s="431" t="s">
        <v>55</v>
      </c>
      <c r="D14" t="s">
        <v>28</v>
      </c>
      <c r="E14" s="41" t="s">
        <v>1335</v>
      </c>
      <c r="F14" s="42" t="s">
        <v>514</v>
      </c>
      <c r="G14" s="428" t="e">
        <f>COUNTIF(#REF!,B14)</f>
        <v>#REF!</v>
      </c>
    </row>
    <row r="15" spans="1:7">
      <c r="A15" s="612" t="s">
        <v>2134</v>
      </c>
      <c r="B15" s="431">
        <v>14</v>
      </c>
      <c r="C15" s="431" t="s">
        <v>56</v>
      </c>
      <c r="D15" t="s">
        <v>28</v>
      </c>
      <c r="E15" s="41" t="s">
        <v>1336</v>
      </c>
      <c r="F15" s="42" t="s">
        <v>515</v>
      </c>
      <c r="G15" s="428" t="e">
        <f>COUNTIF(#REF!,B15)</f>
        <v>#REF!</v>
      </c>
    </row>
    <row r="16" spans="1:7">
      <c r="A16" s="612" t="s">
        <v>2135</v>
      </c>
      <c r="B16" s="431">
        <v>15</v>
      </c>
      <c r="C16" s="431" t="s">
        <v>57</v>
      </c>
      <c r="D16" t="s">
        <v>945</v>
      </c>
      <c r="E16" s="41" t="s">
        <v>1337</v>
      </c>
      <c r="F16" s="42" t="s">
        <v>516</v>
      </c>
      <c r="G16" s="428" t="e">
        <f>COUNTIF(#REF!,B16)</f>
        <v>#REF!</v>
      </c>
    </row>
    <row r="17" spans="1:7">
      <c r="A17" s="612" t="s">
        <v>2136</v>
      </c>
      <c r="B17" s="431">
        <v>16</v>
      </c>
      <c r="C17" s="431" t="s">
        <v>58</v>
      </c>
      <c r="D17" t="s">
        <v>28</v>
      </c>
      <c r="E17" s="41" t="s">
        <v>1338</v>
      </c>
      <c r="F17" s="42" t="s">
        <v>517</v>
      </c>
      <c r="G17" s="428" t="e">
        <f>COUNTIF(#REF!,B17)</f>
        <v>#REF!</v>
      </c>
    </row>
    <row r="18" spans="1:7">
      <c r="A18" s="612" t="s">
        <v>2137</v>
      </c>
      <c r="B18" s="431">
        <v>17</v>
      </c>
      <c r="C18" s="431" t="s">
        <v>59</v>
      </c>
      <c r="D18" t="s">
        <v>943</v>
      </c>
      <c r="E18" s="41" t="s">
        <v>1339</v>
      </c>
      <c r="F18" s="42" t="s">
        <v>518</v>
      </c>
      <c r="G18" s="428" t="e">
        <f>COUNTIF(#REF!,B18)</f>
        <v>#REF!</v>
      </c>
    </row>
    <row r="19" spans="1:7">
      <c r="A19" s="612" t="s">
        <v>2138</v>
      </c>
      <c r="B19" s="431">
        <v>18</v>
      </c>
      <c r="C19" s="431" t="s">
        <v>60</v>
      </c>
      <c r="D19" t="s">
        <v>28</v>
      </c>
      <c r="E19" s="41" t="s">
        <v>1340</v>
      </c>
      <c r="F19" s="42" t="s">
        <v>519</v>
      </c>
      <c r="G19" s="428" t="e">
        <f>COUNTIF(#REF!,B19)</f>
        <v>#REF!</v>
      </c>
    </row>
    <row r="20" spans="1:7">
      <c r="A20" s="612" t="s">
        <v>2139</v>
      </c>
      <c r="B20" s="431">
        <v>19</v>
      </c>
      <c r="C20" s="431" t="s">
        <v>61</v>
      </c>
      <c r="D20" t="s">
        <v>28</v>
      </c>
      <c r="E20" s="41" t="s">
        <v>1341</v>
      </c>
      <c r="F20" s="42" t="s">
        <v>520</v>
      </c>
      <c r="G20" s="428" t="e">
        <f>COUNTIF(#REF!,B20)</f>
        <v>#REF!</v>
      </c>
    </row>
    <row r="21" spans="1:7">
      <c r="A21" s="612" t="s">
        <v>2140</v>
      </c>
      <c r="B21" s="431">
        <v>20</v>
      </c>
      <c r="C21" s="431" t="s">
        <v>62</v>
      </c>
      <c r="D21" t="s">
        <v>943</v>
      </c>
      <c r="E21" s="41" t="s">
        <v>1342</v>
      </c>
      <c r="F21" s="42" t="s">
        <v>521</v>
      </c>
      <c r="G21" s="428" t="e">
        <f>COUNTIF(#REF!,B21)</f>
        <v>#REF!</v>
      </c>
    </row>
    <row r="22" spans="1:7">
      <c r="A22" s="612" t="s">
        <v>2141</v>
      </c>
      <c r="B22" s="431">
        <v>21</v>
      </c>
      <c r="C22" s="431" t="s">
        <v>63</v>
      </c>
      <c r="D22" t="s">
        <v>29</v>
      </c>
      <c r="E22" s="41" t="s">
        <v>1343</v>
      </c>
      <c r="F22" s="42" t="s">
        <v>522</v>
      </c>
      <c r="G22" s="428" t="e">
        <f>COUNTIF(#REF!,B22)</f>
        <v>#REF!</v>
      </c>
    </row>
    <row r="23" spans="1:7">
      <c r="A23" s="612" t="s">
        <v>2142</v>
      </c>
      <c r="B23" s="431">
        <v>22</v>
      </c>
      <c r="C23" s="431" t="s">
        <v>64</v>
      </c>
      <c r="D23" t="s">
        <v>28</v>
      </c>
      <c r="E23" s="41" t="s">
        <v>1344</v>
      </c>
      <c r="F23" s="42" t="s">
        <v>523</v>
      </c>
      <c r="G23" s="428" t="e">
        <f>COUNTIF(#REF!,B23)</f>
        <v>#REF!</v>
      </c>
    </row>
    <row r="24" spans="1:7">
      <c r="A24" s="612" t="s">
        <v>2143</v>
      </c>
      <c r="B24" s="431">
        <v>23</v>
      </c>
      <c r="C24" s="431" t="s">
        <v>65</v>
      </c>
      <c r="D24" t="s">
        <v>28</v>
      </c>
      <c r="E24" s="41" t="s">
        <v>1345</v>
      </c>
      <c r="F24" s="42" t="s">
        <v>524</v>
      </c>
      <c r="G24" s="428" t="e">
        <f>COUNTIF(#REF!,B24)</f>
        <v>#REF!</v>
      </c>
    </row>
    <row r="25" spans="1:7">
      <c r="A25" s="612" t="s">
        <v>2144</v>
      </c>
      <c r="B25" s="431">
        <v>24</v>
      </c>
      <c r="C25" s="431" t="s">
        <v>66</v>
      </c>
      <c r="D25" t="s">
        <v>28</v>
      </c>
      <c r="E25" s="41" t="s">
        <v>1346</v>
      </c>
      <c r="F25" s="42" t="s">
        <v>525</v>
      </c>
      <c r="G25" s="428" t="e">
        <f>COUNTIF(#REF!,B25)</f>
        <v>#REF!</v>
      </c>
    </row>
    <row r="26" spans="1:7">
      <c r="A26" s="612" t="s">
        <v>2145</v>
      </c>
      <c r="B26" s="431">
        <v>25</v>
      </c>
      <c r="C26" s="431" t="s">
        <v>67</v>
      </c>
      <c r="D26" t="s">
        <v>29</v>
      </c>
      <c r="E26" s="41" t="s">
        <v>1347</v>
      </c>
      <c r="F26" s="42" t="s">
        <v>526</v>
      </c>
      <c r="G26" s="428" t="e">
        <f>COUNTIF(#REF!,B26)</f>
        <v>#REF!</v>
      </c>
    </row>
    <row r="27" spans="1:7">
      <c r="A27" s="612" t="s">
        <v>2146</v>
      </c>
      <c r="B27" s="431">
        <v>26</v>
      </c>
      <c r="C27" s="431" t="s">
        <v>68</v>
      </c>
      <c r="D27" t="s">
        <v>30</v>
      </c>
      <c r="E27" s="41" t="s">
        <v>1348</v>
      </c>
      <c r="F27" s="42" t="s">
        <v>527</v>
      </c>
      <c r="G27" s="428" t="e">
        <f>COUNTIF(#REF!,B27)</f>
        <v>#REF!</v>
      </c>
    </row>
    <row r="28" spans="1:7">
      <c r="A28" s="612" t="s">
        <v>2147</v>
      </c>
      <c r="B28" s="431">
        <v>27</v>
      </c>
      <c r="C28" s="431" t="s">
        <v>69</v>
      </c>
      <c r="D28" t="s">
        <v>28</v>
      </c>
      <c r="E28" s="41" t="s">
        <v>1349</v>
      </c>
      <c r="F28" s="42" t="s">
        <v>528</v>
      </c>
      <c r="G28" s="428" t="e">
        <f>COUNTIF(#REF!,B28)</f>
        <v>#REF!</v>
      </c>
    </row>
    <row r="29" spans="1:7">
      <c r="A29" s="612" t="s">
        <v>2148</v>
      </c>
      <c r="B29" s="431">
        <v>28</v>
      </c>
      <c r="C29" s="431" t="s">
        <v>70</v>
      </c>
      <c r="D29" t="s">
        <v>28</v>
      </c>
      <c r="E29" s="41" t="s">
        <v>1350</v>
      </c>
      <c r="F29" s="42" t="s">
        <v>529</v>
      </c>
      <c r="G29" s="428" t="e">
        <f>COUNTIF(#REF!,B29)</f>
        <v>#REF!</v>
      </c>
    </row>
    <row r="30" spans="1:7">
      <c r="A30" s="612" t="s">
        <v>2149</v>
      </c>
      <c r="B30" s="431">
        <v>29</v>
      </c>
      <c r="C30" s="431" t="s">
        <v>71</v>
      </c>
      <c r="D30" t="s">
        <v>945</v>
      </c>
      <c r="E30" s="41" t="s">
        <v>1351</v>
      </c>
      <c r="F30" s="42" t="s">
        <v>530</v>
      </c>
      <c r="G30" s="428" t="e">
        <f>COUNTIF(#REF!,B30)</f>
        <v>#REF!</v>
      </c>
    </row>
    <row r="31" spans="1:7">
      <c r="A31" s="612" t="s">
        <v>2150</v>
      </c>
      <c r="B31" s="431">
        <v>30</v>
      </c>
      <c r="C31" s="431" t="s">
        <v>72</v>
      </c>
      <c r="D31" t="s">
        <v>28</v>
      </c>
      <c r="E31" s="41" t="s">
        <v>1352</v>
      </c>
      <c r="F31" s="42" t="s">
        <v>531</v>
      </c>
      <c r="G31" s="428" t="e">
        <f>COUNTIF(#REF!,B31)</f>
        <v>#REF!</v>
      </c>
    </row>
    <row r="32" spans="1:7">
      <c r="A32" s="612" t="s">
        <v>2151</v>
      </c>
      <c r="B32" s="431">
        <v>31</v>
      </c>
      <c r="C32" s="431" t="s">
        <v>73</v>
      </c>
      <c r="D32" t="s">
        <v>28</v>
      </c>
      <c r="E32" s="41" t="s">
        <v>1353</v>
      </c>
      <c r="F32" s="42" t="s">
        <v>532</v>
      </c>
      <c r="G32" s="428" t="e">
        <f>COUNTIF(#REF!,B32)</f>
        <v>#REF!</v>
      </c>
    </row>
    <row r="33" spans="1:7">
      <c r="A33" s="612" t="s">
        <v>2152</v>
      </c>
      <c r="B33" s="431">
        <v>32</v>
      </c>
      <c r="C33" s="431" t="s">
        <v>74</v>
      </c>
      <c r="D33" t="s">
        <v>944</v>
      </c>
      <c r="E33" s="41" t="s">
        <v>1354</v>
      </c>
      <c r="F33" s="42" t="s">
        <v>533</v>
      </c>
      <c r="G33" s="428" t="e">
        <f>COUNTIF(#REF!,B33)</f>
        <v>#REF!</v>
      </c>
    </row>
    <row r="34" spans="1:7">
      <c r="A34" s="612" t="s">
        <v>2153</v>
      </c>
      <c r="B34" s="431">
        <v>33</v>
      </c>
      <c r="C34" s="431" t="s">
        <v>75</v>
      </c>
      <c r="D34" t="s">
        <v>28</v>
      </c>
      <c r="E34" s="41" t="s">
        <v>1355</v>
      </c>
      <c r="F34" s="42" t="s">
        <v>534</v>
      </c>
      <c r="G34" s="428" t="e">
        <f>COUNTIF(#REF!,B34)</f>
        <v>#REF!</v>
      </c>
    </row>
    <row r="35" spans="1:7">
      <c r="A35" s="612" t="s">
        <v>2154</v>
      </c>
      <c r="B35" s="431">
        <v>34</v>
      </c>
      <c r="C35" s="431" t="s">
        <v>76</v>
      </c>
      <c r="D35" t="s">
        <v>28</v>
      </c>
      <c r="E35" s="41" t="s">
        <v>1356</v>
      </c>
      <c r="F35" s="42" t="s">
        <v>535</v>
      </c>
      <c r="G35" s="428" t="e">
        <f>COUNTIF(#REF!,B35)</f>
        <v>#REF!</v>
      </c>
    </row>
    <row r="36" spans="1:7">
      <c r="A36" s="612" t="s">
        <v>2155</v>
      </c>
      <c r="B36" s="431">
        <v>35</v>
      </c>
      <c r="C36" s="431" t="s">
        <v>77</v>
      </c>
      <c r="D36" t="s">
        <v>28</v>
      </c>
      <c r="E36" s="41" t="s">
        <v>1357</v>
      </c>
      <c r="F36" s="42" t="s">
        <v>536</v>
      </c>
      <c r="G36" s="428" t="e">
        <f>COUNTIF(#REF!,B36)</f>
        <v>#REF!</v>
      </c>
    </row>
    <row r="37" spans="1:7">
      <c r="A37" s="612" t="s">
        <v>2156</v>
      </c>
      <c r="B37" s="431">
        <v>36</v>
      </c>
      <c r="C37" s="431" t="s">
        <v>78</v>
      </c>
      <c r="D37" t="s">
        <v>28</v>
      </c>
      <c r="E37" s="41" t="s">
        <v>1358</v>
      </c>
      <c r="F37" s="42" t="s">
        <v>537</v>
      </c>
      <c r="G37" s="428" t="e">
        <f>COUNTIF(#REF!,B37)</f>
        <v>#REF!</v>
      </c>
    </row>
    <row r="38" spans="1:7">
      <c r="A38" s="612" t="s">
        <v>2157</v>
      </c>
      <c r="B38" s="431">
        <v>37</v>
      </c>
      <c r="C38" s="431" t="s">
        <v>79</v>
      </c>
      <c r="D38" t="s">
        <v>29</v>
      </c>
      <c r="E38" s="41" t="s">
        <v>1359</v>
      </c>
      <c r="F38" s="42" t="s">
        <v>538</v>
      </c>
      <c r="G38" s="428" t="e">
        <f>COUNTIF(#REF!,B38)</f>
        <v>#REF!</v>
      </c>
    </row>
    <row r="39" spans="1:7">
      <c r="A39" s="612" t="s">
        <v>2158</v>
      </c>
      <c r="B39" s="431">
        <v>38</v>
      </c>
      <c r="C39" s="431" t="s">
        <v>80</v>
      </c>
      <c r="D39" t="s">
        <v>28</v>
      </c>
      <c r="E39" s="41" t="s">
        <v>1360</v>
      </c>
      <c r="F39" s="42" t="s">
        <v>539</v>
      </c>
      <c r="G39" s="428" t="e">
        <f>COUNTIF(#REF!,B39)</f>
        <v>#REF!</v>
      </c>
    </row>
    <row r="40" spans="1:7">
      <c r="A40" s="612" t="s">
        <v>2159</v>
      </c>
      <c r="B40" s="431">
        <v>39</v>
      </c>
      <c r="C40" s="431" t="s">
        <v>81</v>
      </c>
      <c r="D40" t="s">
        <v>29</v>
      </c>
      <c r="E40" s="41" t="s">
        <v>1361</v>
      </c>
      <c r="F40" s="42" t="s">
        <v>540</v>
      </c>
      <c r="G40" s="428" t="e">
        <f>COUNTIF(#REF!,B40)</f>
        <v>#REF!</v>
      </c>
    </row>
    <row r="41" spans="1:7">
      <c r="A41" s="612" t="s">
        <v>2160</v>
      </c>
      <c r="B41" s="431">
        <v>40</v>
      </c>
      <c r="C41" s="431" t="s">
        <v>82</v>
      </c>
      <c r="D41" t="s">
        <v>28</v>
      </c>
      <c r="E41" s="41" t="s">
        <v>1362</v>
      </c>
      <c r="F41" s="42" t="s">
        <v>541</v>
      </c>
      <c r="G41" s="428" t="e">
        <f>COUNTIF(#REF!,B41)</f>
        <v>#REF!</v>
      </c>
    </row>
    <row r="42" spans="1:7">
      <c r="A42" s="612" t="s">
        <v>2161</v>
      </c>
      <c r="B42" s="431">
        <v>41</v>
      </c>
      <c r="C42" s="431" t="s">
        <v>83</v>
      </c>
      <c r="D42" t="s">
        <v>943</v>
      </c>
      <c r="E42" s="41" t="s">
        <v>1363</v>
      </c>
      <c r="F42" s="42" t="s">
        <v>542</v>
      </c>
      <c r="G42" s="428" t="e">
        <f>COUNTIF(#REF!,B42)</f>
        <v>#REF!</v>
      </c>
    </row>
    <row r="43" spans="1:7">
      <c r="A43" s="612" t="s">
        <v>2162</v>
      </c>
      <c r="B43" s="431">
        <v>42</v>
      </c>
      <c r="C43" s="431" t="s">
        <v>84</v>
      </c>
      <c r="D43" t="s">
        <v>30</v>
      </c>
      <c r="E43" s="41" t="s">
        <v>1364</v>
      </c>
      <c r="F43" s="42" t="s">
        <v>543</v>
      </c>
      <c r="G43" s="428" t="e">
        <f>COUNTIF(#REF!,B43)</f>
        <v>#REF!</v>
      </c>
    </row>
    <row r="44" spans="1:7">
      <c r="A44" s="612" t="s">
        <v>2163</v>
      </c>
      <c r="B44" s="431">
        <v>43</v>
      </c>
      <c r="C44" s="431" t="s">
        <v>85</v>
      </c>
      <c r="D44" t="s">
        <v>29</v>
      </c>
      <c r="E44" s="41" t="s">
        <v>1365</v>
      </c>
      <c r="F44" s="42" t="s">
        <v>544</v>
      </c>
      <c r="G44" s="428" t="e">
        <f>COUNTIF(#REF!,B44)</f>
        <v>#REF!</v>
      </c>
    </row>
    <row r="45" spans="1:7">
      <c r="A45" s="612" t="s">
        <v>2164</v>
      </c>
      <c r="B45" s="431">
        <v>44</v>
      </c>
      <c r="C45" s="431" t="s">
        <v>86</v>
      </c>
      <c r="D45" t="s">
        <v>30</v>
      </c>
      <c r="E45" s="41" t="s">
        <v>1366</v>
      </c>
      <c r="F45" s="42" t="s">
        <v>545</v>
      </c>
      <c r="G45" s="428" t="e">
        <f>COUNTIF(#REF!,B45)</f>
        <v>#REF!</v>
      </c>
    </row>
    <row r="46" spans="1:7">
      <c r="A46" s="612" t="s">
        <v>2165</v>
      </c>
      <c r="B46" s="431">
        <v>45</v>
      </c>
      <c r="C46" s="431" t="s">
        <v>87</v>
      </c>
      <c r="D46" t="s">
        <v>945</v>
      </c>
      <c r="E46" s="41" t="s">
        <v>1367</v>
      </c>
      <c r="F46" s="42" t="s">
        <v>546</v>
      </c>
      <c r="G46" s="428" t="e">
        <f>COUNTIF(#REF!,B46)</f>
        <v>#REF!</v>
      </c>
    </row>
    <row r="47" spans="1:7">
      <c r="A47" s="612" t="s">
        <v>2166</v>
      </c>
      <c r="B47" s="431">
        <v>46</v>
      </c>
      <c r="C47" s="431" t="s">
        <v>88</v>
      </c>
      <c r="D47" t="s">
        <v>29</v>
      </c>
      <c r="E47" s="41" t="s">
        <v>1368</v>
      </c>
      <c r="F47" s="42" t="s">
        <v>547</v>
      </c>
      <c r="G47" s="428" t="e">
        <f>COUNTIF(#REF!,B47)</f>
        <v>#REF!</v>
      </c>
    </row>
    <row r="48" spans="1:7">
      <c r="A48" s="612" t="s">
        <v>2167</v>
      </c>
      <c r="B48" s="431">
        <v>47</v>
      </c>
      <c r="C48" s="431" t="s">
        <v>89</v>
      </c>
      <c r="D48" t="s">
        <v>29</v>
      </c>
      <c r="E48" s="41" t="s">
        <v>1369</v>
      </c>
      <c r="F48" s="42" t="s">
        <v>548</v>
      </c>
      <c r="G48" s="428" t="e">
        <f>COUNTIF(#REF!,B48)</f>
        <v>#REF!</v>
      </c>
    </row>
    <row r="49" spans="1:7">
      <c r="A49" s="612" t="s">
        <v>2168</v>
      </c>
      <c r="B49" s="431">
        <v>48</v>
      </c>
      <c r="C49" s="431" t="s">
        <v>90</v>
      </c>
      <c r="D49" t="s">
        <v>30</v>
      </c>
      <c r="E49" s="41" t="s">
        <v>1370</v>
      </c>
      <c r="F49" s="42" t="s">
        <v>549</v>
      </c>
      <c r="G49" s="428" t="e">
        <f>COUNTIF(#REF!,B49)</f>
        <v>#REF!</v>
      </c>
    </row>
    <row r="50" spans="1:7">
      <c r="A50" s="612" t="s">
        <v>2169</v>
      </c>
      <c r="B50" s="431">
        <v>49</v>
      </c>
      <c r="C50" s="431" t="s">
        <v>91</v>
      </c>
      <c r="D50" t="s">
        <v>29</v>
      </c>
      <c r="E50" s="41" t="s">
        <v>1371</v>
      </c>
      <c r="F50" s="42" t="s">
        <v>550</v>
      </c>
      <c r="G50" s="428" t="e">
        <f>COUNTIF(#REF!,B50)</f>
        <v>#REF!</v>
      </c>
    </row>
    <row r="51" spans="1:7">
      <c r="A51" s="612" t="s">
        <v>2170</v>
      </c>
      <c r="B51" s="431">
        <v>50</v>
      </c>
      <c r="C51" s="431" t="s">
        <v>92</v>
      </c>
      <c r="D51" t="s">
        <v>30</v>
      </c>
      <c r="E51" s="41" t="s">
        <v>1372</v>
      </c>
      <c r="F51" s="42" t="s">
        <v>551</v>
      </c>
      <c r="G51" s="428" t="e">
        <f>COUNTIF(#REF!,B51)</f>
        <v>#REF!</v>
      </c>
    </row>
    <row r="52" spans="1:7">
      <c r="A52" s="612" t="s">
        <v>2171</v>
      </c>
      <c r="B52" s="431">
        <v>51</v>
      </c>
      <c r="C52" s="431" t="s">
        <v>93</v>
      </c>
      <c r="D52" t="s">
        <v>28</v>
      </c>
      <c r="E52" s="41" t="s">
        <v>1373</v>
      </c>
      <c r="F52" s="42" t="s">
        <v>552</v>
      </c>
      <c r="G52" s="428" t="e">
        <f>COUNTIF(#REF!,B52)</f>
        <v>#REF!</v>
      </c>
    </row>
    <row r="53" spans="1:7">
      <c r="A53" s="612" t="s">
        <v>2172</v>
      </c>
      <c r="B53" s="431">
        <v>52</v>
      </c>
      <c r="C53" s="431" t="s">
        <v>94</v>
      </c>
      <c r="D53" t="s">
        <v>28</v>
      </c>
      <c r="E53" s="41" t="s">
        <v>1374</v>
      </c>
      <c r="F53" s="42" t="s">
        <v>1922</v>
      </c>
      <c r="G53" s="428" t="e">
        <f>COUNTIF(#REF!,B53)</f>
        <v>#REF!</v>
      </c>
    </row>
    <row r="54" spans="1:7">
      <c r="A54" s="612" t="s">
        <v>2173</v>
      </c>
      <c r="B54" s="431">
        <v>53</v>
      </c>
      <c r="C54" s="431" t="s">
        <v>95</v>
      </c>
      <c r="D54" t="s">
        <v>28</v>
      </c>
      <c r="E54" s="41" t="s">
        <v>1375</v>
      </c>
      <c r="F54" s="42" t="s">
        <v>553</v>
      </c>
      <c r="G54" s="428" t="e">
        <f>COUNTIF(#REF!,B54)</f>
        <v>#REF!</v>
      </c>
    </row>
    <row r="55" spans="1:7">
      <c r="A55" s="612" t="s">
        <v>2174</v>
      </c>
      <c r="B55" s="431">
        <v>54</v>
      </c>
      <c r="C55" s="431" t="s">
        <v>96</v>
      </c>
      <c r="D55" t="s">
        <v>28</v>
      </c>
      <c r="E55" s="41" t="s">
        <v>1376</v>
      </c>
      <c r="F55" s="42" t="s">
        <v>554</v>
      </c>
      <c r="G55" s="428" t="e">
        <f>COUNTIF(#REF!,B55)</f>
        <v>#REF!</v>
      </c>
    </row>
    <row r="56" spans="1:7">
      <c r="A56" s="612" t="s">
        <v>2175</v>
      </c>
      <c r="B56" s="431">
        <v>55</v>
      </c>
      <c r="C56" s="431" t="s">
        <v>97</v>
      </c>
      <c r="D56" t="s">
        <v>28</v>
      </c>
      <c r="E56" s="41" t="s">
        <v>1377</v>
      </c>
      <c r="F56" s="42" t="s">
        <v>555</v>
      </c>
      <c r="G56" s="428" t="e">
        <f>COUNTIF(#REF!,B56)</f>
        <v>#REF!</v>
      </c>
    </row>
    <row r="57" spans="1:7">
      <c r="A57" s="612" t="s">
        <v>2176</v>
      </c>
      <c r="B57" s="431">
        <v>56</v>
      </c>
      <c r="C57" s="431" t="s">
        <v>98</v>
      </c>
      <c r="D57" t="s">
        <v>28</v>
      </c>
      <c r="E57" s="41" t="s">
        <v>1378</v>
      </c>
      <c r="F57" s="42" t="s">
        <v>556</v>
      </c>
      <c r="G57" s="428" t="e">
        <f>COUNTIF(#REF!,B57)</f>
        <v>#REF!</v>
      </c>
    </row>
    <row r="58" spans="1:7">
      <c r="A58" s="612" t="s">
        <v>2177</v>
      </c>
      <c r="B58" s="431">
        <v>57</v>
      </c>
      <c r="C58" s="431" t="s">
        <v>99</v>
      </c>
      <c r="D58" t="s">
        <v>28</v>
      </c>
      <c r="E58" s="41" t="s">
        <v>1379</v>
      </c>
      <c r="F58" s="42" t="s">
        <v>557</v>
      </c>
      <c r="G58" s="428" t="e">
        <f>COUNTIF(#REF!,B58)</f>
        <v>#REF!</v>
      </c>
    </row>
    <row r="59" spans="1:7">
      <c r="A59" s="612" t="s">
        <v>2178</v>
      </c>
      <c r="B59" s="431">
        <v>58</v>
      </c>
      <c r="C59" s="431" t="s">
        <v>100</v>
      </c>
      <c r="D59" t="s">
        <v>29</v>
      </c>
      <c r="E59" s="41" t="s">
        <v>1380</v>
      </c>
      <c r="F59" s="42" t="s">
        <v>558</v>
      </c>
      <c r="G59" s="428" t="e">
        <f>COUNTIF(#REF!,B59)</f>
        <v>#REF!</v>
      </c>
    </row>
    <row r="60" spans="1:7">
      <c r="A60" s="612" t="s">
        <v>2179</v>
      </c>
      <c r="B60" s="431">
        <v>59</v>
      </c>
      <c r="C60" s="431" t="s">
        <v>101</v>
      </c>
      <c r="D60" t="s">
        <v>28</v>
      </c>
      <c r="E60" s="41" t="s">
        <v>1381</v>
      </c>
      <c r="F60" s="42" t="s">
        <v>559</v>
      </c>
      <c r="G60" s="428" t="e">
        <f>COUNTIF(#REF!,B60)</f>
        <v>#REF!</v>
      </c>
    </row>
    <row r="61" spans="1:7">
      <c r="A61" s="612" t="s">
        <v>2180</v>
      </c>
      <c r="B61" s="431">
        <v>60</v>
      </c>
      <c r="C61" s="431" t="s">
        <v>102</v>
      </c>
      <c r="D61" t="s">
        <v>944</v>
      </c>
      <c r="E61" s="41" t="s">
        <v>1382</v>
      </c>
      <c r="F61" s="42" t="s">
        <v>560</v>
      </c>
      <c r="G61" s="428" t="e">
        <f>COUNTIF(#REF!,B61)</f>
        <v>#REF!</v>
      </c>
    </row>
    <row r="62" spans="1:7">
      <c r="A62" s="612" t="s">
        <v>2181</v>
      </c>
      <c r="B62" s="431">
        <v>61</v>
      </c>
      <c r="C62" s="431" t="s">
        <v>103</v>
      </c>
      <c r="D62" t="s">
        <v>28</v>
      </c>
      <c r="E62" s="41" t="s">
        <v>1383</v>
      </c>
      <c r="F62" s="42" t="s">
        <v>561</v>
      </c>
      <c r="G62" s="428" t="e">
        <f>COUNTIF(#REF!,B62)</f>
        <v>#REF!</v>
      </c>
    </row>
    <row r="63" spans="1:7">
      <c r="A63" s="612" t="s">
        <v>2182</v>
      </c>
      <c r="B63" s="431">
        <v>62</v>
      </c>
      <c r="C63" s="431" t="s">
        <v>104</v>
      </c>
      <c r="D63" t="s">
        <v>943</v>
      </c>
      <c r="E63" s="41" t="s">
        <v>1384</v>
      </c>
      <c r="F63" s="42" t="s">
        <v>562</v>
      </c>
      <c r="G63" s="428" t="e">
        <f>COUNTIF(#REF!,B63)</f>
        <v>#REF!</v>
      </c>
    </row>
    <row r="64" spans="1:7">
      <c r="A64" s="612" t="s">
        <v>2183</v>
      </c>
      <c r="B64" s="431">
        <v>63</v>
      </c>
      <c r="C64" s="431" t="s">
        <v>105</v>
      </c>
      <c r="D64" t="s">
        <v>28</v>
      </c>
      <c r="E64" s="41" t="s">
        <v>1385</v>
      </c>
      <c r="F64" s="42" t="s">
        <v>563</v>
      </c>
      <c r="G64" s="428" t="e">
        <f>COUNTIF(#REF!,B64)</f>
        <v>#REF!</v>
      </c>
    </row>
    <row r="65" spans="1:7">
      <c r="A65" s="612" t="s">
        <v>2184</v>
      </c>
      <c r="B65" s="431">
        <v>64</v>
      </c>
      <c r="C65" s="431" t="s">
        <v>106</v>
      </c>
      <c r="D65" t="s">
        <v>28</v>
      </c>
      <c r="E65" s="41" t="s">
        <v>1386</v>
      </c>
      <c r="F65" s="42" t="s">
        <v>564</v>
      </c>
      <c r="G65" s="428" t="e">
        <f>COUNTIF(#REF!,B65)</f>
        <v>#REF!</v>
      </c>
    </row>
    <row r="66" spans="1:7">
      <c r="A66" s="612" t="s">
        <v>2185</v>
      </c>
      <c r="B66" s="431">
        <v>65</v>
      </c>
      <c r="C66" s="431" t="s">
        <v>107</v>
      </c>
      <c r="D66" t="s">
        <v>28</v>
      </c>
      <c r="E66" s="41" t="s">
        <v>1387</v>
      </c>
      <c r="F66" s="42" t="s">
        <v>565</v>
      </c>
      <c r="G66" s="428" t="e">
        <f>COUNTIF(#REF!,B66)</f>
        <v>#REF!</v>
      </c>
    </row>
    <row r="67" spans="1:7">
      <c r="A67" s="612" t="s">
        <v>2186</v>
      </c>
      <c r="B67" s="431">
        <v>66</v>
      </c>
      <c r="C67" s="431" t="s">
        <v>108</v>
      </c>
      <c r="D67" t="s">
        <v>943</v>
      </c>
      <c r="E67" s="41" t="s">
        <v>1388</v>
      </c>
      <c r="F67" s="42" t="s">
        <v>566</v>
      </c>
      <c r="G67" s="428" t="e">
        <f>COUNTIF(#REF!,B67)</f>
        <v>#REF!</v>
      </c>
    </row>
    <row r="68" spans="1:7">
      <c r="A68" s="612" t="s">
        <v>2187</v>
      </c>
      <c r="B68" s="431">
        <v>67</v>
      </c>
      <c r="C68" s="431" t="s">
        <v>109</v>
      </c>
      <c r="D68" t="s">
        <v>28</v>
      </c>
      <c r="E68" s="41" t="s">
        <v>1389</v>
      </c>
      <c r="F68" s="42" t="s">
        <v>567</v>
      </c>
      <c r="G68" s="428" t="e">
        <f>COUNTIF(#REF!,B68)</f>
        <v>#REF!</v>
      </c>
    </row>
    <row r="69" spans="1:7">
      <c r="A69" s="612" t="s">
        <v>2188</v>
      </c>
      <c r="B69" s="431">
        <v>68</v>
      </c>
      <c r="C69" s="431" t="s">
        <v>110</v>
      </c>
      <c r="D69" t="s">
        <v>29</v>
      </c>
      <c r="E69" s="41" t="s">
        <v>1390</v>
      </c>
      <c r="F69" s="42" t="s">
        <v>568</v>
      </c>
      <c r="G69" s="428" t="e">
        <f>COUNTIF(#REF!,B69)</f>
        <v>#REF!</v>
      </c>
    </row>
    <row r="70" spans="1:7">
      <c r="A70" s="612" t="s">
        <v>2189</v>
      </c>
      <c r="B70" s="431">
        <v>69</v>
      </c>
      <c r="C70" s="431" t="s">
        <v>111</v>
      </c>
      <c r="D70" t="s">
        <v>28</v>
      </c>
      <c r="E70" s="41" t="s">
        <v>1391</v>
      </c>
      <c r="F70" s="42" t="s">
        <v>569</v>
      </c>
      <c r="G70" s="428" t="e">
        <f>COUNTIF(#REF!,B70)</f>
        <v>#REF!</v>
      </c>
    </row>
    <row r="71" spans="1:7">
      <c r="A71" s="612" t="s">
        <v>2190</v>
      </c>
      <c r="B71" s="431">
        <v>70</v>
      </c>
      <c r="C71" s="431" t="s">
        <v>112</v>
      </c>
      <c r="D71" t="s">
        <v>30</v>
      </c>
      <c r="E71" s="41" t="s">
        <v>1392</v>
      </c>
      <c r="F71" s="42" t="s">
        <v>570</v>
      </c>
      <c r="G71" s="428" t="e">
        <f>COUNTIF(#REF!,B71)</f>
        <v>#REF!</v>
      </c>
    </row>
    <row r="72" spans="1:7">
      <c r="A72" s="612" t="s">
        <v>2191</v>
      </c>
      <c r="B72" s="431">
        <v>71</v>
      </c>
      <c r="C72" s="431" t="s">
        <v>113</v>
      </c>
      <c r="D72" t="s">
        <v>28</v>
      </c>
      <c r="E72" s="41" t="s">
        <v>1393</v>
      </c>
      <c r="F72" s="42" t="s">
        <v>571</v>
      </c>
      <c r="G72" s="428" t="e">
        <f>COUNTIF(#REF!,B72)</f>
        <v>#REF!</v>
      </c>
    </row>
    <row r="73" spans="1:7">
      <c r="A73" s="612" t="s">
        <v>2192</v>
      </c>
      <c r="B73" s="431">
        <v>72</v>
      </c>
      <c r="C73" s="431" t="s">
        <v>114</v>
      </c>
      <c r="D73" t="s">
        <v>945</v>
      </c>
      <c r="E73" s="41" t="s">
        <v>1394</v>
      </c>
      <c r="F73" s="42" t="s">
        <v>572</v>
      </c>
      <c r="G73" s="428" t="e">
        <f>COUNTIF(#REF!,B73)</f>
        <v>#REF!</v>
      </c>
    </row>
    <row r="74" spans="1:7">
      <c r="A74" s="612" t="s">
        <v>2193</v>
      </c>
      <c r="B74" s="431">
        <v>73</v>
      </c>
      <c r="C74" s="431" t="s">
        <v>115</v>
      </c>
      <c r="D74" t="s">
        <v>30</v>
      </c>
      <c r="E74" s="41" t="s">
        <v>1395</v>
      </c>
      <c r="F74" s="42" t="s">
        <v>573</v>
      </c>
      <c r="G74" s="428" t="e">
        <f>COUNTIF(#REF!,B74)</f>
        <v>#REF!</v>
      </c>
    </row>
    <row r="75" spans="1:7">
      <c r="A75" s="612" t="s">
        <v>2194</v>
      </c>
      <c r="B75" s="431">
        <v>74</v>
      </c>
      <c r="C75" s="431" t="s">
        <v>116</v>
      </c>
      <c r="D75" t="s">
        <v>29</v>
      </c>
      <c r="E75" s="41" t="s">
        <v>1396</v>
      </c>
      <c r="F75" s="42" t="s">
        <v>574</v>
      </c>
      <c r="G75" s="428" t="e">
        <f>COUNTIF(#REF!,B75)</f>
        <v>#REF!</v>
      </c>
    </row>
    <row r="76" spans="1:7">
      <c r="A76" s="612" t="s">
        <v>2195</v>
      </c>
      <c r="B76" s="431">
        <v>75</v>
      </c>
      <c r="C76" s="431" t="s">
        <v>117</v>
      </c>
      <c r="D76" t="s">
        <v>945</v>
      </c>
      <c r="E76" s="41" t="s">
        <v>1397</v>
      </c>
      <c r="F76" s="42" t="s">
        <v>575</v>
      </c>
      <c r="G76" s="428" t="e">
        <f>COUNTIF(#REF!,B76)</f>
        <v>#REF!</v>
      </c>
    </row>
    <row r="77" spans="1:7">
      <c r="A77" s="612" t="s">
        <v>2196</v>
      </c>
      <c r="B77" s="431">
        <v>76</v>
      </c>
      <c r="C77" s="431" t="s">
        <v>118</v>
      </c>
      <c r="D77" t="s">
        <v>29</v>
      </c>
      <c r="E77" s="41" t="s">
        <v>1398</v>
      </c>
      <c r="F77" s="42" t="s">
        <v>749</v>
      </c>
      <c r="G77" s="428" t="e">
        <f>COUNTIF(#REF!,B77)</f>
        <v>#REF!</v>
      </c>
    </row>
    <row r="78" spans="1:7">
      <c r="A78" s="612" t="s">
        <v>2197</v>
      </c>
      <c r="B78" s="431">
        <v>77</v>
      </c>
      <c r="C78" s="431" t="s">
        <v>119</v>
      </c>
      <c r="D78" t="s">
        <v>29</v>
      </c>
      <c r="E78" s="41" t="s">
        <v>1399</v>
      </c>
      <c r="F78" s="42" t="s">
        <v>576</v>
      </c>
      <c r="G78" s="428" t="e">
        <f>COUNTIF(#REF!,B78)</f>
        <v>#REF!</v>
      </c>
    </row>
    <row r="79" spans="1:7">
      <c r="A79" s="612" t="s">
        <v>2198</v>
      </c>
      <c r="B79" s="431">
        <v>78</v>
      </c>
      <c r="C79" s="431" t="s">
        <v>120</v>
      </c>
      <c r="D79" t="s">
        <v>28</v>
      </c>
      <c r="E79" s="41" t="s">
        <v>1400</v>
      </c>
      <c r="F79" s="42" t="s">
        <v>577</v>
      </c>
      <c r="G79" s="428" t="e">
        <f>COUNTIF(#REF!,B79)</f>
        <v>#REF!</v>
      </c>
    </row>
    <row r="80" spans="1:7">
      <c r="A80" s="612" t="s">
        <v>2199</v>
      </c>
      <c r="B80" s="431">
        <v>79</v>
      </c>
      <c r="C80" s="431" t="s">
        <v>121</v>
      </c>
      <c r="D80" t="s">
        <v>30</v>
      </c>
      <c r="E80" s="41" t="s">
        <v>1401</v>
      </c>
      <c r="F80" s="42" t="s">
        <v>578</v>
      </c>
      <c r="G80" s="428" t="e">
        <f>COUNTIF(#REF!,B80)</f>
        <v>#REF!</v>
      </c>
    </row>
    <row r="81" spans="1:7">
      <c r="A81" s="612" t="s">
        <v>2200</v>
      </c>
      <c r="B81" s="431">
        <v>80</v>
      </c>
      <c r="C81" s="431" t="s">
        <v>122</v>
      </c>
      <c r="D81" t="s">
        <v>28</v>
      </c>
      <c r="E81" s="41" t="s">
        <v>1402</v>
      </c>
      <c r="F81" s="42" t="s">
        <v>579</v>
      </c>
      <c r="G81" s="428" t="e">
        <f>COUNTIF(#REF!,B81)</f>
        <v>#REF!</v>
      </c>
    </row>
    <row r="82" spans="1:7">
      <c r="A82" s="612" t="s">
        <v>2201</v>
      </c>
      <c r="B82" s="431">
        <v>81</v>
      </c>
      <c r="C82" s="431" t="s">
        <v>123</v>
      </c>
      <c r="D82" t="s">
        <v>29</v>
      </c>
      <c r="E82" s="41" t="s">
        <v>1403</v>
      </c>
      <c r="F82" s="42" t="s">
        <v>580</v>
      </c>
      <c r="G82" s="428" t="e">
        <f>COUNTIF(#REF!,B82)</f>
        <v>#REF!</v>
      </c>
    </row>
    <row r="83" spans="1:7">
      <c r="A83" s="612" t="s">
        <v>2202</v>
      </c>
      <c r="B83" s="431">
        <v>82</v>
      </c>
      <c r="C83" s="431" t="s">
        <v>124</v>
      </c>
      <c r="D83" t="s">
        <v>29</v>
      </c>
      <c r="E83" s="41" t="s">
        <v>1404</v>
      </c>
      <c r="F83" s="42" t="s">
        <v>581</v>
      </c>
      <c r="G83" s="428" t="e">
        <f>COUNTIF(#REF!,B83)</f>
        <v>#REF!</v>
      </c>
    </row>
    <row r="84" spans="1:7">
      <c r="A84" s="612" t="s">
        <v>2203</v>
      </c>
      <c r="B84" s="431">
        <v>83</v>
      </c>
      <c r="C84" s="431" t="s">
        <v>125</v>
      </c>
      <c r="D84" t="s">
        <v>29</v>
      </c>
      <c r="E84" s="41" t="s">
        <v>1405</v>
      </c>
      <c r="F84" s="42" t="s">
        <v>582</v>
      </c>
      <c r="G84" s="428" t="e">
        <f>COUNTIF(#REF!,B84)</f>
        <v>#REF!</v>
      </c>
    </row>
    <row r="85" spans="1:7">
      <c r="A85" s="612" t="s">
        <v>2204</v>
      </c>
      <c r="B85" s="431">
        <v>84</v>
      </c>
      <c r="C85" s="431" t="s">
        <v>126</v>
      </c>
      <c r="D85" t="s">
        <v>2640</v>
      </c>
      <c r="E85" s="41" t="s">
        <v>1406</v>
      </c>
      <c r="F85" s="42" t="s">
        <v>583</v>
      </c>
      <c r="G85" s="428" t="e">
        <f>COUNTIF(#REF!,B85)</f>
        <v>#REF!</v>
      </c>
    </row>
    <row r="86" spans="1:7">
      <c r="A86" s="612" t="s">
        <v>2205</v>
      </c>
      <c r="B86" s="431">
        <v>85</v>
      </c>
      <c r="C86" s="431" t="s">
        <v>127</v>
      </c>
      <c r="D86" t="s">
        <v>28</v>
      </c>
      <c r="E86" s="41" t="s">
        <v>1407</v>
      </c>
      <c r="F86" s="42" t="s">
        <v>1923</v>
      </c>
      <c r="G86" s="428" t="e">
        <f>COUNTIF(#REF!,B86)</f>
        <v>#REF!</v>
      </c>
    </row>
    <row r="87" spans="1:7">
      <c r="A87" s="612" t="s">
        <v>2206</v>
      </c>
      <c r="B87" s="431">
        <v>86</v>
      </c>
      <c r="C87" s="431" t="s">
        <v>128</v>
      </c>
      <c r="D87" t="s">
        <v>30</v>
      </c>
      <c r="E87" s="41" t="s">
        <v>1408</v>
      </c>
      <c r="F87" s="42" t="s">
        <v>584</v>
      </c>
      <c r="G87" s="428" t="e">
        <f>COUNTIF(#REF!,B87)</f>
        <v>#REF!</v>
      </c>
    </row>
    <row r="88" spans="1:7">
      <c r="A88" s="612" t="s">
        <v>2207</v>
      </c>
      <c r="B88" s="431">
        <v>87</v>
      </c>
      <c r="C88" s="431" t="s">
        <v>129</v>
      </c>
      <c r="D88" t="s">
        <v>28</v>
      </c>
      <c r="E88" s="41" t="s">
        <v>1409</v>
      </c>
      <c r="F88" s="42" t="s">
        <v>585</v>
      </c>
      <c r="G88" s="428" t="e">
        <f>COUNTIF(#REF!,B88)</f>
        <v>#REF!</v>
      </c>
    </row>
    <row r="89" spans="1:7">
      <c r="A89" s="612" t="s">
        <v>2208</v>
      </c>
      <c r="B89" s="431">
        <v>88</v>
      </c>
      <c r="C89" s="431" t="s">
        <v>130</v>
      </c>
      <c r="D89" t="s">
        <v>29</v>
      </c>
      <c r="E89" s="41" t="s">
        <v>1410</v>
      </c>
      <c r="F89" s="42" t="s">
        <v>586</v>
      </c>
      <c r="G89" s="428" t="e">
        <f>COUNTIF(#REF!,B89)</f>
        <v>#REF!</v>
      </c>
    </row>
    <row r="90" spans="1:7">
      <c r="A90" s="612" t="s">
        <v>2209</v>
      </c>
      <c r="B90" s="431">
        <v>89</v>
      </c>
      <c r="C90" s="431" t="s">
        <v>131</v>
      </c>
      <c r="D90" t="s">
        <v>29</v>
      </c>
      <c r="E90" s="41" t="s">
        <v>1411</v>
      </c>
      <c r="F90" s="42" t="s">
        <v>587</v>
      </c>
      <c r="G90" s="428" t="e">
        <f>COUNTIF(#REF!,B90)</f>
        <v>#REF!</v>
      </c>
    </row>
    <row r="91" spans="1:7">
      <c r="A91" s="612" t="s">
        <v>2210</v>
      </c>
      <c r="B91" s="431">
        <v>90</v>
      </c>
      <c r="C91" s="431" t="s">
        <v>132</v>
      </c>
      <c r="D91" t="s">
        <v>30</v>
      </c>
      <c r="E91" s="41" t="s">
        <v>1412</v>
      </c>
      <c r="F91" s="42" t="s">
        <v>588</v>
      </c>
      <c r="G91" s="428" t="e">
        <f>COUNTIF(#REF!,B91)</f>
        <v>#REF!</v>
      </c>
    </row>
    <row r="92" spans="1:7">
      <c r="A92" s="612" t="s">
        <v>2211</v>
      </c>
      <c r="B92" s="431">
        <v>91</v>
      </c>
      <c r="C92" s="431" t="s">
        <v>133</v>
      </c>
      <c r="D92" t="s">
        <v>28</v>
      </c>
      <c r="E92" s="41" t="s">
        <v>1413</v>
      </c>
      <c r="F92" s="42" t="s">
        <v>1924</v>
      </c>
      <c r="G92" s="428" t="e">
        <f>COUNTIF(#REF!,B92)</f>
        <v>#REF!</v>
      </c>
    </row>
    <row r="93" spans="1:7">
      <c r="A93" s="612" t="s">
        <v>2212</v>
      </c>
      <c r="B93" s="431">
        <v>92</v>
      </c>
      <c r="C93" s="431" t="s">
        <v>134</v>
      </c>
      <c r="D93" t="s">
        <v>28</v>
      </c>
      <c r="E93" s="41" t="s">
        <v>1414</v>
      </c>
      <c r="F93" s="42" t="s">
        <v>1925</v>
      </c>
      <c r="G93" s="428" t="e">
        <f>COUNTIF(#REF!,B93)</f>
        <v>#REF!</v>
      </c>
    </row>
    <row r="94" spans="1:7">
      <c r="A94" s="612" t="s">
        <v>2213</v>
      </c>
      <c r="B94" s="431">
        <v>93</v>
      </c>
      <c r="C94" s="431" t="s">
        <v>135</v>
      </c>
      <c r="D94" t="s">
        <v>30</v>
      </c>
      <c r="E94" s="41" t="s">
        <v>1415</v>
      </c>
      <c r="F94" s="42" t="s">
        <v>589</v>
      </c>
      <c r="G94" s="428" t="e">
        <f>COUNTIF(#REF!,B94)</f>
        <v>#REF!</v>
      </c>
    </row>
    <row r="95" spans="1:7">
      <c r="A95" s="612" t="s">
        <v>2214</v>
      </c>
      <c r="B95" s="431">
        <v>94</v>
      </c>
      <c r="C95" s="431" t="s">
        <v>136</v>
      </c>
      <c r="D95" t="s">
        <v>30</v>
      </c>
      <c r="E95" s="41" t="s">
        <v>1416</v>
      </c>
      <c r="F95" s="42" t="s">
        <v>590</v>
      </c>
      <c r="G95" s="428" t="e">
        <f>COUNTIF(#REF!,B95)</f>
        <v>#REF!</v>
      </c>
    </row>
    <row r="96" spans="1:7">
      <c r="A96" s="612" t="s">
        <v>2215</v>
      </c>
      <c r="B96" s="431">
        <v>95</v>
      </c>
      <c r="C96" s="431" t="s">
        <v>137</v>
      </c>
      <c r="D96" t="s">
        <v>29</v>
      </c>
      <c r="E96" s="41" t="s">
        <v>1417</v>
      </c>
      <c r="F96" s="42" t="s">
        <v>591</v>
      </c>
      <c r="G96" s="428" t="e">
        <f>COUNTIF(#REF!,B96)</f>
        <v>#REF!</v>
      </c>
    </row>
    <row r="97" spans="1:7">
      <c r="A97" s="612" t="s">
        <v>2216</v>
      </c>
      <c r="B97" s="431">
        <v>96</v>
      </c>
      <c r="C97" s="431" t="s">
        <v>138</v>
      </c>
      <c r="D97" t="s">
        <v>30</v>
      </c>
      <c r="E97" s="41" t="s">
        <v>1418</v>
      </c>
      <c r="F97" s="42" t="s">
        <v>592</v>
      </c>
      <c r="G97" s="428" t="e">
        <f>COUNTIF(#REF!,B97)</f>
        <v>#REF!</v>
      </c>
    </row>
    <row r="98" spans="1:7">
      <c r="A98" s="612" t="s">
        <v>2217</v>
      </c>
      <c r="B98" s="431">
        <v>97</v>
      </c>
      <c r="C98" s="431" t="s">
        <v>139</v>
      </c>
      <c r="D98" t="s">
        <v>30</v>
      </c>
      <c r="E98" s="41" t="s">
        <v>1419</v>
      </c>
      <c r="F98" s="42" t="s">
        <v>1926</v>
      </c>
      <c r="G98" s="428" t="e">
        <f>COUNTIF(#REF!,B98)</f>
        <v>#REF!</v>
      </c>
    </row>
    <row r="99" spans="1:7">
      <c r="A99" s="612" t="s">
        <v>2218</v>
      </c>
      <c r="B99" s="431">
        <v>98</v>
      </c>
      <c r="C99" s="431" t="s">
        <v>140</v>
      </c>
      <c r="D99" t="s">
        <v>30</v>
      </c>
      <c r="E99" s="41" t="s">
        <v>1420</v>
      </c>
      <c r="F99" s="42" t="s">
        <v>593</v>
      </c>
      <c r="G99" s="428" t="e">
        <f>COUNTIF(#REF!,B99)</f>
        <v>#REF!</v>
      </c>
    </row>
    <row r="100" spans="1:7">
      <c r="A100" s="612" t="s">
        <v>2219</v>
      </c>
      <c r="B100" s="431">
        <v>99</v>
      </c>
      <c r="C100" s="431" t="s">
        <v>141</v>
      </c>
      <c r="D100" t="s">
        <v>30</v>
      </c>
      <c r="E100" s="41" t="s">
        <v>1421</v>
      </c>
      <c r="F100" s="42" t="s">
        <v>594</v>
      </c>
      <c r="G100" s="428" t="e">
        <f>COUNTIF(#REF!,B100)</f>
        <v>#REF!</v>
      </c>
    </row>
    <row r="101" spans="1:7">
      <c r="A101" s="612" t="s">
        <v>2220</v>
      </c>
      <c r="B101" s="431">
        <v>100</v>
      </c>
      <c r="C101" s="431" t="s">
        <v>142</v>
      </c>
      <c r="D101" t="s">
        <v>28</v>
      </c>
      <c r="E101" s="41" t="s">
        <v>1422</v>
      </c>
      <c r="F101" s="42" t="s">
        <v>595</v>
      </c>
      <c r="G101" s="428" t="e">
        <f>COUNTIF(#REF!,B101)</f>
        <v>#REF!</v>
      </c>
    </row>
    <row r="102" spans="1:7">
      <c r="A102" s="612" t="s">
        <v>2221</v>
      </c>
      <c r="B102" s="431">
        <v>101</v>
      </c>
      <c r="C102" s="431" t="s">
        <v>143</v>
      </c>
      <c r="D102" t="s">
        <v>30</v>
      </c>
      <c r="E102" s="41" t="s">
        <v>1423</v>
      </c>
      <c r="F102" s="42" t="s">
        <v>596</v>
      </c>
      <c r="G102" s="428" t="e">
        <f>COUNTIF(#REF!,B102)</f>
        <v>#REF!</v>
      </c>
    </row>
    <row r="103" spans="1:7">
      <c r="A103" s="612" t="s">
        <v>2222</v>
      </c>
      <c r="B103" s="431">
        <v>102</v>
      </c>
      <c r="C103" s="431" t="s">
        <v>144</v>
      </c>
      <c r="D103" t="s">
        <v>30</v>
      </c>
      <c r="E103" s="41" t="s">
        <v>1424</v>
      </c>
      <c r="F103" s="42" t="s">
        <v>597</v>
      </c>
      <c r="G103" s="428" t="e">
        <f>COUNTIF(#REF!,B103)</f>
        <v>#REF!</v>
      </c>
    </row>
    <row r="104" spans="1:7">
      <c r="A104" s="612" t="s">
        <v>2223</v>
      </c>
      <c r="B104" s="431">
        <v>103</v>
      </c>
      <c r="C104" s="431" t="s">
        <v>145</v>
      </c>
      <c r="D104" t="s">
        <v>2640</v>
      </c>
      <c r="E104" s="41" t="s">
        <v>1425</v>
      </c>
      <c r="F104" s="42" t="s">
        <v>598</v>
      </c>
      <c r="G104" s="428" t="e">
        <f>COUNTIF(#REF!,B104)</f>
        <v>#REF!</v>
      </c>
    </row>
    <row r="105" spans="1:7">
      <c r="A105" s="612" t="s">
        <v>2224</v>
      </c>
      <c r="B105" s="431">
        <v>104</v>
      </c>
      <c r="C105" s="431" t="s">
        <v>146</v>
      </c>
      <c r="D105" t="s">
        <v>945</v>
      </c>
      <c r="E105" s="41" t="s">
        <v>1426</v>
      </c>
      <c r="F105" s="42" t="s">
        <v>1927</v>
      </c>
      <c r="G105" s="428" t="e">
        <f>COUNTIF(#REF!,B105)</f>
        <v>#REF!</v>
      </c>
    </row>
    <row r="106" spans="1:7">
      <c r="A106" s="612" t="s">
        <v>2225</v>
      </c>
      <c r="B106" s="431">
        <v>105</v>
      </c>
      <c r="C106" s="431" t="s">
        <v>147</v>
      </c>
      <c r="D106" t="s">
        <v>945</v>
      </c>
      <c r="E106" s="41" t="s">
        <v>1427</v>
      </c>
      <c r="F106" s="42" t="s">
        <v>599</v>
      </c>
      <c r="G106" s="428" t="e">
        <f>COUNTIF(#REF!,B106)</f>
        <v>#REF!</v>
      </c>
    </row>
    <row r="107" spans="1:7">
      <c r="B107" s="431">
        <v>106</v>
      </c>
      <c r="C107" s="431" t="s">
        <v>148</v>
      </c>
      <c r="D107" t="s">
        <v>944</v>
      </c>
      <c r="E107" s="41" t="s">
        <v>1428</v>
      </c>
      <c r="F107" s="42" t="s">
        <v>1928</v>
      </c>
      <c r="G107" s="428" t="e">
        <f>COUNTIF(#REF!,B107)</f>
        <v>#REF!</v>
      </c>
    </row>
    <row r="108" spans="1:7">
      <c r="A108" s="612" t="s">
        <v>2226</v>
      </c>
      <c r="B108" s="431">
        <v>107</v>
      </c>
      <c r="C108" s="431" t="s">
        <v>149</v>
      </c>
      <c r="D108" t="s">
        <v>28</v>
      </c>
      <c r="E108" s="41" t="s">
        <v>1429</v>
      </c>
      <c r="F108" s="42" t="s">
        <v>600</v>
      </c>
      <c r="G108" s="428" t="e">
        <f>COUNTIF(#REF!,B108)</f>
        <v>#REF!</v>
      </c>
    </row>
    <row r="109" spans="1:7">
      <c r="A109" s="612" t="s">
        <v>2227</v>
      </c>
      <c r="B109" s="431">
        <v>108</v>
      </c>
      <c r="C109" s="431" t="s">
        <v>150</v>
      </c>
      <c r="D109" t="s">
        <v>28</v>
      </c>
      <c r="E109" s="41" t="s">
        <v>1430</v>
      </c>
      <c r="F109" s="42" t="s">
        <v>601</v>
      </c>
      <c r="G109" s="428" t="e">
        <f>COUNTIF(#REF!,B109)</f>
        <v>#REF!</v>
      </c>
    </row>
    <row r="110" spans="1:7">
      <c r="A110" s="612" t="s">
        <v>2228</v>
      </c>
      <c r="B110" s="431">
        <v>109</v>
      </c>
      <c r="C110" s="431" t="s">
        <v>151</v>
      </c>
      <c r="D110" t="s">
        <v>28</v>
      </c>
      <c r="E110" s="41" t="s">
        <v>1431</v>
      </c>
      <c r="F110" s="42" t="s">
        <v>602</v>
      </c>
      <c r="G110" s="428" t="e">
        <f>COUNTIF(#REF!,B110)</f>
        <v>#REF!</v>
      </c>
    </row>
    <row r="111" spans="1:7">
      <c r="B111" s="431">
        <v>110</v>
      </c>
      <c r="C111" s="431" t="s">
        <v>152</v>
      </c>
      <c r="D111" t="s">
        <v>28</v>
      </c>
      <c r="E111" s="41" t="s">
        <v>1432</v>
      </c>
      <c r="F111" s="42" t="s">
        <v>603</v>
      </c>
      <c r="G111" s="428" t="e">
        <f>COUNTIF(#REF!,B111)</f>
        <v>#REF!</v>
      </c>
    </row>
    <row r="112" spans="1:7">
      <c r="A112" s="612" t="s">
        <v>2229</v>
      </c>
      <c r="B112" s="431">
        <v>111</v>
      </c>
      <c r="C112" s="431" t="s">
        <v>153</v>
      </c>
      <c r="D112" t="s">
        <v>943</v>
      </c>
      <c r="E112" s="41" t="s">
        <v>1433</v>
      </c>
      <c r="F112" s="42" t="s">
        <v>604</v>
      </c>
      <c r="G112" s="428" t="e">
        <f>COUNTIF(#REF!,B112)</f>
        <v>#REF!</v>
      </c>
    </row>
    <row r="113" spans="1:7">
      <c r="A113" s="612" t="s">
        <v>2230</v>
      </c>
      <c r="B113" s="431">
        <v>112</v>
      </c>
      <c r="C113" s="431" t="s">
        <v>154</v>
      </c>
      <c r="D113" t="s">
        <v>28</v>
      </c>
      <c r="E113" s="41" t="s">
        <v>1434</v>
      </c>
      <c r="F113" s="42" t="s">
        <v>605</v>
      </c>
      <c r="G113" s="428" t="e">
        <f>COUNTIF(#REF!,B113)</f>
        <v>#REF!</v>
      </c>
    </row>
    <row r="114" spans="1:7">
      <c r="A114" s="612" t="s">
        <v>2231</v>
      </c>
      <c r="B114" s="431">
        <v>113</v>
      </c>
      <c r="C114" s="431" t="s">
        <v>155</v>
      </c>
      <c r="D114" t="s">
        <v>2640</v>
      </c>
      <c r="E114" s="41" t="s">
        <v>1435</v>
      </c>
      <c r="F114" s="42" t="s">
        <v>606</v>
      </c>
      <c r="G114" s="428" t="e">
        <f>COUNTIF(#REF!,B114)</f>
        <v>#REF!</v>
      </c>
    </row>
    <row r="115" spans="1:7">
      <c r="A115" s="612" t="s">
        <v>2232</v>
      </c>
      <c r="B115" s="431">
        <v>114</v>
      </c>
      <c r="C115" s="431" t="s">
        <v>156</v>
      </c>
      <c r="D115" t="s">
        <v>30</v>
      </c>
      <c r="E115" s="41" t="s">
        <v>1436</v>
      </c>
      <c r="F115" s="42" t="s">
        <v>607</v>
      </c>
      <c r="G115" s="428" t="e">
        <f>COUNTIF(#REF!,B115)</f>
        <v>#REF!</v>
      </c>
    </row>
    <row r="116" spans="1:7">
      <c r="A116" s="612" t="s">
        <v>2233</v>
      </c>
      <c r="B116" s="431">
        <v>115</v>
      </c>
      <c r="C116" s="431" t="s">
        <v>157</v>
      </c>
      <c r="D116" t="s">
        <v>943</v>
      </c>
      <c r="E116" s="41" t="s">
        <v>1437</v>
      </c>
      <c r="F116" s="42" t="s">
        <v>608</v>
      </c>
      <c r="G116" s="428" t="e">
        <f>COUNTIF(#REF!,B116)</f>
        <v>#REF!</v>
      </c>
    </row>
    <row r="117" spans="1:7">
      <c r="A117" s="612" t="s">
        <v>2234</v>
      </c>
      <c r="B117" s="431">
        <v>116</v>
      </c>
      <c r="C117" s="431" t="s">
        <v>158</v>
      </c>
      <c r="D117" t="s">
        <v>28</v>
      </c>
      <c r="E117" s="41" t="s">
        <v>1438</v>
      </c>
      <c r="F117" s="42" t="s">
        <v>609</v>
      </c>
      <c r="G117" s="428" t="e">
        <f>COUNTIF(#REF!,B117)</f>
        <v>#REF!</v>
      </c>
    </row>
    <row r="118" spans="1:7">
      <c r="A118" s="612" t="s">
        <v>2235</v>
      </c>
      <c r="B118" s="431">
        <v>117</v>
      </c>
      <c r="C118" s="431" t="s">
        <v>159</v>
      </c>
      <c r="D118" t="s">
        <v>28</v>
      </c>
      <c r="E118" s="41" t="s">
        <v>1439</v>
      </c>
      <c r="F118" s="42" t="s">
        <v>610</v>
      </c>
      <c r="G118" s="428" t="e">
        <f>COUNTIF(#REF!,B118)</f>
        <v>#REF!</v>
      </c>
    </row>
    <row r="119" spans="1:7">
      <c r="A119" s="612" t="s">
        <v>2236</v>
      </c>
      <c r="B119" s="431">
        <v>118</v>
      </c>
      <c r="C119" s="431" t="s">
        <v>160</v>
      </c>
      <c r="D119" t="s">
        <v>29</v>
      </c>
      <c r="E119" s="41" t="s">
        <v>1402</v>
      </c>
      <c r="F119" s="42" t="s">
        <v>611</v>
      </c>
      <c r="G119" s="428" t="e">
        <f>COUNTIF(#REF!,B119)</f>
        <v>#REF!</v>
      </c>
    </row>
    <row r="120" spans="1:7">
      <c r="A120" s="612" t="s">
        <v>2237</v>
      </c>
      <c r="B120" s="431">
        <v>119</v>
      </c>
      <c r="C120" s="431" t="s">
        <v>161</v>
      </c>
      <c r="D120" t="s">
        <v>29</v>
      </c>
      <c r="E120" s="41" t="s">
        <v>1440</v>
      </c>
      <c r="F120" s="42" t="s">
        <v>612</v>
      </c>
      <c r="G120" s="428" t="e">
        <f>COUNTIF(#REF!,B120)</f>
        <v>#REF!</v>
      </c>
    </row>
    <row r="121" spans="1:7">
      <c r="A121" s="612" t="s">
        <v>2238</v>
      </c>
      <c r="B121" s="431">
        <v>120</v>
      </c>
      <c r="C121" s="431" t="s">
        <v>162</v>
      </c>
      <c r="D121" t="s">
        <v>29</v>
      </c>
      <c r="E121" s="41" t="s">
        <v>1441</v>
      </c>
      <c r="F121" s="42" t="s">
        <v>613</v>
      </c>
      <c r="G121" s="428" t="e">
        <f>COUNTIF(#REF!,B121)</f>
        <v>#REF!</v>
      </c>
    </row>
    <row r="122" spans="1:7">
      <c r="A122" s="612" t="s">
        <v>2239</v>
      </c>
      <c r="B122" s="431">
        <v>121</v>
      </c>
      <c r="C122" s="431" t="s">
        <v>163</v>
      </c>
      <c r="D122" t="s">
        <v>28</v>
      </c>
      <c r="E122" s="41" t="s">
        <v>1442</v>
      </c>
      <c r="F122" s="42" t="s">
        <v>614</v>
      </c>
      <c r="G122" s="428" t="e">
        <f>COUNTIF(#REF!,B122)</f>
        <v>#REF!</v>
      </c>
    </row>
    <row r="123" spans="1:7">
      <c r="A123" s="612" t="s">
        <v>2240</v>
      </c>
      <c r="B123" s="431">
        <v>122</v>
      </c>
      <c r="C123" s="431" t="s">
        <v>164</v>
      </c>
      <c r="D123" t="s">
        <v>2640</v>
      </c>
      <c r="E123" s="41" t="s">
        <v>1443</v>
      </c>
      <c r="F123" s="42" t="s">
        <v>615</v>
      </c>
      <c r="G123" s="428" t="e">
        <f>COUNTIF(#REF!,B123)</f>
        <v>#REF!</v>
      </c>
    </row>
    <row r="124" spans="1:7">
      <c r="A124" s="612" t="s">
        <v>2241</v>
      </c>
      <c r="B124" s="431">
        <v>123</v>
      </c>
      <c r="C124" s="431" t="s">
        <v>165</v>
      </c>
      <c r="D124" t="s">
        <v>30</v>
      </c>
      <c r="E124" s="41" t="s">
        <v>1444</v>
      </c>
      <c r="F124" s="42" t="s">
        <v>616</v>
      </c>
      <c r="G124" s="428" t="e">
        <f>COUNTIF(#REF!,B124)</f>
        <v>#REF!</v>
      </c>
    </row>
    <row r="125" spans="1:7">
      <c r="A125" s="612" t="s">
        <v>2242</v>
      </c>
      <c r="B125" s="431">
        <v>124</v>
      </c>
      <c r="C125" s="431" t="s">
        <v>166</v>
      </c>
      <c r="D125" t="s">
        <v>28</v>
      </c>
      <c r="E125" s="41" t="s">
        <v>1445</v>
      </c>
      <c r="F125" s="42" t="s">
        <v>617</v>
      </c>
      <c r="G125" s="428" t="e">
        <f>COUNTIF(#REF!,B125)</f>
        <v>#REF!</v>
      </c>
    </row>
    <row r="126" spans="1:7">
      <c r="A126" s="612" t="s">
        <v>2243</v>
      </c>
      <c r="B126" s="431">
        <v>125</v>
      </c>
      <c r="C126" s="431" t="s">
        <v>167</v>
      </c>
      <c r="D126" t="s">
        <v>943</v>
      </c>
      <c r="E126" s="41" t="s">
        <v>1446</v>
      </c>
      <c r="F126" s="42" t="s">
        <v>618</v>
      </c>
      <c r="G126" s="428" t="e">
        <f>COUNTIF(#REF!,B126)</f>
        <v>#REF!</v>
      </c>
    </row>
    <row r="127" spans="1:7">
      <c r="A127" s="612" t="s">
        <v>2244</v>
      </c>
      <c r="B127" s="431">
        <v>126</v>
      </c>
      <c r="C127" s="431" t="s">
        <v>168</v>
      </c>
      <c r="D127" t="s">
        <v>28</v>
      </c>
      <c r="E127" s="41" t="s">
        <v>1447</v>
      </c>
      <c r="F127" s="42" t="s">
        <v>1929</v>
      </c>
      <c r="G127" s="428" t="e">
        <f>COUNTIF(#REF!,B127)</f>
        <v>#REF!</v>
      </c>
    </row>
    <row r="128" spans="1:7">
      <c r="A128" s="612" t="s">
        <v>2245</v>
      </c>
      <c r="B128" s="431">
        <v>127</v>
      </c>
      <c r="C128" s="431" t="s">
        <v>169</v>
      </c>
      <c r="D128" t="s">
        <v>29</v>
      </c>
      <c r="E128" s="41" t="s">
        <v>1448</v>
      </c>
      <c r="F128" s="42" t="s">
        <v>619</v>
      </c>
      <c r="G128" s="428" t="e">
        <f>COUNTIF(#REF!,B128)</f>
        <v>#REF!</v>
      </c>
    </row>
    <row r="129" spans="1:7">
      <c r="A129" s="612" t="s">
        <v>2246</v>
      </c>
      <c r="B129" s="431">
        <v>128</v>
      </c>
      <c r="C129" s="431" t="s">
        <v>170</v>
      </c>
      <c r="D129" t="s">
        <v>28</v>
      </c>
      <c r="E129" s="41" t="s">
        <v>1449</v>
      </c>
      <c r="F129" s="42" t="s">
        <v>1930</v>
      </c>
      <c r="G129" s="428" t="e">
        <f>COUNTIF(#REF!,B129)</f>
        <v>#REF!</v>
      </c>
    </row>
    <row r="130" spans="1:7">
      <c r="A130" s="612" t="s">
        <v>2247</v>
      </c>
      <c r="B130" s="431">
        <v>129</v>
      </c>
      <c r="C130" s="431" t="s">
        <v>171</v>
      </c>
      <c r="D130" t="s">
        <v>28</v>
      </c>
      <c r="E130" s="41" t="s">
        <v>1450</v>
      </c>
      <c r="F130" s="42" t="s">
        <v>1931</v>
      </c>
      <c r="G130" s="428" t="e">
        <f>COUNTIF(#REF!,B130)</f>
        <v>#REF!</v>
      </c>
    </row>
    <row r="131" spans="1:7">
      <c r="A131" s="612" t="s">
        <v>2248</v>
      </c>
      <c r="B131" s="431">
        <v>130</v>
      </c>
      <c r="C131" s="431" t="s">
        <v>172</v>
      </c>
      <c r="D131" t="s">
        <v>28</v>
      </c>
      <c r="E131" s="41" t="s">
        <v>1451</v>
      </c>
      <c r="F131" s="42" t="s">
        <v>1932</v>
      </c>
      <c r="G131" s="428" t="e">
        <f>COUNTIF(#REF!,B131)</f>
        <v>#REF!</v>
      </c>
    </row>
    <row r="132" spans="1:7">
      <c r="A132" s="612" t="s">
        <v>2249</v>
      </c>
      <c r="B132" s="431">
        <v>131</v>
      </c>
      <c r="C132" s="431" t="s">
        <v>173</v>
      </c>
      <c r="D132" t="s">
        <v>28</v>
      </c>
      <c r="E132" s="41" t="s">
        <v>1452</v>
      </c>
      <c r="F132" s="42" t="s">
        <v>620</v>
      </c>
      <c r="G132" s="428" t="e">
        <f>COUNTIF(#REF!,B132)</f>
        <v>#REF!</v>
      </c>
    </row>
    <row r="133" spans="1:7">
      <c r="B133" s="431">
        <v>132</v>
      </c>
      <c r="C133" s="431" t="s">
        <v>174</v>
      </c>
      <c r="D133" t="s">
        <v>945</v>
      </c>
      <c r="E133" s="41" t="s">
        <v>1453</v>
      </c>
      <c r="F133" s="42" t="s">
        <v>621</v>
      </c>
      <c r="G133" s="428" t="e">
        <f>COUNTIF(#REF!,B133)</f>
        <v>#REF!</v>
      </c>
    </row>
    <row r="134" spans="1:7">
      <c r="A134" s="612" t="s">
        <v>2250</v>
      </c>
      <c r="B134" s="431">
        <v>133</v>
      </c>
      <c r="C134" s="431" t="s">
        <v>175</v>
      </c>
      <c r="D134" t="s">
        <v>943</v>
      </c>
      <c r="E134" s="41" t="s">
        <v>1454</v>
      </c>
      <c r="F134" s="42" t="s">
        <v>622</v>
      </c>
      <c r="G134" s="428" t="e">
        <f>COUNTIF(#REF!,B134)</f>
        <v>#REF!</v>
      </c>
    </row>
    <row r="135" spans="1:7">
      <c r="A135" s="612" t="s">
        <v>2251</v>
      </c>
      <c r="B135" s="431">
        <v>134</v>
      </c>
      <c r="C135" s="431" t="s">
        <v>176</v>
      </c>
      <c r="D135" t="s">
        <v>28</v>
      </c>
      <c r="E135" s="41" t="s">
        <v>1455</v>
      </c>
      <c r="F135" s="42" t="s">
        <v>623</v>
      </c>
      <c r="G135" s="428" t="e">
        <f>COUNTIF(#REF!,B135)</f>
        <v>#REF!</v>
      </c>
    </row>
    <row r="136" spans="1:7">
      <c r="A136" s="612" t="s">
        <v>2252</v>
      </c>
      <c r="B136" s="431">
        <v>135</v>
      </c>
      <c r="C136" s="431" t="s">
        <v>177</v>
      </c>
      <c r="D136" t="s">
        <v>28</v>
      </c>
      <c r="E136" s="41" t="s">
        <v>1456</v>
      </c>
      <c r="F136" s="42" t="s">
        <v>1933</v>
      </c>
      <c r="G136" s="428" t="e">
        <f>COUNTIF(#REF!,B136)</f>
        <v>#REF!</v>
      </c>
    </row>
    <row r="137" spans="1:7">
      <c r="A137" s="612" t="s">
        <v>2253</v>
      </c>
      <c r="B137" s="431">
        <v>136</v>
      </c>
      <c r="C137" s="431" t="s">
        <v>178</v>
      </c>
      <c r="D137" t="s">
        <v>28</v>
      </c>
      <c r="E137" s="41" t="s">
        <v>1457</v>
      </c>
      <c r="F137" s="42" t="s">
        <v>624</v>
      </c>
      <c r="G137" s="428" t="e">
        <f>COUNTIF(#REF!,B137)</f>
        <v>#REF!</v>
      </c>
    </row>
    <row r="138" spans="1:7">
      <c r="A138" s="612" t="s">
        <v>2254</v>
      </c>
      <c r="B138" s="431">
        <v>137</v>
      </c>
      <c r="C138" s="431" t="s">
        <v>179</v>
      </c>
      <c r="D138" t="s">
        <v>944</v>
      </c>
      <c r="E138" s="41" t="s">
        <v>1458</v>
      </c>
      <c r="F138" s="42" t="s">
        <v>625</v>
      </c>
      <c r="G138" s="428" t="e">
        <f>COUNTIF(#REF!,B138)</f>
        <v>#REF!</v>
      </c>
    </row>
    <row r="139" spans="1:7">
      <c r="A139" s="612" t="s">
        <v>2255</v>
      </c>
      <c r="B139" s="431">
        <v>138</v>
      </c>
      <c r="C139" s="431" t="s">
        <v>180</v>
      </c>
      <c r="D139" t="s">
        <v>944</v>
      </c>
      <c r="E139" s="41" t="s">
        <v>1459</v>
      </c>
      <c r="F139" s="42" t="s">
        <v>626</v>
      </c>
      <c r="G139" s="428" t="e">
        <f>COUNTIF(#REF!,B139)</f>
        <v>#REF!</v>
      </c>
    </row>
    <row r="140" spans="1:7">
      <c r="A140" s="612" t="s">
        <v>2256</v>
      </c>
      <c r="B140" s="431">
        <v>139</v>
      </c>
      <c r="C140" s="431" t="s">
        <v>181</v>
      </c>
      <c r="D140" t="s">
        <v>944</v>
      </c>
      <c r="E140" s="41" t="s">
        <v>1460</v>
      </c>
      <c r="F140" s="42" t="s">
        <v>627</v>
      </c>
      <c r="G140" s="428" t="e">
        <f>COUNTIF(#REF!,B140)</f>
        <v>#REF!</v>
      </c>
    </row>
    <row r="141" spans="1:7">
      <c r="A141" s="612" t="s">
        <v>2257</v>
      </c>
      <c r="B141" s="431">
        <v>140</v>
      </c>
      <c r="C141" s="431" t="s">
        <v>182</v>
      </c>
      <c r="D141" t="s">
        <v>944</v>
      </c>
      <c r="E141" s="41" t="s">
        <v>1461</v>
      </c>
      <c r="F141" s="42" t="s">
        <v>628</v>
      </c>
      <c r="G141" s="428" t="e">
        <f>COUNTIF(#REF!,B141)</f>
        <v>#REF!</v>
      </c>
    </row>
    <row r="142" spans="1:7">
      <c r="A142" s="612" t="s">
        <v>2258</v>
      </c>
      <c r="B142" s="431">
        <v>141</v>
      </c>
      <c r="C142" s="431" t="s">
        <v>183</v>
      </c>
      <c r="D142" t="s">
        <v>944</v>
      </c>
      <c r="E142" s="41" t="s">
        <v>1462</v>
      </c>
      <c r="F142" s="42" t="s">
        <v>629</v>
      </c>
      <c r="G142" s="428" t="e">
        <f>COUNTIF(#REF!,B142)</f>
        <v>#REF!</v>
      </c>
    </row>
    <row r="143" spans="1:7">
      <c r="A143" s="612" t="s">
        <v>2259</v>
      </c>
      <c r="B143" s="431">
        <v>142</v>
      </c>
      <c r="C143" s="431" t="s">
        <v>184</v>
      </c>
      <c r="D143" t="s">
        <v>944</v>
      </c>
      <c r="E143" s="41" t="s">
        <v>1463</v>
      </c>
      <c r="F143" s="42" t="s">
        <v>630</v>
      </c>
      <c r="G143" s="428" t="e">
        <f>COUNTIF(#REF!,B143)</f>
        <v>#REF!</v>
      </c>
    </row>
    <row r="144" spans="1:7">
      <c r="A144" s="612" t="s">
        <v>2260</v>
      </c>
      <c r="B144" s="431">
        <v>143</v>
      </c>
      <c r="C144" s="431" t="s">
        <v>185</v>
      </c>
      <c r="D144" t="s">
        <v>944</v>
      </c>
      <c r="E144" s="41" t="s">
        <v>1464</v>
      </c>
      <c r="F144" s="42" t="s">
        <v>631</v>
      </c>
      <c r="G144" s="428" t="e">
        <f>COUNTIF(#REF!,B144)</f>
        <v>#REF!</v>
      </c>
    </row>
    <row r="145" spans="1:7">
      <c r="A145" s="612" t="s">
        <v>2261</v>
      </c>
      <c r="B145" s="431">
        <v>144</v>
      </c>
      <c r="C145" s="431" t="s">
        <v>186</v>
      </c>
      <c r="D145" t="s">
        <v>944</v>
      </c>
      <c r="E145" s="41" t="s">
        <v>1465</v>
      </c>
      <c r="F145" s="42" t="s">
        <v>632</v>
      </c>
      <c r="G145" s="428" t="e">
        <f>COUNTIF(#REF!,B145)</f>
        <v>#REF!</v>
      </c>
    </row>
    <row r="146" spans="1:7">
      <c r="A146" s="612" t="s">
        <v>2262</v>
      </c>
      <c r="B146" s="431">
        <v>145</v>
      </c>
      <c r="C146" s="431" t="s">
        <v>187</v>
      </c>
      <c r="D146" t="s">
        <v>944</v>
      </c>
      <c r="E146" s="41" t="s">
        <v>1466</v>
      </c>
      <c r="F146" s="42" t="s">
        <v>633</v>
      </c>
      <c r="G146" s="428" t="e">
        <f>COUNTIF(#REF!,B146)</f>
        <v>#REF!</v>
      </c>
    </row>
    <row r="147" spans="1:7">
      <c r="A147" s="612" t="s">
        <v>2263</v>
      </c>
      <c r="B147" s="431">
        <v>146</v>
      </c>
      <c r="C147" s="431" t="s">
        <v>188</v>
      </c>
      <c r="D147" t="s">
        <v>944</v>
      </c>
      <c r="E147" s="41" t="s">
        <v>1467</v>
      </c>
      <c r="F147" s="42" t="s">
        <v>634</v>
      </c>
      <c r="G147" s="428" t="e">
        <f>COUNTIF(#REF!,B147)</f>
        <v>#REF!</v>
      </c>
    </row>
    <row r="148" spans="1:7">
      <c r="A148" s="612" t="s">
        <v>2264</v>
      </c>
      <c r="B148" s="431">
        <v>147</v>
      </c>
      <c r="C148" s="431" t="s">
        <v>189</v>
      </c>
      <c r="D148" t="s">
        <v>944</v>
      </c>
      <c r="E148" s="41" t="s">
        <v>1468</v>
      </c>
      <c r="F148" s="42" t="s">
        <v>635</v>
      </c>
      <c r="G148" s="428" t="e">
        <f>COUNTIF(#REF!,B148)</f>
        <v>#REF!</v>
      </c>
    </row>
    <row r="149" spans="1:7">
      <c r="A149" s="612" t="s">
        <v>2265</v>
      </c>
      <c r="B149" s="431">
        <v>148</v>
      </c>
      <c r="C149" s="431" t="s">
        <v>190</v>
      </c>
      <c r="D149" t="s">
        <v>944</v>
      </c>
      <c r="E149" s="41" t="s">
        <v>1469</v>
      </c>
      <c r="F149" s="42" t="s">
        <v>636</v>
      </c>
      <c r="G149" s="428" t="e">
        <f>COUNTIF(#REF!,B149)</f>
        <v>#REF!</v>
      </c>
    </row>
    <row r="150" spans="1:7">
      <c r="A150" s="612" t="s">
        <v>2266</v>
      </c>
      <c r="B150" s="431">
        <v>149</v>
      </c>
      <c r="C150" s="431" t="s">
        <v>191</v>
      </c>
      <c r="D150" t="s">
        <v>944</v>
      </c>
      <c r="E150" s="41" t="s">
        <v>1470</v>
      </c>
      <c r="F150" s="42" t="s">
        <v>637</v>
      </c>
      <c r="G150" s="428" t="e">
        <f>COUNTIF(#REF!,B150)</f>
        <v>#REF!</v>
      </c>
    </row>
    <row r="151" spans="1:7">
      <c r="A151" s="612" t="s">
        <v>2267</v>
      </c>
      <c r="B151" s="431">
        <v>150</v>
      </c>
      <c r="C151" s="431" t="s">
        <v>192</v>
      </c>
      <c r="D151" t="s">
        <v>944</v>
      </c>
      <c r="E151" s="41" t="s">
        <v>1471</v>
      </c>
      <c r="F151" s="42" t="s">
        <v>638</v>
      </c>
      <c r="G151" s="428" t="e">
        <f>COUNTIF(#REF!,B151)</f>
        <v>#REF!</v>
      </c>
    </row>
    <row r="152" spans="1:7">
      <c r="A152" s="612" t="s">
        <v>2268</v>
      </c>
      <c r="B152" s="431">
        <v>151</v>
      </c>
      <c r="C152" s="431" t="s">
        <v>193</v>
      </c>
      <c r="D152" t="s">
        <v>944</v>
      </c>
      <c r="E152" s="41" t="s">
        <v>1472</v>
      </c>
      <c r="F152" s="42" t="s">
        <v>639</v>
      </c>
      <c r="G152" s="428" t="e">
        <f>COUNTIF(#REF!,B152)</f>
        <v>#REF!</v>
      </c>
    </row>
    <row r="153" spans="1:7">
      <c r="A153" s="612" t="s">
        <v>2269</v>
      </c>
      <c r="B153" s="431">
        <v>152</v>
      </c>
      <c r="C153" s="431" t="s">
        <v>194</v>
      </c>
      <c r="D153" t="s">
        <v>944</v>
      </c>
      <c r="E153" s="41" t="s">
        <v>1473</v>
      </c>
      <c r="F153" s="42" t="s">
        <v>640</v>
      </c>
      <c r="G153" s="428" t="e">
        <f>COUNTIF(#REF!,B153)</f>
        <v>#REF!</v>
      </c>
    </row>
    <row r="154" spans="1:7">
      <c r="A154" s="612" t="s">
        <v>2270</v>
      </c>
      <c r="B154" s="431">
        <v>153</v>
      </c>
      <c r="C154" s="431" t="s">
        <v>195</v>
      </c>
      <c r="D154" t="s">
        <v>944</v>
      </c>
      <c r="E154" s="41" t="s">
        <v>1474</v>
      </c>
      <c r="F154" s="42" t="s">
        <v>641</v>
      </c>
      <c r="G154" s="428" t="e">
        <f>COUNTIF(#REF!,B154)</f>
        <v>#REF!</v>
      </c>
    </row>
    <row r="155" spans="1:7">
      <c r="A155" s="612" t="s">
        <v>2271</v>
      </c>
      <c r="B155" s="431">
        <v>154</v>
      </c>
      <c r="C155" s="431" t="s">
        <v>196</v>
      </c>
      <c r="D155" t="s">
        <v>944</v>
      </c>
      <c r="E155" s="41" t="s">
        <v>1475</v>
      </c>
      <c r="F155" s="42" t="s">
        <v>642</v>
      </c>
      <c r="G155" s="428" t="e">
        <f>COUNTIF(#REF!,B155)</f>
        <v>#REF!</v>
      </c>
    </row>
    <row r="156" spans="1:7">
      <c r="A156" s="612" t="s">
        <v>2272</v>
      </c>
      <c r="B156" s="431">
        <v>155</v>
      </c>
      <c r="C156" s="431" t="s">
        <v>197</v>
      </c>
      <c r="D156" t="s">
        <v>944</v>
      </c>
      <c r="E156" s="41" t="s">
        <v>1476</v>
      </c>
      <c r="F156" s="42" t="s">
        <v>643</v>
      </c>
      <c r="G156" s="428" t="e">
        <f>COUNTIF(#REF!,B156)</f>
        <v>#REF!</v>
      </c>
    </row>
    <row r="157" spans="1:7">
      <c r="B157" s="431">
        <v>156</v>
      </c>
      <c r="C157" s="431" t="s">
        <v>198</v>
      </c>
      <c r="D157" t="s">
        <v>944</v>
      </c>
      <c r="E157" s="41" t="s">
        <v>1477</v>
      </c>
      <c r="F157" s="42" t="s">
        <v>644</v>
      </c>
      <c r="G157" s="428" t="e">
        <f>COUNTIF(#REF!,B157)</f>
        <v>#REF!</v>
      </c>
    </row>
    <row r="158" spans="1:7">
      <c r="A158" s="612" t="s">
        <v>2273</v>
      </c>
      <c r="B158" s="431">
        <v>157</v>
      </c>
      <c r="C158" s="431" t="s">
        <v>199</v>
      </c>
      <c r="D158" t="s">
        <v>945</v>
      </c>
      <c r="E158" s="41" t="s">
        <v>1478</v>
      </c>
      <c r="F158" s="42" t="s">
        <v>645</v>
      </c>
      <c r="G158" s="428" t="e">
        <f>COUNTIF(#REF!,B158)</f>
        <v>#REF!</v>
      </c>
    </row>
    <row r="159" spans="1:7">
      <c r="A159" s="612" t="s">
        <v>2274</v>
      </c>
      <c r="B159" s="431">
        <v>158</v>
      </c>
      <c r="C159" s="431" t="s">
        <v>200</v>
      </c>
      <c r="D159" t="s">
        <v>28</v>
      </c>
      <c r="E159" s="41" t="s">
        <v>1479</v>
      </c>
      <c r="F159" s="42" t="s">
        <v>646</v>
      </c>
      <c r="G159" s="428" t="e">
        <f>COUNTIF(#REF!,B159)</f>
        <v>#REF!</v>
      </c>
    </row>
    <row r="160" spans="1:7">
      <c r="A160" s="612" t="s">
        <v>2275</v>
      </c>
      <c r="B160" s="431">
        <v>159</v>
      </c>
      <c r="C160" s="431" t="s">
        <v>201</v>
      </c>
      <c r="D160" t="s">
        <v>29</v>
      </c>
      <c r="E160" s="41" t="s">
        <v>1480</v>
      </c>
      <c r="F160" s="42" t="s">
        <v>925</v>
      </c>
      <c r="G160" s="428" t="e">
        <f>COUNTIF(#REF!,B160)</f>
        <v>#REF!</v>
      </c>
    </row>
    <row r="161" spans="1:7">
      <c r="A161" s="612" t="s">
        <v>2276</v>
      </c>
      <c r="B161" s="431">
        <v>160</v>
      </c>
      <c r="C161" s="431" t="s">
        <v>202</v>
      </c>
      <c r="D161" t="s">
        <v>944</v>
      </c>
      <c r="E161" s="41" t="s">
        <v>1481</v>
      </c>
      <c r="F161" s="42" t="s">
        <v>647</v>
      </c>
      <c r="G161" s="428" t="e">
        <f>COUNTIF(#REF!,B161)</f>
        <v>#REF!</v>
      </c>
    </row>
    <row r="162" spans="1:7">
      <c r="A162" s="612" t="s">
        <v>2277</v>
      </c>
      <c r="B162" s="431">
        <v>161</v>
      </c>
      <c r="C162" s="431" t="s">
        <v>203</v>
      </c>
      <c r="D162" t="s">
        <v>944</v>
      </c>
      <c r="E162" s="41" t="s">
        <v>1482</v>
      </c>
      <c r="F162" s="42" t="s">
        <v>648</v>
      </c>
      <c r="G162" s="428" t="e">
        <f>COUNTIF(#REF!,B162)</f>
        <v>#REF!</v>
      </c>
    </row>
    <row r="163" spans="1:7">
      <c r="A163" s="612" t="s">
        <v>2278</v>
      </c>
      <c r="B163" s="431">
        <v>162</v>
      </c>
      <c r="C163" s="431" t="s">
        <v>204</v>
      </c>
      <c r="D163" t="s">
        <v>944</v>
      </c>
      <c r="E163" s="41" t="s">
        <v>1483</v>
      </c>
      <c r="F163" s="42" t="s">
        <v>649</v>
      </c>
      <c r="G163" s="428" t="e">
        <f>COUNTIF(#REF!,B163)</f>
        <v>#REF!</v>
      </c>
    </row>
    <row r="164" spans="1:7">
      <c r="A164" s="612" t="s">
        <v>2279</v>
      </c>
      <c r="B164" s="431">
        <v>163</v>
      </c>
      <c r="C164" s="431" t="s">
        <v>205</v>
      </c>
      <c r="D164" t="s">
        <v>944</v>
      </c>
      <c r="E164" s="41" t="s">
        <v>1484</v>
      </c>
      <c r="F164" s="42" t="s">
        <v>650</v>
      </c>
      <c r="G164" s="428" t="e">
        <f>COUNTIF(#REF!,B164)</f>
        <v>#REF!</v>
      </c>
    </row>
    <row r="165" spans="1:7">
      <c r="A165" s="612" t="s">
        <v>2280</v>
      </c>
      <c r="B165" s="431">
        <v>164</v>
      </c>
      <c r="C165" s="431" t="s">
        <v>206</v>
      </c>
      <c r="D165" t="s">
        <v>944</v>
      </c>
      <c r="E165" s="41" t="s">
        <v>1485</v>
      </c>
      <c r="F165" s="42" t="s">
        <v>651</v>
      </c>
      <c r="G165" s="428" t="e">
        <f>COUNTIF(#REF!,B165)</f>
        <v>#REF!</v>
      </c>
    </row>
    <row r="166" spans="1:7">
      <c r="A166" s="612" t="s">
        <v>2281</v>
      </c>
      <c r="B166" s="431">
        <v>165</v>
      </c>
      <c r="C166" s="431" t="s">
        <v>207</v>
      </c>
      <c r="D166" t="s">
        <v>944</v>
      </c>
      <c r="E166" s="41" t="s">
        <v>1486</v>
      </c>
      <c r="F166" s="42" t="s">
        <v>652</v>
      </c>
      <c r="G166" s="428" t="e">
        <f>COUNTIF(#REF!,B166)</f>
        <v>#REF!</v>
      </c>
    </row>
    <row r="167" spans="1:7">
      <c r="A167" s="612" t="s">
        <v>2282</v>
      </c>
      <c r="B167" s="431">
        <v>166</v>
      </c>
      <c r="C167" s="431" t="s">
        <v>208</v>
      </c>
      <c r="D167" t="s">
        <v>944</v>
      </c>
      <c r="E167" s="41" t="s">
        <v>1487</v>
      </c>
      <c r="F167" s="42" t="s">
        <v>653</v>
      </c>
      <c r="G167" s="428" t="e">
        <f>COUNTIF(#REF!,B167)</f>
        <v>#REF!</v>
      </c>
    </row>
    <row r="168" spans="1:7">
      <c r="A168" s="612" t="s">
        <v>2283</v>
      </c>
      <c r="B168" s="431">
        <v>167</v>
      </c>
      <c r="C168" s="431" t="s">
        <v>209</v>
      </c>
      <c r="D168" t="s">
        <v>944</v>
      </c>
      <c r="E168" s="41" t="s">
        <v>1488</v>
      </c>
      <c r="F168" s="42" t="s">
        <v>654</v>
      </c>
      <c r="G168" s="428" t="e">
        <f>COUNTIF(#REF!,B168)</f>
        <v>#REF!</v>
      </c>
    </row>
    <row r="169" spans="1:7">
      <c r="A169" s="612" t="s">
        <v>2284</v>
      </c>
      <c r="B169" s="431">
        <v>168</v>
      </c>
      <c r="C169" s="431" t="s">
        <v>210</v>
      </c>
      <c r="D169" t="s">
        <v>944</v>
      </c>
      <c r="E169" s="41" t="s">
        <v>1489</v>
      </c>
      <c r="F169" s="42" t="s">
        <v>655</v>
      </c>
      <c r="G169" s="428" t="e">
        <f>COUNTIF(#REF!,B169)</f>
        <v>#REF!</v>
      </c>
    </row>
    <row r="170" spans="1:7">
      <c r="A170" s="612" t="s">
        <v>2285</v>
      </c>
      <c r="B170" s="431">
        <v>169</v>
      </c>
      <c r="C170" s="431" t="s">
        <v>211</v>
      </c>
      <c r="D170" t="s">
        <v>944</v>
      </c>
      <c r="E170" s="41" t="s">
        <v>1490</v>
      </c>
      <c r="F170" s="42" t="s">
        <v>656</v>
      </c>
      <c r="G170" s="428" t="e">
        <f>COUNTIF(#REF!,B170)</f>
        <v>#REF!</v>
      </c>
    </row>
    <row r="171" spans="1:7">
      <c r="A171" s="612" t="s">
        <v>2286</v>
      </c>
      <c r="B171" s="431">
        <v>170</v>
      </c>
      <c r="C171" s="431" t="s">
        <v>212</v>
      </c>
      <c r="D171" t="s">
        <v>944</v>
      </c>
      <c r="E171" s="41" t="s">
        <v>1491</v>
      </c>
      <c r="F171" s="42" t="s">
        <v>657</v>
      </c>
      <c r="G171" s="428" t="e">
        <f>COUNTIF(#REF!,B171)</f>
        <v>#REF!</v>
      </c>
    </row>
    <row r="172" spans="1:7">
      <c r="A172" s="612" t="s">
        <v>2287</v>
      </c>
      <c r="B172" s="431">
        <v>171</v>
      </c>
      <c r="C172" s="431" t="s">
        <v>213</v>
      </c>
      <c r="D172" t="s">
        <v>944</v>
      </c>
      <c r="E172" s="41" t="s">
        <v>1492</v>
      </c>
      <c r="F172" s="42" t="s">
        <v>658</v>
      </c>
      <c r="G172" s="428" t="e">
        <f>COUNTIF(#REF!,B172)</f>
        <v>#REF!</v>
      </c>
    </row>
    <row r="173" spans="1:7">
      <c r="A173" s="612" t="s">
        <v>2288</v>
      </c>
      <c r="B173" s="431">
        <v>172</v>
      </c>
      <c r="C173" s="431" t="s">
        <v>214</v>
      </c>
      <c r="D173" t="s">
        <v>944</v>
      </c>
      <c r="E173" s="41" t="s">
        <v>1493</v>
      </c>
      <c r="F173" s="42" t="s">
        <v>659</v>
      </c>
      <c r="G173" s="428" t="e">
        <f>COUNTIF(#REF!,B173)</f>
        <v>#REF!</v>
      </c>
    </row>
    <row r="174" spans="1:7">
      <c r="A174" s="612" t="s">
        <v>2289</v>
      </c>
      <c r="B174" s="431">
        <v>173</v>
      </c>
      <c r="C174" s="431" t="s">
        <v>215</v>
      </c>
      <c r="D174" t="s">
        <v>944</v>
      </c>
      <c r="E174" s="41" t="s">
        <v>1494</v>
      </c>
      <c r="F174" s="42" t="s">
        <v>660</v>
      </c>
      <c r="G174" s="428" t="e">
        <f>COUNTIF(#REF!,B174)</f>
        <v>#REF!</v>
      </c>
    </row>
    <row r="175" spans="1:7">
      <c r="A175" s="612" t="s">
        <v>2290</v>
      </c>
      <c r="B175" s="431">
        <v>174</v>
      </c>
      <c r="C175" s="431" t="s">
        <v>216</v>
      </c>
      <c r="D175" t="s">
        <v>944</v>
      </c>
      <c r="E175" s="41" t="s">
        <v>1495</v>
      </c>
      <c r="F175" s="42" t="s">
        <v>661</v>
      </c>
      <c r="G175" s="428" t="e">
        <f>COUNTIF(#REF!,B175)</f>
        <v>#REF!</v>
      </c>
    </row>
    <row r="176" spans="1:7">
      <c r="A176" s="612" t="s">
        <v>2291</v>
      </c>
      <c r="B176" s="431">
        <v>175</v>
      </c>
      <c r="C176" s="431" t="s">
        <v>217</v>
      </c>
      <c r="D176" t="s">
        <v>944</v>
      </c>
      <c r="E176" s="41" t="s">
        <v>1496</v>
      </c>
      <c r="F176" s="42" t="s">
        <v>662</v>
      </c>
      <c r="G176" s="428" t="e">
        <f>COUNTIF(#REF!,B176)</f>
        <v>#REF!</v>
      </c>
    </row>
    <row r="177" spans="1:7">
      <c r="A177" s="612" t="s">
        <v>2292</v>
      </c>
      <c r="B177" s="431">
        <v>176</v>
      </c>
      <c r="C177" s="431" t="s">
        <v>218</v>
      </c>
      <c r="D177" t="s">
        <v>944</v>
      </c>
      <c r="E177" s="41" t="s">
        <v>1497</v>
      </c>
      <c r="F177" s="42" t="s">
        <v>663</v>
      </c>
      <c r="G177" s="428" t="e">
        <f>COUNTIF(#REF!,B177)</f>
        <v>#REF!</v>
      </c>
    </row>
    <row r="178" spans="1:7">
      <c r="A178" s="612" t="s">
        <v>2293</v>
      </c>
      <c r="B178" s="431">
        <v>177</v>
      </c>
      <c r="C178" s="431" t="s">
        <v>219</v>
      </c>
      <c r="D178" t="s">
        <v>944</v>
      </c>
      <c r="E178" s="41" t="s">
        <v>1498</v>
      </c>
      <c r="F178" s="42" t="s">
        <v>664</v>
      </c>
      <c r="G178" s="428" t="e">
        <f>COUNTIF(#REF!,B178)</f>
        <v>#REF!</v>
      </c>
    </row>
    <row r="179" spans="1:7">
      <c r="A179" s="612" t="s">
        <v>2294</v>
      </c>
      <c r="B179" s="431">
        <v>178</v>
      </c>
      <c r="C179" s="431" t="s">
        <v>220</v>
      </c>
      <c r="D179" t="s">
        <v>944</v>
      </c>
      <c r="E179" s="41" t="s">
        <v>1499</v>
      </c>
      <c r="F179" s="42" t="s">
        <v>665</v>
      </c>
      <c r="G179" s="428" t="e">
        <f>COUNTIF(#REF!,B179)</f>
        <v>#REF!</v>
      </c>
    </row>
    <row r="180" spans="1:7">
      <c r="A180" s="612" t="s">
        <v>2295</v>
      </c>
      <c r="B180" s="431">
        <v>179</v>
      </c>
      <c r="C180" s="431" t="s">
        <v>221</v>
      </c>
      <c r="D180" t="s">
        <v>30</v>
      </c>
      <c r="E180" s="41" t="s">
        <v>1500</v>
      </c>
      <c r="F180" s="42" t="s">
        <v>1934</v>
      </c>
      <c r="G180" s="428" t="e">
        <f>COUNTIF(#REF!,B180)</f>
        <v>#REF!</v>
      </c>
    </row>
    <row r="181" spans="1:7">
      <c r="B181" s="431">
        <v>180</v>
      </c>
      <c r="C181" s="431" t="s">
        <v>222</v>
      </c>
      <c r="D181" t="s">
        <v>29</v>
      </c>
      <c r="E181" s="41" t="s">
        <v>1501</v>
      </c>
      <c r="F181" s="42" t="s">
        <v>1935</v>
      </c>
      <c r="G181" s="428" t="e">
        <f>COUNTIF(#REF!,B181)</f>
        <v>#REF!</v>
      </c>
    </row>
    <row r="182" spans="1:7">
      <c r="A182" s="612" t="s">
        <v>2296</v>
      </c>
      <c r="B182" s="431">
        <v>181</v>
      </c>
      <c r="C182" s="431" t="s">
        <v>223</v>
      </c>
      <c r="D182" t="s">
        <v>30</v>
      </c>
      <c r="E182" s="41" t="s">
        <v>1502</v>
      </c>
      <c r="F182" s="42" t="s">
        <v>666</v>
      </c>
      <c r="G182" s="428" t="e">
        <f>COUNTIF(#REF!,B182)</f>
        <v>#REF!</v>
      </c>
    </row>
    <row r="183" spans="1:7">
      <c r="A183" s="612" t="s">
        <v>2297</v>
      </c>
      <c r="B183" s="431">
        <v>182</v>
      </c>
      <c r="C183" s="431" t="s">
        <v>224</v>
      </c>
      <c r="D183" t="s">
        <v>944</v>
      </c>
      <c r="E183" s="41" t="s">
        <v>1503</v>
      </c>
      <c r="F183" s="42" t="s">
        <v>667</v>
      </c>
      <c r="G183" s="428" t="e">
        <f>COUNTIF(#REF!,B183)</f>
        <v>#REF!</v>
      </c>
    </row>
    <row r="184" spans="1:7">
      <c r="A184" s="612" t="s">
        <v>2298</v>
      </c>
      <c r="B184" s="431">
        <v>183</v>
      </c>
      <c r="C184" s="431" t="s">
        <v>225</v>
      </c>
      <c r="D184" t="s">
        <v>944</v>
      </c>
      <c r="E184" s="41" t="s">
        <v>1504</v>
      </c>
      <c r="F184" s="42" t="s">
        <v>668</v>
      </c>
      <c r="G184" s="428" t="e">
        <f>COUNTIF(#REF!,B184)</f>
        <v>#REF!</v>
      </c>
    </row>
    <row r="185" spans="1:7">
      <c r="A185" s="612" t="s">
        <v>2299</v>
      </c>
      <c r="B185" s="431">
        <v>184</v>
      </c>
      <c r="C185" s="431" t="s">
        <v>226</v>
      </c>
      <c r="D185" t="s">
        <v>29</v>
      </c>
      <c r="E185" s="41" t="s">
        <v>1505</v>
      </c>
      <c r="F185" s="42" t="s">
        <v>669</v>
      </c>
      <c r="G185" s="428" t="e">
        <f>COUNTIF(#REF!,B185)</f>
        <v>#REF!</v>
      </c>
    </row>
    <row r="186" spans="1:7">
      <c r="A186" s="612" t="s">
        <v>2300</v>
      </c>
      <c r="B186" s="431">
        <v>185</v>
      </c>
      <c r="C186" s="431" t="s">
        <v>227</v>
      </c>
      <c r="D186" t="s">
        <v>944</v>
      </c>
      <c r="E186" s="41" t="s">
        <v>1506</v>
      </c>
      <c r="F186" s="42" t="s">
        <v>670</v>
      </c>
      <c r="G186" s="428" t="e">
        <f>COUNTIF(#REF!,B186)</f>
        <v>#REF!</v>
      </c>
    </row>
    <row r="187" spans="1:7">
      <c r="A187" s="612" t="s">
        <v>2301</v>
      </c>
      <c r="B187" s="431">
        <v>186</v>
      </c>
      <c r="C187" s="431" t="s">
        <v>228</v>
      </c>
      <c r="D187" t="s">
        <v>28</v>
      </c>
      <c r="E187" s="41" t="s">
        <v>1507</v>
      </c>
      <c r="F187" s="42" t="s">
        <v>1936</v>
      </c>
      <c r="G187" s="428" t="e">
        <f>COUNTIF(#REF!,B187)</f>
        <v>#REF!</v>
      </c>
    </row>
    <row r="188" spans="1:7">
      <c r="A188" s="612" t="s">
        <v>2302</v>
      </c>
      <c r="B188" s="431">
        <v>187</v>
      </c>
      <c r="C188" s="431" t="s">
        <v>229</v>
      </c>
      <c r="D188" t="s">
        <v>944</v>
      </c>
      <c r="E188" s="41" t="s">
        <v>1508</v>
      </c>
      <c r="F188" s="42" t="s">
        <v>1937</v>
      </c>
      <c r="G188" s="428" t="e">
        <f>COUNTIF(#REF!,B188)</f>
        <v>#REF!</v>
      </c>
    </row>
    <row r="189" spans="1:7">
      <c r="A189" s="612" t="s">
        <v>2303</v>
      </c>
      <c r="B189" s="431">
        <v>188</v>
      </c>
      <c r="C189" s="431" t="s">
        <v>230</v>
      </c>
      <c r="D189" t="s">
        <v>945</v>
      </c>
      <c r="E189" s="41" t="s">
        <v>1509</v>
      </c>
      <c r="F189" s="42" t="s">
        <v>671</v>
      </c>
      <c r="G189" s="428" t="e">
        <f>COUNTIF(#REF!,B189)</f>
        <v>#REF!</v>
      </c>
    </row>
    <row r="190" spans="1:7">
      <c r="A190" s="612" t="s">
        <v>2304</v>
      </c>
      <c r="B190" s="431">
        <v>189</v>
      </c>
      <c r="C190" s="431" t="s">
        <v>231</v>
      </c>
      <c r="D190" t="s">
        <v>943</v>
      </c>
      <c r="E190" s="41" t="s">
        <v>1510</v>
      </c>
      <c r="F190" s="42" t="s">
        <v>672</v>
      </c>
      <c r="G190" s="428" t="e">
        <f>COUNTIF(#REF!,B190)</f>
        <v>#REF!</v>
      </c>
    </row>
    <row r="191" spans="1:7">
      <c r="A191" s="612" t="s">
        <v>2305</v>
      </c>
      <c r="B191" s="431">
        <v>190</v>
      </c>
      <c r="C191" s="431" t="s">
        <v>232</v>
      </c>
      <c r="D191" t="s">
        <v>943</v>
      </c>
      <c r="E191" s="41" t="s">
        <v>1511</v>
      </c>
      <c r="F191" s="42" t="s">
        <v>673</v>
      </c>
      <c r="G191" s="428" t="e">
        <f>COUNTIF(#REF!,B191)</f>
        <v>#REF!</v>
      </c>
    </row>
    <row r="192" spans="1:7">
      <c r="A192" s="612" t="s">
        <v>2306</v>
      </c>
      <c r="B192" s="431">
        <v>191</v>
      </c>
      <c r="C192" s="431" t="s">
        <v>233</v>
      </c>
      <c r="D192" t="s">
        <v>30</v>
      </c>
      <c r="E192" s="41" t="s">
        <v>1512</v>
      </c>
      <c r="F192" s="42" t="s">
        <v>674</v>
      </c>
      <c r="G192" s="428" t="e">
        <f>COUNTIF(#REF!,B192)</f>
        <v>#REF!</v>
      </c>
    </row>
    <row r="193" spans="1:7">
      <c r="A193" s="612" t="s">
        <v>2307</v>
      </c>
      <c r="B193" s="431">
        <v>192</v>
      </c>
      <c r="C193" s="431" t="s">
        <v>234</v>
      </c>
      <c r="D193" t="s">
        <v>29</v>
      </c>
      <c r="E193" s="41" t="s">
        <v>1513</v>
      </c>
      <c r="F193" s="42" t="s">
        <v>675</v>
      </c>
      <c r="G193" s="428" t="e">
        <f>COUNTIF(#REF!,B193)</f>
        <v>#REF!</v>
      </c>
    </row>
    <row r="194" spans="1:7">
      <c r="A194" s="612" t="s">
        <v>2308</v>
      </c>
      <c r="B194" s="431">
        <v>193</v>
      </c>
      <c r="C194" s="431" t="s">
        <v>235</v>
      </c>
      <c r="D194" t="s">
        <v>944</v>
      </c>
      <c r="E194" s="41" t="s">
        <v>1514</v>
      </c>
      <c r="F194" s="42" t="s">
        <v>676</v>
      </c>
      <c r="G194" s="428" t="e">
        <f>COUNTIF(#REF!,B194)</f>
        <v>#REF!</v>
      </c>
    </row>
    <row r="195" spans="1:7">
      <c r="A195" s="612" t="s">
        <v>2309</v>
      </c>
      <c r="B195" s="431">
        <v>194</v>
      </c>
      <c r="C195" s="431" t="s">
        <v>236</v>
      </c>
      <c r="D195" t="s">
        <v>943</v>
      </c>
      <c r="E195" s="41" t="s">
        <v>1515</v>
      </c>
      <c r="F195" s="42" t="s">
        <v>677</v>
      </c>
      <c r="G195" s="428" t="e">
        <f>COUNTIF(#REF!,B195)</f>
        <v>#REF!</v>
      </c>
    </row>
    <row r="196" spans="1:7">
      <c r="A196" s="612" t="s">
        <v>2310</v>
      </c>
      <c r="B196" s="431">
        <v>195</v>
      </c>
      <c r="C196" s="431" t="s">
        <v>237</v>
      </c>
      <c r="D196" t="s">
        <v>28</v>
      </c>
      <c r="E196" s="41" t="s">
        <v>1516</v>
      </c>
      <c r="F196" s="42" t="s">
        <v>678</v>
      </c>
      <c r="G196" s="428" t="e">
        <f>COUNTIF(#REF!,B196)</f>
        <v>#REF!</v>
      </c>
    </row>
    <row r="197" spans="1:7">
      <c r="A197" s="612" t="s">
        <v>2311</v>
      </c>
      <c r="B197" s="431">
        <v>196</v>
      </c>
      <c r="C197" s="431" t="s">
        <v>238</v>
      </c>
      <c r="D197" t="s">
        <v>30</v>
      </c>
      <c r="E197" s="41" t="s">
        <v>1517</v>
      </c>
      <c r="F197" s="42" t="s">
        <v>1938</v>
      </c>
      <c r="G197" s="428" t="e">
        <f>COUNTIF(#REF!,B197)</f>
        <v>#REF!</v>
      </c>
    </row>
    <row r="198" spans="1:7">
      <c r="A198" s="612" t="s">
        <v>2312</v>
      </c>
      <c r="B198" s="431">
        <v>197</v>
      </c>
      <c r="C198" s="431" t="s">
        <v>239</v>
      </c>
      <c r="D198" t="s">
        <v>29</v>
      </c>
      <c r="E198" s="41" t="s">
        <v>1518</v>
      </c>
      <c r="F198" s="42" t="s">
        <v>679</v>
      </c>
      <c r="G198" s="428" t="e">
        <f>COUNTIF(#REF!,B198)</f>
        <v>#REF!</v>
      </c>
    </row>
    <row r="199" spans="1:7">
      <c r="A199" s="612" t="s">
        <v>2313</v>
      </c>
      <c r="B199" s="431">
        <v>198</v>
      </c>
      <c r="C199" s="431" t="s">
        <v>240</v>
      </c>
      <c r="D199" t="s">
        <v>28</v>
      </c>
      <c r="E199" s="41" t="s">
        <v>1519</v>
      </c>
      <c r="F199" s="42" t="s">
        <v>680</v>
      </c>
      <c r="G199" s="428" t="e">
        <f>COUNTIF(#REF!,B199)</f>
        <v>#REF!</v>
      </c>
    </row>
    <row r="200" spans="1:7">
      <c r="A200" s="612" t="s">
        <v>2314</v>
      </c>
      <c r="B200" s="431">
        <v>199</v>
      </c>
      <c r="C200" s="431" t="s">
        <v>241</v>
      </c>
      <c r="D200" t="s">
        <v>28</v>
      </c>
      <c r="E200" s="41" t="s">
        <v>1520</v>
      </c>
      <c r="F200" s="42" t="s">
        <v>681</v>
      </c>
      <c r="G200" s="428" t="e">
        <f>COUNTIF(#REF!,B200)</f>
        <v>#REF!</v>
      </c>
    </row>
    <row r="201" spans="1:7">
      <c r="A201" s="612" t="s">
        <v>2315</v>
      </c>
      <c r="B201" s="431">
        <v>200</v>
      </c>
      <c r="C201" s="431" t="s">
        <v>242</v>
      </c>
      <c r="D201" t="s">
        <v>29</v>
      </c>
      <c r="E201" s="41" t="s">
        <v>1521</v>
      </c>
      <c r="F201" s="42" t="s">
        <v>682</v>
      </c>
      <c r="G201" s="428" t="e">
        <f>COUNTIF(#REF!,B201)</f>
        <v>#REF!</v>
      </c>
    </row>
    <row r="202" spans="1:7">
      <c r="A202" s="612" t="s">
        <v>2316</v>
      </c>
      <c r="B202" s="431">
        <v>201</v>
      </c>
      <c r="C202" s="431" t="s">
        <v>243</v>
      </c>
      <c r="D202" t="s">
        <v>28</v>
      </c>
      <c r="E202" s="41" t="s">
        <v>1522</v>
      </c>
      <c r="F202" s="42" t="s">
        <v>1939</v>
      </c>
      <c r="G202" s="428" t="e">
        <f>COUNTIF(#REF!,B202)</f>
        <v>#REF!</v>
      </c>
    </row>
    <row r="203" spans="1:7">
      <c r="A203" s="612" t="s">
        <v>2317</v>
      </c>
      <c r="B203" s="431">
        <v>202</v>
      </c>
      <c r="C203" s="431" t="s">
        <v>244</v>
      </c>
      <c r="D203" t="s">
        <v>28</v>
      </c>
      <c r="E203" s="41" t="s">
        <v>1523</v>
      </c>
      <c r="F203" s="42" t="s">
        <v>1940</v>
      </c>
      <c r="G203" s="428" t="e">
        <f>COUNTIF(#REF!,B203)</f>
        <v>#REF!</v>
      </c>
    </row>
    <row r="204" spans="1:7">
      <c r="A204" s="612" t="s">
        <v>2318</v>
      </c>
      <c r="B204" s="431">
        <v>203</v>
      </c>
      <c r="C204" s="431" t="s">
        <v>245</v>
      </c>
      <c r="D204" t="s">
        <v>29</v>
      </c>
      <c r="E204" s="41" t="s">
        <v>1524</v>
      </c>
      <c r="F204" s="42" t="s">
        <v>683</v>
      </c>
      <c r="G204" s="428" t="e">
        <f>COUNTIF(#REF!,B204)</f>
        <v>#REF!</v>
      </c>
    </row>
    <row r="205" spans="1:7">
      <c r="B205" s="431">
        <v>204</v>
      </c>
      <c r="C205" s="431" t="s">
        <v>246</v>
      </c>
      <c r="D205" t="s">
        <v>28</v>
      </c>
      <c r="E205" s="41" t="s">
        <v>1525</v>
      </c>
      <c r="F205" s="42" t="s">
        <v>684</v>
      </c>
      <c r="G205" s="428" t="e">
        <f>COUNTIF(#REF!,B205)</f>
        <v>#REF!</v>
      </c>
    </row>
    <row r="206" spans="1:7">
      <c r="A206" s="612" t="s">
        <v>2319</v>
      </c>
      <c r="B206" s="431">
        <v>205</v>
      </c>
      <c r="C206" s="431" t="s">
        <v>247</v>
      </c>
      <c r="D206" t="s">
        <v>30</v>
      </c>
      <c r="E206" s="41" t="s">
        <v>1526</v>
      </c>
      <c r="F206" s="42" t="s">
        <v>1941</v>
      </c>
      <c r="G206" s="428" t="e">
        <f>COUNTIF(#REF!,B206)</f>
        <v>#REF!</v>
      </c>
    </row>
    <row r="207" spans="1:7">
      <c r="A207" s="612" t="s">
        <v>2320</v>
      </c>
      <c r="B207" s="431">
        <v>206</v>
      </c>
      <c r="C207" s="431" t="s">
        <v>248</v>
      </c>
      <c r="D207" t="s">
        <v>29</v>
      </c>
      <c r="E207" s="41" t="s">
        <v>1527</v>
      </c>
      <c r="F207" s="42" t="s">
        <v>685</v>
      </c>
      <c r="G207" s="428" t="e">
        <f>COUNTIF(#REF!,B207)</f>
        <v>#REF!</v>
      </c>
    </row>
    <row r="208" spans="1:7">
      <c r="A208" s="612" t="s">
        <v>2321</v>
      </c>
      <c r="B208" s="431">
        <v>207</v>
      </c>
      <c r="C208" s="431" t="s">
        <v>249</v>
      </c>
      <c r="D208" t="s">
        <v>28</v>
      </c>
      <c r="E208" s="41" t="s">
        <v>1528</v>
      </c>
      <c r="F208" s="42" t="s">
        <v>686</v>
      </c>
      <c r="G208" s="428" t="e">
        <f>COUNTIF(#REF!,B208)</f>
        <v>#REF!</v>
      </c>
    </row>
    <row r="209" spans="1:7">
      <c r="A209" s="612" t="s">
        <v>2322</v>
      </c>
      <c r="B209" s="431">
        <v>208</v>
      </c>
      <c r="C209" s="431" t="s">
        <v>250</v>
      </c>
      <c r="D209" t="s">
        <v>944</v>
      </c>
      <c r="E209" s="41" t="s">
        <v>1529</v>
      </c>
      <c r="F209" s="42" t="s">
        <v>687</v>
      </c>
      <c r="G209" s="428" t="e">
        <f>COUNTIF(#REF!,B209)</f>
        <v>#REF!</v>
      </c>
    </row>
    <row r="210" spans="1:7">
      <c r="A210" s="612" t="s">
        <v>2323</v>
      </c>
      <c r="B210" s="431">
        <v>209</v>
      </c>
      <c r="C210" s="431" t="s">
        <v>251</v>
      </c>
      <c r="D210" t="s">
        <v>944</v>
      </c>
      <c r="E210" s="41" t="s">
        <v>1530</v>
      </c>
      <c r="F210" s="42" t="s">
        <v>688</v>
      </c>
      <c r="G210" s="428" t="e">
        <f>COUNTIF(#REF!,B210)</f>
        <v>#REF!</v>
      </c>
    </row>
    <row r="211" spans="1:7">
      <c r="A211" s="612" t="s">
        <v>2324</v>
      </c>
      <c r="B211" s="431">
        <v>210</v>
      </c>
      <c r="C211" s="431" t="s">
        <v>252</v>
      </c>
      <c r="D211" t="s">
        <v>944</v>
      </c>
      <c r="E211" s="41" t="s">
        <v>1531</v>
      </c>
      <c r="F211" s="42" t="s">
        <v>689</v>
      </c>
      <c r="G211" s="428" t="e">
        <f>COUNTIF(#REF!,B211)</f>
        <v>#REF!</v>
      </c>
    </row>
    <row r="212" spans="1:7">
      <c r="A212" s="612" t="s">
        <v>2325</v>
      </c>
      <c r="B212" s="431">
        <v>211</v>
      </c>
      <c r="C212" s="431" t="s">
        <v>253</v>
      </c>
      <c r="D212" t="s">
        <v>944</v>
      </c>
      <c r="E212" s="41" t="s">
        <v>1532</v>
      </c>
      <c r="F212" s="42" t="s">
        <v>690</v>
      </c>
      <c r="G212" s="428" t="e">
        <f>COUNTIF(#REF!,B212)</f>
        <v>#REF!</v>
      </c>
    </row>
    <row r="213" spans="1:7">
      <c r="A213" s="612" t="s">
        <v>2326</v>
      </c>
      <c r="B213" s="431">
        <v>212</v>
      </c>
      <c r="C213" s="431" t="s">
        <v>254</v>
      </c>
      <c r="D213" t="s">
        <v>944</v>
      </c>
      <c r="E213" s="41" t="s">
        <v>1533</v>
      </c>
      <c r="F213" s="42" t="s">
        <v>691</v>
      </c>
      <c r="G213" s="428" t="e">
        <f>COUNTIF(#REF!,B213)</f>
        <v>#REF!</v>
      </c>
    </row>
    <row r="214" spans="1:7">
      <c r="A214" s="612" t="s">
        <v>2327</v>
      </c>
      <c r="B214" s="431">
        <v>213</v>
      </c>
      <c r="C214" s="431" t="s">
        <v>255</v>
      </c>
      <c r="D214" t="s">
        <v>944</v>
      </c>
      <c r="E214" s="41" t="s">
        <v>1534</v>
      </c>
      <c r="F214" s="42" t="s">
        <v>692</v>
      </c>
      <c r="G214" s="428" t="e">
        <f>COUNTIF(#REF!,B214)</f>
        <v>#REF!</v>
      </c>
    </row>
    <row r="215" spans="1:7">
      <c r="A215" s="612" t="s">
        <v>2328</v>
      </c>
      <c r="B215" s="431">
        <v>214</v>
      </c>
      <c r="C215" s="431" t="s">
        <v>256</v>
      </c>
      <c r="D215" t="s">
        <v>944</v>
      </c>
      <c r="E215" s="41" t="s">
        <v>1535</v>
      </c>
      <c r="F215" s="42" t="s">
        <v>693</v>
      </c>
      <c r="G215" s="428" t="e">
        <f>COUNTIF(#REF!,B215)</f>
        <v>#REF!</v>
      </c>
    </row>
    <row r="216" spans="1:7">
      <c r="A216" s="612" t="s">
        <v>2329</v>
      </c>
      <c r="B216" s="431">
        <v>215</v>
      </c>
      <c r="C216" s="431" t="s">
        <v>257</v>
      </c>
      <c r="D216" t="s">
        <v>944</v>
      </c>
      <c r="E216" s="41" t="s">
        <v>1536</v>
      </c>
      <c r="F216" s="42" t="s">
        <v>694</v>
      </c>
      <c r="G216" s="428" t="e">
        <f>COUNTIF(#REF!,B216)</f>
        <v>#REF!</v>
      </c>
    </row>
    <row r="217" spans="1:7">
      <c r="A217" s="612" t="s">
        <v>2330</v>
      </c>
      <c r="B217" s="431">
        <v>216</v>
      </c>
      <c r="C217" s="431" t="s">
        <v>258</v>
      </c>
      <c r="D217" t="s">
        <v>28</v>
      </c>
      <c r="E217" s="41" t="s">
        <v>1537</v>
      </c>
      <c r="F217" s="42" t="s">
        <v>695</v>
      </c>
      <c r="G217" s="428" t="e">
        <f>COUNTIF(#REF!,B217)</f>
        <v>#REF!</v>
      </c>
    </row>
    <row r="218" spans="1:7">
      <c r="A218" s="612" t="s">
        <v>2331</v>
      </c>
      <c r="B218" s="431">
        <v>217</v>
      </c>
      <c r="C218" s="431" t="s">
        <v>259</v>
      </c>
      <c r="D218" t="s">
        <v>30</v>
      </c>
      <c r="E218" s="41" t="s">
        <v>1538</v>
      </c>
      <c r="F218" s="42" t="s">
        <v>696</v>
      </c>
      <c r="G218" s="428" t="e">
        <f>COUNTIF(#REF!,B218)</f>
        <v>#REF!</v>
      </c>
    </row>
    <row r="219" spans="1:7">
      <c r="A219" s="612" t="s">
        <v>2332</v>
      </c>
      <c r="B219" s="431">
        <v>218</v>
      </c>
      <c r="C219" s="431" t="s">
        <v>260</v>
      </c>
      <c r="D219" t="s">
        <v>944</v>
      </c>
      <c r="E219" s="41" t="s">
        <v>1539</v>
      </c>
      <c r="F219" s="42" t="s">
        <v>697</v>
      </c>
      <c r="G219" s="428" t="e">
        <f>COUNTIF(#REF!,B219)</f>
        <v>#REF!</v>
      </c>
    </row>
    <row r="220" spans="1:7">
      <c r="A220" s="612" t="s">
        <v>2333</v>
      </c>
      <c r="B220" s="431">
        <v>219</v>
      </c>
      <c r="C220" s="431" t="s">
        <v>261</v>
      </c>
      <c r="D220" t="s">
        <v>944</v>
      </c>
      <c r="E220" s="41" t="s">
        <v>1540</v>
      </c>
      <c r="F220" s="42" t="s">
        <v>698</v>
      </c>
      <c r="G220" s="428" t="e">
        <f>COUNTIF(#REF!,B220)</f>
        <v>#REF!</v>
      </c>
    </row>
    <row r="221" spans="1:7">
      <c r="A221" s="612" t="s">
        <v>2334</v>
      </c>
      <c r="B221" s="431">
        <v>220</v>
      </c>
      <c r="C221" s="431" t="s">
        <v>262</v>
      </c>
      <c r="D221" t="s">
        <v>944</v>
      </c>
      <c r="E221" s="41" t="s">
        <v>1541</v>
      </c>
      <c r="F221" s="42" t="s">
        <v>699</v>
      </c>
      <c r="G221" s="428" t="e">
        <f>COUNTIF(#REF!,B221)</f>
        <v>#REF!</v>
      </c>
    </row>
    <row r="222" spans="1:7">
      <c r="A222" s="612" t="s">
        <v>2335</v>
      </c>
      <c r="B222" s="431">
        <v>221</v>
      </c>
      <c r="C222" s="431" t="s">
        <v>263</v>
      </c>
      <c r="D222" t="s">
        <v>944</v>
      </c>
      <c r="E222" s="41" t="s">
        <v>1542</v>
      </c>
      <c r="F222" s="42" t="s">
        <v>700</v>
      </c>
      <c r="G222" s="428" t="e">
        <f>COUNTIF(#REF!,B222)</f>
        <v>#REF!</v>
      </c>
    </row>
    <row r="223" spans="1:7">
      <c r="A223" s="612" t="s">
        <v>2336</v>
      </c>
      <c r="B223" s="431">
        <v>222</v>
      </c>
      <c r="C223" s="431" t="s">
        <v>264</v>
      </c>
      <c r="D223" t="s">
        <v>944</v>
      </c>
      <c r="E223" s="41" t="s">
        <v>1543</v>
      </c>
      <c r="F223" s="42" t="s">
        <v>701</v>
      </c>
      <c r="G223" s="428" t="e">
        <f>COUNTIF(#REF!,B223)</f>
        <v>#REF!</v>
      </c>
    </row>
    <row r="224" spans="1:7">
      <c r="A224" s="612" t="s">
        <v>2337</v>
      </c>
      <c r="B224" s="431">
        <v>223</v>
      </c>
      <c r="C224" s="431" t="s">
        <v>265</v>
      </c>
      <c r="D224" t="s">
        <v>944</v>
      </c>
      <c r="E224" s="41" t="s">
        <v>1544</v>
      </c>
      <c r="F224" s="42" t="s">
        <v>702</v>
      </c>
      <c r="G224" s="428" t="e">
        <f>COUNTIF(#REF!,B224)</f>
        <v>#REF!</v>
      </c>
    </row>
    <row r="225" spans="1:7">
      <c r="A225" s="612" t="s">
        <v>2338</v>
      </c>
      <c r="B225" s="431">
        <v>224</v>
      </c>
      <c r="C225" s="431" t="s">
        <v>266</v>
      </c>
      <c r="D225" t="s">
        <v>28</v>
      </c>
      <c r="E225" s="41" t="s">
        <v>1545</v>
      </c>
      <c r="F225" s="42" t="s">
        <v>703</v>
      </c>
      <c r="G225" s="428" t="e">
        <f>COUNTIF(#REF!,B225)</f>
        <v>#REF!</v>
      </c>
    </row>
    <row r="226" spans="1:7">
      <c r="A226" s="612" t="s">
        <v>2339</v>
      </c>
      <c r="B226" s="431">
        <v>225</v>
      </c>
      <c r="C226" s="431" t="s">
        <v>267</v>
      </c>
      <c r="D226" t="s">
        <v>28</v>
      </c>
      <c r="E226" s="41" t="s">
        <v>1546</v>
      </c>
      <c r="F226" s="42" t="s">
        <v>704</v>
      </c>
      <c r="G226" s="428" t="e">
        <f>COUNTIF(#REF!,B226)</f>
        <v>#REF!</v>
      </c>
    </row>
    <row r="227" spans="1:7">
      <c r="A227" s="612" t="s">
        <v>2340</v>
      </c>
      <c r="B227" s="431">
        <v>226</v>
      </c>
      <c r="C227" s="431" t="s">
        <v>268</v>
      </c>
      <c r="D227" t="s">
        <v>944</v>
      </c>
      <c r="E227" s="41" t="s">
        <v>1547</v>
      </c>
      <c r="F227" s="42" t="s">
        <v>705</v>
      </c>
      <c r="G227" s="428" t="e">
        <f>COUNTIF(#REF!,B227)</f>
        <v>#REF!</v>
      </c>
    </row>
    <row r="228" spans="1:7">
      <c r="A228" s="612" t="s">
        <v>2341</v>
      </c>
      <c r="B228" s="431">
        <v>227</v>
      </c>
      <c r="C228" s="431" t="s">
        <v>269</v>
      </c>
      <c r="D228" t="s">
        <v>28</v>
      </c>
      <c r="E228" s="41" t="s">
        <v>1548</v>
      </c>
      <c r="F228" s="42" t="s">
        <v>706</v>
      </c>
      <c r="G228" s="428" t="e">
        <f>COUNTIF(#REF!,B228)</f>
        <v>#REF!</v>
      </c>
    </row>
    <row r="229" spans="1:7">
      <c r="A229" s="612" t="s">
        <v>2342</v>
      </c>
      <c r="B229" s="431">
        <v>228</v>
      </c>
      <c r="C229" s="431" t="s">
        <v>270</v>
      </c>
      <c r="D229" t="s">
        <v>28</v>
      </c>
      <c r="E229" s="41" t="s">
        <v>1549</v>
      </c>
      <c r="F229" s="42" t="s">
        <v>1942</v>
      </c>
      <c r="G229" s="428" t="e">
        <f>COUNTIF(#REF!,B229)</f>
        <v>#REF!</v>
      </c>
    </row>
    <row r="230" spans="1:7">
      <c r="A230" s="612" t="s">
        <v>2343</v>
      </c>
      <c r="B230" s="431">
        <v>229</v>
      </c>
      <c r="C230" s="431" t="s">
        <v>271</v>
      </c>
      <c r="D230" t="s">
        <v>28</v>
      </c>
      <c r="E230" s="41" t="s">
        <v>1550</v>
      </c>
      <c r="F230" s="42" t="s">
        <v>707</v>
      </c>
      <c r="G230" s="428" t="e">
        <f>COUNTIF(#REF!,B230)</f>
        <v>#REF!</v>
      </c>
    </row>
    <row r="231" spans="1:7">
      <c r="A231" s="612" t="s">
        <v>2344</v>
      </c>
      <c r="B231" s="431">
        <v>230</v>
      </c>
      <c r="C231" s="431" t="s">
        <v>272</v>
      </c>
      <c r="D231" t="s">
        <v>29</v>
      </c>
      <c r="E231" s="41" t="s">
        <v>1551</v>
      </c>
      <c r="F231" s="42" t="s">
        <v>708</v>
      </c>
      <c r="G231" s="428" t="e">
        <f>COUNTIF(#REF!,B231)</f>
        <v>#REF!</v>
      </c>
    </row>
    <row r="232" spans="1:7">
      <c r="A232" s="612" t="s">
        <v>2345</v>
      </c>
      <c r="B232" s="431">
        <v>231</v>
      </c>
      <c r="C232" s="431" t="s">
        <v>273</v>
      </c>
      <c r="D232" t="s">
        <v>944</v>
      </c>
      <c r="E232" s="41" t="s">
        <v>1552</v>
      </c>
      <c r="F232" s="42" t="s">
        <v>709</v>
      </c>
      <c r="G232" s="428" t="e">
        <f>COUNTIF(#REF!,B232)</f>
        <v>#REF!</v>
      </c>
    </row>
    <row r="233" spans="1:7">
      <c r="A233" s="612" t="s">
        <v>2346</v>
      </c>
      <c r="B233" s="431">
        <v>232</v>
      </c>
      <c r="C233" s="431" t="s">
        <v>274</v>
      </c>
      <c r="D233" t="s">
        <v>944</v>
      </c>
      <c r="E233" s="41" t="s">
        <v>1553</v>
      </c>
      <c r="F233" s="42" t="s">
        <v>710</v>
      </c>
      <c r="G233" s="428" t="e">
        <f>COUNTIF(#REF!,B233)</f>
        <v>#REF!</v>
      </c>
    </row>
    <row r="234" spans="1:7">
      <c r="A234" s="612" t="s">
        <v>2347</v>
      </c>
      <c r="B234" s="431">
        <v>233</v>
      </c>
      <c r="C234" s="431" t="s">
        <v>275</v>
      </c>
      <c r="D234" t="s">
        <v>30</v>
      </c>
      <c r="E234" s="41" t="s">
        <v>1554</v>
      </c>
      <c r="F234" s="42" t="s">
        <v>711</v>
      </c>
      <c r="G234" s="428" t="e">
        <f>COUNTIF(#REF!,B234)</f>
        <v>#REF!</v>
      </c>
    </row>
    <row r="235" spans="1:7">
      <c r="A235" s="612" t="s">
        <v>2348</v>
      </c>
      <c r="B235" s="431">
        <v>234</v>
      </c>
      <c r="C235" s="431" t="s">
        <v>276</v>
      </c>
      <c r="D235" t="s">
        <v>29</v>
      </c>
      <c r="E235" s="41" t="s">
        <v>1555</v>
      </c>
      <c r="F235" s="42" t="s">
        <v>712</v>
      </c>
      <c r="G235" s="428" t="e">
        <f>COUNTIF(#REF!,B235)</f>
        <v>#REF!</v>
      </c>
    </row>
    <row r="236" spans="1:7">
      <c r="A236" s="612" t="s">
        <v>2349</v>
      </c>
      <c r="B236" s="431">
        <v>235</v>
      </c>
      <c r="C236" s="431" t="s">
        <v>277</v>
      </c>
      <c r="D236" t="s">
        <v>28</v>
      </c>
      <c r="E236" s="41" t="s">
        <v>1556</v>
      </c>
      <c r="F236" s="42" t="s">
        <v>713</v>
      </c>
      <c r="G236" s="428" t="e">
        <f>COUNTIF(#REF!,B236)</f>
        <v>#REF!</v>
      </c>
    </row>
    <row r="237" spans="1:7">
      <c r="A237" s="612" t="s">
        <v>2350</v>
      </c>
      <c r="B237" s="431">
        <v>236</v>
      </c>
      <c r="C237" s="431" t="s">
        <v>278</v>
      </c>
      <c r="D237" t="s">
        <v>28</v>
      </c>
      <c r="E237" s="41" t="s">
        <v>1557</v>
      </c>
      <c r="F237" s="42" t="s">
        <v>714</v>
      </c>
      <c r="G237" s="428" t="e">
        <f>COUNTIF(#REF!,B237)</f>
        <v>#REF!</v>
      </c>
    </row>
    <row r="238" spans="1:7">
      <c r="A238" s="612" t="s">
        <v>2351</v>
      </c>
      <c r="B238" s="431">
        <v>237</v>
      </c>
      <c r="C238" s="431" t="s">
        <v>279</v>
      </c>
      <c r="D238" t="s">
        <v>30</v>
      </c>
      <c r="E238" s="41" t="s">
        <v>1558</v>
      </c>
      <c r="F238" s="42" t="s">
        <v>715</v>
      </c>
      <c r="G238" s="428" t="e">
        <f>COUNTIF(#REF!,B238)</f>
        <v>#REF!</v>
      </c>
    </row>
    <row r="239" spans="1:7">
      <c r="A239" s="612" t="s">
        <v>2352</v>
      </c>
      <c r="B239" s="431">
        <v>238</v>
      </c>
      <c r="C239" s="431" t="s">
        <v>280</v>
      </c>
      <c r="D239" t="s">
        <v>30</v>
      </c>
      <c r="E239" s="41" t="s">
        <v>1559</v>
      </c>
      <c r="F239" s="42" t="s">
        <v>716</v>
      </c>
      <c r="G239" s="428" t="e">
        <f>COUNTIF(#REF!,B239)</f>
        <v>#REF!</v>
      </c>
    </row>
    <row r="240" spans="1:7">
      <c r="A240" s="612" t="s">
        <v>2353</v>
      </c>
      <c r="B240" s="431">
        <v>239</v>
      </c>
      <c r="C240" s="431" t="s">
        <v>281</v>
      </c>
      <c r="D240" t="s">
        <v>30</v>
      </c>
      <c r="E240" s="41" t="s">
        <v>1560</v>
      </c>
      <c r="F240" s="42" t="s">
        <v>717</v>
      </c>
      <c r="G240" s="428" t="e">
        <f>COUNTIF(#REF!,B240)</f>
        <v>#REF!</v>
      </c>
    </row>
    <row r="241" spans="1:7">
      <c r="A241" s="612" t="s">
        <v>2354</v>
      </c>
      <c r="B241" s="431">
        <v>240</v>
      </c>
      <c r="C241" s="431" t="s">
        <v>282</v>
      </c>
      <c r="D241" t="s">
        <v>30</v>
      </c>
      <c r="E241" s="41" t="s">
        <v>1561</v>
      </c>
      <c r="F241" s="42" t="s">
        <v>718</v>
      </c>
      <c r="G241" s="428" t="e">
        <f>COUNTIF(#REF!,B241)</f>
        <v>#REF!</v>
      </c>
    </row>
    <row r="242" spans="1:7">
      <c r="A242" s="612" t="s">
        <v>2355</v>
      </c>
      <c r="B242" s="431">
        <v>241</v>
      </c>
      <c r="C242" s="431" t="s">
        <v>283</v>
      </c>
      <c r="D242" t="s">
        <v>30</v>
      </c>
      <c r="E242" s="41" t="s">
        <v>1562</v>
      </c>
      <c r="F242" s="42" t="s">
        <v>719</v>
      </c>
      <c r="G242" s="428" t="e">
        <f>COUNTIF(#REF!,B242)</f>
        <v>#REF!</v>
      </c>
    </row>
    <row r="243" spans="1:7">
      <c r="A243" s="612" t="s">
        <v>2356</v>
      </c>
      <c r="B243" s="431">
        <v>242</v>
      </c>
      <c r="C243" s="431" t="s">
        <v>284</v>
      </c>
      <c r="D243" t="s">
        <v>29</v>
      </c>
      <c r="E243" s="41" t="s">
        <v>1563</v>
      </c>
      <c r="F243" s="42" t="s">
        <v>720</v>
      </c>
      <c r="G243" s="428" t="e">
        <f>COUNTIF(#REF!,B243)</f>
        <v>#REF!</v>
      </c>
    </row>
    <row r="244" spans="1:7">
      <c r="A244" s="612" t="s">
        <v>2357</v>
      </c>
      <c r="B244" s="431">
        <v>243</v>
      </c>
      <c r="C244" s="431" t="s">
        <v>285</v>
      </c>
      <c r="D244" t="s">
        <v>29</v>
      </c>
      <c r="E244" s="41" t="s">
        <v>1564</v>
      </c>
      <c r="F244" s="42" t="s">
        <v>721</v>
      </c>
      <c r="G244" s="428" t="e">
        <f>COUNTIF(#REF!,B244)</f>
        <v>#REF!</v>
      </c>
    </row>
    <row r="245" spans="1:7">
      <c r="A245" s="612" t="s">
        <v>2358</v>
      </c>
      <c r="B245" s="431">
        <v>244</v>
      </c>
      <c r="C245" s="431" t="s">
        <v>286</v>
      </c>
      <c r="D245" t="s">
        <v>29</v>
      </c>
      <c r="E245" s="41" t="s">
        <v>1565</v>
      </c>
      <c r="F245" s="42" t="s">
        <v>722</v>
      </c>
      <c r="G245" s="428" t="e">
        <f>COUNTIF(#REF!,B245)</f>
        <v>#REF!</v>
      </c>
    </row>
    <row r="246" spans="1:7">
      <c r="A246" s="612" t="s">
        <v>2359</v>
      </c>
      <c r="B246" s="431">
        <v>245</v>
      </c>
      <c r="C246" s="431" t="s">
        <v>287</v>
      </c>
      <c r="D246" t="s">
        <v>29</v>
      </c>
      <c r="E246" s="41" t="s">
        <v>1566</v>
      </c>
      <c r="F246" s="42" t="s">
        <v>723</v>
      </c>
      <c r="G246" s="428" t="e">
        <f>COUNTIF(#REF!,B246)</f>
        <v>#REF!</v>
      </c>
    </row>
    <row r="247" spans="1:7">
      <c r="A247" s="612" t="s">
        <v>2360</v>
      </c>
      <c r="B247" s="431">
        <v>246</v>
      </c>
      <c r="C247" s="431" t="s">
        <v>288</v>
      </c>
      <c r="D247" t="s">
        <v>29</v>
      </c>
      <c r="E247" s="41" t="s">
        <v>1567</v>
      </c>
      <c r="F247" s="42" t="s">
        <v>724</v>
      </c>
      <c r="G247" s="428" t="e">
        <f>COUNTIF(#REF!,B247)</f>
        <v>#REF!</v>
      </c>
    </row>
    <row r="248" spans="1:7">
      <c r="A248" s="612" t="s">
        <v>2361</v>
      </c>
      <c r="B248" s="431">
        <v>247</v>
      </c>
      <c r="C248" s="431" t="s">
        <v>289</v>
      </c>
      <c r="D248" t="s">
        <v>28</v>
      </c>
      <c r="E248" s="41" t="s">
        <v>1568</v>
      </c>
      <c r="F248" s="42" t="s">
        <v>725</v>
      </c>
      <c r="G248" s="428" t="e">
        <f>COUNTIF(#REF!,B248)</f>
        <v>#REF!</v>
      </c>
    </row>
    <row r="249" spans="1:7">
      <c r="A249" s="612" t="s">
        <v>2362</v>
      </c>
      <c r="B249" s="431">
        <v>248</v>
      </c>
      <c r="C249" s="431" t="s">
        <v>290</v>
      </c>
      <c r="D249" t="s">
        <v>29</v>
      </c>
      <c r="E249" s="41" t="s">
        <v>1569</v>
      </c>
      <c r="F249" s="42" t="s">
        <v>726</v>
      </c>
      <c r="G249" s="428" t="e">
        <f>COUNTIF(#REF!,B249)</f>
        <v>#REF!</v>
      </c>
    </row>
    <row r="250" spans="1:7">
      <c r="A250" s="612" t="s">
        <v>2363</v>
      </c>
      <c r="B250" s="431">
        <v>249</v>
      </c>
      <c r="C250" s="431" t="s">
        <v>291</v>
      </c>
      <c r="D250" t="s">
        <v>28</v>
      </c>
      <c r="E250" s="41" t="s">
        <v>1570</v>
      </c>
      <c r="F250" s="42" t="s">
        <v>727</v>
      </c>
      <c r="G250" s="428" t="e">
        <f>COUNTIF(#REF!,B250)</f>
        <v>#REF!</v>
      </c>
    </row>
    <row r="251" spans="1:7">
      <c r="A251" s="612" t="s">
        <v>2364</v>
      </c>
      <c r="B251" s="431">
        <v>250</v>
      </c>
      <c r="C251" s="431" t="s">
        <v>292</v>
      </c>
      <c r="D251" t="s">
        <v>28</v>
      </c>
      <c r="E251" s="41" t="s">
        <v>1571</v>
      </c>
      <c r="F251" s="42" t="s">
        <v>728</v>
      </c>
      <c r="G251" s="428" t="e">
        <f>COUNTIF(#REF!,B251)</f>
        <v>#REF!</v>
      </c>
    </row>
    <row r="252" spans="1:7">
      <c r="A252" s="612" t="s">
        <v>2365</v>
      </c>
      <c r="B252" s="431">
        <v>251</v>
      </c>
      <c r="C252" s="431" t="s">
        <v>293</v>
      </c>
      <c r="D252" t="s">
        <v>29</v>
      </c>
      <c r="E252" s="41" t="s">
        <v>1572</v>
      </c>
      <c r="F252" s="42" t="s">
        <v>729</v>
      </c>
      <c r="G252" s="428" t="e">
        <f>COUNTIF(#REF!,B252)</f>
        <v>#REF!</v>
      </c>
    </row>
    <row r="253" spans="1:7">
      <c r="A253" s="612" t="s">
        <v>2366</v>
      </c>
      <c r="B253" s="431">
        <v>252</v>
      </c>
      <c r="C253" s="431" t="s">
        <v>294</v>
      </c>
      <c r="D253" t="s">
        <v>28</v>
      </c>
      <c r="E253" s="41" t="s">
        <v>1573</v>
      </c>
      <c r="F253" s="42" t="s">
        <v>730</v>
      </c>
      <c r="G253" s="428" t="e">
        <f>COUNTIF(#REF!,B253)</f>
        <v>#REF!</v>
      </c>
    </row>
    <row r="254" spans="1:7">
      <c r="A254" s="612" t="s">
        <v>2367</v>
      </c>
      <c r="B254" s="431">
        <v>253</v>
      </c>
      <c r="C254" s="431" t="s">
        <v>295</v>
      </c>
      <c r="D254" t="s">
        <v>28</v>
      </c>
      <c r="E254" s="41" t="s">
        <v>1574</v>
      </c>
      <c r="F254" s="42" t="s">
        <v>731</v>
      </c>
      <c r="G254" s="428" t="e">
        <f>COUNTIF(#REF!,B254)</f>
        <v>#REF!</v>
      </c>
    </row>
    <row r="255" spans="1:7">
      <c r="A255" s="612" t="s">
        <v>2368</v>
      </c>
      <c r="B255" s="431">
        <v>254</v>
      </c>
      <c r="C255" s="431" t="s">
        <v>296</v>
      </c>
      <c r="D255" t="s">
        <v>28</v>
      </c>
      <c r="E255" s="41" t="s">
        <v>1575</v>
      </c>
      <c r="F255" s="42" t="s">
        <v>732</v>
      </c>
      <c r="G255" s="428" t="e">
        <f>COUNTIF(#REF!,B255)</f>
        <v>#REF!</v>
      </c>
    </row>
    <row r="256" spans="1:7">
      <c r="A256" s="612" t="s">
        <v>2369</v>
      </c>
      <c r="B256" s="431">
        <v>255</v>
      </c>
      <c r="C256" s="431" t="s">
        <v>297</v>
      </c>
      <c r="D256" t="s">
        <v>29</v>
      </c>
      <c r="E256" s="41" t="s">
        <v>1576</v>
      </c>
      <c r="F256" s="42" t="s">
        <v>733</v>
      </c>
      <c r="G256" s="428" t="e">
        <f>COUNTIF(#REF!,B256)</f>
        <v>#REF!</v>
      </c>
    </row>
    <row r="257" spans="1:7">
      <c r="A257" s="612" t="s">
        <v>2370</v>
      </c>
      <c r="B257" s="431">
        <v>256</v>
      </c>
      <c r="C257" s="431" t="s">
        <v>298</v>
      </c>
      <c r="D257" t="s">
        <v>28</v>
      </c>
      <c r="E257" s="41" t="s">
        <v>1577</v>
      </c>
      <c r="F257" s="42" t="s">
        <v>734</v>
      </c>
      <c r="G257" s="428" t="e">
        <f>COUNTIF(#REF!,B257)</f>
        <v>#REF!</v>
      </c>
    </row>
    <row r="258" spans="1:7">
      <c r="A258" s="612" t="s">
        <v>2371</v>
      </c>
      <c r="B258" s="431">
        <v>257</v>
      </c>
      <c r="C258" s="431" t="s">
        <v>299</v>
      </c>
      <c r="D258" t="s">
        <v>28</v>
      </c>
      <c r="E258" s="41" t="s">
        <v>1578</v>
      </c>
      <c r="F258" s="42" t="s">
        <v>735</v>
      </c>
      <c r="G258" s="428" t="e">
        <f>COUNTIF(#REF!,B258)</f>
        <v>#REF!</v>
      </c>
    </row>
    <row r="259" spans="1:7">
      <c r="A259" s="612" t="s">
        <v>2372</v>
      </c>
      <c r="B259" s="431">
        <v>258</v>
      </c>
      <c r="C259" s="431" t="s">
        <v>300</v>
      </c>
      <c r="D259" t="s">
        <v>2640</v>
      </c>
      <c r="E259" s="41" t="s">
        <v>1579</v>
      </c>
      <c r="F259" s="42" t="s">
        <v>736</v>
      </c>
      <c r="G259" s="428" t="e">
        <f>COUNTIF(#REF!,B259)</f>
        <v>#REF!</v>
      </c>
    </row>
    <row r="260" spans="1:7">
      <c r="A260" s="612" t="s">
        <v>2373</v>
      </c>
      <c r="B260" s="431">
        <v>259</v>
      </c>
      <c r="C260" s="431" t="s">
        <v>301</v>
      </c>
      <c r="D260" t="s">
        <v>29</v>
      </c>
      <c r="E260" s="41" t="s">
        <v>1580</v>
      </c>
      <c r="F260" s="42" t="s">
        <v>737</v>
      </c>
      <c r="G260" s="428" t="e">
        <f>COUNTIF(#REF!,B260)</f>
        <v>#REF!</v>
      </c>
    </row>
    <row r="261" spans="1:7">
      <c r="A261" s="612" t="s">
        <v>2374</v>
      </c>
      <c r="B261" s="431">
        <v>260</v>
      </c>
      <c r="C261" s="431" t="s">
        <v>302</v>
      </c>
      <c r="D261" t="s">
        <v>29</v>
      </c>
      <c r="E261" s="41" t="s">
        <v>1581</v>
      </c>
      <c r="F261" s="42" t="s">
        <v>738</v>
      </c>
      <c r="G261" s="428" t="e">
        <f>COUNTIF(#REF!,B261)</f>
        <v>#REF!</v>
      </c>
    </row>
    <row r="262" spans="1:7">
      <c r="A262" s="612" t="s">
        <v>2375</v>
      </c>
      <c r="B262" s="431">
        <v>261</v>
      </c>
      <c r="C262" s="431" t="s">
        <v>303</v>
      </c>
      <c r="D262" t="s">
        <v>30</v>
      </c>
      <c r="E262" s="41" t="s">
        <v>1582</v>
      </c>
      <c r="F262" s="42" t="s">
        <v>739</v>
      </c>
      <c r="G262" s="428" t="e">
        <f>COUNTIF(#REF!,B262)</f>
        <v>#REF!</v>
      </c>
    </row>
    <row r="263" spans="1:7">
      <c r="A263" s="612" t="s">
        <v>2376</v>
      </c>
      <c r="B263" s="431">
        <v>262</v>
      </c>
      <c r="C263" s="431" t="s">
        <v>304</v>
      </c>
      <c r="D263" t="s">
        <v>28</v>
      </c>
      <c r="E263" s="41" t="s">
        <v>1583</v>
      </c>
      <c r="F263" s="42" t="s">
        <v>740</v>
      </c>
      <c r="G263" s="428" t="e">
        <f>COUNTIF(#REF!,B263)</f>
        <v>#REF!</v>
      </c>
    </row>
    <row r="264" spans="1:7">
      <c r="A264" s="612" t="s">
        <v>2377</v>
      </c>
      <c r="B264" s="431">
        <v>263</v>
      </c>
      <c r="C264" s="431" t="s">
        <v>305</v>
      </c>
      <c r="D264" t="s">
        <v>30</v>
      </c>
      <c r="E264" s="41" t="s">
        <v>1584</v>
      </c>
      <c r="F264" s="42" t="s">
        <v>741</v>
      </c>
      <c r="G264" s="428" t="e">
        <f>COUNTIF(#REF!,B264)</f>
        <v>#REF!</v>
      </c>
    </row>
    <row r="265" spans="1:7">
      <c r="A265" s="612" t="s">
        <v>2378</v>
      </c>
      <c r="B265" s="431">
        <v>264</v>
      </c>
      <c r="C265" s="431" t="s">
        <v>306</v>
      </c>
      <c r="D265" t="s">
        <v>28</v>
      </c>
      <c r="E265" s="41" t="s">
        <v>1585</v>
      </c>
      <c r="F265" s="42" t="s">
        <v>742</v>
      </c>
      <c r="G265" s="428" t="e">
        <f>COUNTIF(#REF!,B265)</f>
        <v>#REF!</v>
      </c>
    </row>
    <row r="266" spans="1:7">
      <c r="A266" s="612" t="s">
        <v>2379</v>
      </c>
      <c r="B266" s="431">
        <v>265</v>
      </c>
      <c r="C266" s="431" t="s">
        <v>307</v>
      </c>
      <c r="D266" t="s">
        <v>29</v>
      </c>
      <c r="E266" s="41" t="s">
        <v>1586</v>
      </c>
      <c r="F266" s="42" t="s">
        <v>743</v>
      </c>
      <c r="G266" s="428" t="e">
        <f>COUNTIF(#REF!,B266)</f>
        <v>#REF!</v>
      </c>
    </row>
    <row r="267" spans="1:7">
      <c r="A267" s="612" t="s">
        <v>2380</v>
      </c>
      <c r="B267" s="431">
        <v>266</v>
      </c>
      <c r="C267" s="431" t="s">
        <v>308</v>
      </c>
      <c r="D267" t="s">
        <v>28</v>
      </c>
      <c r="E267" s="41" t="s">
        <v>1587</v>
      </c>
      <c r="F267" s="42" t="s">
        <v>744</v>
      </c>
      <c r="G267" s="428" t="e">
        <f>COUNTIF(#REF!,B267)</f>
        <v>#REF!</v>
      </c>
    </row>
    <row r="268" spans="1:7">
      <c r="A268" s="612" t="s">
        <v>2381</v>
      </c>
      <c r="B268" s="431">
        <v>267</v>
      </c>
      <c r="C268" s="431" t="s">
        <v>309</v>
      </c>
      <c r="D268" t="s">
        <v>29</v>
      </c>
      <c r="E268" s="41" t="s">
        <v>1453</v>
      </c>
      <c r="F268" s="42" t="s">
        <v>621</v>
      </c>
      <c r="G268" s="428" t="e">
        <f>COUNTIF(#REF!,B268)</f>
        <v>#REF!</v>
      </c>
    </row>
    <row r="269" spans="1:7">
      <c r="A269" s="612" t="s">
        <v>2382</v>
      </c>
      <c r="B269" s="431">
        <v>268</v>
      </c>
      <c r="C269" s="431" t="s">
        <v>310</v>
      </c>
      <c r="D269" t="s">
        <v>29</v>
      </c>
      <c r="E269" s="41" t="s">
        <v>1588</v>
      </c>
      <c r="F269" s="42" t="s">
        <v>745</v>
      </c>
      <c r="G269" s="428" t="e">
        <f>COUNTIF(#REF!,B269)</f>
        <v>#REF!</v>
      </c>
    </row>
    <row r="270" spans="1:7">
      <c r="A270" s="612" t="s">
        <v>2383</v>
      </c>
      <c r="B270" s="431">
        <v>269</v>
      </c>
      <c r="C270" s="431" t="s">
        <v>311</v>
      </c>
      <c r="D270" t="s">
        <v>29</v>
      </c>
      <c r="E270" s="41" t="s">
        <v>1589</v>
      </c>
      <c r="F270" s="42" t="s">
        <v>746</v>
      </c>
      <c r="G270" s="428" t="e">
        <f>COUNTIF(#REF!,B270)</f>
        <v>#REF!</v>
      </c>
    </row>
    <row r="271" spans="1:7">
      <c r="A271" s="612" t="s">
        <v>2384</v>
      </c>
      <c r="B271" s="431">
        <v>270</v>
      </c>
      <c r="C271" s="431" t="s">
        <v>312</v>
      </c>
      <c r="D271" t="s">
        <v>28</v>
      </c>
      <c r="E271" s="41" t="s">
        <v>1590</v>
      </c>
      <c r="F271" s="42" t="s">
        <v>747</v>
      </c>
      <c r="G271" s="428" t="e">
        <f>COUNTIF(#REF!,B271)</f>
        <v>#REF!</v>
      </c>
    </row>
    <row r="272" spans="1:7">
      <c r="A272" s="612" t="s">
        <v>2385</v>
      </c>
      <c r="B272" s="431">
        <v>271</v>
      </c>
      <c r="C272" s="431" t="s">
        <v>313</v>
      </c>
      <c r="D272" t="s">
        <v>29</v>
      </c>
      <c r="E272" s="41" t="s">
        <v>1591</v>
      </c>
      <c r="F272" s="42" t="s">
        <v>748</v>
      </c>
      <c r="G272" s="428" t="e">
        <f>COUNTIF(#REF!,B272)</f>
        <v>#REF!</v>
      </c>
    </row>
    <row r="273" spans="1:7">
      <c r="A273" s="612" t="s">
        <v>2386</v>
      </c>
      <c r="B273" s="431">
        <v>272</v>
      </c>
      <c r="C273" s="431" t="s">
        <v>314</v>
      </c>
      <c r="D273" t="s">
        <v>28</v>
      </c>
      <c r="E273" s="41" t="s">
        <v>1344</v>
      </c>
      <c r="F273" s="42" t="s">
        <v>523</v>
      </c>
      <c r="G273" s="428" t="e">
        <f>COUNTIF(#REF!,B273)</f>
        <v>#REF!</v>
      </c>
    </row>
    <row r="274" spans="1:7">
      <c r="A274" s="612" t="s">
        <v>2387</v>
      </c>
      <c r="B274" s="431">
        <v>273</v>
      </c>
      <c r="C274" s="431" t="s">
        <v>315</v>
      </c>
      <c r="D274" t="s">
        <v>29</v>
      </c>
      <c r="E274" s="41" t="s">
        <v>1398</v>
      </c>
      <c r="F274" s="42" t="s">
        <v>749</v>
      </c>
      <c r="G274" s="428" t="e">
        <f>COUNTIF(#REF!,B274)</f>
        <v>#REF!</v>
      </c>
    </row>
    <row r="275" spans="1:7">
      <c r="A275" s="612" t="s">
        <v>2388</v>
      </c>
      <c r="B275" s="432">
        <v>274</v>
      </c>
      <c r="C275" s="431" t="s">
        <v>316</v>
      </c>
      <c r="D275" t="s">
        <v>30</v>
      </c>
      <c r="E275" s="41" t="s">
        <v>1592</v>
      </c>
      <c r="F275" s="42" t="s">
        <v>750</v>
      </c>
      <c r="G275" s="428" t="e">
        <f>COUNTIF(#REF!,B275)</f>
        <v>#REF!</v>
      </c>
    </row>
    <row r="276" spans="1:7">
      <c r="A276" s="612" t="s">
        <v>2389</v>
      </c>
      <c r="B276" s="432">
        <v>275</v>
      </c>
      <c r="C276" s="431" t="s">
        <v>317</v>
      </c>
      <c r="D276" t="s">
        <v>30</v>
      </c>
      <c r="E276" s="41" t="s">
        <v>1593</v>
      </c>
      <c r="F276" s="42" t="s">
        <v>751</v>
      </c>
      <c r="G276" s="428" t="e">
        <f>COUNTIF(#REF!,B276)</f>
        <v>#REF!</v>
      </c>
    </row>
    <row r="277" spans="1:7">
      <c r="A277" s="612" t="s">
        <v>2390</v>
      </c>
      <c r="B277" s="432">
        <v>276</v>
      </c>
      <c r="C277" s="431" t="s">
        <v>318</v>
      </c>
      <c r="D277" t="s">
        <v>945</v>
      </c>
      <c r="E277" s="41" t="s">
        <v>1594</v>
      </c>
      <c r="F277" s="42" t="s">
        <v>752</v>
      </c>
      <c r="G277" s="428" t="e">
        <f>COUNTIF(#REF!,B277)</f>
        <v>#REF!</v>
      </c>
    </row>
    <row r="278" spans="1:7">
      <c r="A278" s="612" t="s">
        <v>2391</v>
      </c>
      <c r="B278" s="432">
        <v>277</v>
      </c>
      <c r="C278" s="431" t="s">
        <v>319</v>
      </c>
      <c r="D278" t="s">
        <v>2640</v>
      </c>
      <c r="E278" s="41" t="s">
        <v>1425</v>
      </c>
      <c r="F278" s="42" t="s">
        <v>753</v>
      </c>
      <c r="G278" s="428" t="e">
        <f>COUNTIF(#REF!,B278)</f>
        <v>#REF!</v>
      </c>
    </row>
    <row r="279" spans="1:7">
      <c r="A279" s="612" t="s">
        <v>2392</v>
      </c>
      <c r="B279" s="432">
        <v>278</v>
      </c>
      <c r="C279" s="431" t="s">
        <v>320</v>
      </c>
      <c r="D279" t="s">
        <v>30</v>
      </c>
      <c r="E279" s="41" t="s">
        <v>1595</v>
      </c>
      <c r="F279" s="42" t="s">
        <v>754</v>
      </c>
      <c r="G279" s="428" t="e">
        <f>COUNTIF(#REF!,B279)</f>
        <v>#REF!</v>
      </c>
    </row>
    <row r="280" spans="1:7">
      <c r="A280" s="612" t="s">
        <v>2393</v>
      </c>
      <c r="B280" s="432">
        <v>279</v>
      </c>
      <c r="C280" s="431" t="s">
        <v>321</v>
      </c>
      <c r="D280" t="s">
        <v>2640</v>
      </c>
      <c r="E280" s="41" t="s">
        <v>1596</v>
      </c>
      <c r="F280" s="42" t="s">
        <v>755</v>
      </c>
      <c r="G280" s="428" t="e">
        <f>COUNTIF(#REF!,B280)</f>
        <v>#REF!</v>
      </c>
    </row>
    <row r="281" spans="1:7">
      <c r="A281" s="612" t="s">
        <v>2394</v>
      </c>
      <c r="B281" s="432">
        <v>280</v>
      </c>
      <c r="C281" s="431" t="s">
        <v>322</v>
      </c>
      <c r="D281" t="s">
        <v>945</v>
      </c>
      <c r="E281" s="41" t="s">
        <v>1597</v>
      </c>
      <c r="F281" s="42" t="s">
        <v>756</v>
      </c>
      <c r="G281" s="428" t="e">
        <f>COUNTIF(#REF!,B281)</f>
        <v>#REF!</v>
      </c>
    </row>
    <row r="282" spans="1:7">
      <c r="A282" s="612" t="s">
        <v>2395</v>
      </c>
      <c r="B282" s="432">
        <v>281</v>
      </c>
      <c r="C282" s="431" t="s">
        <v>323</v>
      </c>
      <c r="D282" t="s">
        <v>2640</v>
      </c>
      <c r="E282" s="41" t="s">
        <v>1598</v>
      </c>
      <c r="F282" s="42" t="s">
        <v>757</v>
      </c>
      <c r="G282" s="428" t="e">
        <f>COUNTIF(#REF!,B282)</f>
        <v>#REF!</v>
      </c>
    </row>
    <row r="283" spans="1:7">
      <c r="A283" s="612" t="s">
        <v>2396</v>
      </c>
      <c r="B283" s="432">
        <v>282</v>
      </c>
      <c r="C283" s="431" t="s">
        <v>324</v>
      </c>
      <c r="D283" t="s">
        <v>30</v>
      </c>
      <c r="E283" s="41" t="s">
        <v>1599</v>
      </c>
      <c r="F283" s="42" t="s">
        <v>758</v>
      </c>
      <c r="G283" s="428" t="e">
        <f>COUNTIF(#REF!,B283)</f>
        <v>#REF!</v>
      </c>
    </row>
    <row r="284" spans="1:7">
      <c r="A284" s="612" t="s">
        <v>2397</v>
      </c>
      <c r="B284" s="432">
        <v>283</v>
      </c>
      <c r="C284" s="431" t="s">
        <v>325</v>
      </c>
      <c r="D284" t="s">
        <v>945</v>
      </c>
      <c r="E284" s="41" t="s">
        <v>1600</v>
      </c>
      <c r="F284" s="42" t="s">
        <v>759</v>
      </c>
      <c r="G284" s="428" t="e">
        <f>COUNTIF(#REF!,B284)</f>
        <v>#REF!</v>
      </c>
    </row>
    <row r="285" spans="1:7">
      <c r="A285" s="612" t="s">
        <v>2398</v>
      </c>
      <c r="B285" s="432">
        <v>284</v>
      </c>
      <c r="C285" s="431" t="s">
        <v>326</v>
      </c>
      <c r="D285" t="s">
        <v>30</v>
      </c>
      <c r="E285" s="41" t="s">
        <v>1601</v>
      </c>
      <c r="F285" s="42" t="s">
        <v>760</v>
      </c>
      <c r="G285" s="428" t="e">
        <f>COUNTIF(#REF!,B285)</f>
        <v>#REF!</v>
      </c>
    </row>
    <row r="286" spans="1:7">
      <c r="A286" s="612" t="s">
        <v>2399</v>
      </c>
      <c r="B286" s="432">
        <v>285</v>
      </c>
      <c r="C286" s="431" t="s">
        <v>327</v>
      </c>
      <c r="D286" t="s">
        <v>2640</v>
      </c>
      <c r="E286" s="41" t="s">
        <v>1602</v>
      </c>
      <c r="F286" s="42" t="s">
        <v>761</v>
      </c>
      <c r="G286" s="428" t="e">
        <f>COUNTIF(#REF!,B286)</f>
        <v>#REF!</v>
      </c>
    </row>
    <row r="287" spans="1:7">
      <c r="A287" s="612" t="s">
        <v>2400</v>
      </c>
      <c r="B287" s="432">
        <v>286</v>
      </c>
      <c r="C287" s="431" t="s">
        <v>328</v>
      </c>
      <c r="D287" t="s">
        <v>945</v>
      </c>
      <c r="E287" s="41" t="s">
        <v>1601</v>
      </c>
      <c r="F287" s="42" t="s">
        <v>762</v>
      </c>
      <c r="G287" s="428" t="e">
        <f>COUNTIF(#REF!,B287)</f>
        <v>#REF!</v>
      </c>
    </row>
    <row r="288" spans="1:7">
      <c r="A288" s="612" t="s">
        <v>2401</v>
      </c>
      <c r="B288" s="432">
        <v>287</v>
      </c>
      <c r="C288" s="431" t="s">
        <v>329</v>
      </c>
      <c r="D288" t="s">
        <v>28</v>
      </c>
      <c r="E288" s="41" t="s">
        <v>1603</v>
      </c>
      <c r="F288" s="42" t="s">
        <v>763</v>
      </c>
      <c r="G288" s="428" t="e">
        <f>COUNTIF(#REF!,B288)</f>
        <v>#REF!</v>
      </c>
    </row>
    <row r="289" spans="1:7">
      <c r="A289" s="612" t="s">
        <v>2402</v>
      </c>
      <c r="B289" s="432">
        <v>288</v>
      </c>
      <c r="C289" s="431" t="s">
        <v>330</v>
      </c>
      <c r="D289" t="s">
        <v>28</v>
      </c>
      <c r="E289" s="41" t="s">
        <v>1604</v>
      </c>
      <c r="F289" s="42" t="s">
        <v>764</v>
      </c>
      <c r="G289" s="428" t="e">
        <f>COUNTIF(#REF!,B289)</f>
        <v>#REF!</v>
      </c>
    </row>
    <row r="290" spans="1:7">
      <c r="A290" s="612" t="s">
        <v>2403</v>
      </c>
      <c r="B290" s="432">
        <v>289</v>
      </c>
      <c r="C290" s="431" t="s">
        <v>331</v>
      </c>
      <c r="D290" t="s">
        <v>2640</v>
      </c>
      <c r="E290" s="41" t="s">
        <v>1605</v>
      </c>
      <c r="F290" s="42" t="s">
        <v>1943</v>
      </c>
      <c r="G290" s="428" t="e">
        <f>COUNTIF(#REF!,B290)</f>
        <v>#REF!</v>
      </c>
    </row>
    <row r="291" spans="1:7">
      <c r="A291" s="612" t="s">
        <v>2404</v>
      </c>
      <c r="B291" s="432">
        <v>290</v>
      </c>
      <c r="C291" s="431" t="s">
        <v>332</v>
      </c>
      <c r="D291" t="s">
        <v>945</v>
      </c>
      <c r="E291" s="41" t="s">
        <v>1606</v>
      </c>
      <c r="F291" s="42" t="s">
        <v>765</v>
      </c>
      <c r="G291" s="428" t="e">
        <f>COUNTIF(#REF!,B291)</f>
        <v>#REF!</v>
      </c>
    </row>
    <row r="292" spans="1:7">
      <c r="A292" s="612" t="s">
        <v>2405</v>
      </c>
      <c r="B292" s="432">
        <v>291</v>
      </c>
      <c r="C292" s="431" t="s">
        <v>333</v>
      </c>
      <c r="D292" t="s">
        <v>945</v>
      </c>
      <c r="E292" s="41" t="s">
        <v>1607</v>
      </c>
      <c r="F292" s="42" t="s">
        <v>766</v>
      </c>
      <c r="G292" s="428" t="e">
        <f>COUNTIF(#REF!,B292)</f>
        <v>#REF!</v>
      </c>
    </row>
    <row r="293" spans="1:7">
      <c r="A293" s="612" t="s">
        <v>2406</v>
      </c>
      <c r="B293" s="432">
        <v>292</v>
      </c>
      <c r="C293" s="431" t="s">
        <v>334</v>
      </c>
      <c r="D293" t="s">
        <v>30</v>
      </c>
      <c r="E293" s="41" t="s">
        <v>1608</v>
      </c>
      <c r="F293" s="42" t="s">
        <v>767</v>
      </c>
      <c r="G293" s="428" t="e">
        <f>COUNTIF(#REF!,B293)</f>
        <v>#REF!</v>
      </c>
    </row>
    <row r="294" spans="1:7">
      <c r="A294" s="612" t="s">
        <v>2407</v>
      </c>
      <c r="B294" s="432">
        <v>293</v>
      </c>
      <c r="C294" s="431" t="s">
        <v>335</v>
      </c>
      <c r="D294" t="s">
        <v>29</v>
      </c>
      <c r="E294" s="41" t="s">
        <v>1609</v>
      </c>
      <c r="F294" s="42" t="s">
        <v>1944</v>
      </c>
      <c r="G294" s="428" t="e">
        <f>COUNTIF(#REF!,B294)</f>
        <v>#REF!</v>
      </c>
    </row>
    <row r="295" spans="1:7">
      <c r="A295" s="612" t="s">
        <v>2408</v>
      </c>
      <c r="B295" s="432">
        <v>294</v>
      </c>
      <c r="C295" s="431" t="s">
        <v>336</v>
      </c>
      <c r="D295" t="s">
        <v>29</v>
      </c>
      <c r="E295" s="41" t="s">
        <v>1610</v>
      </c>
      <c r="F295" s="42" t="s">
        <v>768</v>
      </c>
      <c r="G295" s="428" t="e">
        <f>COUNTIF(#REF!,B295)</f>
        <v>#REF!</v>
      </c>
    </row>
    <row r="296" spans="1:7">
      <c r="A296" s="612" t="s">
        <v>2409</v>
      </c>
      <c r="B296" s="432">
        <v>295</v>
      </c>
      <c r="C296" s="431" t="s">
        <v>337</v>
      </c>
      <c r="D296" t="s">
        <v>30</v>
      </c>
      <c r="E296" s="41" t="s">
        <v>1611</v>
      </c>
      <c r="F296" s="42" t="s">
        <v>769</v>
      </c>
      <c r="G296" s="428" t="e">
        <f>COUNTIF(#REF!,B296)</f>
        <v>#REF!</v>
      </c>
    </row>
    <row r="297" spans="1:7">
      <c r="A297" s="612" t="s">
        <v>2410</v>
      </c>
      <c r="B297" s="432">
        <v>296</v>
      </c>
      <c r="C297" s="431" t="s">
        <v>338</v>
      </c>
      <c r="D297" t="s">
        <v>30</v>
      </c>
      <c r="E297" s="41" t="s">
        <v>1612</v>
      </c>
      <c r="F297" s="42" t="s">
        <v>770</v>
      </c>
      <c r="G297" s="428" t="e">
        <f>COUNTIF(#REF!,B297)</f>
        <v>#REF!</v>
      </c>
    </row>
    <row r="298" spans="1:7">
      <c r="A298" s="612" t="s">
        <v>2411</v>
      </c>
      <c r="B298" s="432">
        <v>297</v>
      </c>
      <c r="C298" s="431" t="s">
        <v>339</v>
      </c>
      <c r="D298" t="s">
        <v>945</v>
      </c>
      <c r="E298" s="41" t="s">
        <v>1613</v>
      </c>
      <c r="F298" s="42" t="s">
        <v>771</v>
      </c>
      <c r="G298" s="428" t="e">
        <f>COUNTIF(#REF!,B298)</f>
        <v>#REF!</v>
      </c>
    </row>
    <row r="299" spans="1:7">
      <c r="A299" s="612" t="s">
        <v>2412</v>
      </c>
      <c r="B299" s="432">
        <v>298</v>
      </c>
      <c r="C299" s="431" t="s">
        <v>340</v>
      </c>
      <c r="D299" t="s">
        <v>2640</v>
      </c>
      <c r="E299" s="41" t="s">
        <v>1614</v>
      </c>
      <c r="F299" s="42" t="s">
        <v>772</v>
      </c>
      <c r="G299" s="428" t="e">
        <f>COUNTIF(#REF!,B299)</f>
        <v>#REF!</v>
      </c>
    </row>
    <row r="300" spans="1:7">
      <c r="A300" s="612" t="s">
        <v>2413</v>
      </c>
      <c r="B300" s="432">
        <v>299</v>
      </c>
      <c r="C300" s="431" t="s">
        <v>341</v>
      </c>
      <c r="D300" t="s">
        <v>2640</v>
      </c>
      <c r="E300" s="41" t="s">
        <v>1615</v>
      </c>
      <c r="F300" s="42" t="s">
        <v>773</v>
      </c>
      <c r="G300" s="428" t="e">
        <f>COUNTIF(#REF!,B300)</f>
        <v>#REF!</v>
      </c>
    </row>
    <row r="301" spans="1:7">
      <c r="A301" s="612" t="s">
        <v>2414</v>
      </c>
      <c r="B301" s="432">
        <v>300</v>
      </c>
      <c r="C301" s="431" t="s">
        <v>342</v>
      </c>
      <c r="D301" t="s">
        <v>945</v>
      </c>
      <c r="E301" s="41" t="s">
        <v>1616</v>
      </c>
      <c r="F301" s="42" t="s">
        <v>774</v>
      </c>
      <c r="G301" s="428" t="e">
        <f>COUNTIF(#REF!,B301)</f>
        <v>#REF!</v>
      </c>
    </row>
    <row r="302" spans="1:7">
      <c r="A302" s="612" t="s">
        <v>2415</v>
      </c>
      <c r="B302" s="432">
        <v>301</v>
      </c>
      <c r="C302" s="431" t="s">
        <v>343</v>
      </c>
      <c r="D302" t="s">
        <v>945</v>
      </c>
      <c r="E302" s="41" t="s">
        <v>1617</v>
      </c>
      <c r="F302" s="42" t="s">
        <v>1945</v>
      </c>
      <c r="G302" s="428" t="e">
        <f>COUNTIF(#REF!,B302)</f>
        <v>#REF!</v>
      </c>
    </row>
    <row r="303" spans="1:7">
      <c r="A303" s="612" t="s">
        <v>2416</v>
      </c>
      <c r="B303" s="432">
        <v>302</v>
      </c>
      <c r="C303" s="431" t="s">
        <v>344</v>
      </c>
      <c r="D303" t="s">
        <v>2640</v>
      </c>
      <c r="E303" s="41" t="s">
        <v>1618</v>
      </c>
      <c r="F303" s="42" t="s">
        <v>1946</v>
      </c>
      <c r="G303" s="428" t="e">
        <f>COUNTIF(#REF!,B303)</f>
        <v>#REF!</v>
      </c>
    </row>
    <row r="304" spans="1:7">
      <c r="A304" s="612" t="s">
        <v>2417</v>
      </c>
      <c r="B304" s="432">
        <v>303</v>
      </c>
      <c r="C304" s="431" t="s">
        <v>345</v>
      </c>
      <c r="D304" t="s">
        <v>2640</v>
      </c>
      <c r="E304" s="41" t="s">
        <v>1619</v>
      </c>
      <c r="F304" s="42" t="s">
        <v>1947</v>
      </c>
      <c r="G304" s="428" t="e">
        <f>COUNTIF(#REF!,B304)</f>
        <v>#REF!</v>
      </c>
    </row>
    <row r="305" spans="1:7">
      <c r="A305" s="612" t="s">
        <v>2418</v>
      </c>
      <c r="B305" s="432">
        <v>304</v>
      </c>
      <c r="C305" s="431" t="s">
        <v>346</v>
      </c>
      <c r="D305" t="s">
        <v>945</v>
      </c>
      <c r="E305" s="41" t="s">
        <v>1620</v>
      </c>
      <c r="F305" s="42" t="s">
        <v>1948</v>
      </c>
      <c r="G305" s="428" t="e">
        <f>COUNTIF(#REF!,B305)</f>
        <v>#REF!</v>
      </c>
    </row>
    <row r="306" spans="1:7">
      <c r="A306" s="612" t="s">
        <v>2419</v>
      </c>
      <c r="B306" s="432">
        <v>305</v>
      </c>
      <c r="C306" s="431" t="s">
        <v>347</v>
      </c>
      <c r="D306" t="s">
        <v>945</v>
      </c>
      <c r="E306" s="41" t="s">
        <v>1621</v>
      </c>
      <c r="F306" s="42" t="s">
        <v>1949</v>
      </c>
      <c r="G306" s="428" t="e">
        <f>COUNTIF(#REF!,B306)</f>
        <v>#REF!</v>
      </c>
    </row>
    <row r="307" spans="1:7">
      <c r="A307" s="612" t="s">
        <v>2420</v>
      </c>
      <c r="B307" s="432">
        <v>306</v>
      </c>
      <c r="C307" s="431" t="s">
        <v>348</v>
      </c>
      <c r="D307" t="s">
        <v>945</v>
      </c>
      <c r="E307" s="41" t="s">
        <v>1622</v>
      </c>
      <c r="F307" s="42" t="s">
        <v>1950</v>
      </c>
      <c r="G307" s="428" t="e">
        <f>COUNTIF(#REF!,B307)</f>
        <v>#REF!</v>
      </c>
    </row>
    <row r="308" spans="1:7">
      <c r="A308" s="612" t="s">
        <v>2421</v>
      </c>
      <c r="B308" s="432">
        <v>307</v>
      </c>
      <c r="C308" s="431" t="s">
        <v>349</v>
      </c>
      <c r="D308" t="s">
        <v>945</v>
      </c>
      <c r="E308" s="41" t="s">
        <v>1623</v>
      </c>
      <c r="F308" s="42" t="s">
        <v>1951</v>
      </c>
      <c r="G308" s="428" t="e">
        <f>COUNTIF(#REF!,B308)</f>
        <v>#REF!</v>
      </c>
    </row>
    <row r="309" spans="1:7">
      <c r="A309" s="612" t="s">
        <v>2422</v>
      </c>
      <c r="B309" s="432">
        <v>308</v>
      </c>
      <c r="C309" s="431" t="s">
        <v>350</v>
      </c>
      <c r="D309" t="s">
        <v>945</v>
      </c>
      <c r="E309" s="41" t="s">
        <v>1624</v>
      </c>
      <c r="F309" s="42" t="s">
        <v>1952</v>
      </c>
      <c r="G309" s="428" t="e">
        <f>COUNTIF(#REF!,B309)</f>
        <v>#REF!</v>
      </c>
    </row>
    <row r="310" spans="1:7">
      <c r="A310" s="612" t="s">
        <v>2423</v>
      </c>
      <c r="B310" s="432">
        <v>309</v>
      </c>
      <c r="C310" s="431" t="s">
        <v>351</v>
      </c>
      <c r="D310" t="s">
        <v>945</v>
      </c>
      <c r="E310" s="41" t="s">
        <v>1625</v>
      </c>
      <c r="F310" s="42" t="s">
        <v>1953</v>
      </c>
      <c r="G310" s="428" t="e">
        <f>COUNTIF(#REF!,B310)</f>
        <v>#REF!</v>
      </c>
    </row>
    <row r="311" spans="1:7">
      <c r="A311" s="612" t="s">
        <v>2424</v>
      </c>
      <c r="B311" s="432">
        <v>310</v>
      </c>
      <c r="C311" s="431" t="s">
        <v>352</v>
      </c>
      <c r="D311" t="s">
        <v>945</v>
      </c>
      <c r="E311" s="41" t="s">
        <v>1626</v>
      </c>
      <c r="F311" s="42" t="s">
        <v>1954</v>
      </c>
      <c r="G311" s="428" t="e">
        <f>COUNTIF(#REF!,B311)</f>
        <v>#REF!</v>
      </c>
    </row>
    <row r="312" spans="1:7">
      <c r="A312" s="612" t="s">
        <v>2425</v>
      </c>
      <c r="B312" s="432">
        <v>311</v>
      </c>
      <c r="C312" s="431" t="s">
        <v>353</v>
      </c>
      <c r="D312" t="s">
        <v>945</v>
      </c>
      <c r="E312" s="41" t="s">
        <v>1627</v>
      </c>
      <c r="F312" s="42" t="s">
        <v>1955</v>
      </c>
      <c r="G312" s="428" t="e">
        <f>COUNTIF(#REF!,B312)</f>
        <v>#REF!</v>
      </c>
    </row>
    <row r="313" spans="1:7">
      <c r="A313" s="612" t="s">
        <v>2426</v>
      </c>
      <c r="B313" s="432">
        <v>312</v>
      </c>
      <c r="C313" s="431" t="s">
        <v>354</v>
      </c>
      <c r="D313" t="s">
        <v>945</v>
      </c>
      <c r="E313" s="41" t="s">
        <v>1628</v>
      </c>
      <c r="F313" s="42" t="s">
        <v>1956</v>
      </c>
      <c r="G313" s="428" t="e">
        <f>COUNTIF(#REF!,B313)</f>
        <v>#REF!</v>
      </c>
    </row>
    <row r="314" spans="1:7">
      <c r="A314" s="612" t="s">
        <v>2427</v>
      </c>
      <c r="B314" s="432">
        <v>313</v>
      </c>
      <c r="C314" s="431" t="s">
        <v>355</v>
      </c>
      <c r="D314" t="s">
        <v>2640</v>
      </c>
      <c r="E314" s="41" t="s">
        <v>1629</v>
      </c>
      <c r="F314" s="42" t="s">
        <v>775</v>
      </c>
      <c r="G314" s="428" t="e">
        <f>COUNTIF(#REF!,B314)</f>
        <v>#REF!</v>
      </c>
    </row>
    <row r="315" spans="1:7">
      <c r="A315" s="612" t="s">
        <v>2428</v>
      </c>
      <c r="B315" s="432">
        <v>314</v>
      </c>
      <c r="C315" s="431" t="s">
        <v>356</v>
      </c>
      <c r="D315" t="s">
        <v>2640</v>
      </c>
      <c r="E315" s="41" t="s">
        <v>1630</v>
      </c>
      <c r="F315" s="42" t="s">
        <v>776</v>
      </c>
      <c r="G315" s="428" t="e">
        <f>COUNTIF(#REF!,B315)</f>
        <v>#REF!</v>
      </c>
    </row>
    <row r="316" spans="1:7">
      <c r="A316" s="612" t="s">
        <v>2429</v>
      </c>
      <c r="B316" s="432">
        <v>315</v>
      </c>
      <c r="C316" s="431" t="s">
        <v>357</v>
      </c>
      <c r="D316" t="s">
        <v>2640</v>
      </c>
      <c r="E316" s="41" t="s">
        <v>1631</v>
      </c>
      <c r="F316" s="42" t="s">
        <v>777</v>
      </c>
      <c r="G316" s="428" t="e">
        <f>COUNTIF(#REF!,B316)</f>
        <v>#REF!</v>
      </c>
    </row>
    <row r="317" spans="1:7">
      <c r="A317" s="612" t="s">
        <v>2430</v>
      </c>
      <c r="B317" s="432">
        <v>316</v>
      </c>
      <c r="C317" s="431" t="s">
        <v>358</v>
      </c>
      <c r="D317" t="s">
        <v>30</v>
      </c>
      <c r="E317" s="41" t="s">
        <v>1405</v>
      </c>
      <c r="F317" s="42" t="s">
        <v>778</v>
      </c>
      <c r="G317" s="428" t="e">
        <f>COUNTIF(#REF!,B317)</f>
        <v>#REF!</v>
      </c>
    </row>
    <row r="318" spans="1:7">
      <c r="A318" s="612" t="s">
        <v>2431</v>
      </c>
      <c r="B318" s="432">
        <v>317</v>
      </c>
      <c r="C318" s="431" t="s">
        <v>359</v>
      </c>
      <c r="D318" t="s">
        <v>30</v>
      </c>
      <c r="E318" s="41" t="s">
        <v>1632</v>
      </c>
      <c r="F318" s="42" t="s">
        <v>779</v>
      </c>
      <c r="G318" s="428" t="e">
        <f>COUNTIF(#REF!,B318)</f>
        <v>#REF!</v>
      </c>
    </row>
    <row r="319" spans="1:7">
      <c r="A319" s="612" t="s">
        <v>2432</v>
      </c>
      <c r="B319" s="432">
        <v>318</v>
      </c>
      <c r="C319" s="431" t="s">
        <v>360</v>
      </c>
      <c r="D319" t="s">
        <v>945</v>
      </c>
      <c r="E319" s="41" t="s">
        <v>1633</v>
      </c>
      <c r="F319" s="42" t="s">
        <v>780</v>
      </c>
      <c r="G319" s="428" t="e">
        <f>COUNTIF(#REF!,B319)</f>
        <v>#REF!</v>
      </c>
    </row>
    <row r="320" spans="1:7">
      <c r="A320" s="612" t="s">
        <v>2433</v>
      </c>
      <c r="B320" s="432">
        <v>319</v>
      </c>
      <c r="C320" s="431" t="s">
        <v>361</v>
      </c>
      <c r="D320" t="s">
        <v>2640</v>
      </c>
      <c r="E320" s="41" t="s">
        <v>1634</v>
      </c>
      <c r="F320" s="42" t="s">
        <v>781</v>
      </c>
      <c r="G320" s="428" t="e">
        <f>COUNTIF(#REF!,B320)</f>
        <v>#REF!</v>
      </c>
    </row>
    <row r="321" spans="1:7">
      <c r="A321" s="612" t="s">
        <v>2434</v>
      </c>
      <c r="B321" s="432">
        <v>320</v>
      </c>
      <c r="C321" s="431" t="s">
        <v>362</v>
      </c>
      <c r="D321" t="s">
        <v>945</v>
      </c>
      <c r="E321" s="41" t="s">
        <v>1635</v>
      </c>
      <c r="F321" s="42" t="s">
        <v>782</v>
      </c>
      <c r="G321" s="428" t="e">
        <f>COUNTIF(#REF!,B321)</f>
        <v>#REF!</v>
      </c>
    </row>
    <row r="322" spans="1:7">
      <c r="A322" s="612" t="s">
        <v>2435</v>
      </c>
      <c r="B322" s="432">
        <v>321</v>
      </c>
      <c r="C322" s="431" t="s">
        <v>363</v>
      </c>
      <c r="D322" t="s">
        <v>30</v>
      </c>
      <c r="E322" s="41" t="s">
        <v>1636</v>
      </c>
      <c r="F322" s="42" t="s">
        <v>783</v>
      </c>
      <c r="G322" s="428" t="e">
        <f>COUNTIF(#REF!,B322)</f>
        <v>#REF!</v>
      </c>
    </row>
    <row r="323" spans="1:7">
      <c r="A323" s="612" t="s">
        <v>2436</v>
      </c>
      <c r="B323" s="432">
        <v>322</v>
      </c>
      <c r="C323" s="431" t="s">
        <v>364</v>
      </c>
      <c r="D323" t="s">
        <v>945</v>
      </c>
      <c r="E323" s="41" t="s">
        <v>1637</v>
      </c>
      <c r="F323" s="42" t="s">
        <v>784</v>
      </c>
      <c r="G323" s="428" t="e">
        <f>COUNTIF(#REF!,B323)</f>
        <v>#REF!</v>
      </c>
    </row>
    <row r="324" spans="1:7">
      <c r="A324" s="612" t="s">
        <v>2437</v>
      </c>
      <c r="B324" s="432">
        <v>323</v>
      </c>
      <c r="C324" s="431" t="s">
        <v>365</v>
      </c>
      <c r="D324" t="s">
        <v>2640</v>
      </c>
      <c r="E324" s="41" t="s">
        <v>1638</v>
      </c>
      <c r="F324" s="42" t="s">
        <v>785</v>
      </c>
      <c r="G324" s="428" t="e">
        <f>COUNTIF(#REF!,B324)</f>
        <v>#REF!</v>
      </c>
    </row>
    <row r="325" spans="1:7">
      <c r="A325" s="612" t="s">
        <v>2438</v>
      </c>
      <c r="B325" s="432">
        <v>324</v>
      </c>
      <c r="C325" s="431" t="s">
        <v>366</v>
      </c>
      <c r="D325" t="s">
        <v>2640</v>
      </c>
      <c r="E325" s="41" t="s">
        <v>1639</v>
      </c>
      <c r="F325" s="42" t="s">
        <v>786</v>
      </c>
      <c r="G325" s="428" t="e">
        <f>COUNTIF(#REF!,B325)</f>
        <v>#REF!</v>
      </c>
    </row>
    <row r="326" spans="1:7">
      <c r="A326" s="612" t="s">
        <v>2439</v>
      </c>
      <c r="B326" s="432">
        <v>325</v>
      </c>
      <c r="C326" s="431" t="s">
        <v>367</v>
      </c>
      <c r="D326" t="s">
        <v>945</v>
      </c>
      <c r="E326" s="41" t="s">
        <v>1640</v>
      </c>
      <c r="F326" s="42" t="s">
        <v>787</v>
      </c>
      <c r="G326" s="428" t="e">
        <f>COUNTIF(#REF!,B326)</f>
        <v>#REF!</v>
      </c>
    </row>
    <row r="327" spans="1:7">
      <c r="A327" s="612" t="s">
        <v>2440</v>
      </c>
      <c r="B327" s="432">
        <v>326</v>
      </c>
      <c r="C327" s="431" t="s">
        <v>368</v>
      </c>
      <c r="D327" t="s">
        <v>2640</v>
      </c>
      <c r="E327" s="41" t="s">
        <v>1641</v>
      </c>
      <c r="F327" s="42" t="s">
        <v>788</v>
      </c>
      <c r="G327" s="428" t="e">
        <f>COUNTIF(#REF!,B327)</f>
        <v>#REF!</v>
      </c>
    </row>
    <row r="328" spans="1:7">
      <c r="A328" s="612" t="s">
        <v>2441</v>
      </c>
      <c r="B328" s="432">
        <v>327</v>
      </c>
      <c r="C328" s="431" t="s">
        <v>369</v>
      </c>
      <c r="D328" t="s">
        <v>2640</v>
      </c>
      <c r="E328" s="41" t="s">
        <v>1642</v>
      </c>
      <c r="F328" s="42" t="s">
        <v>789</v>
      </c>
      <c r="G328" s="428" t="e">
        <f>COUNTIF(#REF!,B328)</f>
        <v>#REF!</v>
      </c>
    </row>
    <row r="329" spans="1:7">
      <c r="A329" s="612" t="s">
        <v>2442</v>
      </c>
      <c r="B329" s="432">
        <v>328</v>
      </c>
      <c r="C329" s="431" t="s">
        <v>370</v>
      </c>
      <c r="D329" t="s">
        <v>2640</v>
      </c>
      <c r="E329" s="41" t="s">
        <v>1643</v>
      </c>
      <c r="F329" s="42" t="s">
        <v>790</v>
      </c>
      <c r="G329" s="428" t="e">
        <f>COUNTIF(#REF!,B329)</f>
        <v>#REF!</v>
      </c>
    </row>
    <row r="330" spans="1:7">
      <c r="A330" s="612" t="s">
        <v>2443</v>
      </c>
      <c r="B330" s="432">
        <v>329</v>
      </c>
      <c r="C330" s="431" t="s">
        <v>371</v>
      </c>
      <c r="D330" t="s">
        <v>2640</v>
      </c>
      <c r="E330" s="41" t="s">
        <v>1644</v>
      </c>
      <c r="F330" s="42" t="s">
        <v>791</v>
      </c>
      <c r="G330" s="428" t="e">
        <f>COUNTIF(#REF!,B330)</f>
        <v>#REF!</v>
      </c>
    </row>
    <row r="331" spans="1:7">
      <c r="A331" s="612" t="s">
        <v>2444</v>
      </c>
      <c r="B331" s="432">
        <v>330</v>
      </c>
      <c r="C331" s="431" t="s">
        <v>372</v>
      </c>
      <c r="D331" t="s">
        <v>945</v>
      </c>
      <c r="E331" s="41" t="s">
        <v>1645</v>
      </c>
      <c r="F331" s="42" t="s">
        <v>792</v>
      </c>
      <c r="G331" s="428" t="e">
        <f>COUNTIF(#REF!,B331)</f>
        <v>#REF!</v>
      </c>
    </row>
    <row r="332" spans="1:7">
      <c r="A332" s="612" t="s">
        <v>2445</v>
      </c>
      <c r="B332" s="432">
        <v>331</v>
      </c>
      <c r="C332" s="431" t="s">
        <v>373</v>
      </c>
      <c r="D332" t="s">
        <v>945</v>
      </c>
      <c r="E332" s="41" t="s">
        <v>1646</v>
      </c>
      <c r="F332" s="42" t="s">
        <v>793</v>
      </c>
      <c r="G332" s="428" t="e">
        <f>COUNTIF(#REF!,B332)</f>
        <v>#REF!</v>
      </c>
    </row>
    <row r="333" spans="1:7">
      <c r="A333" s="612" t="s">
        <v>2446</v>
      </c>
      <c r="B333" s="432">
        <v>332</v>
      </c>
      <c r="C333" s="431" t="s">
        <v>374</v>
      </c>
      <c r="D333" t="s">
        <v>945</v>
      </c>
      <c r="E333" s="41" t="s">
        <v>1647</v>
      </c>
      <c r="F333" s="42" t="s">
        <v>794</v>
      </c>
      <c r="G333" s="428" t="e">
        <f>COUNTIF(#REF!,B333)</f>
        <v>#REF!</v>
      </c>
    </row>
    <row r="334" spans="1:7">
      <c r="A334" s="612" t="s">
        <v>2447</v>
      </c>
      <c r="B334" s="432">
        <v>333</v>
      </c>
      <c r="C334" s="431" t="s">
        <v>375</v>
      </c>
      <c r="D334" t="s">
        <v>30</v>
      </c>
      <c r="E334" s="41" t="s">
        <v>1648</v>
      </c>
      <c r="F334" s="42" t="s">
        <v>795</v>
      </c>
      <c r="G334" s="428" t="e">
        <f>COUNTIF(#REF!,B334)</f>
        <v>#REF!</v>
      </c>
    </row>
    <row r="335" spans="1:7">
      <c r="A335" s="612" t="s">
        <v>2448</v>
      </c>
      <c r="B335" s="432">
        <v>334</v>
      </c>
      <c r="C335" s="431" t="s">
        <v>376</v>
      </c>
      <c r="D335" t="s">
        <v>30</v>
      </c>
      <c r="E335" s="41" t="s">
        <v>1649</v>
      </c>
      <c r="F335" s="42" t="s">
        <v>796</v>
      </c>
      <c r="G335" s="428" t="e">
        <f>COUNTIF(#REF!,B335)</f>
        <v>#REF!</v>
      </c>
    </row>
    <row r="336" spans="1:7">
      <c r="A336" s="612" t="s">
        <v>2449</v>
      </c>
      <c r="B336" s="432">
        <v>335</v>
      </c>
      <c r="C336" s="431" t="s">
        <v>377</v>
      </c>
      <c r="D336" t="s">
        <v>29</v>
      </c>
      <c r="E336" s="41" t="s">
        <v>1650</v>
      </c>
      <c r="F336" s="42" t="s">
        <v>797</v>
      </c>
      <c r="G336" s="428" t="e">
        <f>COUNTIF(#REF!,B336)</f>
        <v>#REF!</v>
      </c>
    </row>
    <row r="337" spans="1:7">
      <c r="A337" s="612" t="s">
        <v>2450</v>
      </c>
      <c r="B337" s="432">
        <v>336</v>
      </c>
      <c r="C337" s="431" t="s">
        <v>378</v>
      </c>
      <c r="D337" t="s">
        <v>30</v>
      </c>
      <c r="E337" s="41" t="s">
        <v>1651</v>
      </c>
      <c r="F337" s="42" t="s">
        <v>798</v>
      </c>
      <c r="G337" s="428" t="e">
        <f>COUNTIF(#REF!,B337)</f>
        <v>#REF!</v>
      </c>
    </row>
    <row r="338" spans="1:7">
      <c r="A338" s="612" t="s">
        <v>2451</v>
      </c>
      <c r="B338" s="432">
        <v>337</v>
      </c>
      <c r="C338" s="431" t="s">
        <v>379</v>
      </c>
      <c r="D338" t="s">
        <v>30</v>
      </c>
      <c r="E338" s="41" t="s">
        <v>1652</v>
      </c>
      <c r="F338" s="42" t="s">
        <v>799</v>
      </c>
      <c r="G338" s="428" t="e">
        <f>COUNTIF(#REF!,B338)</f>
        <v>#REF!</v>
      </c>
    </row>
    <row r="339" spans="1:7">
      <c r="A339" s="612" t="s">
        <v>2452</v>
      </c>
      <c r="B339" s="432">
        <v>338</v>
      </c>
      <c r="C339" s="431" t="s">
        <v>380</v>
      </c>
      <c r="D339" t="s">
        <v>30</v>
      </c>
      <c r="E339" s="41" t="s">
        <v>1653</v>
      </c>
      <c r="F339" s="42" t="s">
        <v>800</v>
      </c>
      <c r="G339" s="428" t="e">
        <f>COUNTIF(#REF!,B339)</f>
        <v>#REF!</v>
      </c>
    </row>
    <row r="340" spans="1:7">
      <c r="A340" s="612" t="s">
        <v>2453</v>
      </c>
      <c r="B340" s="432">
        <v>339</v>
      </c>
      <c r="C340" s="431" t="s">
        <v>381</v>
      </c>
      <c r="D340" t="s">
        <v>30</v>
      </c>
      <c r="E340" s="41" t="s">
        <v>1654</v>
      </c>
      <c r="F340" s="42" t="s">
        <v>801</v>
      </c>
      <c r="G340" s="428" t="e">
        <f>COUNTIF(#REF!,B340)</f>
        <v>#REF!</v>
      </c>
    </row>
    <row r="341" spans="1:7">
      <c r="A341" s="612" t="s">
        <v>2454</v>
      </c>
      <c r="B341" s="432">
        <v>340</v>
      </c>
      <c r="C341" s="431" t="s">
        <v>382</v>
      </c>
      <c r="D341" t="s">
        <v>945</v>
      </c>
      <c r="E341" s="41" t="s">
        <v>1655</v>
      </c>
      <c r="F341" s="42" t="s">
        <v>802</v>
      </c>
      <c r="G341" s="428" t="e">
        <f>COUNTIF(#REF!,B341)</f>
        <v>#REF!</v>
      </c>
    </row>
    <row r="342" spans="1:7">
      <c r="A342" s="612" t="s">
        <v>2455</v>
      </c>
      <c r="B342" s="432">
        <v>341</v>
      </c>
      <c r="C342" s="431" t="s">
        <v>383</v>
      </c>
      <c r="D342" t="s">
        <v>30</v>
      </c>
      <c r="E342" s="41" t="s">
        <v>1656</v>
      </c>
      <c r="F342" s="42" t="s">
        <v>803</v>
      </c>
      <c r="G342" s="428" t="e">
        <f>COUNTIF(#REF!,B342)</f>
        <v>#REF!</v>
      </c>
    </row>
    <row r="343" spans="1:7">
      <c r="A343" s="612" t="s">
        <v>2456</v>
      </c>
      <c r="B343" s="432">
        <v>342</v>
      </c>
      <c r="C343" s="431" t="s">
        <v>384</v>
      </c>
      <c r="D343" t="s">
        <v>30</v>
      </c>
      <c r="E343" s="41" t="s">
        <v>1657</v>
      </c>
      <c r="F343" s="42" t="s">
        <v>804</v>
      </c>
      <c r="G343" s="428" t="e">
        <f>COUNTIF(#REF!,B343)</f>
        <v>#REF!</v>
      </c>
    </row>
    <row r="344" spans="1:7">
      <c r="A344" s="612" t="s">
        <v>2457</v>
      </c>
      <c r="B344" s="432">
        <v>343</v>
      </c>
      <c r="C344" s="431" t="s">
        <v>385</v>
      </c>
      <c r="D344" t="s">
        <v>945</v>
      </c>
      <c r="E344" s="41" t="s">
        <v>1658</v>
      </c>
      <c r="F344" s="42" t="s">
        <v>1957</v>
      </c>
      <c r="G344" s="428" t="e">
        <f>COUNTIF(#REF!,B344)</f>
        <v>#REF!</v>
      </c>
    </row>
    <row r="345" spans="1:7">
      <c r="A345" s="612" t="s">
        <v>2458</v>
      </c>
      <c r="B345" s="432">
        <v>344</v>
      </c>
      <c r="C345" s="431" t="s">
        <v>386</v>
      </c>
      <c r="D345" t="s">
        <v>2640</v>
      </c>
      <c r="E345" s="41" t="s">
        <v>1659</v>
      </c>
      <c r="F345" s="42" t="s">
        <v>1958</v>
      </c>
      <c r="G345" s="428" t="e">
        <f>COUNTIF(#REF!,B345)</f>
        <v>#REF!</v>
      </c>
    </row>
    <row r="346" spans="1:7">
      <c r="A346" s="612" t="s">
        <v>2459</v>
      </c>
      <c r="B346" s="432">
        <v>345</v>
      </c>
      <c r="C346" s="431" t="s">
        <v>387</v>
      </c>
      <c r="D346" t="s">
        <v>945</v>
      </c>
      <c r="E346" s="41" t="s">
        <v>1660</v>
      </c>
      <c r="F346" s="42" t="s">
        <v>1959</v>
      </c>
      <c r="G346" s="428" t="e">
        <f>COUNTIF(#REF!,B346)</f>
        <v>#REF!</v>
      </c>
    </row>
    <row r="347" spans="1:7">
      <c r="A347" s="612" t="s">
        <v>2460</v>
      </c>
      <c r="B347" s="432">
        <v>346</v>
      </c>
      <c r="C347" s="431" t="s">
        <v>388</v>
      </c>
      <c r="D347" t="s">
        <v>30</v>
      </c>
      <c r="E347" s="41" t="s">
        <v>1661</v>
      </c>
      <c r="F347" s="42" t="s">
        <v>805</v>
      </c>
      <c r="G347" s="428" t="e">
        <f>COUNTIF(#REF!,B347)</f>
        <v>#REF!</v>
      </c>
    </row>
    <row r="348" spans="1:7">
      <c r="A348" s="612" t="s">
        <v>2461</v>
      </c>
      <c r="B348" s="432">
        <v>347</v>
      </c>
      <c r="C348" s="431" t="s">
        <v>389</v>
      </c>
      <c r="D348" t="s">
        <v>945</v>
      </c>
      <c r="E348" s="41" t="s">
        <v>1406</v>
      </c>
      <c r="F348" s="42" t="s">
        <v>806</v>
      </c>
      <c r="G348" s="428" t="e">
        <f>COUNTIF(#REF!,B348)</f>
        <v>#REF!</v>
      </c>
    </row>
    <row r="349" spans="1:7">
      <c r="A349" s="612" t="s">
        <v>2462</v>
      </c>
      <c r="B349" s="432">
        <v>348</v>
      </c>
      <c r="C349" s="431" t="s">
        <v>390</v>
      </c>
      <c r="D349" t="s">
        <v>943</v>
      </c>
      <c r="E349" s="41" t="s">
        <v>1662</v>
      </c>
      <c r="F349" s="42" t="s">
        <v>807</v>
      </c>
      <c r="G349" s="428" t="e">
        <f>COUNTIF(#REF!,B349)</f>
        <v>#REF!</v>
      </c>
    </row>
    <row r="350" spans="1:7">
      <c r="A350" s="612" t="s">
        <v>2463</v>
      </c>
      <c r="B350" s="432">
        <v>349</v>
      </c>
      <c r="C350" s="431" t="s">
        <v>391</v>
      </c>
      <c r="D350" t="s">
        <v>28</v>
      </c>
      <c r="E350" s="41" t="s">
        <v>1663</v>
      </c>
      <c r="F350" s="42" t="s">
        <v>1960</v>
      </c>
      <c r="G350" s="428" t="e">
        <f>COUNTIF(#REF!,B350)</f>
        <v>#REF!</v>
      </c>
    </row>
    <row r="351" spans="1:7">
      <c r="A351" s="612" t="s">
        <v>2464</v>
      </c>
      <c r="B351" s="432">
        <v>350</v>
      </c>
      <c r="C351" s="431" t="s">
        <v>392</v>
      </c>
      <c r="D351" t="s">
        <v>944</v>
      </c>
      <c r="E351" s="41" t="s">
        <v>1664</v>
      </c>
      <c r="F351" s="42" t="s">
        <v>1961</v>
      </c>
      <c r="G351" s="428" t="e">
        <f>COUNTIF(#REF!,B351)</f>
        <v>#REF!</v>
      </c>
    </row>
    <row r="352" spans="1:7">
      <c r="A352" s="612" t="s">
        <v>2465</v>
      </c>
      <c r="B352" s="432">
        <v>351</v>
      </c>
      <c r="C352" s="431" t="s">
        <v>393</v>
      </c>
      <c r="D352" t="s">
        <v>28</v>
      </c>
      <c r="E352" s="41" t="s">
        <v>1665</v>
      </c>
      <c r="F352" s="42" t="s">
        <v>808</v>
      </c>
      <c r="G352" s="428" t="e">
        <f>COUNTIF(#REF!,B352)</f>
        <v>#REF!</v>
      </c>
    </row>
    <row r="353" spans="1:7">
      <c r="A353" s="612" t="s">
        <v>2465</v>
      </c>
      <c r="B353" s="432">
        <v>352</v>
      </c>
      <c r="C353" s="431" t="s">
        <v>394</v>
      </c>
      <c r="D353" t="s">
        <v>944</v>
      </c>
      <c r="E353" s="41" t="s">
        <v>1666</v>
      </c>
      <c r="F353" s="42" t="s">
        <v>809</v>
      </c>
      <c r="G353" s="428" t="e">
        <f>COUNTIF(#REF!,B353)</f>
        <v>#REF!</v>
      </c>
    </row>
    <row r="354" spans="1:7">
      <c r="A354" s="612" t="s">
        <v>2466</v>
      </c>
      <c r="B354" s="432">
        <v>353</v>
      </c>
      <c r="C354" s="431" t="s">
        <v>395</v>
      </c>
      <c r="D354" t="s">
        <v>28</v>
      </c>
      <c r="E354" s="41" t="s">
        <v>1667</v>
      </c>
      <c r="F354" s="42" t="s">
        <v>810</v>
      </c>
      <c r="G354" s="428" t="e">
        <f>COUNTIF(#REF!,B354)</f>
        <v>#REF!</v>
      </c>
    </row>
    <row r="355" spans="1:7">
      <c r="A355" s="612" t="s">
        <v>2467</v>
      </c>
      <c r="B355" s="432">
        <v>354</v>
      </c>
      <c r="C355" s="431" t="s">
        <v>396</v>
      </c>
      <c r="D355" t="s">
        <v>944</v>
      </c>
      <c r="E355" s="41" t="s">
        <v>1668</v>
      </c>
      <c r="F355" s="42" t="s">
        <v>811</v>
      </c>
      <c r="G355" s="428" t="e">
        <f>COUNTIF(#REF!,B355)</f>
        <v>#REF!</v>
      </c>
    </row>
    <row r="356" spans="1:7">
      <c r="A356" s="612" t="s">
        <v>2468</v>
      </c>
      <c r="B356" s="432">
        <v>355</v>
      </c>
      <c r="C356" s="431" t="s">
        <v>397</v>
      </c>
      <c r="D356" t="s">
        <v>30</v>
      </c>
      <c r="E356" s="41" t="s">
        <v>1669</v>
      </c>
      <c r="F356" s="42" t="s">
        <v>812</v>
      </c>
      <c r="G356" s="428" t="e">
        <f>COUNTIF(#REF!,B356)</f>
        <v>#REF!</v>
      </c>
    </row>
    <row r="357" spans="1:7">
      <c r="A357" s="612" t="s">
        <v>2469</v>
      </c>
      <c r="B357" s="432">
        <v>356</v>
      </c>
      <c r="C357" s="431" t="s">
        <v>398</v>
      </c>
      <c r="D357" t="s">
        <v>30</v>
      </c>
      <c r="E357" s="41" t="s">
        <v>1670</v>
      </c>
      <c r="F357" s="42" t="s">
        <v>813</v>
      </c>
      <c r="G357" s="428" t="e">
        <f>COUNTIF(#REF!,B357)</f>
        <v>#REF!</v>
      </c>
    </row>
    <row r="358" spans="1:7">
      <c r="A358" s="612" t="s">
        <v>2470</v>
      </c>
      <c r="B358" s="432">
        <v>357</v>
      </c>
      <c r="C358" s="431" t="s">
        <v>399</v>
      </c>
      <c r="D358" t="s">
        <v>29</v>
      </c>
      <c r="E358" s="41" t="s">
        <v>1671</v>
      </c>
      <c r="F358" s="42" t="s">
        <v>814</v>
      </c>
      <c r="G358" s="428" t="e">
        <f>COUNTIF(#REF!,B358)</f>
        <v>#REF!</v>
      </c>
    </row>
    <row r="359" spans="1:7">
      <c r="A359" s="612" t="s">
        <v>2471</v>
      </c>
      <c r="B359" s="432">
        <v>358</v>
      </c>
      <c r="C359" s="431" t="s">
        <v>400</v>
      </c>
      <c r="D359" t="s">
        <v>28</v>
      </c>
      <c r="E359" s="41" t="s">
        <v>1665</v>
      </c>
      <c r="F359" s="42" t="s">
        <v>815</v>
      </c>
      <c r="G359" s="428" t="e">
        <f>COUNTIF(#REF!,B359)</f>
        <v>#REF!</v>
      </c>
    </row>
    <row r="360" spans="1:7">
      <c r="A360" s="612" t="s">
        <v>2472</v>
      </c>
      <c r="B360" s="432">
        <v>359</v>
      </c>
      <c r="C360" s="431" t="s">
        <v>401</v>
      </c>
      <c r="D360" t="s">
        <v>28</v>
      </c>
      <c r="E360" s="41" t="s">
        <v>1672</v>
      </c>
      <c r="F360" s="42" t="s">
        <v>816</v>
      </c>
      <c r="G360" s="428" t="e">
        <f>COUNTIF(#REF!,B360)</f>
        <v>#REF!</v>
      </c>
    </row>
    <row r="361" spans="1:7">
      <c r="A361" s="612" t="s">
        <v>2473</v>
      </c>
      <c r="B361" s="432">
        <v>360</v>
      </c>
      <c r="C361" s="431" t="s">
        <v>402</v>
      </c>
      <c r="D361" t="s">
        <v>29</v>
      </c>
      <c r="E361" s="41" t="s">
        <v>1673</v>
      </c>
      <c r="F361" s="42" t="s">
        <v>1962</v>
      </c>
      <c r="G361" s="428" t="e">
        <f>COUNTIF(#REF!,B361)</f>
        <v>#REF!</v>
      </c>
    </row>
    <row r="362" spans="1:7">
      <c r="A362" s="612" t="s">
        <v>2474</v>
      </c>
      <c r="B362" s="432">
        <v>361</v>
      </c>
      <c r="C362" s="431" t="s">
        <v>403</v>
      </c>
      <c r="D362" t="s">
        <v>30</v>
      </c>
      <c r="E362" s="41" t="s">
        <v>1674</v>
      </c>
      <c r="F362" s="42" t="s">
        <v>817</v>
      </c>
      <c r="G362" s="428" t="e">
        <f>COUNTIF(#REF!,B362)</f>
        <v>#REF!</v>
      </c>
    </row>
    <row r="363" spans="1:7">
      <c r="A363" s="612" t="s">
        <v>2475</v>
      </c>
      <c r="B363" s="432">
        <v>362</v>
      </c>
      <c r="C363" s="431" t="s">
        <v>404</v>
      </c>
      <c r="D363" t="s">
        <v>29</v>
      </c>
      <c r="E363" s="41" t="s">
        <v>1675</v>
      </c>
      <c r="F363" s="42" t="s">
        <v>1963</v>
      </c>
      <c r="G363" s="428" t="e">
        <f>COUNTIF(#REF!,B363)</f>
        <v>#REF!</v>
      </c>
    </row>
    <row r="364" spans="1:7">
      <c r="A364" s="612" t="s">
        <v>2476</v>
      </c>
      <c r="B364" s="432">
        <v>363</v>
      </c>
      <c r="C364" s="431" t="s">
        <v>405</v>
      </c>
      <c r="D364" t="s">
        <v>30</v>
      </c>
      <c r="E364" s="41" t="s">
        <v>1676</v>
      </c>
      <c r="F364" s="42" t="s">
        <v>818</v>
      </c>
      <c r="G364" s="428" t="e">
        <f>COUNTIF(#REF!,B364)</f>
        <v>#REF!</v>
      </c>
    </row>
    <row r="365" spans="1:7">
      <c r="A365" s="612" t="s">
        <v>2477</v>
      </c>
      <c r="B365" s="432">
        <v>364</v>
      </c>
      <c r="C365" s="431" t="s">
        <v>406</v>
      </c>
      <c r="D365" t="s">
        <v>29</v>
      </c>
      <c r="E365" s="41" t="s">
        <v>1677</v>
      </c>
      <c r="F365" s="42" t="s">
        <v>819</v>
      </c>
      <c r="G365" s="428" t="e">
        <f>COUNTIF(#REF!,B365)</f>
        <v>#REF!</v>
      </c>
    </row>
    <row r="366" spans="1:7">
      <c r="A366" s="612" t="s">
        <v>2478</v>
      </c>
      <c r="B366" s="432">
        <v>365</v>
      </c>
      <c r="C366" s="431" t="s">
        <v>407</v>
      </c>
      <c r="D366" t="s">
        <v>28</v>
      </c>
      <c r="E366" s="41" t="s">
        <v>1678</v>
      </c>
      <c r="F366" s="42" t="s">
        <v>820</v>
      </c>
      <c r="G366" s="428" t="e">
        <f>COUNTIF(#REF!,B366)</f>
        <v>#REF!</v>
      </c>
    </row>
    <row r="367" spans="1:7">
      <c r="A367" s="612" t="s">
        <v>2479</v>
      </c>
      <c r="B367" s="432">
        <v>366</v>
      </c>
      <c r="C367" s="431" t="s">
        <v>408</v>
      </c>
      <c r="D367" t="s">
        <v>943</v>
      </c>
      <c r="E367" s="41" t="s">
        <v>1679</v>
      </c>
      <c r="F367" s="42" t="s">
        <v>821</v>
      </c>
      <c r="G367" s="428" t="e">
        <f>COUNTIF(#REF!,B367)</f>
        <v>#REF!</v>
      </c>
    </row>
    <row r="368" spans="1:7">
      <c r="A368" s="612" t="s">
        <v>2480</v>
      </c>
      <c r="B368" s="432">
        <v>367</v>
      </c>
      <c r="C368" s="431" t="s">
        <v>409</v>
      </c>
      <c r="D368" t="s">
        <v>30</v>
      </c>
      <c r="E368" s="41" t="s">
        <v>1680</v>
      </c>
      <c r="F368" s="42" t="s">
        <v>822</v>
      </c>
      <c r="G368" s="428" t="e">
        <f>COUNTIF(#REF!,B368)</f>
        <v>#REF!</v>
      </c>
    </row>
    <row r="369" spans="1:7">
      <c r="A369" s="612" t="s">
        <v>2481</v>
      </c>
      <c r="B369" s="432">
        <v>368</v>
      </c>
      <c r="C369" s="431" t="s">
        <v>410</v>
      </c>
      <c r="D369" t="s">
        <v>30</v>
      </c>
      <c r="E369" s="41" t="s">
        <v>1681</v>
      </c>
      <c r="F369" s="42" t="s">
        <v>823</v>
      </c>
      <c r="G369" s="428" t="e">
        <f>COUNTIF(#REF!,B369)</f>
        <v>#REF!</v>
      </c>
    </row>
    <row r="370" spans="1:7">
      <c r="A370" s="612" t="s">
        <v>2482</v>
      </c>
      <c r="B370" s="432">
        <v>369</v>
      </c>
      <c r="C370" s="431" t="s">
        <v>411</v>
      </c>
      <c r="D370" t="s">
        <v>30</v>
      </c>
      <c r="E370" s="41" t="s">
        <v>1682</v>
      </c>
      <c r="F370" s="42" t="s">
        <v>824</v>
      </c>
      <c r="G370" s="428" t="e">
        <f>COUNTIF(#REF!,B370)</f>
        <v>#REF!</v>
      </c>
    </row>
    <row r="371" spans="1:7">
      <c r="A371" s="612" t="s">
        <v>2483</v>
      </c>
      <c r="B371" s="432">
        <v>370</v>
      </c>
      <c r="C371" s="431" t="s">
        <v>412</v>
      </c>
      <c r="D371" t="s">
        <v>29</v>
      </c>
      <c r="E371" s="41" t="s">
        <v>1683</v>
      </c>
      <c r="F371" s="42" t="s">
        <v>825</v>
      </c>
      <c r="G371" s="428" t="e">
        <f>COUNTIF(#REF!,B371)</f>
        <v>#REF!</v>
      </c>
    </row>
    <row r="372" spans="1:7">
      <c r="A372" s="612" t="s">
        <v>2484</v>
      </c>
      <c r="B372" s="432">
        <v>371</v>
      </c>
      <c r="C372" s="431" t="s">
        <v>413</v>
      </c>
      <c r="D372" t="s">
        <v>29</v>
      </c>
      <c r="E372" s="41" t="s">
        <v>1684</v>
      </c>
      <c r="F372" s="42" t="s">
        <v>826</v>
      </c>
      <c r="G372" s="428" t="e">
        <f>COUNTIF(#REF!,B372)</f>
        <v>#REF!</v>
      </c>
    </row>
    <row r="373" spans="1:7">
      <c r="A373" s="612" t="s">
        <v>2485</v>
      </c>
      <c r="B373" s="432">
        <v>372</v>
      </c>
      <c r="C373" s="431" t="s">
        <v>414</v>
      </c>
      <c r="D373" t="s">
        <v>29</v>
      </c>
      <c r="E373" s="41" t="s">
        <v>1685</v>
      </c>
      <c r="F373" s="42" t="s">
        <v>827</v>
      </c>
      <c r="G373" s="428" t="e">
        <f>COUNTIF(#REF!,B373)</f>
        <v>#REF!</v>
      </c>
    </row>
    <row r="374" spans="1:7">
      <c r="A374" s="612" t="s">
        <v>2486</v>
      </c>
      <c r="B374" s="432">
        <v>373</v>
      </c>
      <c r="C374" s="431" t="s">
        <v>415</v>
      </c>
      <c r="D374" t="s">
        <v>30</v>
      </c>
      <c r="E374" s="41" t="s">
        <v>1686</v>
      </c>
      <c r="F374" s="42" t="s">
        <v>828</v>
      </c>
      <c r="G374" s="428" t="e">
        <f>COUNTIF(#REF!,B374)</f>
        <v>#REF!</v>
      </c>
    </row>
    <row r="375" spans="1:7">
      <c r="A375" s="612" t="s">
        <v>2487</v>
      </c>
      <c r="B375" s="432">
        <v>374</v>
      </c>
      <c r="C375" s="431" t="s">
        <v>416</v>
      </c>
      <c r="D375" t="s">
        <v>29</v>
      </c>
      <c r="E375" s="41" t="s">
        <v>1687</v>
      </c>
      <c r="F375" s="42" t="s">
        <v>829</v>
      </c>
      <c r="G375" s="428" t="e">
        <f>COUNTIF(#REF!,B375)</f>
        <v>#REF!</v>
      </c>
    </row>
    <row r="376" spans="1:7">
      <c r="A376" s="612" t="s">
        <v>2488</v>
      </c>
      <c r="B376" s="432">
        <v>375</v>
      </c>
      <c r="C376" s="431" t="s">
        <v>417</v>
      </c>
      <c r="D376" t="s">
        <v>29</v>
      </c>
      <c r="E376" s="41" t="s">
        <v>1688</v>
      </c>
      <c r="F376" s="42" t="s">
        <v>830</v>
      </c>
      <c r="G376" s="428" t="e">
        <f>COUNTIF(#REF!,B376)</f>
        <v>#REF!</v>
      </c>
    </row>
    <row r="377" spans="1:7">
      <c r="A377" s="612" t="s">
        <v>2489</v>
      </c>
      <c r="B377" s="432">
        <v>376</v>
      </c>
      <c r="C377" s="431" t="s">
        <v>418</v>
      </c>
      <c r="D377" t="s">
        <v>29</v>
      </c>
      <c r="E377" s="41" t="s">
        <v>1689</v>
      </c>
      <c r="F377" s="42" t="s">
        <v>1964</v>
      </c>
      <c r="G377" s="428" t="e">
        <f>COUNTIF(#REF!,B377)</f>
        <v>#REF!</v>
      </c>
    </row>
    <row r="378" spans="1:7">
      <c r="A378" s="612" t="s">
        <v>2490</v>
      </c>
      <c r="B378" s="432">
        <v>377</v>
      </c>
      <c r="C378" s="431" t="s">
        <v>419</v>
      </c>
      <c r="D378" t="s">
        <v>29</v>
      </c>
      <c r="E378" s="41" t="s">
        <v>1690</v>
      </c>
      <c r="F378" s="42" t="s">
        <v>831</v>
      </c>
      <c r="G378" s="428" t="e">
        <f>COUNTIF(#REF!,B378)</f>
        <v>#REF!</v>
      </c>
    </row>
    <row r="379" spans="1:7">
      <c r="A379" s="612" t="s">
        <v>2491</v>
      </c>
      <c r="B379" s="432">
        <v>378</v>
      </c>
      <c r="C379" s="431" t="s">
        <v>420</v>
      </c>
      <c r="D379" t="s">
        <v>28</v>
      </c>
      <c r="E379" s="41" t="s">
        <v>1691</v>
      </c>
      <c r="F379" s="42" t="s">
        <v>832</v>
      </c>
      <c r="G379" s="428" t="e">
        <f>COUNTIF(#REF!,B379)</f>
        <v>#REF!</v>
      </c>
    </row>
    <row r="380" spans="1:7">
      <c r="A380" s="612" t="s">
        <v>2492</v>
      </c>
      <c r="B380" s="432">
        <v>379</v>
      </c>
      <c r="C380" s="431" t="s">
        <v>421</v>
      </c>
      <c r="D380" t="s">
        <v>29</v>
      </c>
      <c r="E380" s="41" t="s">
        <v>1692</v>
      </c>
      <c r="F380" s="42" t="s">
        <v>1965</v>
      </c>
      <c r="G380" s="428" t="e">
        <f>COUNTIF(#REF!,B380)</f>
        <v>#REF!</v>
      </c>
    </row>
    <row r="381" spans="1:7">
      <c r="A381" s="612" t="s">
        <v>2493</v>
      </c>
      <c r="B381" s="432">
        <v>380</v>
      </c>
      <c r="C381" s="431" t="s">
        <v>422</v>
      </c>
      <c r="D381" t="s">
        <v>29</v>
      </c>
      <c r="E381" s="41" t="s">
        <v>1693</v>
      </c>
      <c r="F381" s="42" t="s">
        <v>1966</v>
      </c>
      <c r="G381" s="428" t="e">
        <f>COUNTIF(#REF!,B381)</f>
        <v>#REF!</v>
      </c>
    </row>
    <row r="382" spans="1:7">
      <c r="A382" s="612" t="s">
        <v>2494</v>
      </c>
      <c r="B382" s="432">
        <v>381</v>
      </c>
      <c r="C382" s="431" t="s">
        <v>423</v>
      </c>
      <c r="D382" t="s">
        <v>29</v>
      </c>
      <c r="E382" s="41" t="s">
        <v>1694</v>
      </c>
      <c r="F382" s="42" t="s">
        <v>833</v>
      </c>
      <c r="G382" s="428" t="e">
        <f>COUNTIF(#REF!,B382)</f>
        <v>#REF!</v>
      </c>
    </row>
    <row r="383" spans="1:7">
      <c r="A383" s="612" t="s">
        <v>2495</v>
      </c>
      <c r="B383" s="432">
        <v>382</v>
      </c>
      <c r="C383" s="431" t="s">
        <v>424</v>
      </c>
      <c r="D383" t="s">
        <v>30</v>
      </c>
      <c r="E383" s="41" t="s">
        <v>1695</v>
      </c>
      <c r="F383" s="42" t="s">
        <v>834</v>
      </c>
      <c r="G383" s="428" t="e">
        <f>COUNTIF(#REF!,B383)</f>
        <v>#REF!</v>
      </c>
    </row>
    <row r="384" spans="1:7">
      <c r="A384" s="612" t="s">
        <v>2496</v>
      </c>
      <c r="B384" s="432">
        <v>383</v>
      </c>
      <c r="C384" s="431" t="s">
        <v>425</v>
      </c>
      <c r="D384" t="s">
        <v>29</v>
      </c>
      <c r="E384" s="41" t="s">
        <v>1696</v>
      </c>
      <c r="F384" s="42" t="s">
        <v>835</v>
      </c>
      <c r="G384" s="428" t="e">
        <f>COUNTIF(#REF!,B384)</f>
        <v>#REF!</v>
      </c>
    </row>
    <row r="385" spans="1:7">
      <c r="A385" s="612" t="s">
        <v>2497</v>
      </c>
      <c r="B385" s="432">
        <v>384</v>
      </c>
      <c r="C385" s="431" t="s">
        <v>426</v>
      </c>
      <c r="D385" t="s">
        <v>29</v>
      </c>
      <c r="E385" s="41" t="s">
        <v>1697</v>
      </c>
      <c r="F385" s="42" t="s">
        <v>836</v>
      </c>
      <c r="G385" s="428" t="e">
        <f>COUNTIF(#REF!,B385)</f>
        <v>#REF!</v>
      </c>
    </row>
    <row r="386" spans="1:7">
      <c r="A386" s="612" t="s">
        <v>2498</v>
      </c>
      <c r="B386" s="432">
        <v>385</v>
      </c>
      <c r="C386" s="431" t="s">
        <v>427</v>
      </c>
      <c r="D386" t="s">
        <v>30</v>
      </c>
      <c r="E386" s="41" t="s">
        <v>1698</v>
      </c>
      <c r="F386" s="42" t="s">
        <v>837</v>
      </c>
      <c r="G386" s="428" t="e">
        <f>COUNTIF(#REF!,B386)</f>
        <v>#REF!</v>
      </c>
    </row>
    <row r="387" spans="1:7">
      <c r="A387" s="612" t="s">
        <v>2499</v>
      </c>
      <c r="B387" s="432">
        <v>386</v>
      </c>
      <c r="C387" s="431" t="s">
        <v>428</v>
      </c>
      <c r="D387" t="s">
        <v>29</v>
      </c>
      <c r="E387" s="41" t="s">
        <v>1699</v>
      </c>
      <c r="F387" s="42" t="s">
        <v>838</v>
      </c>
      <c r="G387" s="428" t="e">
        <f>COUNTIF(#REF!,B387)</f>
        <v>#REF!</v>
      </c>
    </row>
    <row r="388" spans="1:7">
      <c r="A388" s="612" t="s">
        <v>2500</v>
      </c>
      <c r="B388" s="432">
        <v>387</v>
      </c>
      <c r="C388" s="431" t="s">
        <v>429</v>
      </c>
      <c r="D388" t="s">
        <v>29</v>
      </c>
      <c r="E388" s="41" t="s">
        <v>1700</v>
      </c>
      <c r="F388" s="42" t="s">
        <v>839</v>
      </c>
      <c r="G388" s="428" t="e">
        <f>COUNTIF(#REF!,B388)</f>
        <v>#REF!</v>
      </c>
    </row>
    <row r="389" spans="1:7">
      <c r="A389" s="612" t="s">
        <v>2501</v>
      </c>
      <c r="B389" s="432">
        <v>388</v>
      </c>
      <c r="C389" s="431" t="s">
        <v>430</v>
      </c>
      <c r="D389" t="s">
        <v>29</v>
      </c>
      <c r="E389" s="41" t="s">
        <v>1701</v>
      </c>
      <c r="F389" s="42" t="s">
        <v>840</v>
      </c>
      <c r="G389" s="428" t="e">
        <f>COUNTIF(#REF!,B389)</f>
        <v>#REF!</v>
      </c>
    </row>
    <row r="390" spans="1:7">
      <c r="A390" s="612" t="s">
        <v>2502</v>
      </c>
      <c r="B390" s="432">
        <v>389</v>
      </c>
      <c r="C390" s="431" t="s">
        <v>431</v>
      </c>
      <c r="D390" t="s">
        <v>29</v>
      </c>
      <c r="E390" s="41" t="s">
        <v>1702</v>
      </c>
      <c r="F390" s="42" t="s">
        <v>841</v>
      </c>
      <c r="G390" s="428" t="e">
        <f>COUNTIF(#REF!,B390)</f>
        <v>#REF!</v>
      </c>
    </row>
    <row r="391" spans="1:7">
      <c r="A391" s="612" t="s">
        <v>2503</v>
      </c>
      <c r="B391" s="432">
        <v>390</v>
      </c>
      <c r="C391" s="431" t="s">
        <v>432</v>
      </c>
      <c r="D391" t="s">
        <v>29</v>
      </c>
      <c r="E391" s="41" t="s">
        <v>1703</v>
      </c>
      <c r="F391" s="42" t="s">
        <v>842</v>
      </c>
      <c r="G391" s="428" t="e">
        <f>COUNTIF(#REF!,B391)</f>
        <v>#REF!</v>
      </c>
    </row>
    <row r="392" spans="1:7">
      <c r="A392" s="612" t="s">
        <v>2504</v>
      </c>
      <c r="B392" s="432">
        <v>391</v>
      </c>
      <c r="C392" s="431" t="s">
        <v>433</v>
      </c>
      <c r="D392" t="s">
        <v>29</v>
      </c>
      <c r="E392" s="41" t="s">
        <v>1704</v>
      </c>
      <c r="F392" s="42" t="s">
        <v>843</v>
      </c>
      <c r="G392" s="428" t="e">
        <f>COUNTIF(#REF!,B392)</f>
        <v>#REF!</v>
      </c>
    </row>
    <row r="393" spans="1:7">
      <c r="A393" s="612" t="s">
        <v>2505</v>
      </c>
      <c r="B393" s="432">
        <v>392</v>
      </c>
      <c r="C393" s="431" t="s">
        <v>434</v>
      </c>
      <c r="D393" t="s">
        <v>30</v>
      </c>
      <c r="E393" s="41" t="s">
        <v>1705</v>
      </c>
      <c r="F393" s="42" t="s">
        <v>844</v>
      </c>
      <c r="G393" s="428" t="e">
        <f>COUNTIF(#REF!,B393)</f>
        <v>#REF!</v>
      </c>
    </row>
    <row r="394" spans="1:7">
      <c r="A394" s="612" t="s">
        <v>2506</v>
      </c>
      <c r="B394" s="432">
        <v>393</v>
      </c>
      <c r="C394" s="431" t="s">
        <v>435</v>
      </c>
      <c r="D394" t="s">
        <v>30</v>
      </c>
      <c r="E394" s="41" t="s">
        <v>1706</v>
      </c>
      <c r="F394" s="42" t="s">
        <v>845</v>
      </c>
      <c r="G394" s="428" t="e">
        <f>COUNTIF(#REF!,B394)</f>
        <v>#REF!</v>
      </c>
    </row>
    <row r="395" spans="1:7">
      <c r="A395" s="612" t="s">
        <v>2507</v>
      </c>
      <c r="B395" s="432">
        <v>394</v>
      </c>
      <c r="C395" s="431" t="s">
        <v>436</v>
      </c>
      <c r="D395" t="s">
        <v>29</v>
      </c>
      <c r="E395" s="41" t="s">
        <v>1707</v>
      </c>
      <c r="F395" s="42" t="s">
        <v>846</v>
      </c>
      <c r="G395" s="428" t="e">
        <f>COUNTIF(#REF!,B395)</f>
        <v>#REF!</v>
      </c>
    </row>
    <row r="396" spans="1:7">
      <c r="A396" s="612" t="s">
        <v>2508</v>
      </c>
      <c r="B396" s="432">
        <v>395</v>
      </c>
      <c r="C396" s="431" t="s">
        <v>437</v>
      </c>
      <c r="D396" t="s">
        <v>29</v>
      </c>
      <c r="E396" s="41" t="s">
        <v>1708</v>
      </c>
      <c r="F396" s="42" t="s">
        <v>847</v>
      </c>
      <c r="G396" s="428" t="e">
        <f>COUNTIF(#REF!,B396)</f>
        <v>#REF!</v>
      </c>
    </row>
    <row r="397" spans="1:7">
      <c r="A397" s="612" t="s">
        <v>2509</v>
      </c>
      <c r="B397" s="432">
        <v>396</v>
      </c>
      <c r="C397" s="431" t="s">
        <v>438</v>
      </c>
      <c r="D397" t="s">
        <v>30</v>
      </c>
      <c r="E397" s="41" t="s">
        <v>1709</v>
      </c>
      <c r="F397" s="42" t="s">
        <v>848</v>
      </c>
      <c r="G397" s="428" t="e">
        <f>COUNTIF(#REF!,B397)</f>
        <v>#REF!</v>
      </c>
    </row>
    <row r="398" spans="1:7">
      <c r="A398" s="612" t="s">
        <v>2510</v>
      </c>
      <c r="B398" s="432">
        <v>397</v>
      </c>
      <c r="C398" s="431" t="s">
        <v>439</v>
      </c>
      <c r="D398" t="s">
        <v>30</v>
      </c>
      <c r="E398" s="41" t="s">
        <v>1710</v>
      </c>
      <c r="F398" s="42" t="s">
        <v>849</v>
      </c>
      <c r="G398" s="428" t="e">
        <f>COUNTIF(#REF!,B398)</f>
        <v>#REF!</v>
      </c>
    </row>
    <row r="399" spans="1:7">
      <c r="A399" s="612" t="s">
        <v>2511</v>
      </c>
      <c r="B399" s="432">
        <v>398</v>
      </c>
      <c r="C399" s="431" t="s">
        <v>440</v>
      </c>
      <c r="D399" t="s">
        <v>30</v>
      </c>
      <c r="E399" s="41" t="s">
        <v>1711</v>
      </c>
      <c r="F399" s="42" t="s">
        <v>850</v>
      </c>
      <c r="G399" s="428" t="e">
        <f>COUNTIF(#REF!,B399)</f>
        <v>#REF!</v>
      </c>
    </row>
    <row r="400" spans="1:7">
      <c r="A400" s="612" t="s">
        <v>2512</v>
      </c>
      <c r="B400" s="432">
        <v>399</v>
      </c>
      <c r="C400" s="431" t="s">
        <v>441</v>
      </c>
      <c r="D400" t="s">
        <v>29</v>
      </c>
      <c r="E400" s="41" t="s">
        <v>1712</v>
      </c>
      <c r="F400" s="42" t="s">
        <v>851</v>
      </c>
      <c r="G400" s="428" t="e">
        <f>COUNTIF(#REF!,B400)</f>
        <v>#REF!</v>
      </c>
    </row>
    <row r="401" spans="1:7">
      <c r="A401" s="612" t="s">
        <v>2513</v>
      </c>
      <c r="B401" s="432">
        <v>400</v>
      </c>
      <c r="C401" s="431" t="s">
        <v>442</v>
      </c>
      <c r="D401" t="s">
        <v>29</v>
      </c>
      <c r="E401" s="41" t="s">
        <v>1713</v>
      </c>
      <c r="F401" s="42" t="s">
        <v>852</v>
      </c>
      <c r="G401" s="428" t="e">
        <f>COUNTIF(#REF!,B401)</f>
        <v>#REF!</v>
      </c>
    </row>
    <row r="402" spans="1:7">
      <c r="A402" s="612" t="s">
        <v>2514</v>
      </c>
      <c r="B402" s="432">
        <v>401</v>
      </c>
      <c r="C402" s="431" t="s">
        <v>443</v>
      </c>
      <c r="D402" t="s">
        <v>30</v>
      </c>
      <c r="E402" s="41" t="s">
        <v>1714</v>
      </c>
      <c r="F402" s="42" t="s">
        <v>853</v>
      </c>
      <c r="G402" s="428" t="e">
        <f>COUNTIF(#REF!,B402)</f>
        <v>#REF!</v>
      </c>
    </row>
    <row r="403" spans="1:7">
      <c r="A403" s="612" t="s">
        <v>2515</v>
      </c>
      <c r="B403" s="432">
        <v>402</v>
      </c>
      <c r="C403" s="431" t="s">
        <v>444</v>
      </c>
      <c r="D403" t="s">
        <v>29</v>
      </c>
      <c r="E403" s="41" t="s">
        <v>1715</v>
      </c>
      <c r="F403" s="42" t="s">
        <v>854</v>
      </c>
      <c r="G403" s="428" t="e">
        <f>COUNTIF(#REF!,B403)</f>
        <v>#REF!</v>
      </c>
    </row>
    <row r="404" spans="1:7">
      <c r="A404" s="612" t="s">
        <v>2516</v>
      </c>
      <c r="B404" s="432">
        <v>403</v>
      </c>
      <c r="C404" s="431" t="s">
        <v>445</v>
      </c>
      <c r="D404" t="s">
        <v>30</v>
      </c>
      <c r="E404" s="41" t="s">
        <v>1716</v>
      </c>
      <c r="F404" s="42" t="s">
        <v>855</v>
      </c>
      <c r="G404" s="428" t="e">
        <f>COUNTIF(#REF!,B404)</f>
        <v>#REF!</v>
      </c>
    </row>
    <row r="405" spans="1:7">
      <c r="A405" s="612" t="s">
        <v>2517</v>
      </c>
      <c r="B405" s="432">
        <v>404</v>
      </c>
      <c r="C405" s="431" t="s">
        <v>446</v>
      </c>
      <c r="D405" t="s">
        <v>29</v>
      </c>
      <c r="E405" s="41" t="s">
        <v>1717</v>
      </c>
      <c r="F405" s="42" t="s">
        <v>856</v>
      </c>
      <c r="G405" s="428" t="e">
        <f>COUNTIF(#REF!,B405)</f>
        <v>#REF!</v>
      </c>
    </row>
    <row r="406" spans="1:7">
      <c r="A406" s="612" t="s">
        <v>2518</v>
      </c>
      <c r="B406" s="432">
        <v>405</v>
      </c>
      <c r="C406" s="431" t="s">
        <v>447</v>
      </c>
      <c r="D406" t="s">
        <v>30</v>
      </c>
      <c r="E406" s="41" t="s">
        <v>1718</v>
      </c>
      <c r="F406" s="42" t="s">
        <v>857</v>
      </c>
      <c r="G406" s="428" t="e">
        <f>COUNTIF(#REF!,B406)</f>
        <v>#REF!</v>
      </c>
    </row>
    <row r="407" spans="1:7">
      <c r="A407" s="612" t="s">
        <v>2519</v>
      </c>
      <c r="B407" s="432">
        <v>406</v>
      </c>
      <c r="C407" s="431" t="s">
        <v>448</v>
      </c>
      <c r="D407" t="s">
        <v>29</v>
      </c>
      <c r="E407" s="41" t="s">
        <v>1719</v>
      </c>
      <c r="F407" s="42" t="s">
        <v>858</v>
      </c>
      <c r="G407" s="428" t="e">
        <f>COUNTIF(#REF!,B407)</f>
        <v>#REF!</v>
      </c>
    </row>
    <row r="408" spans="1:7">
      <c r="A408" s="612" t="s">
        <v>2520</v>
      </c>
      <c r="B408" s="432">
        <v>407</v>
      </c>
      <c r="C408" s="431" t="s">
        <v>449</v>
      </c>
      <c r="D408" t="s">
        <v>29</v>
      </c>
      <c r="E408" s="41" t="s">
        <v>1720</v>
      </c>
      <c r="F408" s="42" t="s">
        <v>859</v>
      </c>
      <c r="G408" s="428" t="e">
        <f>COUNTIF(#REF!,B408)</f>
        <v>#REF!</v>
      </c>
    </row>
    <row r="409" spans="1:7">
      <c r="A409" s="612" t="s">
        <v>2521</v>
      </c>
      <c r="B409" s="432">
        <v>408</v>
      </c>
      <c r="C409" s="431" t="s">
        <v>450</v>
      </c>
      <c r="D409" t="s">
        <v>30</v>
      </c>
      <c r="E409" s="41" t="s">
        <v>1721</v>
      </c>
      <c r="F409" s="42" t="s">
        <v>860</v>
      </c>
      <c r="G409" s="428" t="e">
        <f>COUNTIF(#REF!,B409)</f>
        <v>#REF!</v>
      </c>
    </row>
    <row r="410" spans="1:7">
      <c r="A410" s="612" t="s">
        <v>2522</v>
      </c>
      <c r="B410" s="432">
        <v>409</v>
      </c>
      <c r="C410" s="431" t="s">
        <v>451</v>
      </c>
      <c r="D410" t="s">
        <v>945</v>
      </c>
      <c r="E410" s="41" t="s">
        <v>1722</v>
      </c>
      <c r="F410" s="42" t="s">
        <v>861</v>
      </c>
      <c r="G410" s="428" t="e">
        <f>COUNTIF(#REF!,B410)</f>
        <v>#REF!</v>
      </c>
    </row>
    <row r="411" spans="1:7">
      <c r="A411" s="612" t="s">
        <v>2523</v>
      </c>
      <c r="B411" s="432">
        <v>410</v>
      </c>
      <c r="C411" s="431" t="s">
        <v>452</v>
      </c>
      <c r="D411" t="s">
        <v>30</v>
      </c>
      <c r="E411" s="41" t="s">
        <v>1723</v>
      </c>
      <c r="F411" s="42" t="s">
        <v>862</v>
      </c>
      <c r="G411" s="428" t="e">
        <f>COUNTIF(#REF!,B411)</f>
        <v>#REF!</v>
      </c>
    </row>
    <row r="412" spans="1:7">
      <c r="A412" s="612" t="s">
        <v>2524</v>
      </c>
      <c r="B412" s="432">
        <v>411</v>
      </c>
      <c r="C412" s="431" t="s">
        <v>453</v>
      </c>
      <c r="D412" t="s">
        <v>30</v>
      </c>
      <c r="E412" s="41" t="s">
        <v>1724</v>
      </c>
      <c r="F412" s="42" t="s">
        <v>863</v>
      </c>
      <c r="G412" s="428" t="e">
        <f>COUNTIF(#REF!,B412)</f>
        <v>#REF!</v>
      </c>
    </row>
    <row r="413" spans="1:7">
      <c r="A413" s="612" t="s">
        <v>2525</v>
      </c>
      <c r="B413" s="432">
        <v>412</v>
      </c>
      <c r="C413" s="431" t="s">
        <v>454</v>
      </c>
      <c r="D413" t="s">
        <v>30</v>
      </c>
      <c r="E413" s="41" t="s">
        <v>1725</v>
      </c>
      <c r="F413" s="42" t="s">
        <v>864</v>
      </c>
      <c r="G413" s="428" t="e">
        <f>COUNTIF(#REF!,B413)</f>
        <v>#REF!</v>
      </c>
    </row>
    <row r="414" spans="1:7">
      <c r="A414" s="612" t="s">
        <v>2526</v>
      </c>
      <c r="B414" s="432">
        <v>413</v>
      </c>
      <c r="C414" s="431" t="s">
        <v>455</v>
      </c>
      <c r="D414" t="s">
        <v>2640</v>
      </c>
      <c r="E414" s="41" t="s">
        <v>1726</v>
      </c>
      <c r="F414" s="42" t="s">
        <v>865</v>
      </c>
      <c r="G414" s="428" t="e">
        <f>COUNTIF(#REF!,B414)</f>
        <v>#REF!</v>
      </c>
    </row>
    <row r="415" spans="1:7">
      <c r="A415" s="612" t="s">
        <v>2527</v>
      </c>
      <c r="B415" s="432">
        <v>414</v>
      </c>
      <c r="C415" s="431" t="s">
        <v>456</v>
      </c>
      <c r="D415" t="s">
        <v>29</v>
      </c>
      <c r="E415" s="41" t="s">
        <v>1727</v>
      </c>
      <c r="F415" s="42" t="s">
        <v>866</v>
      </c>
      <c r="G415" s="428" t="e">
        <f>COUNTIF(#REF!,B415)</f>
        <v>#REF!</v>
      </c>
    </row>
    <row r="416" spans="1:7">
      <c r="B416" s="432">
        <v>415</v>
      </c>
      <c r="C416" s="431" t="s">
        <v>457</v>
      </c>
      <c r="D416" t="s">
        <v>945</v>
      </c>
      <c r="E416" s="41" t="s">
        <v>1728</v>
      </c>
      <c r="F416" s="42" t="s">
        <v>867</v>
      </c>
      <c r="G416" s="428" t="e">
        <f>COUNTIF(#REF!,B416)</f>
        <v>#REF!</v>
      </c>
    </row>
    <row r="417" spans="1:7">
      <c r="A417" s="612" t="s">
        <v>2528</v>
      </c>
      <c r="B417" s="432">
        <v>416</v>
      </c>
      <c r="C417" s="431" t="s">
        <v>458</v>
      </c>
      <c r="D417" t="s">
        <v>30</v>
      </c>
      <c r="E417" s="41" t="s">
        <v>1729</v>
      </c>
      <c r="F417" s="42" t="s">
        <v>868</v>
      </c>
      <c r="G417" s="428" t="e">
        <f>COUNTIF(#REF!,B417)</f>
        <v>#REF!</v>
      </c>
    </row>
    <row r="418" spans="1:7">
      <c r="A418" s="612" t="s">
        <v>2529</v>
      </c>
      <c r="B418" s="432">
        <v>417</v>
      </c>
      <c r="C418" s="431" t="s">
        <v>459</v>
      </c>
      <c r="D418" t="s">
        <v>30</v>
      </c>
      <c r="E418" s="41" t="s">
        <v>1730</v>
      </c>
      <c r="F418" s="42" t="s">
        <v>869</v>
      </c>
      <c r="G418" s="428" t="e">
        <f>COUNTIF(#REF!,B418)</f>
        <v>#REF!</v>
      </c>
    </row>
    <row r="419" spans="1:7">
      <c r="A419" s="612" t="s">
        <v>2530</v>
      </c>
      <c r="B419" s="432">
        <v>418</v>
      </c>
      <c r="C419" s="431" t="s">
        <v>460</v>
      </c>
      <c r="D419" t="s">
        <v>945</v>
      </c>
      <c r="E419" s="41" t="s">
        <v>1731</v>
      </c>
      <c r="F419" s="42" t="s">
        <v>870</v>
      </c>
      <c r="G419" s="428" t="e">
        <f>COUNTIF(#REF!,B419)</f>
        <v>#REF!</v>
      </c>
    </row>
    <row r="420" spans="1:7">
      <c r="A420" s="612" t="s">
        <v>2531</v>
      </c>
      <c r="B420" s="432">
        <v>419</v>
      </c>
      <c r="C420" s="431" t="s">
        <v>461</v>
      </c>
      <c r="D420" t="s">
        <v>30</v>
      </c>
      <c r="E420" s="41" t="s">
        <v>1732</v>
      </c>
      <c r="F420" s="42" t="s">
        <v>871</v>
      </c>
      <c r="G420" s="428" t="e">
        <f>COUNTIF(#REF!,B420)</f>
        <v>#REF!</v>
      </c>
    </row>
    <row r="421" spans="1:7">
      <c r="A421" s="612" t="s">
        <v>2532</v>
      </c>
      <c r="B421" s="432">
        <v>420</v>
      </c>
      <c r="C421" s="431" t="s">
        <v>462</v>
      </c>
      <c r="D421" t="s">
        <v>30</v>
      </c>
      <c r="E421" s="41" t="s">
        <v>1733</v>
      </c>
      <c r="F421" s="42" t="s">
        <v>872</v>
      </c>
      <c r="G421" s="428" t="e">
        <f>COUNTIF(#REF!,B421)</f>
        <v>#REF!</v>
      </c>
    </row>
    <row r="422" spans="1:7">
      <c r="A422" s="612" t="s">
        <v>2533</v>
      </c>
      <c r="B422" s="432">
        <v>421</v>
      </c>
      <c r="C422" s="431" t="s">
        <v>463</v>
      </c>
      <c r="D422" t="s">
        <v>29</v>
      </c>
      <c r="E422" s="41" t="s">
        <v>1734</v>
      </c>
      <c r="F422" s="42" t="s">
        <v>873</v>
      </c>
      <c r="G422" s="428" t="e">
        <f>COUNTIF(#REF!,B422)</f>
        <v>#REF!</v>
      </c>
    </row>
    <row r="423" spans="1:7">
      <c r="A423" s="612" t="s">
        <v>2534</v>
      </c>
      <c r="B423" s="432">
        <v>422</v>
      </c>
      <c r="C423" s="431" t="s">
        <v>464</v>
      </c>
      <c r="D423" t="s">
        <v>30</v>
      </c>
      <c r="E423" s="41" t="s">
        <v>1735</v>
      </c>
      <c r="F423" s="42" t="s">
        <v>874</v>
      </c>
      <c r="G423" s="428" t="e">
        <f>COUNTIF(#REF!,B423)</f>
        <v>#REF!</v>
      </c>
    </row>
    <row r="424" spans="1:7">
      <c r="A424" s="612" t="s">
        <v>2535</v>
      </c>
      <c r="B424" s="432">
        <v>423</v>
      </c>
      <c r="C424" s="431" t="s">
        <v>465</v>
      </c>
      <c r="D424" t="s">
        <v>28</v>
      </c>
      <c r="E424" s="41" t="s">
        <v>1736</v>
      </c>
      <c r="F424" s="42" t="s">
        <v>875</v>
      </c>
      <c r="G424" s="428" t="e">
        <f>COUNTIF(#REF!,B424)</f>
        <v>#REF!</v>
      </c>
    </row>
    <row r="425" spans="1:7">
      <c r="A425" s="612" t="s">
        <v>2536</v>
      </c>
      <c r="B425" s="432">
        <v>424</v>
      </c>
      <c r="C425" s="431" t="s">
        <v>466</v>
      </c>
      <c r="D425" t="s">
        <v>29</v>
      </c>
      <c r="E425" s="41" t="s">
        <v>1737</v>
      </c>
      <c r="F425" s="42" t="s">
        <v>876</v>
      </c>
      <c r="G425" s="428" t="e">
        <f>COUNTIF(#REF!,B425)</f>
        <v>#REF!</v>
      </c>
    </row>
    <row r="426" spans="1:7">
      <c r="A426" s="612" t="s">
        <v>2537</v>
      </c>
      <c r="B426" s="432">
        <v>425</v>
      </c>
      <c r="C426" s="431" t="s">
        <v>467</v>
      </c>
      <c r="D426" t="s">
        <v>29</v>
      </c>
      <c r="E426" s="41" t="s">
        <v>1738</v>
      </c>
      <c r="F426" s="42" t="s">
        <v>877</v>
      </c>
      <c r="G426" s="428" t="e">
        <f>COUNTIF(#REF!,B426)</f>
        <v>#REF!</v>
      </c>
    </row>
    <row r="427" spans="1:7">
      <c r="A427" s="612" t="s">
        <v>2538</v>
      </c>
      <c r="B427" s="432">
        <v>426</v>
      </c>
      <c r="C427" s="431" t="s">
        <v>468</v>
      </c>
      <c r="D427" t="s">
        <v>29</v>
      </c>
      <c r="E427" s="41" t="s">
        <v>1739</v>
      </c>
      <c r="F427" s="42" t="s">
        <v>878</v>
      </c>
      <c r="G427" s="428" t="e">
        <f>COUNTIF(#REF!,B427)</f>
        <v>#REF!</v>
      </c>
    </row>
    <row r="428" spans="1:7">
      <c r="A428" s="612" t="s">
        <v>2539</v>
      </c>
      <c r="B428" s="432">
        <v>427</v>
      </c>
      <c r="C428" s="431" t="s">
        <v>469</v>
      </c>
      <c r="D428" t="s">
        <v>29</v>
      </c>
      <c r="E428" s="41" t="s">
        <v>1740</v>
      </c>
      <c r="F428" s="42" t="s">
        <v>879</v>
      </c>
      <c r="G428" s="428" t="e">
        <f>COUNTIF(#REF!,B428)</f>
        <v>#REF!</v>
      </c>
    </row>
    <row r="429" spans="1:7">
      <c r="A429" s="612" t="s">
        <v>2540</v>
      </c>
      <c r="B429" s="432">
        <v>428</v>
      </c>
      <c r="C429" s="431" t="s">
        <v>470</v>
      </c>
      <c r="D429" t="s">
        <v>29</v>
      </c>
      <c r="E429" s="41" t="s">
        <v>1741</v>
      </c>
      <c r="F429" s="42" t="s">
        <v>880</v>
      </c>
      <c r="G429" s="428" t="e">
        <f>COUNTIF(#REF!,B429)</f>
        <v>#REF!</v>
      </c>
    </row>
    <row r="430" spans="1:7">
      <c r="A430" s="612" t="s">
        <v>2541</v>
      </c>
      <c r="B430" s="432">
        <v>429</v>
      </c>
      <c r="C430" s="431" t="s">
        <v>471</v>
      </c>
      <c r="D430" t="s">
        <v>30</v>
      </c>
      <c r="E430" s="41" t="s">
        <v>1742</v>
      </c>
      <c r="F430" s="42" t="s">
        <v>881</v>
      </c>
      <c r="G430" s="428" t="e">
        <f>COUNTIF(#REF!,B430)</f>
        <v>#REF!</v>
      </c>
    </row>
    <row r="431" spans="1:7">
      <c r="A431" s="612" t="s">
        <v>2542</v>
      </c>
      <c r="B431" s="432">
        <v>430</v>
      </c>
      <c r="C431" s="431" t="s">
        <v>472</v>
      </c>
      <c r="D431" t="s">
        <v>29</v>
      </c>
      <c r="E431" s="41" t="s">
        <v>1743</v>
      </c>
      <c r="F431" s="42" t="s">
        <v>882</v>
      </c>
      <c r="G431" s="428" t="e">
        <f>COUNTIF(#REF!,B431)</f>
        <v>#REF!</v>
      </c>
    </row>
    <row r="432" spans="1:7">
      <c r="A432" s="612" t="s">
        <v>2543</v>
      </c>
      <c r="B432" s="432">
        <v>431</v>
      </c>
      <c r="C432" s="431" t="s">
        <v>473</v>
      </c>
      <c r="D432" t="s">
        <v>29</v>
      </c>
      <c r="E432" s="41" t="s">
        <v>1744</v>
      </c>
      <c r="F432" s="42" t="s">
        <v>883</v>
      </c>
      <c r="G432" s="428" t="e">
        <f>COUNTIF(#REF!,B432)</f>
        <v>#REF!</v>
      </c>
    </row>
    <row r="433" spans="1:7">
      <c r="A433" s="612" t="s">
        <v>2544</v>
      </c>
      <c r="B433" s="432">
        <v>432</v>
      </c>
      <c r="C433" s="431" t="s">
        <v>474</v>
      </c>
      <c r="D433" t="s">
        <v>944</v>
      </c>
      <c r="E433" s="41" t="s">
        <v>1745</v>
      </c>
      <c r="F433" s="42" t="s">
        <v>884</v>
      </c>
      <c r="G433" s="428" t="e">
        <f>COUNTIF(#REF!,B433)</f>
        <v>#REF!</v>
      </c>
    </row>
    <row r="434" spans="1:7">
      <c r="A434" s="612" t="s">
        <v>2545</v>
      </c>
      <c r="B434" s="432">
        <v>433</v>
      </c>
      <c r="C434" s="431" t="s">
        <v>475</v>
      </c>
      <c r="D434" t="s">
        <v>29</v>
      </c>
      <c r="E434" s="41" t="s">
        <v>1745</v>
      </c>
      <c r="F434" s="42" t="s">
        <v>885</v>
      </c>
      <c r="G434" s="428" t="e">
        <f>COUNTIF(#REF!,B434)</f>
        <v>#REF!</v>
      </c>
    </row>
    <row r="435" spans="1:7">
      <c r="A435" s="612" t="s">
        <v>2546</v>
      </c>
      <c r="B435" s="432">
        <v>434</v>
      </c>
      <c r="C435" s="431" t="s">
        <v>476</v>
      </c>
      <c r="D435" t="s">
        <v>28</v>
      </c>
      <c r="E435" s="41" t="s">
        <v>1407</v>
      </c>
      <c r="F435" s="42" t="s">
        <v>1967</v>
      </c>
      <c r="G435" s="428" t="e">
        <f>COUNTIF(#REF!,B435)</f>
        <v>#REF!</v>
      </c>
    </row>
    <row r="436" spans="1:7">
      <c r="A436" s="612" t="s">
        <v>2547</v>
      </c>
      <c r="B436" s="432">
        <v>435</v>
      </c>
      <c r="C436" s="431" t="s">
        <v>477</v>
      </c>
      <c r="D436" t="s">
        <v>30</v>
      </c>
      <c r="E436" s="41" t="s">
        <v>1746</v>
      </c>
      <c r="F436" s="42" t="s">
        <v>886</v>
      </c>
      <c r="G436" s="428" t="e">
        <f>COUNTIF(#REF!,B436)</f>
        <v>#REF!</v>
      </c>
    </row>
    <row r="437" spans="1:7">
      <c r="A437" s="612" t="s">
        <v>2548</v>
      </c>
      <c r="B437" s="432">
        <v>436</v>
      </c>
      <c r="C437" s="431" t="s">
        <v>478</v>
      </c>
      <c r="D437" t="s">
        <v>30</v>
      </c>
      <c r="E437" s="41" t="s">
        <v>1747</v>
      </c>
      <c r="F437" s="42" t="s">
        <v>887</v>
      </c>
      <c r="G437" s="428" t="e">
        <f>COUNTIF(#REF!,B437)</f>
        <v>#REF!</v>
      </c>
    </row>
    <row r="438" spans="1:7">
      <c r="A438" s="612" t="s">
        <v>2549</v>
      </c>
      <c r="B438" s="432">
        <v>437</v>
      </c>
      <c r="C438" s="431" t="s">
        <v>892</v>
      </c>
      <c r="D438" t="s">
        <v>28</v>
      </c>
      <c r="E438" s="41" t="s">
        <v>1746</v>
      </c>
      <c r="F438" s="42" t="s">
        <v>926</v>
      </c>
      <c r="G438" s="428" t="e">
        <f>COUNTIF(#REF!,B438)</f>
        <v>#REF!</v>
      </c>
    </row>
    <row r="439" spans="1:7">
      <c r="A439" s="612" t="s">
        <v>2550</v>
      </c>
      <c r="B439" s="432">
        <v>438</v>
      </c>
      <c r="C439" s="431" t="s">
        <v>893</v>
      </c>
      <c r="D439" t="s">
        <v>30</v>
      </c>
      <c r="E439" s="41" t="s">
        <v>1748</v>
      </c>
      <c r="F439" s="42" t="s">
        <v>927</v>
      </c>
      <c r="G439" s="428" t="e">
        <f>COUNTIF(#REF!,B439)</f>
        <v>#REF!</v>
      </c>
    </row>
    <row r="440" spans="1:7">
      <c r="A440" s="612" t="s">
        <v>2551</v>
      </c>
      <c r="B440" s="432">
        <v>439</v>
      </c>
      <c r="C440" s="431" t="s">
        <v>894</v>
      </c>
      <c r="D440" t="s">
        <v>30</v>
      </c>
      <c r="E440" s="41" t="s">
        <v>1749</v>
      </c>
      <c r="F440" s="42" t="s">
        <v>928</v>
      </c>
      <c r="G440" s="428" t="e">
        <f>COUNTIF(#REF!,B440)</f>
        <v>#REF!</v>
      </c>
    </row>
    <row r="441" spans="1:7">
      <c r="A441" s="612" t="s">
        <v>2552</v>
      </c>
      <c r="B441" s="432">
        <v>440</v>
      </c>
      <c r="C441" s="431" t="s">
        <v>895</v>
      </c>
      <c r="D441" t="s">
        <v>29</v>
      </c>
      <c r="E441" s="41" t="s">
        <v>1750</v>
      </c>
      <c r="F441" s="42" t="s">
        <v>929</v>
      </c>
      <c r="G441" s="428" t="e">
        <f>COUNTIF(#REF!,B441)</f>
        <v>#REF!</v>
      </c>
    </row>
    <row r="442" spans="1:7">
      <c r="A442" s="612" t="s">
        <v>2553</v>
      </c>
      <c r="B442" s="432">
        <v>441</v>
      </c>
      <c r="C442" s="431" t="s">
        <v>896</v>
      </c>
      <c r="D442" t="s">
        <v>29</v>
      </c>
      <c r="E442" s="41" t="s">
        <v>1751</v>
      </c>
      <c r="F442" s="42" t="s">
        <v>930</v>
      </c>
      <c r="G442" s="428" t="e">
        <f>COUNTIF(#REF!,B442)</f>
        <v>#REF!</v>
      </c>
    </row>
    <row r="443" spans="1:7">
      <c r="A443" s="612" t="s">
        <v>2554</v>
      </c>
      <c r="B443" s="432">
        <v>442</v>
      </c>
      <c r="C443" s="431" t="s">
        <v>897</v>
      </c>
      <c r="D443" t="s">
        <v>944</v>
      </c>
      <c r="E443" s="41" t="s">
        <v>1752</v>
      </c>
      <c r="F443" s="42" t="s">
        <v>931</v>
      </c>
      <c r="G443" s="428" t="e">
        <f>COUNTIF(#REF!,B443)</f>
        <v>#REF!</v>
      </c>
    </row>
    <row r="444" spans="1:7">
      <c r="A444" s="612" t="s">
        <v>2555</v>
      </c>
      <c r="B444" s="432">
        <v>443</v>
      </c>
      <c r="C444" s="431" t="s">
        <v>898</v>
      </c>
      <c r="D444" t="s">
        <v>944</v>
      </c>
      <c r="E444" s="41" t="s">
        <v>1753</v>
      </c>
      <c r="F444" s="42" t="s">
        <v>932</v>
      </c>
      <c r="G444" s="428" t="e">
        <f>COUNTIF(#REF!,B444)</f>
        <v>#REF!</v>
      </c>
    </row>
    <row r="445" spans="1:7">
      <c r="A445" s="612" t="s">
        <v>2556</v>
      </c>
      <c r="B445" s="432">
        <v>444</v>
      </c>
      <c r="C445" s="431" t="s">
        <v>899</v>
      </c>
      <c r="D445" t="s">
        <v>944</v>
      </c>
      <c r="E445" s="41" t="s">
        <v>1754</v>
      </c>
      <c r="F445" s="42" t="s">
        <v>933</v>
      </c>
      <c r="G445" s="428" t="e">
        <f>COUNTIF(#REF!,B445)</f>
        <v>#REF!</v>
      </c>
    </row>
    <row r="446" spans="1:7">
      <c r="A446" s="612" t="s">
        <v>2557</v>
      </c>
      <c r="B446" s="432">
        <v>445</v>
      </c>
      <c r="C446" s="431" t="s">
        <v>900</v>
      </c>
      <c r="D446" t="s">
        <v>944</v>
      </c>
      <c r="E446" s="41" t="s">
        <v>1755</v>
      </c>
      <c r="F446" s="42" t="s">
        <v>934</v>
      </c>
      <c r="G446" s="428" t="e">
        <f>COUNTIF(#REF!,B446)</f>
        <v>#REF!</v>
      </c>
    </row>
    <row r="447" spans="1:7">
      <c r="A447" s="612" t="s">
        <v>2558</v>
      </c>
      <c r="B447" s="432">
        <v>446</v>
      </c>
      <c r="C447" s="431" t="s">
        <v>901</v>
      </c>
      <c r="D447" t="s">
        <v>944</v>
      </c>
      <c r="E447" s="41" t="s">
        <v>1756</v>
      </c>
      <c r="F447" s="42" t="s">
        <v>935</v>
      </c>
      <c r="G447" s="428" t="e">
        <f>COUNTIF(#REF!,B447)</f>
        <v>#REF!</v>
      </c>
    </row>
    <row r="448" spans="1:7">
      <c r="A448" s="612" t="s">
        <v>2559</v>
      </c>
      <c r="B448" s="432">
        <v>447</v>
      </c>
      <c r="C448" s="431" t="s">
        <v>902</v>
      </c>
      <c r="D448" t="s">
        <v>944</v>
      </c>
      <c r="E448" s="41" t="s">
        <v>1757</v>
      </c>
      <c r="F448" s="42" t="s">
        <v>936</v>
      </c>
      <c r="G448" s="428" t="e">
        <f>COUNTIF(#REF!,B448)</f>
        <v>#REF!</v>
      </c>
    </row>
    <row r="449" spans="1:7">
      <c r="A449" s="612" t="s">
        <v>2560</v>
      </c>
      <c r="B449" s="432">
        <v>448</v>
      </c>
      <c r="C449" s="431" t="s">
        <v>903</v>
      </c>
      <c r="D449" t="s">
        <v>944</v>
      </c>
      <c r="E449" s="41" t="s">
        <v>1758</v>
      </c>
      <c r="F449" s="42" t="s">
        <v>937</v>
      </c>
      <c r="G449" s="428" t="e">
        <f>COUNTIF(#REF!,B449)</f>
        <v>#REF!</v>
      </c>
    </row>
    <row r="450" spans="1:7">
      <c r="A450" s="612" t="s">
        <v>2561</v>
      </c>
      <c r="B450" s="432">
        <v>449</v>
      </c>
      <c r="C450" s="431" t="s">
        <v>904</v>
      </c>
      <c r="D450" t="s">
        <v>944</v>
      </c>
      <c r="E450" s="41" t="s">
        <v>1759</v>
      </c>
      <c r="F450" s="42" t="s">
        <v>938</v>
      </c>
      <c r="G450" s="428" t="e">
        <f>COUNTIF(#REF!,B450)</f>
        <v>#REF!</v>
      </c>
    </row>
    <row r="451" spans="1:7">
      <c r="A451" s="612" t="s">
        <v>2562</v>
      </c>
      <c r="B451" s="432">
        <v>450</v>
      </c>
      <c r="C451" s="431" t="s">
        <v>905</v>
      </c>
      <c r="D451" t="s">
        <v>944</v>
      </c>
      <c r="E451" s="41" t="s">
        <v>1760</v>
      </c>
      <c r="F451" s="42" t="s">
        <v>939</v>
      </c>
      <c r="G451" s="428" t="e">
        <f>COUNTIF(#REF!,B451)</f>
        <v>#REF!</v>
      </c>
    </row>
    <row r="452" spans="1:7">
      <c r="A452" s="612" t="s">
        <v>2563</v>
      </c>
      <c r="B452" s="432">
        <v>451</v>
      </c>
      <c r="C452" s="431" t="s">
        <v>906</v>
      </c>
      <c r="D452" t="s">
        <v>944</v>
      </c>
      <c r="E452" s="41" t="s">
        <v>1761</v>
      </c>
      <c r="F452" s="42" t="s">
        <v>940</v>
      </c>
      <c r="G452" s="428" t="e">
        <f>COUNTIF(#REF!,B452)</f>
        <v>#REF!</v>
      </c>
    </row>
    <row r="453" spans="1:7">
      <c r="A453" s="612" t="s">
        <v>2564</v>
      </c>
      <c r="B453" s="432">
        <v>452</v>
      </c>
      <c r="C453" s="431" t="s">
        <v>907</v>
      </c>
      <c r="D453" t="s">
        <v>944</v>
      </c>
      <c r="E453" s="41" t="s">
        <v>1762</v>
      </c>
      <c r="F453" s="42" t="s">
        <v>941</v>
      </c>
      <c r="G453" s="428" t="e">
        <f>COUNTIF(#REF!,B453)</f>
        <v>#REF!</v>
      </c>
    </row>
    <row r="454" spans="1:7">
      <c r="A454" s="612" t="s">
        <v>2565</v>
      </c>
      <c r="B454" s="432">
        <v>453</v>
      </c>
      <c r="C454" s="431" t="s">
        <v>908</v>
      </c>
      <c r="D454" t="s">
        <v>944</v>
      </c>
      <c r="E454" s="41" t="s">
        <v>1763</v>
      </c>
      <c r="F454" s="42" t="s">
        <v>942</v>
      </c>
      <c r="G454" s="428" t="e">
        <f>COUNTIF(#REF!,B454)</f>
        <v>#REF!</v>
      </c>
    </row>
    <row r="455" spans="1:7">
      <c r="A455" s="612" t="s">
        <v>2566</v>
      </c>
      <c r="B455" s="432">
        <v>454</v>
      </c>
      <c r="C455" s="431" t="s">
        <v>909</v>
      </c>
      <c r="D455" t="s">
        <v>2640</v>
      </c>
      <c r="E455" s="41" t="s">
        <v>1764</v>
      </c>
      <c r="F455" s="41" t="s">
        <v>973</v>
      </c>
      <c r="G455" s="428" t="e">
        <f>COUNTIF(#REF!,B455)</f>
        <v>#REF!</v>
      </c>
    </row>
    <row r="456" spans="1:7">
      <c r="A456" s="612" t="s">
        <v>2567</v>
      </c>
      <c r="B456" s="432">
        <v>455</v>
      </c>
      <c r="C456" s="431" t="s">
        <v>910</v>
      </c>
      <c r="D456" t="s">
        <v>30</v>
      </c>
      <c r="E456" s="41" t="s">
        <v>1765</v>
      </c>
      <c r="F456" s="41" t="s">
        <v>974</v>
      </c>
      <c r="G456" s="428" t="e">
        <f>COUNTIF(#REF!,B456)</f>
        <v>#REF!</v>
      </c>
    </row>
    <row r="457" spans="1:7">
      <c r="A457" s="612" t="s">
        <v>2568</v>
      </c>
      <c r="B457" s="432">
        <v>456</v>
      </c>
      <c r="C457" s="431" t="s">
        <v>911</v>
      </c>
      <c r="D457" t="s">
        <v>945</v>
      </c>
      <c r="E457" s="41" t="s">
        <v>1766</v>
      </c>
      <c r="F457" s="42" t="s">
        <v>975</v>
      </c>
      <c r="G457" s="428" t="e">
        <f>COUNTIF(#REF!,B457)</f>
        <v>#REF!</v>
      </c>
    </row>
    <row r="458" spans="1:7">
      <c r="A458" s="612" t="s">
        <v>2569</v>
      </c>
      <c r="B458" s="432">
        <v>457</v>
      </c>
      <c r="C458" s="431" t="s">
        <v>912</v>
      </c>
      <c r="D458" t="s">
        <v>30</v>
      </c>
      <c r="E458" s="41" t="s">
        <v>1767</v>
      </c>
      <c r="F458" s="42" t="s">
        <v>976</v>
      </c>
      <c r="G458" s="428" t="e">
        <f>COUNTIF(#REF!,B458)</f>
        <v>#REF!</v>
      </c>
    </row>
    <row r="459" spans="1:7">
      <c r="B459" s="432">
        <v>458</v>
      </c>
      <c r="C459" s="431" t="s">
        <v>913</v>
      </c>
      <c r="D459" t="s">
        <v>943</v>
      </c>
      <c r="E459" s="41" t="s">
        <v>1768</v>
      </c>
      <c r="F459" s="42" t="s">
        <v>977</v>
      </c>
      <c r="G459" s="428" t="e">
        <f>COUNTIF(#REF!,B459)</f>
        <v>#REF!</v>
      </c>
    </row>
    <row r="460" spans="1:7">
      <c r="B460" s="432">
        <v>459</v>
      </c>
      <c r="C460" s="431" t="s">
        <v>914</v>
      </c>
      <c r="D460" t="s">
        <v>28</v>
      </c>
      <c r="E460" s="41" t="s">
        <v>1769</v>
      </c>
      <c r="F460" s="42" t="s">
        <v>978</v>
      </c>
      <c r="G460" s="428" t="e">
        <f>COUNTIF(#REF!,B460)</f>
        <v>#REF!</v>
      </c>
    </row>
    <row r="461" spans="1:7">
      <c r="B461" s="432">
        <v>460</v>
      </c>
      <c r="C461" s="431" t="s">
        <v>915</v>
      </c>
      <c r="D461" t="s">
        <v>28</v>
      </c>
      <c r="E461" s="41" t="s">
        <v>1770</v>
      </c>
      <c r="F461" s="42" t="s">
        <v>979</v>
      </c>
      <c r="G461" s="428" t="e">
        <f>COUNTIF(#REF!,B461)</f>
        <v>#REF!</v>
      </c>
    </row>
    <row r="462" spans="1:7">
      <c r="A462" s="612" t="s">
        <v>2570</v>
      </c>
      <c r="B462" s="432">
        <v>461</v>
      </c>
      <c r="C462" s="431" t="s">
        <v>916</v>
      </c>
      <c r="D462" t="s">
        <v>29</v>
      </c>
      <c r="E462" s="41" t="s">
        <v>1771</v>
      </c>
      <c r="F462" s="42" t="s">
        <v>980</v>
      </c>
      <c r="G462" s="428" t="e">
        <f>COUNTIF(#REF!,B462)</f>
        <v>#REF!</v>
      </c>
    </row>
    <row r="463" spans="1:7">
      <c r="A463" s="612" t="s">
        <v>2571</v>
      </c>
      <c r="B463" s="432">
        <v>462</v>
      </c>
      <c r="C463" s="431" t="s">
        <v>917</v>
      </c>
      <c r="D463" t="s">
        <v>2640</v>
      </c>
      <c r="E463" s="41" t="s">
        <v>1772</v>
      </c>
      <c r="F463" s="42" t="s">
        <v>981</v>
      </c>
      <c r="G463" s="428" t="e">
        <f>COUNTIF(#REF!,B463)</f>
        <v>#REF!</v>
      </c>
    </row>
    <row r="464" spans="1:7">
      <c r="B464" s="432">
        <v>463</v>
      </c>
      <c r="C464" s="431" t="s">
        <v>918</v>
      </c>
      <c r="D464" t="s">
        <v>30</v>
      </c>
      <c r="E464" s="41" t="s">
        <v>1634</v>
      </c>
      <c r="F464" s="42" t="s">
        <v>982</v>
      </c>
      <c r="G464" s="428" t="e">
        <f>COUNTIF(#REF!,B464)</f>
        <v>#REF!</v>
      </c>
    </row>
    <row r="465" spans="1:7">
      <c r="B465" s="432">
        <v>464</v>
      </c>
      <c r="C465" s="431" t="s">
        <v>919</v>
      </c>
      <c r="D465" t="s">
        <v>945</v>
      </c>
      <c r="E465" s="41" t="s">
        <v>1773</v>
      </c>
      <c r="F465" s="42" t="s">
        <v>983</v>
      </c>
      <c r="G465" s="428" t="e">
        <f>COUNTIF(#REF!,B465)</f>
        <v>#REF!</v>
      </c>
    </row>
    <row r="466" spans="1:7">
      <c r="A466" s="612" t="s">
        <v>2572</v>
      </c>
      <c r="B466" s="432">
        <v>465</v>
      </c>
      <c r="C466" s="431" t="s">
        <v>920</v>
      </c>
      <c r="D466" t="s">
        <v>29</v>
      </c>
      <c r="E466" s="41" t="s">
        <v>1774</v>
      </c>
      <c r="F466" s="42" t="s">
        <v>984</v>
      </c>
      <c r="G466" s="428" t="e">
        <f>COUNTIF(#REF!,B466)</f>
        <v>#REF!</v>
      </c>
    </row>
    <row r="467" spans="1:7">
      <c r="A467" s="612" t="s">
        <v>2573</v>
      </c>
      <c r="B467" s="432">
        <v>466</v>
      </c>
      <c r="C467" s="431" t="s">
        <v>921</v>
      </c>
      <c r="D467" t="s">
        <v>29</v>
      </c>
      <c r="E467" s="41" t="s">
        <v>1775</v>
      </c>
      <c r="F467" s="42" t="s">
        <v>985</v>
      </c>
      <c r="G467" s="428" t="e">
        <f>COUNTIF(#REF!,B467)</f>
        <v>#REF!</v>
      </c>
    </row>
    <row r="468" spans="1:7">
      <c r="B468" s="432">
        <v>467</v>
      </c>
      <c r="C468" s="431" t="s">
        <v>922</v>
      </c>
      <c r="D468" t="s">
        <v>28</v>
      </c>
      <c r="E468" s="41" t="s">
        <v>1776</v>
      </c>
      <c r="F468" s="42" t="s">
        <v>986</v>
      </c>
      <c r="G468" s="428" t="e">
        <f>COUNTIF(#REF!,B468)</f>
        <v>#REF!</v>
      </c>
    </row>
    <row r="469" spans="1:7">
      <c r="B469" s="432">
        <v>468</v>
      </c>
      <c r="C469" s="431" t="s">
        <v>923</v>
      </c>
      <c r="D469" t="s">
        <v>945</v>
      </c>
      <c r="E469" s="41" t="s">
        <v>1777</v>
      </c>
      <c r="F469" s="42" t="s">
        <v>987</v>
      </c>
      <c r="G469" s="428" t="e">
        <f>COUNTIF(#REF!,B469)</f>
        <v>#REF!</v>
      </c>
    </row>
    <row r="470" spans="1:7">
      <c r="B470" s="432">
        <v>469</v>
      </c>
      <c r="C470" s="431" t="s">
        <v>924</v>
      </c>
      <c r="D470" t="s">
        <v>2640</v>
      </c>
      <c r="E470" s="41" t="s">
        <v>1778</v>
      </c>
      <c r="F470" s="42" t="s">
        <v>988</v>
      </c>
      <c r="G470" s="428" t="e">
        <f>COUNTIF(#REF!,B470)</f>
        <v>#REF!</v>
      </c>
    </row>
    <row r="471" spans="1:7">
      <c r="B471" s="432">
        <v>470</v>
      </c>
      <c r="C471" s="431" t="s">
        <v>951</v>
      </c>
      <c r="D471" t="s">
        <v>945</v>
      </c>
      <c r="E471" s="41" t="s">
        <v>1779</v>
      </c>
      <c r="F471" s="42" t="s">
        <v>989</v>
      </c>
      <c r="G471" s="428" t="e">
        <f>COUNTIF(#REF!,B471)</f>
        <v>#REF!</v>
      </c>
    </row>
    <row r="472" spans="1:7">
      <c r="B472" s="432">
        <v>471</v>
      </c>
      <c r="C472" s="431" t="s">
        <v>952</v>
      </c>
      <c r="D472" t="s">
        <v>2640</v>
      </c>
      <c r="E472" s="41" t="s">
        <v>1659</v>
      </c>
      <c r="F472" s="42" t="s">
        <v>990</v>
      </c>
      <c r="G472" s="428" t="e">
        <f>COUNTIF(#REF!,B472)</f>
        <v>#REF!</v>
      </c>
    </row>
    <row r="473" spans="1:7">
      <c r="A473" s="612" t="s">
        <v>2574</v>
      </c>
      <c r="B473" s="432">
        <v>472</v>
      </c>
      <c r="C473" s="431" t="s">
        <v>953</v>
      </c>
      <c r="D473" t="s">
        <v>2640</v>
      </c>
      <c r="E473" s="41" t="s">
        <v>1780</v>
      </c>
      <c r="F473" s="42" t="s">
        <v>991</v>
      </c>
      <c r="G473" s="428" t="e">
        <f>COUNTIF(#REF!,B473)</f>
        <v>#REF!</v>
      </c>
    </row>
    <row r="474" spans="1:7">
      <c r="A474" s="612" t="s">
        <v>2575</v>
      </c>
      <c r="B474" s="432">
        <v>473</v>
      </c>
      <c r="C474" s="431" t="s">
        <v>954</v>
      </c>
      <c r="D474" t="s">
        <v>30</v>
      </c>
      <c r="E474" s="41" t="s">
        <v>1781</v>
      </c>
      <c r="F474" s="42" t="s">
        <v>992</v>
      </c>
      <c r="G474" s="428" t="e">
        <f>COUNTIF(#REF!,B474)</f>
        <v>#REF!</v>
      </c>
    </row>
    <row r="475" spans="1:7">
      <c r="A475" s="612" t="s">
        <v>2576</v>
      </c>
      <c r="B475" s="432">
        <v>474</v>
      </c>
      <c r="C475" s="431" t="s">
        <v>955</v>
      </c>
      <c r="D475" t="s">
        <v>944</v>
      </c>
      <c r="E475" s="41" t="s">
        <v>1782</v>
      </c>
      <c r="F475" s="42" t="s">
        <v>1968</v>
      </c>
      <c r="G475" s="428" t="e">
        <f>COUNTIF(#REF!,B475)</f>
        <v>#REF!</v>
      </c>
    </row>
    <row r="476" spans="1:7">
      <c r="A476" s="612" t="s">
        <v>2577</v>
      </c>
      <c r="B476" s="432">
        <v>475</v>
      </c>
      <c r="C476" s="431" t="s">
        <v>956</v>
      </c>
      <c r="D476" t="s">
        <v>2640</v>
      </c>
      <c r="E476" s="41" t="s">
        <v>1783</v>
      </c>
      <c r="F476" s="42" t="s">
        <v>993</v>
      </c>
      <c r="G476" s="428" t="e">
        <f>COUNTIF(#REF!,B476)</f>
        <v>#REF!</v>
      </c>
    </row>
    <row r="477" spans="1:7">
      <c r="A477" s="612" t="s">
        <v>2578</v>
      </c>
      <c r="B477" s="432">
        <v>476</v>
      </c>
      <c r="C477" s="431" t="s">
        <v>957</v>
      </c>
      <c r="D477" t="s">
        <v>2640</v>
      </c>
      <c r="E477" s="41" t="s">
        <v>1784</v>
      </c>
      <c r="F477" s="42" t="s">
        <v>994</v>
      </c>
      <c r="G477" s="428" t="e">
        <f>COUNTIF(#REF!,B477)</f>
        <v>#REF!</v>
      </c>
    </row>
    <row r="478" spans="1:7">
      <c r="A478" s="612" t="s">
        <v>2579</v>
      </c>
      <c r="B478" s="432">
        <v>477</v>
      </c>
      <c r="C478" s="431" t="s">
        <v>958</v>
      </c>
      <c r="D478" t="s">
        <v>944</v>
      </c>
      <c r="E478" s="41" t="s">
        <v>1785</v>
      </c>
      <c r="F478" s="42" t="s">
        <v>995</v>
      </c>
      <c r="G478" s="428" t="e">
        <f>COUNTIF(#REF!,B478)</f>
        <v>#REF!</v>
      </c>
    </row>
    <row r="479" spans="1:7">
      <c r="A479" s="612" t="s">
        <v>2580</v>
      </c>
      <c r="B479" s="432">
        <v>478</v>
      </c>
      <c r="C479" s="431" t="s">
        <v>959</v>
      </c>
      <c r="D479" t="s">
        <v>944</v>
      </c>
      <c r="E479" s="41" t="s">
        <v>1786</v>
      </c>
      <c r="F479" s="42" t="s">
        <v>996</v>
      </c>
      <c r="G479" s="428" t="e">
        <f>COUNTIF(#REF!,B479)</f>
        <v>#REF!</v>
      </c>
    </row>
    <row r="480" spans="1:7">
      <c r="A480" s="612" t="s">
        <v>2581</v>
      </c>
      <c r="B480" s="432">
        <v>479</v>
      </c>
      <c r="C480" s="431" t="s">
        <v>960</v>
      </c>
      <c r="D480" t="s">
        <v>944</v>
      </c>
      <c r="E480" s="41" t="s">
        <v>1787</v>
      </c>
      <c r="F480" s="42" t="s">
        <v>997</v>
      </c>
      <c r="G480" s="428" t="e">
        <f>COUNTIF(#REF!,B480)</f>
        <v>#REF!</v>
      </c>
    </row>
    <row r="481" spans="1:7">
      <c r="A481" s="612" t="s">
        <v>2582</v>
      </c>
      <c r="B481" s="432">
        <v>480</v>
      </c>
      <c r="C481" s="431" t="s">
        <v>961</v>
      </c>
      <c r="D481" t="s">
        <v>944</v>
      </c>
      <c r="E481" s="41" t="s">
        <v>1788</v>
      </c>
      <c r="F481" s="42" t="s">
        <v>998</v>
      </c>
      <c r="G481" s="428" t="e">
        <f>COUNTIF(#REF!,B481)</f>
        <v>#REF!</v>
      </c>
    </row>
    <row r="482" spans="1:7">
      <c r="A482" s="612" t="s">
        <v>2583</v>
      </c>
      <c r="B482" s="432">
        <v>481</v>
      </c>
      <c r="C482" s="431" t="s">
        <v>962</v>
      </c>
      <c r="D482" t="s">
        <v>944</v>
      </c>
      <c r="E482" s="41" t="s">
        <v>1789</v>
      </c>
      <c r="F482" s="42" t="s">
        <v>999</v>
      </c>
      <c r="G482" s="428" t="e">
        <f>COUNTIF(#REF!,B482)</f>
        <v>#REF!</v>
      </c>
    </row>
    <row r="483" spans="1:7">
      <c r="A483" s="612" t="s">
        <v>2584</v>
      </c>
      <c r="B483" s="432">
        <v>482</v>
      </c>
      <c r="C483" s="431" t="s">
        <v>963</v>
      </c>
      <c r="D483" t="s">
        <v>944</v>
      </c>
      <c r="E483" s="41" t="s">
        <v>1790</v>
      </c>
      <c r="F483" s="42" t="s">
        <v>1000</v>
      </c>
      <c r="G483" s="428" t="e">
        <f>COUNTIF(#REF!,B483)</f>
        <v>#REF!</v>
      </c>
    </row>
    <row r="484" spans="1:7">
      <c r="B484" s="432">
        <v>483</v>
      </c>
      <c r="C484" s="431" t="s">
        <v>964</v>
      </c>
      <c r="D484" t="s">
        <v>2640</v>
      </c>
      <c r="E484" s="41" t="s">
        <v>1791</v>
      </c>
      <c r="F484" s="42" t="s">
        <v>1969</v>
      </c>
      <c r="G484" s="428" t="e">
        <f>COUNTIF(#REF!,B484)</f>
        <v>#REF!</v>
      </c>
    </row>
    <row r="485" spans="1:7">
      <c r="A485" s="612" t="s">
        <v>2585</v>
      </c>
      <c r="B485" s="432">
        <v>484</v>
      </c>
      <c r="C485" s="431" t="s">
        <v>965</v>
      </c>
      <c r="D485" t="s">
        <v>944</v>
      </c>
      <c r="E485" s="41" t="s">
        <v>1792</v>
      </c>
      <c r="F485" s="42" t="s">
        <v>1001</v>
      </c>
      <c r="G485" s="428" t="e">
        <f>COUNTIF(#REF!,B485)</f>
        <v>#REF!</v>
      </c>
    </row>
    <row r="486" spans="1:7">
      <c r="A486" s="612" t="s">
        <v>2586</v>
      </c>
      <c r="B486" s="432">
        <v>485</v>
      </c>
      <c r="C486" s="431" t="s">
        <v>966</v>
      </c>
      <c r="D486" t="s">
        <v>944</v>
      </c>
      <c r="E486" s="41" t="s">
        <v>1793</v>
      </c>
      <c r="F486" s="42" t="s">
        <v>1002</v>
      </c>
      <c r="G486" s="428" t="e">
        <f>COUNTIF(#REF!,B486)</f>
        <v>#REF!</v>
      </c>
    </row>
    <row r="487" spans="1:7">
      <c r="A487" s="612" t="s">
        <v>2587</v>
      </c>
      <c r="B487" s="432">
        <v>486</v>
      </c>
      <c r="C487" s="431" t="s">
        <v>967</v>
      </c>
      <c r="D487" t="s">
        <v>30</v>
      </c>
      <c r="E487" s="41" t="s">
        <v>1794</v>
      </c>
      <c r="F487" s="42" t="s">
        <v>1003</v>
      </c>
      <c r="G487" s="428" t="e">
        <f>COUNTIF(#REF!,B487)</f>
        <v>#REF!</v>
      </c>
    </row>
    <row r="488" spans="1:7">
      <c r="A488" s="612" t="s">
        <v>2588</v>
      </c>
      <c r="B488" s="432">
        <v>487</v>
      </c>
      <c r="C488" s="431" t="s">
        <v>968</v>
      </c>
      <c r="D488" t="s">
        <v>30</v>
      </c>
      <c r="E488" s="41" t="s">
        <v>1795</v>
      </c>
      <c r="F488" s="42" t="s">
        <v>1970</v>
      </c>
      <c r="G488" s="428" t="e">
        <f>COUNTIF(#REF!,B488)</f>
        <v>#REF!</v>
      </c>
    </row>
    <row r="489" spans="1:7">
      <c r="B489" s="432">
        <v>488</v>
      </c>
      <c r="C489" s="431" t="s">
        <v>969</v>
      </c>
      <c r="D489" t="s">
        <v>30</v>
      </c>
      <c r="E489" s="41" t="s">
        <v>1796</v>
      </c>
      <c r="F489" s="42" t="s">
        <v>1971</v>
      </c>
      <c r="G489" s="428" t="e">
        <f>COUNTIF(#REF!,B489)</f>
        <v>#REF!</v>
      </c>
    </row>
    <row r="490" spans="1:7">
      <c r="A490" s="612" t="s">
        <v>2589</v>
      </c>
      <c r="B490" s="432">
        <v>489</v>
      </c>
      <c r="C490" s="431" t="s">
        <v>970</v>
      </c>
      <c r="D490" t="s">
        <v>30</v>
      </c>
      <c r="E490" s="41" t="s">
        <v>1797</v>
      </c>
      <c r="F490" s="42" t="s">
        <v>1972</v>
      </c>
      <c r="G490" s="428" t="e">
        <f>COUNTIF(#REF!,B490)</f>
        <v>#REF!</v>
      </c>
    </row>
    <row r="491" spans="1:7">
      <c r="A491" s="612" t="s">
        <v>2590</v>
      </c>
      <c r="B491" s="432">
        <v>490</v>
      </c>
      <c r="C491" s="431" t="s">
        <v>971</v>
      </c>
      <c r="D491" t="s">
        <v>944</v>
      </c>
      <c r="E491" s="41" t="s">
        <v>1798</v>
      </c>
      <c r="F491" s="42" t="s">
        <v>1973</v>
      </c>
      <c r="G491" s="428" t="e">
        <f>COUNTIF(#REF!,B491)</f>
        <v>#REF!</v>
      </c>
    </row>
    <row r="492" spans="1:7">
      <c r="A492" s="612" t="s">
        <v>2591</v>
      </c>
      <c r="B492" s="432">
        <v>491</v>
      </c>
      <c r="C492" s="431" t="s">
        <v>972</v>
      </c>
      <c r="D492" t="s">
        <v>944</v>
      </c>
      <c r="E492" s="41" t="s">
        <v>1799</v>
      </c>
      <c r="F492" s="42" t="s">
        <v>1974</v>
      </c>
      <c r="G492" s="428" t="e">
        <f>COUNTIF(#REF!,B492)</f>
        <v>#REF!</v>
      </c>
    </row>
    <row r="493" spans="1:7">
      <c r="A493" s="612" t="s">
        <v>2592</v>
      </c>
      <c r="B493" s="432">
        <v>492</v>
      </c>
      <c r="C493" s="431" t="s">
        <v>1004</v>
      </c>
      <c r="D493" t="s">
        <v>28</v>
      </c>
      <c r="E493" s="42" t="s">
        <v>1800</v>
      </c>
      <c r="F493" s="42" t="s">
        <v>1005</v>
      </c>
      <c r="G493" s="428" t="e">
        <f>COUNTIF(#REF!,B493)</f>
        <v>#REF!</v>
      </c>
    </row>
    <row r="494" spans="1:7">
      <c r="A494" s="612" t="s">
        <v>2593</v>
      </c>
      <c r="B494" s="432">
        <v>493</v>
      </c>
      <c r="C494" s="431"/>
      <c r="D494" t="s">
        <v>30</v>
      </c>
      <c r="E494" s="42" t="s">
        <v>1801</v>
      </c>
      <c r="F494" s="42" t="s">
        <v>1258</v>
      </c>
      <c r="G494" s="428" t="e">
        <f>COUNTIF(#REF!,B494)</f>
        <v>#REF!</v>
      </c>
    </row>
    <row r="495" spans="1:7">
      <c r="B495" s="432">
        <v>494</v>
      </c>
      <c r="C495" s="429"/>
      <c r="D495" t="s">
        <v>945</v>
      </c>
      <c r="E495" s="42" t="s">
        <v>1802</v>
      </c>
      <c r="F495" s="42" t="s">
        <v>1259</v>
      </c>
      <c r="G495" s="428" t="e">
        <f>COUNTIF(#REF!,B495)</f>
        <v>#REF!</v>
      </c>
    </row>
    <row r="496" spans="1:7">
      <c r="A496" s="612" t="s">
        <v>2594</v>
      </c>
      <c r="B496" s="432">
        <v>495</v>
      </c>
      <c r="C496" s="429"/>
      <c r="D496" t="s">
        <v>30</v>
      </c>
      <c r="E496" s="42" t="s">
        <v>1803</v>
      </c>
      <c r="F496" s="42" t="s">
        <v>1260</v>
      </c>
      <c r="G496" s="428" t="e">
        <f>COUNTIF(#REF!,B496)</f>
        <v>#REF!</v>
      </c>
    </row>
    <row r="497" spans="1:7">
      <c r="B497" s="432">
        <v>496</v>
      </c>
      <c r="C497" s="429"/>
      <c r="D497" t="s">
        <v>945</v>
      </c>
      <c r="E497" s="42" t="s">
        <v>1804</v>
      </c>
      <c r="F497" s="42" t="s">
        <v>1261</v>
      </c>
      <c r="G497" s="428" t="e">
        <f>COUNTIF(#REF!,B497)</f>
        <v>#REF!</v>
      </c>
    </row>
    <row r="498" spans="1:7">
      <c r="B498" s="432">
        <v>497</v>
      </c>
      <c r="C498" s="429"/>
      <c r="D498" t="s">
        <v>2640</v>
      </c>
      <c r="E498" s="42" t="s">
        <v>1805</v>
      </c>
      <c r="F498" s="42" t="s">
        <v>1262</v>
      </c>
      <c r="G498" s="428" t="e">
        <f>COUNTIF(#REF!,B498)</f>
        <v>#REF!</v>
      </c>
    </row>
    <row r="499" spans="1:7">
      <c r="B499" s="432">
        <v>498</v>
      </c>
      <c r="C499" s="429"/>
      <c r="D499" t="s">
        <v>30</v>
      </c>
      <c r="E499" s="42" t="s">
        <v>1806</v>
      </c>
      <c r="F499" s="42" t="s">
        <v>1263</v>
      </c>
      <c r="G499" s="428" t="e">
        <f>COUNTIF(#REF!,B499)</f>
        <v>#REF!</v>
      </c>
    </row>
    <row r="500" spans="1:7">
      <c r="A500" s="612" t="s">
        <v>2595</v>
      </c>
      <c r="B500" s="432">
        <v>499</v>
      </c>
      <c r="C500" s="429"/>
      <c r="D500" t="s">
        <v>30</v>
      </c>
      <c r="E500" s="42" t="s">
        <v>1807</v>
      </c>
      <c r="F500" s="42" t="s">
        <v>1264</v>
      </c>
      <c r="G500" s="428" t="e">
        <f>COUNTIF(#REF!,B500)</f>
        <v>#REF!</v>
      </c>
    </row>
    <row r="501" spans="1:7">
      <c r="A501" s="612" t="s">
        <v>2596</v>
      </c>
      <c r="B501" s="432">
        <v>500</v>
      </c>
      <c r="C501" s="429"/>
      <c r="D501" t="s">
        <v>30</v>
      </c>
      <c r="E501" s="42" t="s">
        <v>1808</v>
      </c>
      <c r="F501" s="42" t="s">
        <v>1265</v>
      </c>
      <c r="G501" s="428" t="e">
        <f>COUNTIF(#REF!,B501)</f>
        <v>#REF!</v>
      </c>
    </row>
    <row r="502" spans="1:7">
      <c r="A502" s="612" t="s">
        <v>2597</v>
      </c>
      <c r="B502" s="432">
        <v>501</v>
      </c>
      <c r="C502" s="429"/>
      <c r="D502" t="s">
        <v>28</v>
      </c>
      <c r="E502" s="42" t="s">
        <v>1809</v>
      </c>
      <c r="F502" s="42" t="s">
        <v>1266</v>
      </c>
      <c r="G502" s="428" t="e">
        <f>COUNTIF(#REF!,B502)</f>
        <v>#REF!</v>
      </c>
    </row>
    <row r="503" spans="1:7">
      <c r="A503" s="612" t="s">
        <v>2598</v>
      </c>
      <c r="B503" s="432">
        <v>502</v>
      </c>
      <c r="C503" s="429"/>
      <c r="D503" t="s">
        <v>28</v>
      </c>
      <c r="E503" s="42" t="s">
        <v>1810</v>
      </c>
      <c r="F503" s="42" t="s">
        <v>1267</v>
      </c>
      <c r="G503" s="428" t="e">
        <f>COUNTIF(#REF!,B503)</f>
        <v>#REF!</v>
      </c>
    </row>
    <row r="504" spans="1:7">
      <c r="B504" s="432">
        <v>503</v>
      </c>
      <c r="C504" s="429"/>
      <c r="D504" t="s">
        <v>28</v>
      </c>
      <c r="E504" s="42" t="s">
        <v>1811</v>
      </c>
      <c r="F504" s="42" t="s">
        <v>1268</v>
      </c>
      <c r="G504" s="428" t="e">
        <f>COUNTIF(#REF!,B504)</f>
        <v>#REF!</v>
      </c>
    </row>
    <row r="505" spans="1:7">
      <c r="A505" s="612" t="s">
        <v>2599</v>
      </c>
      <c r="B505" s="432">
        <v>504</v>
      </c>
      <c r="C505" s="429"/>
      <c r="D505" t="s">
        <v>30</v>
      </c>
      <c r="E505" s="42" t="s">
        <v>1812</v>
      </c>
      <c r="F505" s="42" t="s">
        <v>1821</v>
      </c>
      <c r="G505" s="428" t="e">
        <f>COUNTIF(#REF!,B505)</f>
        <v>#REF!</v>
      </c>
    </row>
    <row r="506" spans="1:7">
      <c r="A506" s="612" t="s">
        <v>2600</v>
      </c>
      <c r="B506" s="432">
        <v>505</v>
      </c>
      <c r="C506" s="429"/>
      <c r="D506" t="s">
        <v>30</v>
      </c>
      <c r="E506" s="42" t="s">
        <v>1813</v>
      </c>
      <c r="F506" s="42" t="s">
        <v>1822</v>
      </c>
      <c r="G506" s="428" t="e">
        <f>COUNTIF(#REF!,B506)</f>
        <v>#REF!</v>
      </c>
    </row>
    <row r="507" spans="1:7">
      <c r="A507" s="612" t="s">
        <v>2601</v>
      </c>
      <c r="B507" s="432">
        <v>506</v>
      </c>
      <c r="C507" s="429"/>
      <c r="D507" t="s">
        <v>30</v>
      </c>
      <c r="E507" s="42" t="s">
        <v>1814</v>
      </c>
      <c r="F507" s="42" t="s">
        <v>1823</v>
      </c>
      <c r="G507" s="428" t="e">
        <f>COUNTIF(#REF!,B507)</f>
        <v>#REF!</v>
      </c>
    </row>
    <row r="508" spans="1:7">
      <c r="B508" s="432">
        <v>507</v>
      </c>
      <c r="C508" s="429"/>
      <c r="D508" t="s">
        <v>30</v>
      </c>
      <c r="E508" s="42" t="s">
        <v>1815</v>
      </c>
      <c r="F508" s="42" t="s">
        <v>1824</v>
      </c>
      <c r="G508" s="428" t="e">
        <f>COUNTIF(#REF!,B508)</f>
        <v>#REF!</v>
      </c>
    </row>
    <row r="509" spans="1:7">
      <c r="A509" s="612" t="s">
        <v>2602</v>
      </c>
      <c r="B509" s="432">
        <v>508</v>
      </c>
      <c r="C509" s="429"/>
      <c r="D509" t="s">
        <v>30</v>
      </c>
      <c r="E509" s="42" t="s">
        <v>1816</v>
      </c>
      <c r="F509" s="42" t="s">
        <v>1825</v>
      </c>
      <c r="G509" s="428" t="e">
        <f>COUNTIF(#REF!,B509)</f>
        <v>#REF!</v>
      </c>
    </row>
    <row r="510" spans="1:7">
      <c r="B510" s="432">
        <v>509</v>
      </c>
      <c r="C510" s="429"/>
      <c r="D510" t="s">
        <v>30</v>
      </c>
      <c r="E510" s="42" t="s">
        <v>1817</v>
      </c>
      <c r="F510" s="42" t="s">
        <v>1826</v>
      </c>
      <c r="G510" s="428" t="e">
        <f>COUNTIF(#REF!,B510)</f>
        <v>#REF!</v>
      </c>
    </row>
    <row r="511" spans="1:7">
      <c r="B511" s="432">
        <v>510</v>
      </c>
      <c r="C511" s="429"/>
      <c r="D511" t="s">
        <v>30</v>
      </c>
      <c r="E511" s="42" t="s">
        <v>1818</v>
      </c>
      <c r="F511" s="42" t="s">
        <v>1827</v>
      </c>
      <c r="G511" s="428" t="e">
        <f>COUNTIF(#REF!,B511)</f>
        <v>#REF!</v>
      </c>
    </row>
    <row r="512" spans="1:7">
      <c r="B512" s="432">
        <v>511</v>
      </c>
      <c r="C512" s="429"/>
      <c r="D512" t="s">
        <v>2640</v>
      </c>
      <c r="E512" s="42" t="s">
        <v>1819</v>
      </c>
      <c r="F512" s="42" t="s">
        <v>1828</v>
      </c>
      <c r="G512" s="428" t="e">
        <f>COUNTIF(#REF!,B512)</f>
        <v>#REF!</v>
      </c>
    </row>
    <row r="513" spans="1:7">
      <c r="A513" s="612" t="s">
        <v>2603</v>
      </c>
      <c r="B513" s="432">
        <v>512</v>
      </c>
      <c r="C513" s="429"/>
      <c r="D513" t="s">
        <v>945</v>
      </c>
      <c r="E513" s="42" t="s">
        <v>1820</v>
      </c>
      <c r="F513" s="42" t="s">
        <v>1829</v>
      </c>
      <c r="G513" s="428" t="e">
        <f>COUNTIF(#REF!,B513)</f>
        <v>#REF!</v>
      </c>
    </row>
    <row r="514" spans="1:7">
      <c r="B514" s="432">
        <v>513</v>
      </c>
      <c r="D514" t="s">
        <v>944</v>
      </c>
      <c r="F514" s="42" t="s">
        <v>1975</v>
      </c>
      <c r="G514" s="428" t="e">
        <f>COUNTIF(#REF!,B514)</f>
        <v>#REF!</v>
      </c>
    </row>
    <row r="515" spans="1:7">
      <c r="B515" s="432">
        <v>514</v>
      </c>
      <c r="D515" t="s">
        <v>944</v>
      </c>
      <c r="F515" s="42" t="s">
        <v>1976</v>
      </c>
      <c r="G515" s="428" t="e">
        <f>COUNTIF(#REF!,B515)</f>
        <v>#REF!</v>
      </c>
    </row>
    <row r="516" spans="1:7">
      <c r="B516" s="432">
        <v>515</v>
      </c>
      <c r="D516" t="s">
        <v>944</v>
      </c>
      <c r="F516" s="42" t="s">
        <v>1977</v>
      </c>
      <c r="G516" s="428" t="e">
        <f>COUNTIF(#REF!,B516)</f>
        <v>#REF!</v>
      </c>
    </row>
    <row r="517" spans="1:7">
      <c r="A517" s="612" t="s">
        <v>2604</v>
      </c>
      <c r="B517" s="432">
        <v>516</v>
      </c>
      <c r="D517" t="s">
        <v>30</v>
      </c>
      <c r="F517" s="42" t="s">
        <v>1978</v>
      </c>
      <c r="G517" s="428" t="e">
        <f>COUNTIF(#REF!,B517)</f>
        <v>#REF!</v>
      </c>
    </row>
    <row r="518" spans="1:7">
      <c r="A518" s="612" t="s">
        <v>2605</v>
      </c>
      <c r="B518" s="432">
        <v>517</v>
      </c>
      <c r="D518" t="s">
        <v>30</v>
      </c>
      <c r="F518" s="42" t="s">
        <v>1979</v>
      </c>
      <c r="G518" s="428" t="e">
        <f>COUNTIF(#REF!,B518)</f>
        <v>#REF!</v>
      </c>
    </row>
    <row r="519" spans="1:7">
      <c r="A519" s="612" t="s">
        <v>2606</v>
      </c>
      <c r="B519" s="432">
        <v>518</v>
      </c>
      <c r="D519" t="s">
        <v>30</v>
      </c>
      <c r="F519" s="42" t="s">
        <v>1980</v>
      </c>
      <c r="G519" s="428" t="e">
        <f>COUNTIF(#REF!,B519)</f>
        <v>#REF!</v>
      </c>
    </row>
    <row r="520" spans="1:7">
      <c r="A520" s="612" t="s">
        <v>2607</v>
      </c>
      <c r="B520" s="432">
        <v>519</v>
      </c>
      <c r="D520" t="s">
        <v>2640</v>
      </c>
      <c r="F520" s="42" t="s">
        <v>1981</v>
      </c>
      <c r="G520" s="428" t="e">
        <f>COUNTIF(#REF!,B520)</f>
        <v>#REF!</v>
      </c>
    </row>
    <row r="521" spans="1:7">
      <c r="A521" s="612" t="s">
        <v>2608</v>
      </c>
      <c r="B521" s="432">
        <v>520</v>
      </c>
      <c r="D521" t="s">
        <v>30</v>
      </c>
      <c r="F521" s="42" t="s">
        <v>1982</v>
      </c>
      <c r="G521" s="428" t="e">
        <f>COUNTIF(#REF!,B521)</f>
        <v>#REF!</v>
      </c>
    </row>
    <row r="522" spans="1:7">
      <c r="A522" s="612" t="s">
        <v>2609</v>
      </c>
      <c r="B522" s="432">
        <v>521</v>
      </c>
      <c r="D522" t="s">
        <v>30</v>
      </c>
      <c r="F522" s="42" t="s">
        <v>1983</v>
      </c>
      <c r="G522" s="428" t="e">
        <f>COUNTIF(#REF!,B522)</f>
        <v>#REF!</v>
      </c>
    </row>
    <row r="523" spans="1:7">
      <c r="A523" s="612" t="s">
        <v>2610</v>
      </c>
      <c r="B523" s="432">
        <v>522</v>
      </c>
      <c r="D523" t="s">
        <v>30</v>
      </c>
      <c r="F523" s="42" t="s">
        <v>1984</v>
      </c>
      <c r="G523" s="428" t="e">
        <f>COUNTIF(#REF!,B523)</f>
        <v>#REF!</v>
      </c>
    </row>
    <row r="524" spans="1:7">
      <c r="B524" s="432">
        <v>523</v>
      </c>
      <c r="D524" t="s">
        <v>945</v>
      </c>
      <c r="F524" s="42" t="s">
        <v>1985</v>
      </c>
      <c r="G524" s="428" t="e">
        <f>COUNTIF(#REF!,B524)</f>
        <v>#REF!</v>
      </c>
    </row>
    <row r="525" spans="1:7">
      <c r="B525" s="432">
        <v>524</v>
      </c>
      <c r="D525" t="s">
        <v>30</v>
      </c>
      <c r="F525" s="42" t="s">
        <v>1986</v>
      </c>
      <c r="G525" s="428" t="e">
        <f>COUNTIF(#REF!,B525)</f>
        <v>#REF!</v>
      </c>
    </row>
    <row r="526" spans="1:7">
      <c r="B526" s="432">
        <v>525</v>
      </c>
      <c r="D526" t="s">
        <v>2640</v>
      </c>
      <c r="F526" s="42" t="s">
        <v>1987</v>
      </c>
      <c r="G526" s="428" t="e">
        <f>COUNTIF(#REF!,B526)</f>
        <v>#REF!</v>
      </c>
    </row>
    <row r="527" spans="1:7">
      <c r="A527" s="612" t="s">
        <v>2611</v>
      </c>
      <c r="B527" s="432">
        <v>526</v>
      </c>
      <c r="D527" t="s">
        <v>2640</v>
      </c>
      <c r="F527" s="42" t="s">
        <v>1988</v>
      </c>
      <c r="G527" s="428" t="e">
        <f>COUNTIF(#REF!,B527)</f>
        <v>#REF!</v>
      </c>
    </row>
    <row r="528" spans="1:7">
      <c r="A528" s="612" t="s">
        <v>2612</v>
      </c>
      <c r="B528" s="432">
        <v>527</v>
      </c>
      <c r="D528" t="s">
        <v>2640</v>
      </c>
      <c r="F528" s="42" t="s">
        <v>1989</v>
      </c>
      <c r="G528" s="428" t="e">
        <f>COUNTIF(#REF!,B528)</f>
        <v>#REF!</v>
      </c>
    </row>
    <row r="529" spans="1:7">
      <c r="A529" s="612" t="s">
        <v>2613</v>
      </c>
      <c r="B529" s="432">
        <v>528</v>
      </c>
      <c r="D529" t="s">
        <v>30</v>
      </c>
      <c r="F529" s="42" t="s">
        <v>1990</v>
      </c>
      <c r="G529" s="428" t="e">
        <f>COUNTIF(#REF!,B529)</f>
        <v>#REF!</v>
      </c>
    </row>
    <row r="530" spans="1:7">
      <c r="A530" s="612" t="s">
        <v>2614</v>
      </c>
      <c r="B530" s="432">
        <v>529</v>
      </c>
      <c r="D530" t="s">
        <v>30</v>
      </c>
      <c r="F530" s="42" t="s">
        <v>1991</v>
      </c>
      <c r="G530" s="428" t="e">
        <f>COUNTIF(#REF!,B530)</f>
        <v>#REF!</v>
      </c>
    </row>
    <row r="531" spans="1:7">
      <c r="A531" s="612" t="s">
        <v>2615</v>
      </c>
      <c r="B531" s="432">
        <v>530</v>
      </c>
      <c r="D531" t="s">
        <v>28</v>
      </c>
      <c r="F531" s="42" t="s">
        <v>1992</v>
      </c>
      <c r="G531" s="428" t="e">
        <f>COUNTIF(#REF!,B531)</f>
        <v>#REF!</v>
      </c>
    </row>
    <row r="532" spans="1:7">
      <c r="A532" s="612" t="s">
        <v>2616</v>
      </c>
      <c r="B532" s="432">
        <v>531</v>
      </c>
      <c r="D532" t="s">
        <v>30</v>
      </c>
      <c r="F532" s="42" t="s">
        <v>1993</v>
      </c>
      <c r="G532" s="428" t="e">
        <f>COUNTIF(#REF!,B532)</f>
        <v>#REF!</v>
      </c>
    </row>
    <row r="533" spans="1:7">
      <c r="A533" s="612" t="s">
        <v>2617</v>
      </c>
      <c r="B533" s="432">
        <v>532</v>
      </c>
      <c r="D533" t="s">
        <v>945</v>
      </c>
      <c r="F533" s="42" t="s">
        <v>1994</v>
      </c>
      <c r="G533" s="428" t="e">
        <f>COUNTIF(#REF!,B533)</f>
        <v>#REF!</v>
      </c>
    </row>
    <row r="534" spans="1:7">
      <c r="B534" s="432">
        <v>533</v>
      </c>
      <c r="D534" t="s">
        <v>2640</v>
      </c>
      <c r="F534" s="42" t="s">
        <v>753</v>
      </c>
      <c r="G534" s="428" t="e">
        <f>COUNTIF(#REF!,B534)</f>
        <v>#REF!</v>
      </c>
    </row>
    <row r="535" spans="1:7">
      <c r="A535" s="612" t="s">
        <v>2618</v>
      </c>
      <c r="B535" s="432">
        <v>534</v>
      </c>
      <c r="D535" t="s">
        <v>945</v>
      </c>
      <c r="F535" s="42" t="s">
        <v>1995</v>
      </c>
      <c r="G535" s="428" t="e">
        <f>COUNTIF(#REF!,B535)</f>
        <v>#REF!</v>
      </c>
    </row>
    <row r="536" spans="1:7">
      <c r="A536" s="612" t="s">
        <v>2619</v>
      </c>
      <c r="B536" s="432">
        <v>535</v>
      </c>
      <c r="D536" t="s">
        <v>945</v>
      </c>
      <c r="F536" s="42" t="s">
        <v>1996</v>
      </c>
      <c r="G536" s="428" t="e">
        <f>COUNTIF(#REF!,B536)</f>
        <v>#REF!</v>
      </c>
    </row>
    <row r="537" spans="1:7">
      <c r="A537" s="612" t="s">
        <v>2620</v>
      </c>
      <c r="B537" s="432">
        <v>536</v>
      </c>
      <c r="D537" t="s">
        <v>30</v>
      </c>
      <c r="F537" s="42" t="s">
        <v>1997</v>
      </c>
      <c r="G537" s="428" t="e">
        <f>COUNTIF(#REF!,B537)</f>
        <v>#REF!</v>
      </c>
    </row>
    <row r="538" spans="1:7">
      <c r="A538" s="612" t="s">
        <v>2621</v>
      </c>
      <c r="B538" s="432">
        <v>537</v>
      </c>
      <c r="D538" t="s">
        <v>30</v>
      </c>
      <c r="F538" s="42" t="s">
        <v>1998</v>
      </c>
      <c r="G538" s="428" t="e">
        <f>COUNTIF(#REF!,B538)</f>
        <v>#REF!</v>
      </c>
    </row>
    <row r="539" spans="1:7">
      <c r="A539" s="612" t="s">
        <v>2622</v>
      </c>
      <c r="B539" s="432">
        <v>538</v>
      </c>
      <c r="D539" t="s">
        <v>30</v>
      </c>
      <c r="F539" s="42" t="s">
        <v>1999</v>
      </c>
      <c r="G539" s="428" t="e">
        <f>COUNTIF(#REF!,B539)</f>
        <v>#REF!</v>
      </c>
    </row>
    <row r="540" spans="1:7">
      <c r="A540" s="612" t="s">
        <v>2623</v>
      </c>
      <c r="B540" s="432">
        <v>539</v>
      </c>
      <c r="D540" t="s">
        <v>30</v>
      </c>
      <c r="F540" s="42" t="s">
        <v>2000</v>
      </c>
      <c r="G540" s="428" t="e">
        <f>COUNTIF(#REF!,B540)</f>
        <v>#REF!</v>
      </c>
    </row>
    <row r="541" spans="1:7">
      <c r="A541" s="612" t="s">
        <v>2624</v>
      </c>
      <c r="B541" s="432">
        <v>540</v>
      </c>
      <c r="D541" t="s">
        <v>30</v>
      </c>
      <c r="F541" s="42" t="s">
        <v>2001</v>
      </c>
      <c r="G541" s="428" t="e">
        <f>COUNTIF(#REF!,B541)</f>
        <v>#REF!</v>
      </c>
    </row>
    <row r="542" spans="1:7">
      <c r="A542" s="612" t="s">
        <v>2625</v>
      </c>
      <c r="B542" s="432">
        <v>541</v>
      </c>
      <c r="D542" t="s">
        <v>29</v>
      </c>
      <c r="F542" s="42" t="s">
        <v>2002</v>
      </c>
      <c r="G542" s="428" t="e">
        <f>COUNTIF(#REF!,B542)</f>
        <v>#REF!</v>
      </c>
    </row>
    <row r="543" spans="1:7">
      <c r="A543" s="612" t="s">
        <v>2626</v>
      </c>
      <c r="B543" s="432">
        <v>542</v>
      </c>
      <c r="D543" t="s">
        <v>29</v>
      </c>
      <c r="F543" s="42" t="s">
        <v>2003</v>
      </c>
      <c r="G543" s="428" t="e">
        <f>COUNTIF(#REF!,B543)</f>
        <v>#REF!</v>
      </c>
    </row>
    <row r="544" spans="1:7">
      <c r="A544" s="612" t="s">
        <v>2627</v>
      </c>
      <c r="B544" s="446">
        <v>543</v>
      </c>
      <c r="C544" s="446"/>
      <c r="D544" t="s">
        <v>2640</v>
      </c>
      <c r="F544" s="42" t="s">
        <v>2005</v>
      </c>
      <c r="G544" s="428" t="e">
        <f>COUNTIF(#REF!,B544)</f>
        <v>#REF!</v>
      </c>
    </row>
    <row r="545" spans="1:7">
      <c r="B545" s="446">
        <v>544</v>
      </c>
      <c r="C545" s="446"/>
      <c r="D545" t="s">
        <v>2640</v>
      </c>
      <c r="F545" s="42" t="s">
        <v>2006</v>
      </c>
      <c r="G545" s="428" t="e">
        <f>COUNTIF(#REF!,B545)</f>
        <v>#REF!</v>
      </c>
    </row>
    <row r="546" spans="1:7">
      <c r="B546" s="446">
        <v>545</v>
      </c>
      <c r="C546" s="446"/>
      <c r="D546" t="s">
        <v>945</v>
      </c>
      <c r="F546" s="42" t="s">
        <v>2007</v>
      </c>
      <c r="G546" s="428" t="e">
        <f>COUNTIF(#REF!,B546)</f>
        <v>#REF!</v>
      </c>
    </row>
    <row r="547" spans="1:7">
      <c r="B547" s="446">
        <v>546</v>
      </c>
      <c r="C547" s="446"/>
      <c r="D547" t="s">
        <v>30</v>
      </c>
      <c r="F547" s="42" t="s">
        <v>2008</v>
      </c>
      <c r="G547" s="428" t="e">
        <f>COUNTIF(#REF!,B547)</f>
        <v>#REF!</v>
      </c>
    </row>
    <row r="548" spans="1:7">
      <c r="B548" s="446">
        <v>547</v>
      </c>
      <c r="C548" s="446"/>
      <c r="D548" t="s">
        <v>30</v>
      </c>
      <c r="F548" s="42" t="s">
        <v>2009</v>
      </c>
      <c r="G548" s="428" t="e">
        <f>COUNTIF(#REF!,B548)</f>
        <v>#REF!</v>
      </c>
    </row>
    <row r="549" spans="1:7">
      <c r="B549" s="446">
        <v>548</v>
      </c>
      <c r="C549" s="446"/>
      <c r="D549" t="s">
        <v>2640</v>
      </c>
      <c r="F549" s="42" t="s">
        <v>2010</v>
      </c>
      <c r="G549" s="428" t="e">
        <f>COUNTIF(#REF!,B549)</f>
        <v>#REF!</v>
      </c>
    </row>
    <row r="550" spans="1:7">
      <c r="B550" s="446">
        <v>549</v>
      </c>
      <c r="C550" s="446"/>
      <c r="D550" t="s">
        <v>30</v>
      </c>
      <c r="F550" s="42" t="s">
        <v>2011</v>
      </c>
      <c r="G550" s="428" t="e">
        <f>COUNTIF(#REF!,B550)</f>
        <v>#REF!</v>
      </c>
    </row>
    <row r="551" spans="1:7">
      <c r="B551" s="446">
        <v>550</v>
      </c>
      <c r="C551" s="446"/>
      <c r="D551" t="s">
        <v>30</v>
      </c>
      <c r="F551" s="42" t="s">
        <v>2012</v>
      </c>
      <c r="G551" s="428" t="e">
        <f>COUNTIF(#REF!,B551)</f>
        <v>#REF!</v>
      </c>
    </row>
    <row r="552" spans="1:7">
      <c r="B552" s="446">
        <v>551</v>
      </c>
      <c r="C552" s="446"/>
      <c r="D552" t="s">
        <v>944</v>
      </c>
      <c r="F552" s="42" t="s">
        <v>2013</v>
      </c>
      <c r="G552" s="428" t="e">
        <f>COUNTIF(#REF!,B552)</f>
        <v>#REF!</v>
      </c>
    </row>
    <row r="553" spans="1:7">
      <c r="B553" s="446">
        <v>552</v>
      </c>
      <c r="C553" s="446"/>
      <c r="D553" t="s">
        <v>944</v>
      </c>
      <c r="F553" s="42" t="s">
        <v>2014</v>
      </c>
      <c r="G553" s="428" t="e">
        <f>COUNTIF(#REF!,B553)</f>
        <v>#REF!</v>
      </c>
    </row>
    <row r="554" spans="1:7">
      <c r="B554" s="446">
        <v>553</v>
      </c>
      <c r="C554" s="426"/>
      <c r="D554" t="s">
        <v>944</v>
      </c>
      <c r="F554" s="42" t="s">
        <v>2015</v>
      </c>
      <c r="G554" s="428" t="e">
        <f>COUNTIF(#REF!,B554)</f>
        <v>#REF!</v>
      </c>
    </row>
    <row r="555" spans="1:7">
      <c r="D555" t="s">
        <v>30</v>
      </c>
      <c r="F555" s="42"/>
    </row>
    <row r="556" spans="1:7">
      <c r="D556" t="s">
        <v>29</v>
      </c>
      <c r="F556" s="42"/>
    </row>
    <row r="557" spans="1:7">
      <c r="D557" t="s">
        <v>30</v>
      </c>
      <c r="F557" s="42"/>
    </row>
    <row r="558" spans="1:7">
      <c r="A558" s="612" t="s">
        <v>2628</v>
      </c>
      <c r="D558" s="42" t="s">
        <v>2640</v>
      </c>
      <c r="F558" s="42"/>
    </row>
    <row r="559" spans="1:7">
      <c r="A559" s="612" t="s">
        <v>2629</v>
      </c>
      <c r="D559" s="42" t="s">
        <v>29</v>
      </c>
      <c r="F559" s="42"/>
    </row>
    <row r="560" spans="1:7">
      <c r="A560" s="612" t="s">
        <v>2630</v>
      </c>
      <c r="D560" s="42" t="s">
        <v>28</v>
      </c>
      <c r="F560" s="42"/>
    </row>
    <row r="561" spans="1:6">
      <c r="D561" s="42" t="s">
        <v>945</v>
      </c>
      <c r="F561" s="42"/>
    </row>
    <row r="562" spans="1:6">
      <c r="D562" t="s">
        <v>30</v>
      </c>
      <c r="F562" s="42"/>
    </row>
    <row r="563" spans="1:6">
      <c r="D563" t="s">
        <v>945</v>
      </c>
      <c r="F563" s="42"/>
    </row>
    <row r="564" spans="1:6">
      <c r="D564" t="s">
        <v>2640</v>
      </c>
      <c r="F564" s="42"/>
    </row>
    <row r="565" spans="1:6">
      <c r="D565" t="s">
        <v>30</v>
      </c>
      <c r="F565" s="42"/>
    </row>
    <row r="566" spans="1:6">
      <c r="D566" t="s">
        <v>29</v>
      </c>
      <c r="F566" s="42"/>
    </row>
    <row r="567" spans="1:6">
      <c r="A567" s="612" t="s">
        <v>2631</v>
      </c>
      <c r="D567" t="s">
        <v>943</v>
      </c>
      <c r="F567" s="42"/>
    </row>
    <row r="568" spans="1:6">
      <c r="D568" t="s">
        <v>945</v>
      </c>
      <c r="F568" s="42"/>
    </row>
    <row r="569" spans="1:6">
      <c r="D569" t="s">
        <v>30</v>
      </c>
      <c r="F569" s="42"/>
    </row>
    <row r="570" spans="1:6">
      <c r="D570" t="s">
        <v>30</v>
      </c>
      <c r="F570" s="42"/>
    </row>
    <row r="571" spans="1:6">
      <c r="D571" t="s">
        <v>30</v>
      </c>
      <c r="F571" s="42"/>
    </row>
    <row r="572" spans="1:6">
      <c r="D572" t="s">
        <v>30</v>
      </c>
      <c r="F572" s="42"/>
    </row>
    <row r="573" spans="1:6">
      <c r="D573" t="s">
        <v>30</v>
      </c>
      <c r="F573" s="42"/>
    </row>
    <row r="574" spans="1:6">
      <c r="D574" t="s">
        <v>29</v>
      </c>
      <c r="F574" s="42"/>
    </row>
    <row r="575" spans="1:6">
      <c r="D575" t="s">
        <v>28</v>
      </c>
      <c r="F575" s="42"/>
    </row>
    <row r="576" spans="1:6">
      <c r="D576" t="s">
        <v>29</v>
      </c>
      <c r="F576" s="42"/>
    </row>
    <row r="577" spans="1:6">
      <c r="D577" t="s">
        <v>29</v>
      </c>
      <c r="F577" s="42"/>
    </row>
    <row r="578" spans="1:6">
      <c r="D578" t="s">
        <v>29</v>
      </c>
      <c r="F578" s="42"/>
    </row>
    <row r="579" spans="1:6">
      <c r="D579" t="s">
        <v>29</v>
      </c>
      <c r="F579" s="42"/>
    </row>
    <row r="580" spans="1:6">
      <c r="D580" t="s">
        <v>29</v>
      </c>
      <c r="F580" s="42"/>
    </row>
    <row r="581" spans="1:6">
      <c r="D581" t="s">
        <v>30</v>
      </c>
      <c r="F581" s="42"/>
    </row>
    <row r="582" spans="1:6">
      <c r="D582" t="s">
        <v>29</v>
      </c>
      <c r="F582" s="42"/>
    </row>
    <row r="583" spans="1:6">
      <c r="D583" t="s">
        <v>30</v>
      </c>
      <c r="F583" s="42"/>
    </row>
    <row r="584" spans="1:6">
      <c r="A584" s="612" t="s">
        <v>2632</v>
      </c>
      <c r="D584" t="s">
        <v>30</v>
      </c>
      <c r="F584" s="42"/>
    </row>
    <row r="585" spans="1:6">
      <c r="A585" s="612" t="s">
        <v>2633</v>
      </c>
      <c r="D585" t="s">
        <v>30</v>
      </c>
      <c r="F585" s="42"/>
    </row>
    <row r="586" spans="1:6">
      <c r="A586" s="612" t="s">
        <v>2634</v>
      </c>
      <c r="D586" t="s">
        <v>30</v>
      </c>
      <c r="F586" s="42"/>
    </row>
    <row r="587" spans="1:6">
      <c r="A587" s="612" t="s">
        <v>2635</v>
      </c>
      <c r="D587" t="s">
        <v>29</v>
      </c>
      <c r="F587" s="42"/>
    </row>
    <row r="588" spans="1:6">
      <c r="A588" s="612" t="s">
        <v>2636</v>
      </c>
      <c r="D588" t="s">
        <v>30</v>
      </c>
      <c r="F588" s="42"/>
    </row>
    <row r="589" spans="1:6">
      <c r="D589" t="s">
        <v>30</v>
      </c>
      <c r="F589" s="42"/>
    </row>
    <row r="590" spans="1:6">
      <c r="D590" t="s">
        <v>30</v>
      </c>
      <c r="F590" s="42"/>
    </row>
    <row r="591" spans="1:6">
      <c r="A591" s="612" t="s">
        <v>2637</v>
      </c>
      <c r="D591" t="s">
        <v>30</v>
      </c>
      <c r="F591" s="42"/>
    </row>
    <row r="592" spans="1:6">
      <c r="A592" s="612" t="s">
        <v>2638</v>
      </c>
      <c r="D592" t="s">
        <v>945</v>
      </c>
      <c r="F592" s="42"/>
    </row>
    <row r="593" spans="1:6">
      <c r="A593" s="612" t="s">
        <v>2639</v>
      </c>
      <c r="D593" t="s">
        <v>945</v>
      </c>
      <c r="F593" s="42"/>
    </row>
    <row r="594" spans="1:6">
      <c r="D594" s="446"/>
      <c r="F594" s="42"/>
    </row>
    <row r="595" spans="1:6">
      <c r="D595" s="446"/>
      <c r="F595" s="42"/>
    </row>
    <row r="596" spans="1:6">
      <c r="D596" s="446"/>
      <c r="F596" s="42"/>
    </row>
    <row r="597" spans="1:6">
      <c r="D597" s="446"/>
      <c r="F597" s="42"/>
    </row>
    <row r="598" spans="1:6">
      <c r="D598" s="446"/>
      <c r="F598" s="42"/>
    </row>
    <row r="599" spans="1:6">
      <c r="D599" s="446"/>
      <c r="F599" s="42"/>
    </row>
    <row r="600" spans="1:6">
      <c r="D600" s="446"/>
      <c r="F600" s="42"/>
    </row>
    <row r="601" spans="1:6">
      <c r="D601" s="446"/>
      <c r="F601" s="42"/>
    </row>
    <row r="602" spans="1:6">
      <c r="D602" s="446"/>
      <c r="F602" s="42"/>
    </row>
    <row r="603" spans="1:6">
      <c r="D603" s="446"/>
      <c r="F603" s="42"/>
    </row>
    <row r="604" spans="1:6">
      <c r="D604" s="446"/>
      <c r="F604" s="42"/>
    </row>
    <row r="605" spans="1:6">
      <c r="D605" s="446"/>
      <c r="F605" s="42"/>
    </row>
    <row r="606" spans="1:6">
      <c r="D606" s="446"/>
      <c r="F606" s="42"/>
    </row>
    <row r="607" spans="1:6">
      <c r="D607" s="446"/>
      <c r="F607" s="42"/>
    </row>
    <row r="608" spans="1:6">
      <c r="D608" s="446"/>
      <c r="F608" s="42"/>
    </row>
    <row r="609" spans="4:6">
      <c r="D609" s="446"/>
      <c r="F609" s="42"/>
    </row>
    <row r="610" spans="4:6">
      <c r="D610" s="446"/>
      <c r="F610" s="42"/>
    </row>
    <row r="611" spans="4:6">
      <c r="D611" s="446"/>
      <c r="F611" s="42"/>
    </row>
    <row r="612" spans="4:6">
      <c r="D612" s="446"/>
      <c r="F612" s="42"/>
    </row>
    <row r="613" spans="4:6">
      <c r="D613" s="446"/>
      <c r="F613" s="42"/>
    </row>
    <row r="614" spans="4:6">
      <c r="D614" s="446"/>
      <c r="F614" s="42"/>
    </row>
    <row r="615" spans="4:6">
      <c r="D615" s="446"/>
      <c r="F615" s="42"/>
    </row>
    <row r="616" spans="4:6">
      <c r="D616" s="446"/>
      <c r="F616" s="42"/>
    </row>
    <row r="617" spans="4:6">
      <c r="D617" s="446"/>
      <c r="F617" s="42"/>
    </row>
    <row r="618" spans="4:6">
      <c r="D618" s="446"/>
      <c r="F618" s="42"/>
    </row>
    <row r="619" spans="4:6">
      <c r="D619" s="446"/>
      <c r="F619" s="42"/>
    </row>
    <row r="620" spans="4:6">
      <c r="D620" s="446"/>
      <c r="F620" s="42"/>
    </row>
    <row r="621" spans="4:6">
      <c r="D621" s="446"/>
      <c r="F621" s="42"/>
    </row>
    <row r="622" spans="4:6">
      <c r="D622" s="446"/>
      <c r="F622" s="42"/>
    </row>
    <row r="623" spans="4:6">
      <c r="D623" s="446"/>
      <c r="F623" s="42"/>
    </row>
    <row r="624" spans="4:6">
      <c r="D624" s="446"/>
      <c r="F624" s="42"/>
    </row>
    <row r="625" spans="4:6">
      <c r="D625" s="446"/>
      <c r="F625" s="42"/>
    </row>
    <row r="626" spans="4:6">
      <c r="D626" s="446"/>
      <c r="F626" s="42"/>
    </row>
    <row r="627" spans="4:6">
      <c r="D627" s="446"/>
      <c r="F627" s="42"/>
    </row>
    <row r="628" spans="4:6">
      <c r="D628" s="446"/>
      <c r="F628" s="42"/>
    </row>
    <row r="629" spans="4:6">
      <c r="D629" s="446"/>
      <c r="F629" s="42"/>
    </row>
    <row r="630" spans="4:6">
      <c r="D630" s="446"/>
      <c r="F630" s="42"/>
    </row>
    <row r="631" spans="4:6">
      <c r="D631" s="446"/>
      <c r="F631" s="42"/>
    </row>
    <row r="632" spans="4:6">
      <c r="D632" s="446"/>
      <c r="F632" s="42"/>
    </row>
    <row r="633" spans="4:6">
      <c r="D633" s="446"/>
      <c r="F633" s="42"/>
    </row>
    <row r="634" spans="4:6">
      <c r="D634" s="446"/>
      <c r="F634" s="42"/>
    </row>
    <row r="635" spans="4:6">
      <c r="D635" s="446"/>
      <c r="F635" s="42"/>
    </row>
    <row r="636" spans="4:6">
      <c r="D636" s="446"/>
      <c r="F636" s="42"/>
    </row>
    <row r="637" spans="4:6">
      <c r="D637" s="446"/>
      <c r="F637" s="42"/>
    </row>
    <row r="638" spans="4:6">
      <c r="D638" s="446"/>
      <c r="F638" s="42"/>
    </row>
    <row r="639" spans="4:6">
      <c r="D639" s="446"/>
      <c r="F639" s="42"/>
    </row>
    <row r="640" spans="4:6">
      <c r="D640" s="446"/>
      <c r="F640" s="42"/>
    </row>
    <row r="641" spans="4:6">
      <c r="D641" s="446"/>
      <c r="F641" s="42"/>
    </row>
    <row r="642" spans="4:6">
      <c r="D642" s="446"/>
      <c r="F642" s="42"/>
    </row>
    <row r="643" spans="4:6">
      <c r="D643" s="446"/>
      <c r="F643" s="42"/>
    </row>
    <row r="644" spans="4:6">
      <c r="D644" s="446"/>
      <c r="F644" s="42"/>
    </row>
    <row r="645" spans="4:6">
      <c r="D645" s="446"/>
      <c r="F645" s="42"/>
    </row>
    <row r="646" spans="4:6">
      <c r="D646" s="446"/>
      <c r="F646" s="42"/>
    </row>
    <row r="647" spans="4:6">
      <c r="D647" s="446"/>
      <c r="F647" s="42"/>
    </row>
    <row r="648" spans="4:6">
      <c r="D648" s="446"/>
      <c r="F648" s="42"/>
    </row>
    <row r="649" spans="4:6">
      <c r="D649" s="446"/>
      <c r="F649" s="42"/>
    </row>
    <row r="650" spans="4:6">
      <c r="D650" s="446"/>
      <c r="F650" s="42"/>
    </row>
    <row r="651" spans="4:6">
      <c r="D651" s="446"/>
      <c r="F651" s="42"/>
    </row>
    <row r="652" spans="4:6">
      <c r="D652" s="446"/>
      <c r="F652" s="42"/>
    </row>
    <row r="653" spans="4:6">
      <c r="D653" s="446"/>
      <c r="F653" s="42"/>
    </row>
    <row r="654" spans="4:6">
      <c r="D654" s="446"/>
      <c r="F654" s="42"/>
    </row>
    <row r="655" spans="4:6">
      <c r="D655" s="446"/>
      <c r="F655" s="42"/>
    </row>
    <row r="656" spans="4:6">
      <c r="D656" s="446"/>
      <c r="F656" s="42"/>
    </row>
    <row r="657" spans="4:6">
      <c r="D657" s="446"/>
      <c r="F657" s="42"/>
    </row>
    <row r="658" spans="4:6">
      <c r="D658" s="446"/>
      <c r="F658" s="42"/>
    </row>
    <row r="659" spans="4:6">
      <c r="D659" s="446"/>
      <c r="F659" s="42"/>
    </row>
    <row r="660" spans="4:6">
      <c r="D660" s="446"/>
      <c r="F660" s="42"/>
    </row>
    <row r="661" spans="4:6">
      <c r="D661" s="446"/>
      <c r="F661" s="42"/>
    </row>
    <row r="662" spans="4:6">
      <c r="D662" s="446"/>
      <c r="F662" s="42"/>
    </row>
    <row r="663" spans="4:6">
      <c r="D663" s="446"/>
      <c r="F663" s="42"/>
    </row>
    <row r="664" spans="4:6">
      <c r="D664" s="446"/>
      <c r="F664" s="42"/>
    </row>
    <row r="665" spans="4:6">
      <c r="D665" s="446"/>
      <c r="F665" s="42"/>
    </row>
    <row r="666" spans="4:6">
      <c r="D666" s="446"/>
      <c r="F666" s="42"/>
    </row>
    <row r="667" spans="4:6">
      <c r="D667" s="446"/>
      <c r="F667" s="42"/>
    </row>
    <row r="668" spans="4:6">
      <c r="D668" s="446"/>
      <c r="F668" s="42"/>
    </row>
    <row r="669" spans="4:6">
      <c r="D669" s="446"/>
      <c r="F669" s="42"/>
    </row>
    <row r="670" spans="4:6">
      <c r="D670" s="446"/>
      <c r="F670" s="42"/>
    </row>
    <row r="671" spans="4:6">
      <c r="D671" s="446"/>
      <c r="F671" s="42"/>
    </row>
    <row r="672" spans="4:6">
      <c r="D672" s="446"/>
      <c r="F672" s="42"/>
    </row>
    <row r="673" spans="4:6">
      <c r="D673" s="446"/>
      <c r="F673" s="42"/>
    </row>
    <row r="674" spans="4:6">
      <c r="D674" s="446"/>
      <c r="F674" s="42"/>
    </row>
    <row r="675" spans="4:6">
      <c r="D675" s="446"/>
      <c r="F675" s="42"/>
    </row>
    <row r="676" spans="4:6">
      <c r="D676" s="446"/>
      <c r="F676" s="42"/>
    </row>
    <row r="677" spans="4:6">
      <c r="D677" s="446"/>
      <c r="F677" s="42"/>
    </row>
    <row r="678" spans="4:6">
      <c r="D678" s="446"/>
      <c r="F678" s="42"/>
    </row>
    <row r="679" spans="4:6">
      <c r="D679" s="446"/>
      <c r="F679" s="42"/>
    </row>
    <row r="680" spans="4:6">
      <c r="D680" s="446"/>
      <c r="F680" s="42"/>
    </row>
    <row r="681" spans="4:6">
      <c r="D681" s="446"/>
      <c r="F681" s="42"/>
    </row>
    <row r="682" spans="4:6">
      <c r="D682" s="446"/>
      <c r="F682" s="42"/>
    </row>
    <row r="683" spans="4:6">
      <c r="D683" s="446"/>
      <c r="F683" s="42"/>
    </row>
    <row r="684" spans="4:6">
      <c r="D684" s="446"/>
      <c r="F684" s="42"/>
    </row>
    <row r="685" spans="4:6">
      <c r="D685" s="446"/>
      <c r="F685" s="42"/>
    </row>
    <row r="686" spans="4:6">
      <c r="D686" s="446"/>
      <c r="F686" s="42"/>
    </row>
    <row r="687" spans="4:6">
      <c r="D687" s="446"/>
      <c r="F687" s="42"/>
    </row>
    <row r="688" spans="4:6">
      <c r="D688" s="446"/>
      <c r="F688" s="42"/>
    </row>
    <row r="689" spans="4:6">
      <c r="D689" s="446"/>
      <c r="F689" s="42"/>
    </row>
    <row r="690" spans="4:6">
      <c r="D690" s="446"/>
      <c r="F690" s="42"/>
    </row>
    <row r="691" spans="4:6">
      <c r="D691" s="446"/>
      <c r="F691" s="42"/>
    </row>
    <row r="692" spans="4:6">
      <c r="D692" s="446"/>
      <c r="F692" s="42"/>
    </row>
    <row r="693" spans="4:6">
      <c r="D693" s="446"/>
      <c r="F693" s="42"/>
    </row>
    <row r="694" spans="4:6">
      <c r="D694" s="446"/>
      <c r="F694" s="42"/>
    </row>
    <row r="695" spans="4:6">
      <c r="D695" s="446"/>
      <c r="F695" s="42"/>
    </row>
    <row r="696" spans="4:6">
      <c r="D696" s="446"/>
      <c r="F696" s="42"/>
    </row>
    <row r="697" spans="4:6">
      <c r="D697" s="446"/>
      <c r="F697" s="42"/>
    </row>
    <row r="698" spans="4:6">
      <c r="D698" s="446"/>
      <c r="F698" s="42"/>
    </row>
    <row r="699" spans="4:6">
      <c r="D699" s="446"/>
      <c r="F699" s="42"/>
    </row>
    <row r="700" spans="4:6">
      <c r="D700" s="446"/>
      <c r="F700" s="42"/>
    </row>
    <row r="701" spans="4:6">
      <c r="D701" s="446"/>
      <c r="F701" s="42"/>
    </row>
    <row r="702" spans="4:6">
      <c r="D702" s="446"/>
      <c r="F702" s="42"/>
    </row>
    <row r="703" spans="4:6">
      <c r="D703" s="446"/>
      <c r="F703" s="42"/>
    </row>
    <row r="704" spans="4:6">
      <c r="D704" s="446"/>
      <c r="F704" s="42"/>
    </row>
    <row r="705" spans="4:6">
      <c r="D705" s="446"/>
      <c r="F705" s="42"/>
    </row>
    <row r="706" spans="4:6">
      <c r="D706" s="446"/>
      <c r="F706" s="42"/>
    </row>
    <row r="707" spans="4:6">
      <c r="D707" s="446"/>
      <c r="F707" s="42"/>
    </row>
    <row r="708" spans="4:6">
      <c r="D708" s="446"/>
      <c r="F708" s="42"/>
    </row>
    <row r="709" spans="4:6">
      <c r="D709" s="446"/>
      <c r="F709" s="42"/>
    </row>
    <row r="710" spans="4:6">
      <c r="D710" s="446"/>
      <c r="F710" s="42"/>
    </row>
    <row r="711" spans="4:6">
      <c r="D711" s="446"/>
      <c r="F711" s="42"/>
    </row>
    <row r="712" spans="4:6">
      <c r="D712" s="446"/>
      <c r="F712" s="42"/>
    </row>
    <row r="713" spans="4:6">
      <c r="D713" s="446"/>
      <c r="F713" s="42"/>
    </row>
    <row r="714" spans="4:6">
      <c r="D714" s="446"/>
      <c r="F714" s="42"/>
    </row>
    <row r="715" spans="4:6">
      <c r="D715" s="446"/>
      <c r="F715" s="42"/>
    </row>
    <row r="716" spans="4:6">
      <c r="D716" s="446"/>
      <c r="F716" s="42"/>
    </row>
    <row r="717" spans="4:6">
      <c r="D717" s="446"/>
      <c r="F717" s="42"/>
    </row>
    <row r="718" spans="4:6">
      <c r="D718" s="446"/>
      <c r="F718" s="42"/>
    </row>
    <row r="719" spans="4:6">
      <c r="D719" s="446"/>
      <c r="F719" s="42"/>
    </row>
    <row r="720" spans="4:6">
      <c r="D720" s="446"/>
      <c r="F720" s="42"/>
    </row>
    <row r="721" spans="4:6">
      <c r="D721" s="446"/>
      <c r="F721" s="42"/>
    </row>
    <row r="722" spans="4:6">
      <c r="D722" s="446"/>
      <c r="F722" s="42"/>
    </row>
    <row r="723" spans="4:6">
      <c r="D723" s="446"/>
      <c r="F723" s="42"/>
    </row>
    <row r="724" spans="4:6">
      <c r="D724" s="446"/>
      <c r="F724" s="42"/>
    </row>
    <row r="725" spans="4:6">
      <c r="D725" s="446"/>
      <c r="F725" s="42"/>
    </row>
    <row r="726" spans="4:6">
      <c r="D726" s="446"/>
      <c r="F726" s="42"/>
    </row>
    <row r="727" spans="4:6">
      <c r="D727" s="446"/>
      <c r="F727" s="42"/>
    </row>
    <row r="728" spans="4:6">
      <c r="D728" s="446"/>
      <c r="F728" s="42"/>
    </row>
    <row r="729" spans="4:6">
      <c r="D729" s="446"/>
      <c r="F729" s="42"/>
    </row>
    <row r="730" spans="4:6">
      <c r="D730" s="446"/>
      <c r="F730" s="42"/>
    </row>
    <row r="731" spans="4:6">
      <c r="D731" s="446"/>
      <c r="F731" s="42"/>
    </row>
    <row r="732" spans="4:6">
      <c r="D732" s="446"/>
      <c r="F732" s="42"/>
    </row>
    <row r="733" spans="4:6">
      <c r="D733" s="446"/>
      <c r="F733" s="42"/>
    </row>
    <row r="734" spans="4:6">
      <c r="D734" s="446"/>
      <c r="F734" s="42"/>
    </row>
    <row r="735" spans="4:6">
      <c r="D735" s="446"/>
      <c r="F735" s="42"/>
    </row>
    <row r="736" spans="4:6">
      <c r="D736" s="446"/>
      <c r="F736" s="42"/>
    </row>
    <row r="737" spans="4:6">
      <c r="D737" s="446"/>
      <c r="F737" s="42"/>
    </row>
    <row r="738" spans="4:6">
      <c r="D738" s="446"/>
      <c r="F738" s="42"/>
    </row>
    <row r="739" spans="4:6">
      <c r="D739" s="446"/>
      <c r="F739" s="42"/>
    </row>
    <row r="740" spans="4:6">
      <c r="D740" s="446"/>
      <c r="F740" s="42"/>
    </row>
    <row r="741" spans="4:6">
      <c r="D741" s="446"/>
      <c r="F741" s="42"/>
    </row>
    <row r="742" spans="4:6">
      <c r="D742" s="446"/>
      <c r="F742" s="42"/>
    </row>
    <row r="743" spans="4:6">
      <c r="D743" s="446"/>
      <c r="F743" s="42"/>
    </row>
    <row r="744" spans="4:6">
      <c r="D744" s="446"/>
      <c r="F744" s="42"/>
    </row>
    <row r="745" spans="4:6">
      <c r="D745" s="446"/>
      <c r="F745" s="42"/>
    </row>
    <row r="746" spans="4:6">
      <c r="D746" s="446"/>
      <c r="F746" s="42"/>
    </row>
    <row r="747" spans="4:6">
      <c r="D747" s="446"/>
      <c r="F747" s="42"/>
    </row>
    <row r="748" spans="4:6">
      <c r="D748" s="446"/>
      <c r="F748" s="42"/>
    </row>
    <row r="749" spans="4:6">
      <c r="D749" s="446"/>
      <c r="F749" s="42"/>
    </row>
    <row r="750" spans="4:6">
      <c r="D750" s="446"/>
      <c r="F750" s="42"/>
    </row>
    <row r="751" spans="4:6">
      <c r="D751" s="446"/>
      <c r="F751" s="42"/>
    </row>
    <row r="752" spans="4:6">
      <c r="D752" s="446"/>
      <c r="F752" s="42"/>
    </row>
    <row r="753" spans="4:6">
      <c r="D753" s="446"/>
      <c r="F753" s="42"/>
    </row>
    <row r="754" spans="4:6">
      <c r="D754" s="446"/>
      <c r="F754" s="42"/>
    </row>
    <row r="755" spans="4:6">
      <c r="D755" s="446"/>
      <c r="F755" s="42"/>
    </row>
    <row r="756" spans="4:6">
      <c r="D756" s="446"/>
      <c r="F756" s="42"/>
    </row>
    <row r="757" spans="4:6">
      <c r="D757" s="446"/>
      <c r="F757" s="42"/>
    </row>
    <row r="758" spans="4:6">
      <c r="D758" s="446"/>
      <c r="F758" s="42"/>
    </row>
    <row r="759" spans="4:6">
      <c r="D759" s="446"/>
      <c r="F759" s="42"/>
    </row>
    <row r="760" spans="4:6">
      <c r="D760" s="446"/>
      <c r="F760" s="42"/>
    </row>
    <row r="761" spans="4:6">
      <c r="D761" s="446"/>
      <c r="F761" s="42"/>
    </row>
    <row r="762" spans="4:6">
      <c r="D762" s="446"/>
      <c r="F762" s="42"/>
    </row>
    <row r="763" spans="4:6">
      <c r="D763" s="446"/>
      <c r="F763" s="42"/>
    </row>
    <row r="764" spans="4:6">
      <c r="D764" s="446"/>
      <c r="F764" s="42"/>
    </row>
    <row r="765" spans="4:6">
      <c r="D765" s="446"/>
      <c r="F765" s="42"/>
    </row>
    <row r="766" spans="4:6">
      <c r="D766" s="446"/>
      <c r="F766" s="42"/>
    </row>
    <row r="767" spans="4:6">
      <c r="D767" s="446"/>
      <c r="F767" s="42"/>
    </row>
    <row r="768" spans="4:6">
      <c r="D768" s="446"/>
      <c r="F768" s="42"/>
    </row>
    <row r="769" spans="4:6">
      <c r="D769" s="446"/>
      <c r="F769" s="42"/>
    </row>
    <row r="770" spans="4:6">
      <c r="D770" s="446"/>
      <c r="F770" s="42"/>
    </row>
    <row r="771" spans="4:6">
      <c r="D771" s="446"/>
      <c r="F771" s="42"/>
    </row>
    <row r="772" spans="4:6">
      <c r="D772" s="446"/>
      <c r="F772" s="42"/>
    </row>
    <row r="773" spans="4:6">
      <c r="D773" s="446"/>
      <c r="F773" s="42"/>
    </row>
    <row r="774" spans="4:6">
      <c r="D774" s="446"/>
      <c r="F774" s="42"/>
    </row>
    <row r="775" spans="4:6">
      <c r="D775" s="446"/>
      <c r="F775" s="42"/>
    </row>
    <row r="776" spans="4:6">
      <c r="D776" s="446"/>
      <c r="F776" s="42"/>
    </row>
    <row r="777" spans="4:6">
      <c r="D777" s="446"/>
      <c r="F777" s="42"/>
    </row>
    <row r="778" spans="4:6">
      <c r="D778" s="446"/>
      <c r="F778" s="42"/>
    </row>
    <row r="779" spans="4:6">
      <c r="D779" s="446"/>
      <c r="F779" s="42"/>
    </row>
    <row r="780" spans="4:6">
      <c r="D780" s="446"/>
      <c r="F780" s="42"/>
    </row>
    <row r="781" spans="4:6">
      <c r="D781" s="446"/>
      <c r="F781" s="42"/>
    </row>
    <row r="782" spans="4:6">
      <c r="D782" s="446"/>
      <c r="F782" s="42"/>
    </row>
    <row r="783" spans="4:6">
      <c r="D783" s="446"/>
      <c r="F783" s="42"/>
    </row>
    <row r="784" spans="4:6">
      <c r="D784" s="446"/>
      <c r="F784" s="42"/>
    </row>
    <row r="785" spans="4:6">
      <c r="D785" s="446"/>
      <c r="F785" s="42"/>
    </row>
    <row r="786" spans="4:6">
      <c r="D786" s="446"/>
      <c r="F786" s="42"/>
    </row>
    <row r="787" spans="4:6">
      <c r="D787" s="446"/>
      <c r="F787" s="42"/>
    </row>
    <row r="788" spans="4:6">
      <c r="D788" s="446"/>
      <c r="F788" s="42"/>
    </row>
    <row r="789" spans="4:6">
      <c r="D789" s="446"/>
      <c r="F789" s="42"/>
    </row>
    <row r="790" spans="4:6">
      <c r="D790" s="446"/>
      <c r="F790" s="42"/>
    </row>
    <row r="791" spans="4:6">
      <c r="D791" s="446"/>
      <c r="F791" s="42"/>
    </row>
    <row r="792" spans="4:6">
      <c r="D792" s="446"/>
      <c r="F792" s="42"/>
    </row>
    <row r="793" spans="4:6">
      <c r="D793" s="446"/>
      <c r="F793" s="42"/>
    </row>
    <row r="794" spans="4:6">
      <c r="D794" s="446"/>
      <c r="F794" s="42"/>
    </row>
    <row r="795" spans="4:6">
      <c r="D795" s="446"/>
      <c r="F795" s="42"/>
    </row>
    <row r="796" spans="4:6">
      <c r="D796" s="446"/>
      <c r="F796" s="42"/>
    </row>
    <row r="797" spans="4:6">
      <c r="D797" s="446"/>
      <c r="F797" s="42"/>
    </row>
    <row r="798" spans="4:6">
      <c r="D798" s="446"/>
      <c r="F798" s="42"/>
    </row>
    <row r="799" spans="4:6">
      <c r="D799" s="446"/>
      <c r="F799" s="42"/>
    </row>
    <row r="800" spans="4:6">
      <c r="D800" s="446"/>
      <c r="F800" s="42"/>
    </row>
    <row r="801" spans="4:6">
      <c r="D801" s="446"/>
      <c r="F801" s="42"/>
    </row>
    <row r="802" spans="4:6">
      <c r="D802" s="446"/>
      <c r="F802" s="42"/>
    </row>
    <row r="803" spans="4:6">
      <c r="D803" s="446"/>
      <c r="F803" s="42"/>
    </row>
    <row r="804" spans="4:6">
      <c r="D804" s="446"/>
      <c r="F804" s="42"/>
    </row>
    <row r="805" spans="4:6">
      <c r="D805" s="446"/>
      <c r="F805" s="42"/>
    </row>
    <row r="806" spans="4:6">
      <c r="D806" s="446"/>
      <c r="F806" s="42"/>
    </row>
    <row r="807" spans="4:6">
      <c r="D807" s="446"/>
      <c r="F807" s="42"/>
    </row>
    <row r="808" spans="4:6">
      <c r="D808" s="446"/>
      <c r="F808" s="42"/>
    </row>
    <row r="809" spans="4:6">
      <c r="D809" s="446"/>
      <c r="F809" s="42"/>
    </row>
    <row r="810" spans="4:6">
      <c r="D810" s="446"/>
      <c r="F810" s="42"/>
    </row>
    <row r="811" spans="4:6">
      <c r="D811" s="446"/>
      <c r="F811" s="42"/>
    </row>
    <row r="812" spans="4:6">
      <c r="D812" s="446"/>
      <c r="F812" s="42"/>
    </row>
    <row r="813" spans="4:6">
      <c r="D813" s="446"/>
      <c r="F813" s="42"/>
    </row>
    <row r="814" spans="4:6">
      <c r="D814" s="446"/>
      <c r="F814" s="42"/>
    </row>
    <row r="815" spans="4:6">
      <c r="D815" s="446"/>
      <c r="F815" s="42"/>
    </row>
    <row r="816" spans="4:6">
      <c r="D816" s="446"/>
      <c r="F816" s="42"/>
    </row>
    <row r="817" spans="4:6">
      <c r="D817" s="446"/>
      <c r="F817" s="42"/>
    </row>
    <row r="818" spans="4:6">
      <c r="D818" s="446"/>
      <c r="F818" s="42"/>
    </row>
    <row r="819" spans="4:6">
      <c r="D819" s="446"/>
      <c r="F819" s="42"/>
    </row>
    <row r="820" spans="4:6">
      <c r="D820" s="446"/>
      <c r="F820" s="42"/>
    </row>
    <row r="821" spans="4:6">
      <c r="D821" s="446"/>
      <c r="F821" s="42"/>
    </row>
    <row r="822" spans="4:6">
      <c r="D822" s="446"/>
      <c r="F822" s="42"/>
    </row>
    <row r="823" spans="4:6">
      <c r="D823" s="446"/>
      <c r="F823" s="42"/>
    </row>
    <row r="824" spans="4:6">
      <c r="D824" s="446"/>
      <c r="F824" s="42"/>
    </row>
    <row r="825" spans="4:6">
      <c r="D825" s="446"/>
      <c r="F825" s="42"/>
    </row>
    <row r="826" spans="4:6">
      <c r="D826" s="446"/>
      <c r="F826" s="42"/>
    </row>
    <row r="827" spans="4:6">
      <c r="D827" s="446"/>
      <c r="F827" s="42"/>
    </row>
    <row r="828" spans="4:6">
      <c r="D828" s="446"/>
      <c r="F828" s="42"/>
    </row>
    <row r="829" spans="4:6">
      <c r="D829" s="446"/>
      <c r="F829" s="42"/>
    </row>
    <row r="830" spans="4:6">
      <c r="D830" s="446"/>
      <c r="F830" s="42"/>
    </row>
    <row r="831" spans="4:6">
      <c r="D831" s="446"/>
      <c r="F831" s="42"/>
    </row>
    <row r="832" spans="4:6">
      <c r="D832" s="446"/>
      <c r="F832" s="42"/>
    </row>
    <row r="833" spans="4:6">
      <c r="D833" s="446"/>
      <c r="F833" s="42"/>
    </row>
    <row r="834" spans="4:6">
      <c r="D834" s="446"/>
      <c r="F834" s="42"/>
    </row>
    <row r="835" spans="4:6">
      <c r="D835" s="446"/>
      <c r="F835" s="42"/>
    </row>
    <row r="836" spans="4:6">
      <c r="D836" s="446"/>
      <c r="F836" s="42"/>
    </row>
    <row r="837" spans="4:6">
      <c r="D837" s="446"/>
      <c r="F837" s="42"/>
    </row>
    <row r="838" spans="4:6">
      <c r="D838" s="446"/>
      <c r="F838" s="42"/>
    </row>
    <row r="839" spans="4:6">
      <c r="D839" s="446"/>
      <c r="F839" s="42"/>
    </row>
    <row r="840" spans="4:6">
      <c r="D840" s="446"/>
      <c r="F840" s="42"/>
    </row>
    <row r="841" spans="4:6">
      <c r="D841" s="446"/>
      <c r="F841" s="42"/>
    </row>
    <row r="842" spans="4:6">
      <c r="D842" s="446"/>
      <c r="F842" s="42"/>
    </row>
    <row r="843" spans="4:6">
      <c r="D843" s="446"/>
      <c r="F843" s="42"/>
    </row>
    <row r="844" spans="4:6">
      <c r="D844" s="446"/>
      <c r="F844" s="42"/>
    </row>
    <row r="845" spans="4:6">
      <c r="D845" s="446"/>
      <c r="F845" s="42"/>
    </row>
    <row r="846" spans="4:6">
      <c r="D846" s="446"/>
      <c r="F846" s="42"/>
    </row>
    <row r="847" spans="4:6">
      <c r="D847" s="446"/>
      <c r="F847" s="42"/>
    </row>
    <row r="848" spans="4:6">
      <c r="D848" s="446"/>
      <c r="F848" s="42"/>
    </row>
    <row r="849" spans="4:6">
      <c r="D849" s="446"/>
      <c r="F849" s="42"/>
    </row>
    <row r="850" spans="4:6">
      <c r="D850" s="446"/>
      <c r="F850" s="42"/>
    </row>
    <row r="851" spans="4:6">
      <c r="D851" s="446"/>
      <c r="F851" s="42"/>
    </row>
    <row r="852" spans="4:6">
      <c r="D852" s="446"/>
      <c r="F852" s="42"/>
    </row>
    <row r="853" spans="4:6">
      <c r="D853" s="446"/>
      <c r="F853" s="42"/>
    </row>
    <row r="854" spans="4:6">
      <c r="D854" s="446"/>
      <c r="F854" s="42"/>
    </row>
    <row r="855" spans="4:6">
      <c r="D855" s="446"/>
      <c r="F855" s="42"/>
    </row>
    <row r="856" spans="4:6">
      <c r="D856" s="446"/>
      <c r="F856" s="42"/>
    </row>
    <row r="857" spans="4:6">
      <c r="D857" s="446"/>
      <c r="F857" s="42"/>
    </row>
    <row r="858" spans="4:6">
      <c r="D858" s="446"/>
      <c r="F858" s="42"/>
    </row>
    <row r="859" spans="4:6">
      <c r="D859" s="446"/>
      <c r="F859" s="42"/>
    </row>
    <row r="860" spans="4:6">
      <c r="D860" s="446"/>
      <c r="F860" s="42"/>
    </row>
    <row r="861" spans="4:6">
      <c r="D861" s="446"/>
      <c r="F861" s="42"/>
    </row>
    <row r="862" spans="4:6">
      <c r="D862" s="446"/>
      <c r="F862" s="42"/>
    </row>
    <row r="863" spans="4:6">
      <c r="D863" s="446"/>
      <c r="F863" s="42"/>
    </row>
    <row r="864" spans="4:6">
      <c r="D864" s="446"/>
      <c r="F864" s="42"/>
    </row>
    <row r="865" spans="4:6">
      <c r="D865" s="446"/>
      <c r="F865" s="42"/>
    </row>
    <row r="866" spans="4:6">
      <c r="D866" s="446"/>
      <c r="F866" s="42"/>
    </row>
    <row r="867" spans="4:6">
      <c r="D867" s="446"/>
      <c r="F867" s="42"/>
    </row>
    <row r="868" spans="4:6">
      <c r="D868" s="446"/>
      <c r="F868" s="42"/>
    </row>
    <row r="869" spans="4:6">
      <c r="D869" s="446"/>
      <c r="F869" s="42"/>
    </row>
    <row r="870" spans="4:6">
      <c r="D870" s="446"/>
      <c r="F870" s="42"/>
    </row>
    <row r="871" spans="4:6">
      <c r="D871" s="446"/>
      <c r="F871" s="42"/>
    </row>
    <row r="872" spans="4:6">
      <c r="D872" s="446"/>
      <c r="F872" s="42"/>
    </row>
    <row r="873" spans="4:6">
      <c r="D873" s="446"/>
      <c r="F873" s="42"/>
    </row>
    <row r="874" spans="4:6">
      <c r="D874" s="446"/>
      <c r="F874" s="42"/>
    </row>
    <row r="875" spans="4:6">
      <c r="D875" s="446"/>
      <c r="F875" s="42"/>
    </row>
    <row r="876" spans="4:6">
      <c r="D876" s="446"/>
      <c r="F876" s="42"/>
    </row>
    <row r="877" spans="4:6">
      <c r="D877" s="446"/>
      <c r="F877" s="42"/>
    </row>
    <row r="878" spans="4:6">
      <c r="D878" s="446"/>
      <c r="F878" s="42"/>
    </row>
    <row r="879" spans="4:6">
      <c r="D879" s="446"/>
      <c r="F879" s="42"/>
    </row>
    <row r="880" spans="4:6">
      <c r="D880" s="446"/>
      <c r="F880" s="42"/>
    </row>
    <row r="881" spans="4:6">
      <c r="D881" s="446"/>
      <c r="F881" s="42"/>
    </row>
    <row r="882" spans="4:6">
      <c r="D882" s="446"/>
      <c r="F882" s="42"/>
    </row>
    <row r="883" spans="4:6">
      <c r="D883" s="446"/>
      <c r="F883" s="42"/>
    </row>
    <row r="884" spans="4:6">
      <c r="D884" s="446"/>
      <c r="F884" s="42"/>
    </row>
    <row r="885" spans="4:6">
      <c r="D885" s="446"/>
      <c r="F885" s="42"/>
    </row>
    <row r="886" spans="4:6">
      <c r="D886" s="446"/>
      <c r="F886" s="42"/>
    </row>
    <row r="887" spans="4:6">
      <c r="D887" s="446"/>
      <c r="F887" s="42"/>
    </row>
    <row r="888" spans="4:6">
      <c r="D888" s="446"/>
      <c r="F888" s="42"/>
    </row>
    <row r="889" spans="4:6">
      <c r="D889" s="446"/>
      <c r="F889" s="42"/>
    </row>
    <row r="890" spans="4:6">
      <c r="D890" s="446"/>
      <c r="F890" s="42"/>
    </row>
    <row r="891" spans="4:6">
      <c r="D891" s="446"/>
      <c r="F891" s="42"/>
    </row>
    <row r="892" spans="4:6">
      <c r="D892" s="446"/>
      <c r="F892" s="42"/>
    </row>
    <row r="893" spans="4:6">
      <c r="D893" s="446"/>
      <c r="F893" s="42"/>
    </row>
    <row r="894" spans="4:6">
      <c r="D894" s="446"/>
      <c r="F894" s="42"/>
    </row>
    <row r="895" spans="4:6">
      <c r="D895" s="446"/>
      <c r="F895" s="42"/>
    </row>
    <row r="896" spans="4:6">
      <c r="D896" s="446"/>
      <c r="F896" s="42"/>
    </row>
    <row r="897" spans="4:6">
      <c r="D897" s="446"/>
      <c r="F897" s="42"/>
    </row>
    <row r="898" spans="4:6">
      <c r="D898" s="446"/>
      <c r="F898" s="42"/>
    </row>
    <row r="899" spans="4:6">
      <c r="D899" s="446"/>
      <c r="F899" s="42"/>
    </row>
    <row r="900" spans="4:6">
      <c r="D900" s="446"/>
      <c r="F900" s="42"/>
    </row>
    <row r="901" spans="4:6">
      <c r="D901" s="446"/>
      <c r="F901" s="42"/>
    </row>
    <row r="902" spans="4:6">
      <c r="D902" s="446"/>
      <c r="F902" s="42"/>
    </row>
    <row r="903" spans="4:6">
      <c r="D903" s="446"/>
      <c r="F903" s="42"/>
    </row>
    <row r="904" spans="4:6">
      <c r="D904" s="446"/>
      <c r="F904" s="42"/>
    </row>
    <row r="905" spans="4:6">
      <c r="D905" s="446"/>
      <c r="F905" s="42"/>
    </row>
    <row r="906" spans="4:6">
      <c r="D906" s="446"/>
      <c r="F906" s="42"/>
    </row>
    <row r="907" spans="4:6">
      <c r="D907" s="446"/>
      <c r="F907" s="42"/>
    </row>
    <row r="908" spans="4:6">
      <c r="D908" s="446"/>
      <c r="F908" s="42"/>
    </row>
    <row r="909" spans="4:6">
      <c r="D909" s="446"/>
      <c r="F909" s="42"/>
    </row>
    <row r="910" spans="4:6">
      <c r="D910" s="446"/>
      <c r="F910" s="42"/>
    </row>
    <row r="911" spans="4:6">
      <c r="D911" s="446"/>
      <c r="F911" s="42"/>
    </row>
    <row r="912" spans="4:6">
      <c r="D912" s="446"/>
      <c r="F912" s="42"/>
    </row>
    <row r="913" spans="4:6">
      <c r="D913" s="446"/>
      <c r="F913" s="42"/>
    </row>
    <row r="914" spans="4:6">
      <c r="D914" s="446"/>
      <c r="F914" s="42"/>
    </row>
    <row r="915" spans="4:6">
      <c r="D915" s="446"/>
      <c r="F915" s="42"/>
    </row>
    <row r="916" spans="4:6">
      <c r="D916" s="446"/>
      <c r="F916" s="42"/>
    </row>
    <row r="917" spans="4:6">
      <c r="D917" s="446"/>
      <c r="F917" s="42"/>
    </row>
    <row r="918" spans="4:6">
      <c r="D918" s="446"/>
      <c r="F918" s="42"/>
    </row>
    <row r="919" spans="4:6">
      <c r="D919" s="446"/>
      <c r="F919" s="42"/>
    </row>
    <row r="920" spans="4:6">
      <c r="D920" s="446"/>
      <c r="F920" s="42"/>
    </row>
    <row r="921" spans="4:6">
      <c r="D921" s="446"/>
      <c r="F921" s="42"/>
    </row>
    <row r="922" spans="4:6">
      <c r="D922" s="446"/>
      <c r="F922" s="42"/>
    </row>
    <row r="923" spans="4:6">
      <c r="D923" s="446"/>
      <c r="F923" s="42"/>
    </row>
    <row r="924" spans="4:6">
      <c r="D924" s="446"/>
      <c r="F924" s="42"/>
    </row>
    <row r="925" spans="4:6">
      <c r="D925" s="446"/>
      <c r="F925" s="42"/>
    </row>
    <row r="926" spans="4:6">
      <c r="D926" s="446"/>
      <c r="F926" s="42"/>
    </row>
    <row r="927" spans="4:6">
      <c r="D927" s="446"/>
      <c r="F927" s="42"/>
    </row>
    <row r="928" spans="4:6">
      <c r="D928" s="446"/>
      <c r="F928" s="42"/>
    </row>
    <row r="929" spans="4:6">
      <c r="D929" s="446"/>
      <c r="F929" s="42"/>
    </row>
    <row r="930" spans="4:6">
      <c r="D930" s="446"/>
      <c r="F930" s="42"/>
    </row>
    <row r="931" spans="4:6">
      <c r="D931" s="446"/>
      <c r="F931" s="42"/>
    </row>
    <row r="932" spans="4:6">
      <c r="D932" s="446"/>
      <c r="F932" s="42"/>
    </row>
    <row r="933" spans="4:6">
      <c r="D933" s="446"/>
      <c r="F933" s="42"/>
    </row>
    <row r="934" spans="4:6">
      <c r="D934" s="446"/>
      <c r="F934" s="42"/>
    </row>
    <row r="935" spans="4:6">
      <c r="D935" s="446"/>
      <c r="F935" s="42"/>
    </row>
    <row r="936" spans="4:6">
      <c r="D936" s="446"/>
      <c r="F936" s="42"/>
    </row>
    <row r="937" spans="4:6">
      <c r="D937" s="446"/>
      <c r="F937" s="42"/>
    </row>
    <row r="938" spans="4:6">
      <c r="D938" s="446"/>
      <c r="F938" s="42"/>
    </row>
    <row r="939" spans="4:6">
      <c r="D939" s="446"/>
      <c r="F939" s="42"/>
    </row>
    <row r="940" spans="4:6">
      <c r="D940" s="446"/>
      <c r="F940" s="42"/>
    </row>
    <row r="941" spans="4:6">
      <c r="D941" s="446"/>
      <c r="F941" s="42"/>
    </row>
    <row r="942" spans="4:6">
      <c r="D942" s="446"/>
      <c r="F942" s="42"/>
    </row>
    <row r="943" spans="4:6">
      <c r="D943" s="446"/>
      <c r="F943" s="42"/>
    </row>
    <row r="944" spans="4:6">
      <c r="D944" s="446"/>
      <c r="F944" s="42"/>
    </row>
    <row r="945" spans="4:6">
      <c r="D945" s="446"/>
      <c r="F945" s="42"/>
    </row>
    <row r="946" spans="4:6">
      <c r="D946" s="446"/>
      <c r="F946" s="42"/>
    </row>
    <row r="947" spans="4:6">
      <c r="D947" s="446"/>
      <c r="F947" s="42"/>
    </row>
    <row r="948" spans="4:6">
      <c r="D948" s="446"/>
      <c r="F948" s="42"/>
    </row>
    <row r="949" spans="4:6">
      <c r="D949" s="446"/>
      <c r="F949" s="42"/>
    </row>
    <row r="950" spans="4:6">
      <c r="D950" s="446"/>
      <c r="F950" s="42"/>
    </row>
    <row r="951" spans="4:6">
      <c r="D951" s="446"/>
      <c r="F951" s="42"/>
    </row>
    <row r="952" spans="4:6">
      <c r="D952" s="446"/>
      <c r="F952" s="42"/>
    </row>
    <row r="953" spans="4:6">
      <c r="D953" s="446"/>
      <c r="F953" s="42"/>
    </row>
    <row r="954" spans="4:6">
      <c r="D954" s="446"/>
      <c r="F954" s="42"/>
    </row>
    <row r="955" spans="4:6">
      <c r="D955" s="446"/>
      <c r="F955" s="42"/>
    </row>
    <row r="956" spans="4:6">
      <c r="D956" s="446"/>
      <c r="F956" s="42"/>
    </row>
    <row r="957" spans="4:6">
      <c r="D957" s="446"/>
      <c r="F957" s="42"/>
    </row>
    <row r="958" spans="4:6">
      <c r="D958" s="446"/>
      <c r="F958" s="42"/>
    </row>
    <row r="959" spans="4:6">
      <c r="D959" s="446"/>
      <c r="F959" s="42"/>
    </row>
    <row r="960" spans="4:6">
      <c r="D960" s="446"/>
      <c r="F960" s="42"/>
    </row>
    <row r="961" spans="4:6">
      <c r="D961" s="446"/>
      <c r="F961" s="42"/>
    </row>
    <row r="962" spans="4:6">
      <c r="D962" s="446"/>
      <c r="F962" s="42"/>
    </row>
    <row r="963" spans="4:6">
      <c r="D963" s="446"/>
      <c r="F963" s="42"/>
    </row>
    <row r="964" spans="4:6">
      <c r="D964" s="446"/>
      <c r="F964" s="42"/>
    </row>
    <row r="965" spans="4:6">
      <c r="D965" s="446"/>
      <c r="F965" s="42"/>
    </row>
    <row r="966" spans="4:6">
      <c r="D966" s="446"/>
      <c r="F966" s="42"/>
    </row>
    <row r="967" spans="4:6">
      <c r="D967" s="446"/>
      <c r="F967" s="42"/>
    </row>
    <row r="968" spans="4:6">
      <c r="D968" s="446"/>
      <c r="F968" s="42"/>
    </row>
    <row r="969" spans="4:6">
      <c r="D969" s="446"/>
      <c r="F969" s="42"/>
    </row>
    <row r="970" spans="4:6">
      <c r="D970" s="446"/>
      <c r="F970" s="42"/>
    </row>
    <row r="971" spans="4:6">
      <c r="D971" s="446"/>
      <c r="F971" s="42"/>
    </row>
    <row r="972" spans="4:6">
      <c r="D972" s="446"/>
      <c r="F972" s="42"/>
    </row>
    <row r="973" spans="4:6">
      <c r="D973" s="446"/>
      <c r="F973" s="42"/>
    </row>
    <row r="974" spans="4:6">
      <c r="D974" s="446"/>
      <c r="F974" s="42"/>
    </row>
    <row r="975" spans="4:6">
      <c r="D975" s="446"/>
      <c r="F975" s="42"/>
    </row>
    <row r="976" spans="4:6">
      <c r="D976" s="446"/>
      <c r="F976" s="42"/>
    </row>
    <row r="977" spans="4:6">
      <c r="D977" s="446"/>
      <c r="F977" s="42"/>
    </row>
    <row r="978" spans="4:6">
      <c r="D978" s="446"/>
      <c r="F978" s="42"/>
    </row>
    <row r="979" spans="4:6">
      <c r="D979" s="446"/>
      <c r="F979" s="42"/>
    </row>
    <row r="980" spans="4:6">
      <c r="D980" s="446"/>
      <c r="F980" s="42"/>
    </row>
    <row r="981" spans="4:6">
      <c r="D981" s="446"/>
      <c r="F981" s="42"/>
    </row>
    <row r="982" spans="4:6">
      <c r="D982" s="446"/>
      <c r="F982" s="42"/>
    </row>
    <row r="983" spans="4:6">
      <c r="D983" s="446"/>
      <c r="F983" s="42"/>
    </row>
    <row r="984" spans="4:6">
      <c r="D984" s="446"/>
      <c r="F984" s="42"/>
    </row>
    <row r="985" spans="4:6">
      <c r="D985" s="446"/>
      <c r="F985" s="42"/>
    </row>
    <row r="986" spans="4:6">
      <c r="D986" s="446"/>
      <c r="F986" s="42"/>
    </row>
    <row r="987" spans="4:6">
      <c r="D987" s="446"/>
      <c r="F987" s="42"/>
    </row>
    <row r="988" spans="4:6">
      <c r="D988" s="446"/>
      <c r="F988" s="42"/>
    </row>
    <row r="989" spans="4:6">
      <c r="D989" s="446"/>
      <c r="F989" s="42"/>
    </row>
    <row r="990" spans="4:6">
      <c r="D990" s="446"/>
      <c r="F990" s="42"/>
    </row>
    <row r="991" spans="4:6">
      <c r="D991" s="446"/>
      <c r="F991" s="42"/>
    </row>
    <row r="992" spans="4:6">
      <c r="D992" s="446"/>
      <c r="F992" s="42"/>
    </row>
    <row r="993" spans="4:6">
      <c r="D993" s="446"/>
      <c r="F993" s="42"/>
    </row>
    <row r="994" spans="4:6">
      <c r="D994" s="446"/>
      <c r="F994" s="42"/>
    </row>
    <row r="995" spans="4:6">
      <c r="D995" s="446"/>
      <c r="F995" s="42"/>
    </row>
    <row r="996" spans="4:6">
      <c r="D996" s="446"/>
      <c r="F996" s="42"/>
    </row>
    <row r="997" spans="4:6">
      <c r="D997" s="446"/>
      <c r="F997" s="42"/>
    </row>
    <row r="998" spans="4:6">
      <c r="D998" s="446"/>
      <c r="F998" s="42"/>
    </row>
    <row r="999" spans="4:6">
      <c r="D999" s="446"/>
      <c r="F999" s="42"/>
    </row>
  </sheetData>
  <sheetProtection algorithmName="SHA-512" hashValue="5MHgP4ksLMti9fKOAEegU5HzsMuG0kU8zZ5wb37Jp2nupnBHpkX41jTXuJgFwYCtkzea4uM6u7/7HvQd7vCxYQ==" saltValue="k5YyiU929I0DGXo3UUNt1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3" t="s">
        <v>1257</v>
      </c>
      <c r="T1" s="145"/>
    </row>
    <row r="2" spans="1:20" ht="17" thickBot="1">
      <c r="A2" s="21">
        <v>1</v>
      </c>
      <c r="C2" s="21"/>
      <c r="D2" s="539"/>
      <c r="E2" s="146">
        <v>11</v>
      </c>
      <c r="F2" s="146">
        <v>12</v>
      </c>
      <c r="G2" s="146">
        <v>13</v>
      </c>
      <c r="H2" s="146">
        <v>14</v>
      </c>
      <c r="I2" s="146">
        <v>15</v>
      </c>
      <c r="J2" s="624">
        <v>16</v>
      </c>
      <c r="K2" s="152"/>
      <c r="L2" s="152"/>
      <c r="M2" s="152"/>
      <c r="N2" s="152"/>
      <c r="O2" s="152"/>
      <c r="P2" s="152"/>
      <c r="Q2" s="21"/>
      <c r="R2" s="21"/>
    </row>
    <row r="3" spans="1:20" ht="17" thickBot="1">
      <c r="A3" s="21">
        <v>2</v>
      </c>
      <c r="C3" s="21"/>
      <c r="D3" s="543" t="s">
        <v>1159</v>
      </c>
      <c r="E3" s="682"/>
      <c r="F3" s="683"/>
      <c r="G3" s="683"/>
      <c r="H3" s="683"/>
      <c r="I3" s="683"/>
      <c r="J3" s="684"/>
      <c r="K3" s="618"/>
      <c r="L3" s="618"/>
      <c r="M3" s="618"/>
      <c r="N3" s="618"/>
      <c r="O3" s="618"/>
      <c r="P3" s="20" t="s">
        <v>2109</v>
      </c>
      <c r="Q3" s="643"/>
      <c r="R3" s="643"/>
    </row>
    <row r="4" spans="1:20" ht="17" thickBot="1">
      <c r="A4" s="21">
        <v>3</v>
      </c>
      <c r="C4" s="7"/>
      <c r="D4" s="544" t="s">
        <v>1158</v>
      </c>
      <c r="E4" s="642" t="s">
        <v>2108</v>
      </c>
      <c r="F4" s="622"/>
      <c r="G4" s="622"/>
      <c r="K4" s="623" t="s">
        <v>1158</v>
      </c>
      <c r="L4" s="7"/>
      <c r="M4" s="547" t="s">
        <v>1158</v>
      </c>
      <c r="N4" s="148"/>
      <c r="O4" s="213"/>
      <c r="P4" s="644" t="s">
        <v>2110</v>
      </c>
      <c r="Q4" s="645"/>
      <c r="R4" s="646"/>
    </row>
    <row r="5" spans="1:20" ht="17" thickTop="1">
      <c r="A5" s="21">
        <v>4</v>
      </c>
      <c r="C5" s="149">
        <v>47</v>
      </c>
      <c r="D5" s="629"/>
      <c r="E5" s="630"/>
      <c r="F5" s="631"/>
      <c r="G5" s="632"/>
      <c r="H5" s="633"/>
      <c r="I5" s="634"/>
      <c r="J5" s="635"/>
      <c r="K5" s="686"/>
      <c r="L5" s="150">
        <v>55</v>
      </c>
      <c r="M5" s="688"/>
      <c r="N5" s="151">
        <v>63</v>
      </c>
      <c r="O5" s="21"/>
      <c r="P5" s="647" t="s">
        <v>2111</v>
      </c>
      <c r="Q5" s="648"/>
      <c r="R5" s="649"/>
    </row>
    <row r="6" spans="1:20">
      <c r="A6" s="21">
        <v>5</v>
      </c>
      <c r="C6" s="149">
        <v>48</v>
      </c>
      <c r="D6" s="421"/>
      <c r="E6" s="636"/>
      <c r="F6" s="219"/>
      <c r="G6" s="219"/>
      <c r="H6" s="220"/>
      <c r="I6" s="218"/>
      <c r="J6" s="637"/>
      <c r="K6" s="687"/>
      <c r="L6" s="150">
        <v>56</v>
      </c>
      <c r="M6" s="689"/>
      <c r="N6" s="151">
        <v>64</v>
      </c>
      <c r="O6" s="21"/>
      <c r="P6" s="647" t="s">
        <v>2112</v>
      </c>
      <c r="Q6" s="648"/>
      <c r="R6" s="649"/>
    </row>
    <row r="7" spans="1:20">
      <c r="A7" s="21">
        <v>6</v>
      </c>
      <c r="C7" s="149">
        <v>49</v>
      </c>
      <c r="D7" s="420"/>
      <c r="E7" s="638"/>
      <c r="F7" s="222"/>
      <c r="G7" s="222"/>
      <c r="H7" s="222"/>
      <c r="I7" s="222"/>
      <c r="J7" s="639"/>
      <c r="K7" s="687"/>
      <c r="L7" s="150">
        <v>57</v>
      </c>
      <c r="M7" s="689"/>
      <c r="N7" s="151">
        <v>65</v>
      </c>
      <c r="O7" s="21"/>
      <c r="P7" s="647" t="s">
        <v>2113</v>
      </c>
      <c r="Q7" s="648"/>
      <c r="R7" s="649"/>
    </row>
    <row r="8" spans="1:20" ht="17" thickBot="1">
      <c r="A8" s="21">
        <v>7</v>
      </c>
      <c r="C8" s="149">
        <v>50</v>
      </c>
      <c r="D8" s="421"/>
      <c r="E8" s="223"/>
      <c r="F8" s="640"/>
      <c r="G8" s="226"/>
      <c r="H8" s="640"/>
      <c r="I8" s="226"/>
      <c r="J8" s="641"/>
      <c r="K8" s="687"/>
      <c r="L8" s="150">
        <v>58</v>
      </c>
      <c r="M8" s="689"/>
      <c r="N8" s="151">
        <v>66</v>
      </c>
      <c r="O8" s="21"/>
      <c r="P8" s="650" t="s">
        <v>2114</v>
      </c>
      <c r="Q8" s="651"/>
      <c r="R8" s="652"/>
    </row>
    <row r="9" spans="1:20" hidden="1">
      <c r="A9" s="21">
        <v>8</v>
      </c>
      <c r="C9" s="149">
        <v>51</v>
      </c>
      <c r="D9" s="420"/>
      <c r="E9" s="221"/>
      <c r="F9" s="222"/>
      <c r="G9" s="221"/>
      <c r="H9" s="222"/>
      <c r="I9" s="221"/>
      <c r="J9" s="616"/>
      <c r="K9" s="97"/>
      <c r="L9" s="150">
        <v>59</v>
      </c>
      <c r="M9" s="217"/>
      <c r="N9" s="151">
        <v>67</v>
      </c>
      <c r="O9" s="21"/>
      <c r="P9" s="21"/>
      <c r="Q9" s="21"/>
      <c r="R9" s="21"/>
    </row>
    <row r="10" spans="1:20" hidden="1">
      <c r="A10" s="21">
        <v>9</v>
      </c>
      <c r="C10" s="149">
        <v>52</v>
      </c>
      <c r="D10" s="421"/>
      <c r="E10" s="218"/>
      <c r="F10" s="219"/>
      <c r="G10" s="219"/>
      <c r="H10" s="219"/>
      <c r="I10" s="219"/>
      <c r="J10" s="615"/>
      <c r="K10" s="97"/>
      <c r="L10" s="150">
        <v>60</v>
      </c>
      <c r="M10" s="217"/>
      <c r="N10" s="151">
        <v>68</v>
      </c>
      <c r="O10" s="21"/>
      <c r="P10" s="21"/>
      <c r="Q10" s="21"/>
      <c r="R10" s="21"/>
    </row>
    <row r="11" spans="1:20" hidden="1">
      <c r="A11" s="21">
        <v>10</v>
      </c>
      <c r="C11" s="149">
        <v>53</v>
      </c>
      <c r="D11" s="420"/>
      <c r="E11" s="221"/>
      <c r="F11" s="222"/>
      <c r="G11" s="222"/>
      <c r="H11" s="222"/>
      <c r="I11" s="222"/>
      <c r="J11" s="616"/>
      <c r="K11" s="97"/>
      <c r="L11" s="150">
        <v>61</v>
      </c>
      <c r="M11" s="217"/>
      <c r="N11" s="151">
        <v>69</v>
      </c>
      <c r="O11" s="21"/>
      <c r="P11" s="21"/>
      <c r="Q11" s="21"/>
      <c r="R11" s="21"/>
    </row>
    <row r="12" spans="1:20" ht="17" hidden="1" thickBot="1">
      <c r="A12" s="21">
        <v>11</v>
      </c>
      <c r="C12" s="149">
        <v>54</v>
      </c>
      <c r="D12" s="541"/>
      <c r="E12" s="223"/>
      <c r="F12" s="224"/>
      <c r="G12" s="224"/>
      <c r="H12" s="225"/>
      <c r="I12" s="226"/>
      <c r="J12" s="617"/>
      <c r="K12" s="97"/>
      <c r="L12" s="150">
        <v>62</v>
      </c>
      <c r="M12" s="217"/>
      <c r="N12" s="151">
        <v>70</v>
      </c>
      <c r="O12" s="21"/>
      <c r="P12" s="619"/>
      <c r="Q12" s="21"/>
      <c r="R12" s="21"/>
    </row>
    <row r="13" spans="1:20" ht="18" thickTop="1" thickBot="1">
      <c r="A13" s="21">
        <v>12</v>
      </c>
      <c r="C13" s="152"/>
      <c r="D13" s="605" t="s">
        <v>1159</v>
      </c>
      <c r="E13" s="540"/>
      <c r="F13" s="419"/>
      <c r="G13" s="419"/>
      <c r="H13" s="419"/>
      <c r="I13" s="419"/>
      <c r="J13" s="625"/>
      <c r="K13" s="424"/>
      <c r="L13" s="424"/>
      <c r="M13" s="424"/>
      <c r="N13" s="424"/>
      <c r="O13" s="424"/>
      <c r="P13" s="424"/>
      <c r="Q13" s="22"/>
      <c r="R13" s="145"/>
      <c r="S13" s="213"/>
    </row>
    <row r="14" spans="1:20" ht="17" thickBot="1">
      <c r="A14" s="21">
        <v>13</v>
      </c>
      <c r="C14" s="21"/>
      <c r="D14" s="144"/>
      <c r="E14" s="153">
        <v>23</v>
      </c>
      <c r="F14" s="153">
        <v>24</v>
      </c>
      <c r="G14" s="153">
        <v>25</v>
      </c>
      <c r="H14" s="153">
        <v>26</v>
      </c>
      <c r="I14" s="153">
        <v>27</v>
      </c>
      <c r="J14" s="626">
        <v>28</v>
      </c>
      <c r="K14" s="145"/>
      <c r="L14" s="145"/>
      <c r="M14" s="145"/>
      <c r="N14" s="145"/>
      <c r="O14" s="145"/>
      <c r="P14" s="145"/>
      <c r="Q14" s="21"/>
      <c r="R14" s="21"/>
    </row>
    <row r="15" spans="1:20" ht="17" thickBot="1">
      <c r="A15" s="21">
        <v>14</v>
      </c>
      <c r="C15" s="21"/>
      <c r="D15" s="545" t="s">
        <v>1159</v>
      </c>
      <c r="E15" s="546"/>
      <c r="F15" s="442"/>
      <c r="G15" s="442"/>
      <c r="H15" s="442"/>
      <c r="I15" s="442"/>
      <c r="J15" s="627"/>
      <c r="K15" s="424"/>
      <c r="L15" s="620" t="s">
        <v>2106</v>
      </c>
      <c r="M15" s="213"/>
      <c r="N15" s="621" t="s">
        <v>46</v>
      </c>
      <c r="O15" s="424"/>
      <c r="P15" s="424"/>
      <c r="Q15" s="21"/>
      <c r="R15" s="21"/>
    </row>
    <row r="16" spans="1:20">
      <c r="A16" s="21">
        <v>15</v>
      </c>
      <c r="C16" s="21"/>
      <c r="D16" s="542"/>
      <c r="E16" s="154">
        <v>35</v>
      </c>
      <c r="F16" s="154">
        <v>36</v>
      </c>
      <c r="G16" s="154">
        <v>37</v>
      </c>
      <c r="H16" s="154">
        <v>38</v>
      </c>
      <c r="I16" s="154">
        <v>39</v>
      </c>
      <c r="J16" s="628">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05" t="s">
        <v>49</v>
      </c>
      <c r="I18" s="705"/>
      <c r="J18" s="705"/>
      <c r="K18" s="21"/>
      <c r="L18" s="694" t="s">
        <v>14</v>
      </c>
      <c r="M18" s="694"/>
      <c r="N18" s="694"/>
      <c r="O18" s="694"/>
      <c r="P18" s="694"/>
      <c r="Q18" s="694"/>
      <c r="R18" s="20" t="s">
        <v>1146</v>
      </c>
      <c r="S18" s="155"/>
    </row>
    <row r="19" spans="1:19" ht="17" thickBot="1">
      <c r="A19" s="21">
        <v>18</v>
      </c>
      <c r="C19" s="156"/>
      <c r="D19" s="697" t="s">
        <v>490</v>
      </c>
      <c r="E19" s="698"/>
      <c r="F19" s="158">
        <f>J33</f>
        <v>100</v>
      </c>
      <c r="G19" s="159"/>
      <c r="H19" s="160" t="s">
        <v>1148</v>
      </c>
      <c r="I19" s="157"/>
      <c r="J19" s="328"/>
      <c r="K19" s="21"/>
      <c r="L19" s="161" t="s">
        <v>15</v>
      </c>
      <c r="M19" s="162" t="s">
        <v>0</v>
      </c>
      <c r="N19" s="163" t="s">
        <v>1006</v>
      </c>
      <c r="O19" s="164" t="s">
        <v>946</v>
      </c>
      <c r="P19" s="165" t="s">
        <v>17</v>
      </c>
      <c r="Q19" s="166" t="s">
        <v>1032</v>
      </c>
      <c r="R19" s="167" t="s">
        <v>20</v>
      </c>
      <c r="S19" s="168" t="s">
        <v>501</v>
      </c>
    </row>
    <row r="20" spans="1:19">
      <c r="A20" s="21">
        <v>19</v>
      </c>
      <c r="C20" s="156"/>
      <c r="D20" s="699" t="s">
        <v>491</v>
      </c>
      <c r="E20" s="700"/>
      <c r="F20" s="83">
        <v>300</v>
      </c>
      <c r="G20" s="159"/>
      <c r="H20" s="364" t="s">
        <v>1842</v>
      </c>
      <c r="I20" s="11"/>
      <c r="J20" s="329"/>
      <c r="K20" s="156"/>
      <c r="L20" s="337" t="s">
        <v>23</v>
      </c>
      <c r="M20" s="342"/>
      <c r="N20" s="343"/>
      <c r="O20" s="344"/>
      <c r="P20" s="338"/>
      <c r="Q20" s="691">
        <f t="shared" ref="Q20:Q30" si="0">P20*$F$29</f>
        <v>0</v>
      </c>
      <c r="R20" s="3"/>
      <c r="S20" s="318"/>
    </row>
    <row r="21" spans="1:19">
      <c r="A21" s="21">
        <v>20</v>
      </c>
      <c r="C21" s="156"/>
      <c r="D21" s="695" t="s">
        <v>492</v>
      </c>
      <c r="E21" s="696"/>
      <c r="F21" s="84">
        <v>25</v>
      </c>
      <c r="G21" s="159"/>
      <c r="H21" s="171" t="s">
        <v>947</v>
      </c>
      <c r="I21" s="11"/>
      <c r="J21" s="82"/>
      <c r="K21" s="156"/>
      <c r="L21" s="448">
        <v>1</v>
      </c>
      <c r="M21" s="458"/>
      <c r="N21" s="464"/>
      <c r="O21" s="93"/>
      <c r="P21" s="94"/>
      <c r="Q21" s="691">
        <f t="shared" si="0"/>
        <v>0</v>
      </c>
      <c r="R21" s="48" t="e">
        <f>SLOPE('Calibration Curves'!$C$2:$C$16,'Calibration Curves'!$D$2:$D$16)</f>
        <v>#DIV/0!</v>
      </c>
      <c r="S21" s="49" t="e">
        <f>RSQ('Calibration Curves'!$C$2:$C$16,'Calibration Curves'!$D$2:$D$16)</f>
        <v>#DIV/0!</v>
      </c>
    </row>
    <row r="22" spans="1:19">
      <c r="A22" s="21">
        <v>21</v>
      </c>
      <c r="C22" s="156"/>
      <c r="D22" s="706" t="s">
        <v>493</v>
      </c>
      <c r="E22" s="700"/>
      <c r="F22" s="85">
        <v>500</v>
      </c>
      <c r="G22" s="159"/>
      <c r="H22" s="172" t="s">
        <v>948</v>
      </c>
      <c r="I22" s="173"/>
      <c r="J22" s="83"/>
      <c r="K22" s="156"/>
      <c r="L22" s="317">
        <v>2</v>
      </c>
      <c r="M22" s="458"/>
      <c r="N22" s="464"/>
      <c r="O22" s="93"/>
      <c r="P22" s="94"/>
      <c r="Q22" s="691">
        <f t="shared" si="0"/>
        <v>0</v>
      </c>
      <c r="R22" s="48" t="e">
        <f>SLOPE('Calibration Curves'!$C$32:$C$46,'Calibration Curves'!$D$32:$D$46)</f>
        <v>#DIV/0!</v>
      </c>
      <c r="S22" s="49" t="e">
        <f>RSQ('Calibration Curves'!$C$32:$C$46,'Calibration Curves'!$D$32:$D$46)</f>
        <v>#DIV/0!</v>
      </c>
    </row>
    <row r="23" spans="1:19">
      <c r="A23" s="21">
        <v>22</v>
      </c>
      <c r="C23" s="156"/>
      <c r="D23" s="701" t="s">
        <v>494</v>
      </c>
      <c r="E23" s="702"/>
      <c r="F23" s="95">
        <v>0</v>
      </c>
      <c r="G23" s="24"/>
      <c r="H23" s="174" t="s">
        <v>52</v>
      </c>
      <c r="I23" s="175"/>
      <c r="J23" s="83"/>
      <c r="K23" s="156"/>
      <c r="L23" s="317">
        <v>3</v>
      </c>
      <c r="M23" s="458"/>
      <c r="N23" s="464"/>
      <c r="O23" s="93"/>
      <c r="P23" s="94"/>
      <c r="Q23" s="691">
        <f t="shared" si="0"/>
        <v>0</v>
      </c>
      <c r="R23" s="48" t="e">
        <f>SLOPE('Calibration Curves'!$C$62:$C$76,'Calibration Curves'!$D$62:$D$76)</f>
        <v>#DIV/0!</v>
      </c>
      <c r="S23" s="49" t="e">
        <f>RSQ('Calibration Curves'!$C$62:$C$76,'Calibration Curves'!$D$62:$D$76)</f>
        <v>#DIV/0!</v>
      </c>
    </row>
    <row r="24" spans="1:19">
      <c r="A24" s="21">
        <v>23</v>
      </c>
      <c r="C24" s="24"/>
      <c r="D24" s="703" t="s">
        <v>495</v>
      </c>
      <c r="E24" s="704"/>
      <c r="F24" s="96">
        <v>0</v>
      </c>
      <c r="G24" s="24"/>
      <c r="H24" s="176" t="s">
        <v>479</v>
      </c>
      <c r="I24" s="177"/>
      <c r="J24" s="83"/>
      <c r="K24" s="178"/>
      <c r="L24" s="317">
        <v>4</v>
      </c>
      <c r="M24" s="458"/>
      <c r="N24" s="464"/>
      <c r="O24" s="93"/>
      <c r="P24" s="94"/>
      <c r="Q24" s="691">
        <f t="shared" si="0"/>
        <v>0</v>
      </c>
      <c r="R24" s="48" t="e">
        <f>SLOPE('Calibration Curves'!$C$92:$C$106,'Calibration Curves'!$D$92:$D$106)</f>
        <v>#DIV/0!</v>
      </c>
      <c r="S24" s="49" t="e">
        <f>RSQ('Calibration Curves'!$C$92:$C$106,'Calibration Curves'!$D$92:$D$106)</f>
        <v>#DIV/0!</v>
      </c>
    </row>
    <row r="25" spans="1:19" ht="17" customHeight="1">
      <c r="A25" s="21">
        <v>24</v>
      </c>
      <c r="C25" s="24"/>
      <c r="D25" s="701" t="s">
        <v>494</v>
      </c>
      <c r="E25" s="702"/>
      <c r="F25" s="95">
        <v>0</v>
      </c>
      <c r="G25" s="24"/>
      <c r="H25" s="176" t="s">
        <v>1029</v>
      </c>
      <c r="I25" s="11"/>
      <c r="J25" s="83" t="s">
        <v>1030</v>
      </c>
      <c r="K25" s="156"/>
      <c r="L25" s="317">
        <v>5</v>
      </c>
      <c r="M25" s="458"/>
      <c r="N25" s="464"/>
      <c r="O25" s="93"/>
      <c r="P25" s="94"/>
      <c r="Q25" s="691">
        <f t="shared" si="0"/>
        <v>0</v>
      </c>
      <c r="R25" s="48" t="e">
        <f>SLOPE('Calibration Curves'!$C$107:$C$121,'Calibration Curves'!$D$107:$D$121)</f>
        <v>#DIV/0!</v>
      </c>
      <c r="S25" s="49" t="e">
        <f>RSQ('Calibration Curves'!$C$107:$C$121,'Calibration Curves'!$D$107:$D$121)</f>
        <v>#DIV/0!</v>
      </c>
    </row>
    <row r="26" spans="1:19">
      <c r="A26" s="21">
        <v>25</v>
      </c>
      <c r="C26" s="24"/>
      <c r="D26" s="703" t="s">
        <v>495</v>
      </c>
      <c r="E26" s="704"/>
      <c r="F26" s="96">
        <v>0</v>
      </c>
      <c r="G26" s="178"/>
      <c r="H26" s="179" t="s">
        <v>1041</v>
      </c>
      <c r="I26" s="7"/>
      <c r="J26" s="88"/>
      <c r="K26" s="156"/>
      <c r="L26" s="317">
        <v>6</v>
      </c>
      <c r="M26" s="458"/>
      <c r="N26" s="464"/>
      <c r="O26" s="93"/>
      <c r="P26" s="94"/>
      <c r="Q26" s="691">
        <f t="shared" si="0"/>
        <v>0</v>
      </c>
      <c r="R26" s="48" t="e">
        <f>SLOPE('Calibration Curves'!$C$122:$C$136,'Calibration Curves'!$D$122:$D$136)</f>
        <v>#DIV/0!</v>
      </c>
      <c r="S26" s="49" t="e">
        <f>RSQ('Calibration Curves'!$C$122:$C$136,'Calibration Curves'!$D$122:$D$136)</f>
        <v>#DIV/0!</v>
      </c>
    </row>
    <row r="27" spans="1:19">
      <c r="A27" s="21">
        <v>26</v>
      </c>
      <c r="C27" s="24"/>
      <c r="D27" s="695" t="s">
        <v>496</v>
      </c>
      <c r="E27" s="696"/>
      <c r="F27" s="86">
        <v>2</v>
      </c>
      <c r="G27" s="178"/>
      <c r="H27" s="169" t="s">
        <v>1063</v>
      </c>
      <c r="I27" s="11"/>
      <c r="J27" s="86" t="s">
        <v>1066</v>
      </c>
      <c r="K27" s="156"/>
      <c r="L27" s="17">
        <v>7</v>
      </c>
      <c r="M27" s="458"/>
      <c r="N27" s="464"/>
      <c r="O27" s="93"/>
      <c r="P27" s="94"/>
      <c r="Q27" s="691">
        <f t="shared" si="0"/>
        <v>0</v>
      </c>
      <c r="R27" s="48" t="e">
        <f>SLOPE('Calibration Curves'!$C$137:$C$151,'Calibration Curves'!$D$137:$D$151)</f>
        <v>#DIV/0!</v>
      </c>
      <c r="S27" s="49" t="e">
        <f>RSQ('Calibration Curves'!$C$137:$C$151,'Calibration Curves'!$D$137:$D$151)</f>
        <v>#DIV/0!</v>
      </c>
    </row>
    <row r="28" spans="1:19">
      <c r="A28" s="21">
        <v>27</v>
      </c>
      <c r="C28" s="156"/>
      <c r="D28" s="699" t="s">
        <v>497</v>
      </c>
      <c r="E28" s="700"/>
      <c r="F28" s="87">
        <v>2</v>
      </c>
      <c r="G28" s="159"/>
      <c r="H28" s="182" t="s">
        <v>1064</v>
      </c>
      <c r="I28" s="183"/>
      <c r="J28" s="89"/>
      <c r="K28" s="156"/>
      <c r="L28" s="17">
        <v>8</v>
      </c>
      <c r="M28" s="458"/>
      <c r="N28" s="464"/>
      <c r="O28" s="93"/>
      <c r="P28" s="94"/>
      <c r="Q28" s="691">
        <f t="shared" si="0"/>
        <v>0</v>
      </c>
      <c r="R28" s="48" t="e">
        <f>SLOPE('Calibration Curves'!$C$152:$C$166,'Calibration Curves'!$D$152:$D$166)</f>
        <v>#DIV/0!</v>
      </c>
      <c r="S28" s="49" t="e">
        <f>RSQ('Calibration Curves'!$C$152:$C$166,'Calibration Curves'!$D$152:$D$166)</f>
        <v>#DIV/0!</v>
      </c>
    </row>
    <row r="29" spans="1:19" ht="17" thickBot="1">
      <c r="A29" s="21">
        <v>28</v>
      </c>
      <c r="C29" s="21"/>
      <c r="D29" s="180" t="s">
        <v>498</v>
      </c>
      <c r="E29" s="181"/>
      <c r="F29" s="690">
        <f>IF($F$26=0, IF($F$24=0, (F21/F20)/F22*1000, (F21*F23/F20)/F22/F24*1000), (F21*F23*F25/F20)/F22/F24/F26*1000)</f>
        <v>0.16666666666666666</v>
      </c>
      <c r="G29" s="156"/>
      <c r="H29" s="184" t="s">
        <v>1027</v>
      </c>
      <c r="I29" s="4"/>
      <c r="J29" s="83"/>
      <c r="K29" s="156"/>
      <c r="L29" s="17">
        <v>9</v>
      </c>
      <c r="M29" s="458"/>
      <c r="N29" s="464"/>
      <c r="O29" s="93"/>
      <c r="P29" s="94"/>
      <c r="Q29" s="691">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6"/>
      <c r="H30" s="185" t="s">
        <v>1028</v>
      </c>
      <c r="J30" s="90" t="b">
        <v>1</v>
      </c>
      <c r="K30" s="159"/>
      <c r="L30" s="451">
        <v>10</v>
      </c>
      <c r="M30" s="459"/>
      <c r="N30" s="465"/>
      <c r="O30" s="452"/>
      <c r="P30" s="453"/>
      <c r="Q30" s="692">
        <f t="shared" si="0"/>
        <v>0</v>
      </c>
      <c r="R30" s="454" t="e">
        <f>SLOPE('Calibration Curves'!$C$182:$C$196,'Calibration Curves'!$D$182:$D$196)</f>
        <v>#DIV/0!</v>
      </c>
      <c r="S30" s="455" t="e">
        <f>RSQ('Calibration Curves'!$C$182:$C$196,'Calibration Curves'!$D$182:$D$196)</f>
        <v>#DIV/0!</v>
      </c>
    </row>
    <row r="31" spans="1:19">
      <c r="A31" s="21">
        <v>30</v>
      </c>
      <c r="C31" s="21"/>
      <c r="D31" s="21"/>
      <c r="E31" s="21"/>
      <c r="F31" s="21"/>
      <c r="G31" s="156"/>
      <c r="H31" s="316" t="s">
        <v>2066</v>
      </c>
      <c r="I31" s="157"/>
      <c r="J31" s="91">
        <v>10</v>
      </c>
      <c r="K31" s="21"/>
      <c r="L31" s="22"/>
      <c r="M31" s="450"/>
      <c r="N31" s="450"/>
      <c r="O31" s="46"/>
      <c r="P31" s="46"/>
      <c r="Q31" s="345"/>
      <c r="R31" s="44"/>
      <c r="S31" s="44"/>
    </row>
    <row r="32" spans="1:19" ht="17" thickBot="1">
      <c r="A32" s="21">
        <v>31</v>
      </c>
      <c r="C32" s="21"/>
      <c r="D32" s="21"/>
      <c r="E32" s="21"/>
      <c r="F32" s="21"/>
      <c r="G32" s="156"/>
      <c r="H32" s="1" t="str">
        <f>IF(H31="Preplated loading (mol%):", "Reaction scale (µmol):", "Preplated ligand loading (mol%):")</f>
        <v>Preplated ligand loading (mol%):</v>
      </c>
      <c r="J32" s="186">
        <f>J34/J31*100</f>
        <v>10</v>
      </c>
      <c r="K32" s="21"/>
      <c r="L32" s="22"/>
      <c r="M32" s="450"/>
      <c r="N32" s="450"/>
      <c r="O32" s="46"/>
      <c r="P32" s="46"/>
      <c r="Q32" s="345"/>
      <c r="R32" s="44"/>
      <c r="S32" s="44"/>
    </row>
    <row r="33" spans="1:20" ht="17" thickBot="1">
      <c r="A33" s="21">
        <v>32</v>
      </c>
      <c r="C33" s="21"/>
      <c r="D33" s="21"/>
      <c r="E33" s="21"/>
      <c r="F33" s="21"/>
      <c r="G33" s="21"/>
      <c r="H33" s="187" t="s">
        <v>1031</v>
      </c>
      <c r="I33" s="188"/>
      <c r="J33" s="92">
        <v>100</v>
      </c>
      <c r="K33" s="21"/>
      <c r="L33" s="22"/>
      <c r="M33" s="450"/>
      <c r="N33" s="450"/>
      <c r="O33" s="46"/>
      <c r="P33" s="46"/>
      <c r="Q33" s="345"/>
      <c r="R33" s="44"/>
      <c r="S33" s="44"/>
    </row>
    <row r="34" spans="1:20" ht="17" thickBot="1">
      <c r="A34" s="21">
        <v>33</v>
      </c>
      <c r="C34" s="21"/>
      <c r="D34" s="21"/>
      <c r="E34" s="21"/>
      <c r="F34" s="21"/>
      <c r="G34" s="21"/>
      <c r="H34" s="189" t="s">
        <v>53</v>
      </c>
      <c r="I34" s="190"/>
      <c r="J34" s="191">
        <v>1</v>
      </c>
      <c r="K34" s="21"/>
      <c r="L34" s="22"/>
      <c r="M34" s="213"/>
      <c r="N34" s="213"/>
      <c r="O34" s="22"/>
      <c r="P34" s="22"/>
      <c r="Q34" s="345"/>
      <c r="R34" s="21"/>
    </row>
    <row r="35" spans="1:20">
      <c r="A35" s="21">
        <v>34</v>
      </c>
      <c r="C35" s="21"/>
      <c r="D35" s="21"/>
      <c r="E35" s="21"/>
      <c r="F35" s="21"/>
      <c r="G35" s="21"/>
      <c r="H35" s="21"/>
      <c r="I35" s="21"/>
      <c r="J35" s="21"/>
      <c r="K35" s="21"/>
      <c r="L35" s="22"/>
      <c r="M35" s="213"/>
      <c r="N35" s="21"/>
      <c r="O35" s="22"/>
      <c r="P35" s="22"/>
      <c r="Q35" s="345"/>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4QREa30PZs4LeChqjJbDdA+KfGYEcW7GV+hPsIxRLFckZ5Brpb7uRhf0IQUYJ2kvxEU6S/3ORDznTJ3oIwDnoQ==" saltValue="qkvJukqK0pb/JBKocCPMUw==" spinCount="100000" sheet="1" objects="1" scenarios="1"/>
  <mergeCells count="12">
    <mergeCell ref="D28:E28"/>
    <mergeCell ref="D23:E23"/>
    <mergeCell ref="D24:E24"/>
    <mergeCell ref="H18:J18"/>
    <mergeCell ref="D22:E22"/>
    <mergeCell ref="D25:E25"/>
    <mergeCell ref="D26:E26"/>
    <mergeCell ref="L18:Q18"/>
    <mergeCell ref="D27:E27"/>
    <mergeCell ref="D19:E19"/>
    <mergeCell ref="D20:E20"/>
    <mergeCell ref="D21:E21"/>
  </mergeCells>
  <phoneticPr fontId="26"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P12 E9:J12" xr:uid="{1C8207BD-5200-8C49-8916-258BAB06FA49}"/>
    <dataValidation type="whole" allowBlank="1" showInputMessage="1" showErrorMessage="1" sqref="E5:J8" xr:uid="{A39B5C3E-24E4-C246-A346-47636BA493B9}">
      <formula1>0</formula1>
      <formula2>25</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4" customWidth="1"/>
    <col min="2" max="2" width="17" style="422" customWidth="1"/>
    <col min="3" max="3" width="16" style="422" customWidth="1"/>
    <col min="4" max="4" width="14.6640625" style="422" hidden="1" customWidth="1"/>
    <col min="5" max="5" width="8.33203125" style="422" customWidth="1"/>
    <col min="6" max="6" width="10.83203125" style="424"/>
    <col min="7" max="7" width="15.83203125" style="424" customWidth="1"/>
    <col min="8" max="8" width="15.1640625" style="424" customWidth="1"/>
    <col min="9" max="9" width="22.6640625" style="424" customWidth="1"/>
    <col min="10" max="10" width="22.5" style="424" hidden="1" customWidth="1"/>
    <col min="11" max="11" width="21.33203125" style="424" hidden="1" customWidth="1"/>
    <col min="12" max="12" width="16.1640625" style="424" customWidth="1"/>
    <col min="13" max="13" width="18" style="422" customWidth="1"/>
    <col min="14" max="14" width="24.6640625" style="552" customWidth="1"/>
    <col min="15" max="15" width="17.1640625" style="552" customWidth="1"/>
    <col min="16" max="16" width="20.83203125" style="424" customWidth="1"/>
    <col min="17" max="17" width="18" style="552" customWidth="1"/>
    <col min="18" max="18" width="18.33203125" style="422" customWidth="1"/>
    <col min="19" max="19" width="21.1640625" style="422" customWidth="1"/>
    <col min="20" max="20" width="9.6640625" style="422" customWidth="1"/>
    <col min="21" max="16384" width="10.83203125" style="422"/>
  </cols>
  <sheetData>
    <row r="1" spans="1:19" s="20" customFormat="1">
      <c r="A1" s="571" t="s">
        <v>2062</v>
      </c>
      <c r="B1" s="575" t="s">
        <v>0</v>
      </c>
      <c r="C1" s="548" t="s">
        <v>1843</v>
      </c>
      <c r="D1" s="551" t="s">
        <v>1007</v>
      </c>
      <c r="E1" s="548" t="s">
        <v>1006</v>
      </c>
      <c r="F1" s="549" t="s">
        <v>1</v>
      </c>
      <c r="G1" s="549" t="s">
        <v>32</v>
      </c>
      <c r="H1" s="591" t="s">
        <v>4</v>
      </c>
      <c r="I1" s="576" t="s">
        <v>5</v>
      </c>
      <c r="J1" s="550" t="s">
        <v>33</v>
      </c>
      <c r="K1" s="559" t="s">
        <v>6</v>
      </c>
      <c r="L1" s="562" t="s">
        <v>1878</v>
      </c>
      <c r="M1" s="566" t="s">
        <v>1879</v>
      </c>
      <c r="N1" s="565" t="s">
        <v>1870</v>
      </c>
      <c r="O1" s="553" t="s">
        <v>2063</v>
      </c>
      <c r="P1" s="571" t="s">
        <v>2064</v>
      </c>
      <c r="Q1" s="574" t="s">
        <v>1845</v>
      </c>
      <c r="R1" s="570" t="s">
        <v>2065</v>
      </c>
      <c r="S1" s="569" t="s">
        <v>1871</v>
      </c>
    </row>
    <row r="2" spans="1:19">
      <c r="A2" s="572">
        <v>1</v>
      </c>
      <c r="B2" s="611"/>
      <c r="C2" s="438"/>
      <c r="D2" s="580" t="str">
        <f>VLOOKUP(3,'Plate Planning'!$A$1:$S$35,13,FALSE)</f>
        <v>row variable</v>
      </c>
      <c r="E2" s="438"/>
      <c r="F2" s="427"/>
      <c r="G2" s="427"/>
      <c r="H2" s="581"/>
      <c r="I2" s="577">
        <f>G2*LOOKUP("Reaction scale (µmol):",'Plate Planning'!$H$31:$H$32,'Plate Planning'!$J$31:$J$32)/100</f>
        <v>0</v>
      </c>
      <c r="J2" s="557" t="str">
        <f t="shared" ref="J2:J25" si="0">IF(I2=0, "",I2*F2/1000)</f>
        <v/>
      </c>
      <c r="K2" s="560" t="str">
        <f>IFERROR(IF(H2=0, J2/H2, I2/#REF!), "")</f>
        <v/>
      </c>
      <c r="L2" s="563" t="s">
        <v>1880</v>
      </c>
      <c r="M2" s="567"/>
      <c r="N2" s="587"/>
      <c r="O2" s="427"/>
      <c r="P2" s="609">
        <f t="shared" ref="P2:P25" si="1">O2*I2*F2/1000*2</f>
        <v>0</v>
      </c>
      <c r="Q2" s="589"/>
      <c r="R2" s="606" t="str">
        <f>IFERROR(IF(H2=0,Q2/F2/N2-Q2/1000,Q2/F2/N2-Q2/1000/H2), "")</f>
        <v/>
      </c>
      <c r="S2" s="607" t="str">
        <f t="shared" ref="S2:S25" si="2">IFERROR(I2/N2, "")</f>
        <v/>
      </c>
    </row>
    <row r="3" spans="1:19">
      <c r="A3" s="572">
        <v>2</v>
      </c>
      <c r="B3" s="579"/>
      <c r="C3" s="438"/>
      <c r="D3" s="580" t="str">
        <f>VLOOKUP(3,'Plate Planning'!$A$1:$S$35,13,FALSE)</f>
        <v>row variable</v>
      </c>
      <c r="E3" s="438"/>
      <c r="F3" s="427"/>
      <c r="G3" s="427"/>
      <c r="H3" s="581"/>
      <c r="I3" s="577">
        <f>G3*LOOKUP("Reaction scale (µmol):",'Plate Planning'!$H$31:$H$32,'Plate Planning'!$J$31:$J$32)/100</f>
        <v>0</v>
      </c>
      <c r="J3" s="557" t="str">
        <f t="shared" si="0"/>
        <v/>
      </c>
      <c r="K3" s="560" t="str">
        <f>IFERROR(IF(#REF!=0, J3/H3, I3/#REF!), "")</f>
        <v/>
      </c>
      <c r="L3" s="563" t="s">
        <v>1880</v>
      </c>
      <c r="M3" s="567"/>
      <c r="N3" s="587"/>
      <c r="O3" s="427"/>
      <c r="P3" s="609">
        <f t="shared" si="1"/>
        <v>0</v>
      </c>
      <c r="Q3" s="589"/>
      <c r="R3" s="606" t="str">
        <f t="shared" ref="R3:R25" si="3">IFERROR(IF(H3=0,Q3/F3/N3-Q3/1000,Q3/F3/N3-Q3/1000/H3), "")</f>
        <v/>
      </c>
      <c r="S3" s="607" t="str">
        <f t="shared" si="2"/>
        <v/>
      </c>
    </row>
    <row r="4" spans="1:19">
      <c r="A4" s="572">
        <v>3</v>
      </c>
      <c r="B4" s="579"/>
      <c r="C4" s="438"/>
      <c r="D4" s="580" t="str">
        <f>VLOOKUP(3,'Plate Planning'!$A$1:$S$35,13,FALSE)</f>
        <v>row variable</v>
      </c>
      <c r="E4" s="438"/>
      <c r="F4" s="427"/>
      <c r="G4" s="427"/>
      <c r="H4" s="581"/>
      <c r="I4" s="577">
        <f>G4*LOOKUP("Reaction scale (µmol):",'Plate Planning'!$H$31:$H$32,'Plate Planning'!$J$31:$J$32)/100</f>
        <v>0</v>
      </c>
      <c r="J4" s="557" t="str">
        <f t="shared" si="0"/>
        <v/>
      </c>
      <c r="K4" s="560" t="str">
        <f>IFERROR(IF(#REF!=0, J4/H4, I4/#REF!), "")</f>
        <v/>
      </c>
      <c r="L4" s="563" t="s">
        <v>1880</v>
      </c>
      <c r="M4" s="567"/>
      <c r="N4" s="587"/>
      <c r="O4" s="427"/>
      <c r="P4" s="609">
        <f t="shared" si="1"/>
        <v>0</v>
      </c>
      <c r="Q4" s="589"/>
      <c r="R4" s="606" t="str">
        <f t="shared" si="3"/>
        <v/>
      </c>
      <c r="S4" s="607" t="str">
        <f t="shared" si="2"/>
        <v/>
      </c>
    </row>
    <row r="5" spans="1:19">
      <c r="A5" s="572">
        <v>4</v>
      </c>
      <c r="B5" s="579"/>
      <c r="C5" s="438"/>
      <c r="D5" s="580" t="str">
        <f>VLOOKUP(3,'Plate Planning'!$A$1:$S$35,13,FALSE)</f>
        <v>row variable</v>
      </c>
      <c r="E5" s="438"/>
      <c r="F5" s="427"/>
      <c r="G5" s="427"/>
      <c r="H5" s="581"/>
      <c r="I5" s="577">
        <f>G5*LOOKUP("Reaction scale (µmol):",'Plate Planning'!$H$31:$H$32,'Plate Planning'!$J$31:$J$32)/100</f>
        <v>0</v>
      </c>
      <c r="J5" s="557" t="str">
        <f t="shared" si="0"/>
        <v/>
      </c>
      <c r="K5" s="560" t="str">
        <f>IFERROR(IF(#REF!=0, J5/H5, I5/#REF!), "")</f>
        <v/>
      </c>
      <c r="L5" s="563" t="s">
        <v>1880</v>
      </c>
      <c r="M5" s="567"/>
      <c r="N5" s="587"/>
      <c r="O5" s="427"/>
      <c r="P5" s="609">
        <f t="shared" si="1"/>
        <v>0</v>
      </c>
      <c r="Q5" s="589"/>
      <c r="R5" s="606" t="str">
        <f t="shared" si="3"/>
        <v/>
      </c>
      <c r="S5" s="607" t="str">
        <f t="shared" si="2"/>
        <v/>
      </c>
    </row>
    <row r="6" spans="1:19">
      <c r="A6" s="572">
        <v>5</v>
      </c>
      <c r="B6" s="579"/>
      <c r="C6" s="438"/>
      <c r="D6" s="580" t="str">
        <f>VLOOKUP(3,'Plate Planning'!$A$1:$S$35,13,FALSE)</f>
        <v>row variable</v>
      </c>
      <c r="E6" s="438"/>
      <c r="F6" s="427"/>
      <c r="G6" s="427"/>
      <c r="H6" s="581"/>
      <c r="I6" s="577">
        <f>G6*LOOKUP("Reaction scale (µmol):",'Plate Planning'!$H$31:$H$32,'Plate Planning'!$J$31:$J$32)/100</f>
        <v>0</v>
      </c>
      <c r="J6" s="557" t="str">
        <f t="shared" si="0"/>
        <v/>
      </c>
      <c r="K6" s="560" t="str">
        <f>IFERROR(IF(#REF!=0, J6/H6, I6/#REF!), "")</f>
        <v/>
      </c>
      <c r="L6" s="563" t="s">
        <v>1880</v>
      </c>
      <c r="M6" s="567"/>
      <c r="N6" s="587"/>
      <c r="O6" s="427"/>
      <c r="P6" s="609">
        <f t="shared" si="1"/>
        <v>0</v>
      </c>
      <c r="Q6" s="589"/>
      <c r="R6" s="606" t="str">
        <f t="shared" si="3"/>
        <v/>
      </c>
      <c r="S6" s="607" t="str">
        <f t="shared" si="2"/>
        <v/>
      </c>
    </row>
    <row r="7" spans="1:19">
      <c r="A7" s="572">
        <v>6</v>
      </c>
      <c r="B7" s="579"/>
      <c r="C7" s="438"/>
      <c r="D7" s="580" t="str">
        <f>VLOOKUP(3,'Plate Planning'!$A$1:$S$35,13,FALSE)</f>
        <v>row variable</v>
      </c>
      <c r="E7" s="438"/>
      <c r="F7" s="427"/>
      <c r="G7" s="427"/>
      <c r="H7" s="581"/>
      <c r="I7" s="577">
        <f>G7*LOOKUP("Reaction scale (µmol):",'Plate Planning'!$H$31:$H$32,'Plate Planning'!$J$31:$J$32)/100</f>
        <v>0</v>
      </c>
      <c r="J7" s="557" t="str">
        <f t="shared" si="0"/>
        <v/>
      </c>
      <c r="K7" s="560" t="str">
        <f>IFERROR(IF(#REF!=0, J7/H7, I7/#REF!), "")</f>
        <v/>
      </c>
      <c r="L7" s="563" t="s">
        <v>1880</v>
      </c>
      <c r="M7" s="567"/>
      <c r="N7" s="587"/>
      <c r="O7" s="427"/>
      <c r="P7" s="609">
        <f t="shared" si="1"/>
        <v>0</v>
      </c>
      <c r="Q7" s="589"/>
      <c r="R7" s="606" t="str">
        <f t="shared" si="3"/>
        <v/>
      </c>
      <c r="S7" s="607" t="str">
        <f t="shared" si="2"/>
        <v/>
      </c>
    </row>
    <row r="8" spans="1:19">
      <c r="A8" s="572">
        <v>7</v>
      </c>
      <c r="B8" s="579"/>
      <c r="C8" s="438"/>
      <c r="D8" s="580" t="str">
        <f>VLOOKUP(3,'Plate Planning'!$A$1:$S$35,13,FALSE)</f>
        <v>row variable</v>
      </c>
      <c r="E8" s="438"/>
      <c r="F8" s="427"/>
      <c r="G8" s="427"/>
      <c r="H8" s="581"/>
      <c r="I8" s="577">
        <f>G8*LOOKUP("Reaction scale (µmol):",'Plate Planning'!$H$31:$H$32,'Plate Planning'!$J$31:$J$32)/100</f>
        <v>0</v>
      </c>
      <c r="J8" s="557" t="str">
        <f t="shared" si="0"/>
        <v/>
      </c>
      <c r="K8" s="560" t="str">
        <f>IFERROR(IF(#REF!=0, J8/H8, I8/#REF!), "")</f>
        <v/>
      </c>
      <c r="L8" s="563" t="s">
        <v>1880</v>
      </c>
      <c r="M8" s="567"/>
      <c r="N8" s="587"/>
      <c r="O8" s="427"/>
      <c r="P8" s="609">
        <f t="shared" si="1"/>
        <v>0</v>
      </c>
      <c r="Q8" s="589"/>
      <c r="R8" s="606" t="str">
        <f t="shared" si="3"/>
        <v/>
      </c>
      <c r="S8" s="607" t="str">
        <f t="shared" si="2"/>
        <v/>
      </c>
    </row>
    <row r="9" spans="1:19">
      <c r="A9" s="572">
        <v>8</v>
      </c>
      <c r="B9" s="579"/>
      <c r="C9" s="438"/>
      <c r="D9" s="580" t="str">
        <f>VLOOKUP(3,'Plate Planning'!$A$1:$S$35,13,FALSE)</f>
        <v>row variable</v>
      </c>
      <c r="E9" s="438"/>
      <c r="F9" s="427"/>
      <c r="G9" s="427"/>
      <c r="H9" s="581"/>
      <c r="I9" s="577">
        <f>G9*LOOKUP("Reaction scale (µmol):",'Plate Planning'!$H$31:$H$32,'Plate Planning'!$J$31:$J$32)/100</f>
        <v>0</v>
      </c>
      <c r="J9" s="557" t="str">
        <f t="shared" si="0"/>
        <v/>
      </c>
      <c r="K9" s="560" t="str">
        <f>IFERROR(IF(#REF!=0, J9/H9, I9/#REF!), "")</f>
        <v/>
      </c>
      <c r="L9" s="563" t="s">
        <v>1880</v>
      </c>
      <c r="M9" s="567"/>
      <c r="N9" s="587"/>
      <c r="O9" s="427"/>
      <c r="P9" s="609">
        <f t="shared" si="1"/>
        <v>0</v>
      </c>
      <c r="Q9" s="589"/>
      <c r="R9" s="606" t="str">
        <f t="shared" si="3"/>
        <v/>
      </c>
      <c r="S9" s="607" t="str">
        <f t="shared" si="2"/>
        <v/>
      </c>
    </row>
    <row r="10" spans="1:19">
      <c r="A10" s="572">
        <v>9</v>
      </c>
      <c r="B10" s="579"/>
      <c r="C10" s="438"/>
      <c r="D10" s="580" t="str">
        <f>VLOOKUP(3,'Plate Planning'!$A$1:$S$35,13,FALSE)</f>
        <v>row variable</v>
      </c>
      <c r="E10" s="438"/>
      <c r="F10" s="427"/>
      <c r="G10" s="427"/>
      <c r="H10" s="581"/>
      <c r="I10" s="577">
        <f>G10*LOOKUP("Reaction scale (µmol):",'Plate Planning'!$H$31:$H$32,'Plate Planning'!$J$31:$J$32)/100</f>
        <v>0</v>
      </c>
      <c r="J10" s="557" t="str">
        <f t="shared" si="0"/>
        <v/>
      </c>
      <c r="K10" s="560" t="str">
        <f>IFERROR(IF(#REF!=0, J10/H10, I10/#REF!), "")</f>
        <v/>
      </c>
      <c r="L10" s="563" t="s">
        <v>1880</v>
      </c>
      <c r="M10" s="567"/>
      <c r="N10" s="587"/>
      <c r="O10" s="427"/>
      <c r="P10" s="609">
        <f t="shared" si="1"/>
        <v>0</v>
      </c>
      <c r="Q10" s="589"/>
      <c r="R10" s="606" t="str">
        <f t="shared" si="3"/>
        <v/>
      </c>
      <c r="S10" s="607" t="str">
        <f t="shared" si="2"/>
        <v/>
      </c>
    </row>
    <row r="11" spans="1:19">
      <c r="A11" s="572">
        <v>10</v>
      </c>
      <c r="B11" s="579"/>
      <c r="C11" s="438"/>
      <c r="D11" s="580" t="str">
        <f>VLOOKUP(3,'Plate Planning'!$A$1:$S$35,13,FALSE)</f>
        <v>row variable</v>
      </c>
      <c r="E11" s="438"/>
      <c r="F11" s="427"/>
      <c r="G11" s="427"/>
      <c r="H11" s="581"/>
      <c r="I11" s="577">
        <f>G11*LOOKUP("Reaction scale (µmol):",'Plate Planning'!$H$31:$H$32,'Plate Planning'!$J$31:$J$32)/100</f>
        <v>0</v>
      </c>
      <c r="J11" s="557" t="str">
        <f t="shared" si="0"/>
        <v/>
      </c>
      <c r="K11" s="560" t="str">
        <f>IFERROR(IF(#REF!=0, J11/H11, I11/#REF!), "")</f>
        <v/>
      </c>
      <c r="L11" s="563" t="s">
        <v>1880</v>
      </c>
      <c r="M11" s="567"/>
      <c r="N11" s="587"/>
      <c r="O11" s="427"/>
      <c r="P11" s="609">
        <f t="shared" si="1"/>
        <v>0</v>
      </c>
      <c r="Q11" s="589"/>
      <c r="R11" s="606" t="str">
        <f t="shared" si="3"/>
        <v/>
      </c>
      <c r="S11" s="607" t="str">
        <f t="shared" si="2"/>
        <v/>
      </c>
    </row>
    <row r="12" spans="1:19">
      <c r="A12" s="572">
        <v>11</v>
      </c>
      <c r="B12" s="579"/>
      <c r="C12" s="438"/>
      <c r="D12" s="580" t="str">
        <f>VLOOKUP(3,'Plate Planning'!$A$1:$S$35,13,FALSE)</f>
        <v>row variable</v>
      </c>
      <c r="E12" s="438"/>
      <c r="F12" s="427"/>
      <c r="G12" s="427"/>
      <c r="H12" s="581"/>
      <c r="I12" s="577">
        <f>G12*LOOKUP("Reaction scale (µmol):",'Plate Planning'!$H$31:$H$32,'Plate Planning'!$J$31:$J$32)/100</f>
        <v>0</v>
      </c>
      <c r="J12" s="557" t="str">
        <f t="shared" si="0"/>
        <v/>
      </c>
      <c r="K12" s="560" t="str">
        <f>IFERROR(IF(#REF!=0, J12/H12, I12/#REF!), "")</f>
        <v/>
      </c>
      <c r="L12" s="563" t="s">
        <v>1880</v>
      </c>
      <c r="M12" s="567"/>
      <c r="N12" s="587"/>
      <c r="O12" s="427"/>
      <c r="P12" s="609">
        <f t="shared" si="1"/>
        <v>0</v>
      </c>
      <c r="Q12" s="589"/>
      <c r="R12" s="606" t="str">
        <f t="shared" si="3"/>
        <v/>
      </c>
      <c r="S12" s="607" t="str">
        <f t="shared" si="2"/>
        <v/>
      </c>
    </row>
    <row r="13" spans="1:19">
      <c r="A13" s="572">
        <v>12</v>
      </c>
      <c r="B13" s="579"/>
      <c r="C13" s="438"/>
      <c r="D13" s="580" t="str">
        <f>VLOOKUP(3,'Plate Planning'!$A$1:$S$35,13,FALSE)</f>
        <v>row variable</v>
      </c>
      <c r="E13" s="438"/>
      <c r="F13" s="427"/>
      <c r="G13" s="427"/>
      <c r="H13" s="581"/>
      <c r="I13" s="577">
        <f>G13*LOOKUP("Reaction scale (µmol):",'Plate Planning'!$H$31:$H$32,'Plate Planning'!$J$31:$J$32)/100</f>
        <v>0</v>
      </c>
      <c r="J13" s="557" t="str">
        <f t="shared" si="0"/>
        <v/>
      </c>
      <c r="K13" s="560" t="str">
        <f>IFERROR(IF(#REF!=0, J13/H13, I13/#REF!), "")</f>
        <v/>
      </c>
      <c r="L13" s="563" t="s">
        <v>1880</v>
      </c>
      <c r="M13" s="567"/>
      <c r="N13" s="587"/>
      <c r="O13" s="427"/>
      <c r="P13" s="609">
        <f t="shared" si="1"/>
        <v>0</v>
      </c>
      <c r="Q13" s="589"/>
      <c r="R13" s="606" t="str">
        <f t="shared" si="3"/>
        <v/>
      </c>
      <c r="S13" s="607" t="str">
        <f t="shared" si="2"/>
        <v/>
      </c>
    </row>
    <row r="14" spans="1:19">
      <c r="A14" s="572">
        <v>13</v>
      </c>
      <c r="B14" s="579"/>
      <c r="C14" s="438"/>
      <c r="D14" s="580" t="str">
        <f>VLOOKUP(3,'Plate Planning'!$A$1:$S$35,13,FALSE)</f>
        <v>row variable</v>
      </c>
      <c r="E14" s="438"/>
      <c r="F14" s="427"/>
      <c r="G14" s="427"/>
      <c r="H14" s="581"/>
      <c r="I14" s="577">
        <f>G14*LOOKUP("Reaction scale (µmol):",'Plate Planning'!$H$31:$H$32,'Plate Planning'!$J$31:$J$32)/100</f>
        <v>0</v>
      </c>
      <c r="J14" s="557" t="str">
        <f t="shared" si="0"/>
        <v/>
      </c>
      <c r="K14" s="560" t="str">
        <f>IFERROR(IF(#REF!=0, J14/H14, I14/#REF!), "")</f>
        <v/>
      </c>
      <c r="L14" s="563" t="s">
        <v>1880</v>
      </c>
      <c r="M14" s="567"/>
      <c r="N14" s="587"/>
      <c r="O14" s="427"/>
      <c r="P14" s="609">
        <f t="shared" si="1"/>
        <v>0</v>
      </c>
      <c r="Q14" s="589"/>
      <c r="R14" s="606" t="str">
        <f t="shared" si="3"/>
        <v/>
      </c>
      <c r="S14" s="607" t="str">
        <f t="shared" si="2"/>
        <v/>
      </c>
    </row>
    <row r="15" spans="1:19">
      <c r="A15" s="572">
        <v>14</v>
      </c>
      <c r="B15" s="579"/>
      <c r="C15" s="438"/>
      <c r="D15" s="580" t="str">
        <f>VLOOKUP(3,'Plate Planning'!$A$1:$S$35,13,FALSE)</f>
        <v>row variable</v>
      </c>
      <c r="E15" s="438"/>
      <c r="F15" s="427"/>
      <c r="G15" s="427"/>
      <c r="H15" s="581"/>
      <c r="I15" s="577">
        <f>G15*LOOKUP("Reaction scale (µmol):",'Plate Planning'!$H$31:$H$32,'Plate Planning'!$J$31:$J$32)/100</f>
        <v>0</v>
      </c>
      <c r="J15" s="557" t="str">
        <f t="shared" si="0"/>
        <v/>
      </c>
      <c r="K15" s="560" t="str">
        <f>IFERROR(IF(#REF!=0, J15/H15, I15/#REF!), "")</f>
        <v/>
      </c>
      <c r="L15" s="563" t="s">
        <v>1880</v>
      </c>
      <c r="M15" s="567"/>
      <c r="N15" s="587"/>
      <c r="O15" s="427"/>
      <c r="P15" s="609">
        <f t="shared" si="1"/>
        <v>0</v>
      </c>
      <c r="Q15" s="589"/>
      <c r="R15" s="606" t="str">
        <f t="shared" si="3"/>
        <v/>
      </c>
      <c r="S15" s="607" t="str">
        <f t="shared" si="2"/>
        <v/>
      </c>
    </row>
    <row r="16" spans="1:19">
      <c r="A16" s="572">
        <v>15</v>
      </c>
      <c r="B16" s="579"/>
      <c r="C16" s="438"/>
      <c r="D16" s="580" t="str">
        <f>VLOOKUP(3,'Plate Planning'!$A$1:$S$35,13,FALSE)</f>
        <v>row variable</v>
      </c>
      <c r="E16" s="438"/>
      <c r="F16" s="427"/>
      <c r="G16" s="427"/>
      <c r="H16" s="581"/>
      <c r="I16" s="577">
        <f>G16*LOOKUP("Reaction scale (µmol):",'Plate Planning'!$H$31:$H$32,'Plate Planning'!$J$31:$J$32)/100</f>
        <v>0</v>
      </c>
      <c r="J16" s="557" t="str">
        <f t="shared" si="0"/>
        <v/>
      </c>
      <c r="K16" s="560" t="str">
        <f>IFERROR(IF(#REF!=0, J16/H16, I16/#REF!), "")</f>
        <v/>
      </c>
      <c r="L16" s="563" t="s">
        <v>1880</v>
      </c>
      <c r="M16" s="567"/>
      <c r="N16" s="587"/>
      <c r="O16" s="427"/>
      <c r="P16" s="609">
        <f t="shared" si="1"/>
        <v>0</v>
      </c>
      <c r="Q16" s="589"/>
      <c r="R16" s="606" t="str">
        <f t="shared" si="3"/>
        <v/>
      </c>
      <c r="S16" s="607" t="str">
        <f t="shared" si="2"/>
        <v/>
      </c>
    </row>
    <row r="17" spans="1:19">
      <c r="A17" s="572">
        <v>16</v>
      </c>
      <c r="B17" s="579"/>
      <c r="C17" s="438"/>
      <c r="D17" s="580" t="str">
        <f>VLOOKUP(3,'Plate Planning'!$A$1:$S$35,13,FALSE)</f>
        <v>row variable</v>
      </c>
      <c r="E17" s="438"/>
      <c r="F17" s="427"/>
      <c r="G17" s="427"/>
      <c r="H17" s="581"/>
      <c r="I17" s="577">
        <f>G17*LOOKUP("Reaction scale (µmol):",'Plate Planning'!$H$31:$H$32,'Plate Planning'!$J$31:$J$32)/100</f>
        <v>0</v>
      </c>
      <c r="J17" s="557" t="str">
        <f t="shared" si="0"/>
        <v/>
      </c>
      <c r="K17" s="560" t="str">
        <f>IFERROR(IF(#REF!=0, J17/H17, I17/#REF!), "")</f>
        <v/>
      </c>
      <c r="L17" s="563" t="s">
        <v>1880</v>
      </c>
      <c r="M17" s="567"/>
      <c r="N17" s="587"/>
      <c r="O17" s="427"/>
      <c r="P17" s="609">
        <f t="shared" si="1"/>
        <v>0</v>
      </c>
      <c r="Q17" s="589"/>
      <c r="R17" s="606" t="str">
        <f t="shared" si="3"/>
        <v/>
      </c>
      <c r="S17" s="607" t="str">
        <f t="shared" si="2"/>
        <v/>
      </c>
    </row>
    <row r="18" spans="1:19">
      <c r="A18" s="572">
        <v>17</v>
      </c>
      <c r="B18" s="579"/>
      <c r="C18" s="438"/>
      <c r="D18" s="580" t="str">
        <f>VLOOKUP(3,'Plate Planning'!$A$1:$S$35,13,FALSE)</f>
        <v>row variable</v>
      </c>
      <c r="E18" s="438"/>
      <c r="F18" s="427"/>
      <c r="G18" s="427"/>
      <c r="H18" s="581"/>
      <c r="I18" s="577">
        <f>G18*LOOKUP("Reaction scale (µmol):",'Plate Planning'!$H$31:$H$32,'Plate Planning'!$J$31:$J$32)/100</f>
        <v>0</v>
      </c>
      <c r="J18" s="557" t="str">
        <f t="shared" si="0"/>
        <v/>
      </c>
      <c r="K18" s="560" t="str">
        <f>IFERROR(IF(#REF!=0, J18/H18, I18/#REF!), "")</f>
        <v/>
      </c>
      <c r="L18" s="563" t="s">
        <v>1880</v>
      </c>
      <c r="M18" s="567"/>
      <c r="N18" s="587"/>
      <c r="O18" s="427"/>
      <c r="P18" s="609">
        <f t="shared" si="1"/>
        <v>0</v>
      </c>
      <c r="Q18" s="589"/>
      <c r="R18" s="606" t="str">
        <f t="shared" si="3"/>
        <v/>
      </c>
      <c r="S18" s="607" t="str">
        <f t="shared" si="2"/>
        <v/>
      </c>
    </row>
    <row r="19" spans="1:19">
      <c r="A19" s="572">
        <v>18</v>
      </c>
      <c r="B19" s="579"/>
      <c r="C19" s="438"/>
      <c r="D19" s="580" t="str">
        <f>VLOOKUP(3,'Plate Planning'!$A$1:$S$35,13,FALSE)</f>
        <v>row variable</v>
      </c>
      <c r="E19" s="438"/>
      <c r="F19" s="427"/>
      <c r="G19" s="427"/>
      <c r="H19" s="581"/>
      <c r="I19" s="577">
        <f>G19*LOOKUP("Reaction scale (µmol):",'Plate Planning'!$H$31:$H$32,'Plate Planning'!$J$31:$J$32)/100</f>
        <v>0</v>
      </c>
      <c r="J19" s="557" t="str">
        <f t="shared" si="0"/>
        <v/>
      </c>
      <c r="K19" s="560" t="str">
        <f>IFERROR(IF(#REF!=0, J19/H19, I19/#REF!), "")</f>
        <v/>
      </c>
      <c r="L19" s="563" t="s">
        <v>1880</v>
      </c>
      <c r="M19" s="567"/>
      <c r="N19" s="587"/>
      <c r="O19" s="427"/>
      <c r="P19" s="609">
        <f t="shared" si="1"/>
        <v>0</v>
      </c>
      <c r="Q19" s="589"/>
      <c r="R19" s="606" t="str">
        <f t="shared" si="3"/>
        <v/>
      </c>
      <c r="S19" s="607" t="str">
        <f t="shared" si="2"/>
        <v/>
      </c>
    </row>
    <row r="20" spans="1:19">
      <c r="A20" s="572">
        <v>19</v>
      </c>
      <c r="B20" s="579"/>
      <c r="C20" s="438"/>
      <c r="D20" s="580" t="str">
        <f>VLOOKUP(3,'Plate Planning'!$A$1:$S$35,13,FALSE)</f>
        <v>row variable</v>
      </c>
      <c r="E20" s="438"/>
      <c r="F20" s="427"/>
      <c r="G20" s="427"/>
      <c r="H20" s="581"/>
      <c r="I20" s="577">
        <f>G20*LOOKUP("Reaction scale (µmol):",'Plate Planning'!$H$31:$H$32,'Plate Planning'!$J$31:$J$32)/100</f>
        <v>0</v>
      </c>
      <c r="J20" s="557" t="str">
        <f t="shared" si="0"/>
        <v/>
      </c>
      <c r="K20" s="560" t="str">
        <f>IFERROR(IF(#REF!=0, J20/H20, I20/#REF!), "")</f>
        <v/>
      </c>
      <c r="L20" s="563" t="s">
        <v>1880</v>
      </c>
      <c r="M20" s="567"/>
      <c r="N20" s="587"/>
      <c r="O20" s="427"/>
      <c r="P20" s="609">
        <f t="shared" si="1"/>
        <v>0</v>
      </c>
      <c r="Q20" s="589"/>
      <c r="R20" s="606" t="str">
        <f t="shared" si="3"/>
        <v/>
      </c>
      <c r="S20" s="607" t="str">
        <f t="shared" si="2"/>
        <v/>
      </c>
    </row>
    <row r="21" spans="1:19">
      <c r="A21" s="572">
        <v>20</v>
      </c>
      <c r="B21" s="579"/>
      <c r="C21" s="438"/>
      <c r="D21" s="580" t="str">
        <f>VLOOKUP(3,'Plate Planning'!$A$1:$S$35,13,FALSE)</f>
        <v>row variable</v>
      </c>
      <c r="E21" s="438"/>
      <c r="F21" s="427"/>
      <c r="G21" s="427"/>
      <c r="H21" s="581"/>
      <c r="I21" s="577">
        <f>G21*LOOKUP("Reaction scale (µmol):",'Plate Planning'!$H$31:$H$32,'Plate Planning'!$J$31:$J$32)/100</f>
        <v>0</v>
      </c>
      <c r="J21" s="557" t="str">
        <f t="shared" si="0"/>
        <v/>
      </c>
      <c r="K21" s="560" t="str">
        <f>IFERROR(IF(#REF!=0, J21/H21, I21/#REF!), "")</f>
        <v/>
      </c>
      <c r="L21" s="563" t="s">
        <v>1880</v>
      </c>
      <c r="M21" s="567"/>
      <c r="N21" s="587"/>
      <c r="O21" s="427"/>
      <c r="P21" s="609">
        <f t="shared" si="1"/>
        <v>0</v>
      </c>
      <c r="Q21" s="589"/>
      <c r="R21" s="606" t="str">
        <f t="shared" si="3"/>
        <v/>
      </c>
      <c r="S21" s="607" t="str">
        <f t="shared" si="2"/>
        <v/>
      </c>
    </row>
    <row r="22" spans="1:19">
      <c r="A22" s="572">
        <v>21</v>
      </c>
      <c r="B22" s="579"/>
      <c r="C22" s="438"/>
      <c r="D22" s="580" t="str">
        <f>VLOOKUP(3,'Plate Planning'!$A$1:$S$35,13,FALSE)</f>
        <v>row variable</v>
      </c>
      <c r="E22" s="438"/>
      <c r="F22" s="427"/>
      <c r="G22" s="427"/>
      <c r="H22" s="581"/>
      <c r="I22" s="577">
        <f>G22*LOOKUP("Reaction scale (µmol):",'Plate Planning'!$H$31:$H$32,'Plate Planning'!$J$31:$J$32)/100</f>
        <v>0</v>
      </c>
      <c r="J22" s="557" t="str">
        <f t="shared" si="0"/>
        <v/>
      </c>
      <c r="K22" s="560" t="str">
        <f>IFERROR(IF(#REF!=0, J22/H22, I22/#REF!), "")</f>
        <v/>
      </c>
      <c r="L22" s="563" t="s">
        <v>1880</v>
      </c>
      <c r="M22" s="567"/>
      <c r="N22" s="587"/>
      <c r="O22" s="427"/>
      <c r="P22" s="609">
        <f t="shared" si="1"/>
        <v>0</v>
      </c>
      <c r="Q22" s="589"/>
      <c r="R22" s="606" t="str">
        <f t="shared" si="3"/>
        <v/>
      </c>
      <c r="S22" s="607" t="str">
        <f t="shared" si="2"/>
        <v/>
      </c>
    </row>
    <row r="23" spans="1:19">
      <c r="A23" s="572">
        <v>22</v>
      </c>
      <c r="B23" s="579"/>
      <c r="C23" s="438"/>
      <c r="D23" s="580" t="str">
        <f>VLOOKUP(3,'Plate Planning'!$A$1:$S$35,13,FALSE)</f>
        <v>row variable</v>
      </c>
      <c r="E23" s="438"/>
      <c r="F23" s="427"/>
      <c r="G23" s="427"/>
      <c r="H23" s="581"/>
      <c r="I23" s="577">
        <f>G23*LOOKUP("Reaction scale (µmol):",'Plate Planning'!$H$31:$H$32,'Plate Planning'!$J$31:$J$32)/100</f>
        <v>0</v>
      </c>
      <c r="J23" s="557" t="str">
        <f t="shared" si="0"/>
        <v/>
      </c>
      <c r="K23" s="560" t="str">
        <f>IFERROR(IF(#REF!=0, J23/H23, I23/#REF!), "")</f>
        <v/>
      </c>
      <c r="L23" s="563" t="s">
        <v>1880</v>
      </c>
      <c r="M23" s="567"/>
      <c r="N23" s="587"/>
      <c r="O23" s="427"/>
      <c r="P23" s="609">
        <f t="shared" si="1"/>
        <v>0</v>
      </c>
      <c r="Q23" s="589"/>
      <c r="R23" s="606" t="str">
        <f t="shared" si="3"/>
        <v/>
      </c>
      <c r="S23" s="607" t="str">
        <f t="shared" si="2"/>
        <v/>
      </c>
    </row>
    <row r="24" spans="1:19">
      <c r="A24" s="572">
        <v>23</v>
      </c>
      <c r="B24" s="579"/>
      <c r="C24" s="438"/>
      <c r="D24" s="580" t="str">
        <f>VLOOKUP(3,'Plate Planning'!$A$1:$S$35,13,FALSE)</f>
        <v>row variable</v>
      </c>
      <c r="E24" s="438"/>
      <c r="F24" s="427"/>
      <c r="G24" s="427"/>
      <c r="H24" s="581"/>
      <c r="I24" s="577">
        <f>G24*LOOKUP("Reaction scale (µmol):",'Plate Planning'!$H$31:$H$32,'Plate Planning'!$J$31:$J$32)/100</f>
        <v>0</v>
      </c>
      <c r="J24" s="557" t="str">
        <f t="shared" si="0"/>
        <v/>
      </c>
      <c r="K24" s="560" t="str">
        <f>IFERROR(IF(#REF!=0, J24/H24, I24/#REF!), "")</f>
        <v/>
      </c>
      <c r="L24" s="563" t="s">
        <v>1880</v>
      </c>
      <c r="M24" s="567"/>
      <c r="N24" s="587"/>
      <c r="O24" s="427"/>
      <c r="P24" s="609">
        <f t="shared" si="1"/>
        <v>0</v>
      </c>
      <c r="Q24" s="589"/>
      <c r="R24" s="606" t="str">
        <f t="shared" si="3"/>
        <v/>
      </c>
      <c r="S24" s="607" t="str">
        <f t="shared" si="2"/>
        <v/>
      </c>
    </row>
    <row r="25" spans="1:19" ht="17" thickBot="1">
      <c r="A25" s="573">
        <v>24</v>
      </c>
      <c r="B25" s="582"/>
      <c r="C25" s="583"/>
      <c r="D25" s="584" t="str">
        <f>VLOOKUP(3,'Plate Planning'!$A$1:$S$35,13,FALSE)</f>
        <v>row variable</v>
      </c>
      <c r="E25" s="583"/>
      <c r="F25" s="585"/>
      <c r="G25" s="585"/>
      <c r="H25" s="586"/>
      <c r="I25" s="578">
        <f>G25*LOOKUP("Reaction scale (µmol):",'Plate Planning'!$H$31:$H$32,'Plate Planning'!$J$31:$J$32)/100</f>
        <v>0</v>
      </c>
      <c r="J25" s="558" t="str">
        <f t="shared" si="0"/>
        <v/>
      </c>
      <c r="K25" s="561" t="str">
        <f>IFERROR(IF(#REF!=0, J25/H25, I25/#REF!), "")</f>
        <v/>
      </c>
      <c r="L25" s="564" t="s">
        <v>1880</v>
      </c>
      <c r="M25" s="568"/>
      <c r="N25" s="588"/>
      <c r="O25" s="585"/>
      <c r="P25" s="610">
        <f t="shared" si="1"/>
        <v>0</v>
      </c>
      <c r="Q25" s="590"/>
      <c r="R25" s="653" t="str">
        <f t="shared" si="3"/>
        <v/>
      </c>
      <c r="S25" s="608"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5" t="s">
        <v>9</v>
      </c>
      <c r="C1" s="444" t="s">
        <v>0</v>
      </c>
      <c r="D1" s="443" t="s">
        <v>1843</v>
      </c>
      <c r="E1" s="51" t="s">
        <v>1007</v>
      </c>
      <c r="F1" s="52" t="s">
        <v>1006</v>
      </c>
      <c r="G1" s="53" t="s">
        <v>1</v>
      </c>
      <c r="H1" s="54" t="s">
        <v>32</v>
      </c>
      <c r="I1" s="593" t="s">
        <v>4</v>
      </c>
      <c r="J1" s="592" t="s">
        <v>499</v>
      </c>
      <c r="K1" s="70" t="s">
        <v>5</v>
      </c>
      <c r="L1" s="71" t="s">
        <v>33</v>
      </c>
      <c r="M1" s="80" t="s">
        <v>6</v>
      </c>
      <c r="N1" s="382" t="s">
        <v>1870</v>
      </c>
      <c r="O1" s="384" t="s">
        <v>1871</v>
      </c>
      <c r="P1" s="399" t="s">
        <v>1872</v>
      </c>
      <c r="Q1" s="405" t="s">
        <v>1878</v>
      </c>
      <c r="R1" s="404" t="s">
        <v>1879</v>
      </c>
      <c r="S1" s="47"/>
      <c r="T1" s="47"/>
      <c r="U1" s="55"/>
      <c r="V1" s="55"/>
      <c r="W1" s="55"/>
      <c r="X1" s="55"/>
      <c r="Y1" s="55"/>
      <c r="Z1" s="55"/>
      <c r="AA1" s="55"/>
      <c r="AB1" s="55"/>
      <c r="AC1" s="55"/>
      <c r="AD1" s="55"/>
      <c r="AE1" s="55"/>
      <c r="AF1" s="55"/>
    </row>
    <row r="2" spans="1:32">
      <c r="A2" s="61" t="s">
        <v>1157</v>
      </c>
      <c r="B2" s="67">
        <v>1</v>
      </c>
      <c r="C2" s="406"/>
      <c r="D2" s="372"/>
      <c r="E2" s="373"/>
      <c r="F2" s="381"/>
      <c r="G2" s="229"/>
      <c r="H2" s="230"/>
      <c r="I2" s="594"/>
      <c r="J2" s="242"/>
      <c r="K2" s="72">
        <f>H2*LOOKUP("Reaction scale (µmol):",'Plate Planning'!$H$31:$H$32,'Plate Planning'!$J$31:$J$32)/100</f>
        <v>0</v>
      </c>
      <c r="L2" s="73" t="str">
        <f>IF(K2=0, "",K2*G2/1000)</f>
        <v/>
      </c>
      <c r="M2" s="57" t="str">
        <f>IFERROR(IF(J2=0, L2/I2, K2/J2), "")</f>
        <v/>
      </c>
      <c r="N2" s="385" t="str">
        <f>IFERROR(VLOOKUP(B2,'Stock Solution Calculator'!$E$3:$P$38,11,FALSE),"")</f>
        <v/>
      </c>
      <c r="O2" s="391" t="str">
        <f>IFERROR(K2/N2, "")</f>
        <v/>
      </c>
      <c r="P2" s="395" t="s">
        <v>1873</v>
      </c>
      <c r="Q2" s="401" t="s">
        <v>1880</v>
      </c>
      <c r="R2" s="388"/>
    </row>
    <row r="3" spans="1:32">
      <c r="A3" s="61" t="s">
        <v>1038</v>
      </c>
      <c r="B3" s="67">
        <v>2</v>
      </c>
      <c r="C3" s="406"/>
      <c r="D3" s="408"/>
      <c r="E3" s="373"/>
      <c r="F3" s="228"/>
      <c r="G3" s="229"/>
      <c r="H3" s="230"/>
      <c r="I3" s="594"/>
      <c r="J3" s="242"/>
      <c r="K3" s="72">
        <f>H3*LOOKUP("Reaction scale (µmol):",'Plate Planning'!$H$31:$H$32,'Plate Planning'!$J$31:$J$32)/100</f>
        <v>0</v>
      </c>
      <c r="L3" s="73" t="str">
        <f t="shared" ref="L3:L40" si="0">IF(K3=0, "",K3*G3/1000)</f>
        <v/>
      </c>
      <c r="M3" s="57" t="str">
        <f t="shared" ref="M3:M40" si="1">IFERROR(IF(J3=0, L3/I3, K3/J3), "")</f>
        <v/>
      </c>
      <c r="N3" s="385" t="str">
        <f>IFERROR(VLOOKUP(B3,'Stock Solution Calculator'!$E$3:$P$38,11,FALSE),"")</f>
        <v/>
      </c>
      <c r="O3" s="391" t="str">
        <f t="shared" ref="O3:O40" si="2">IFERROR(K3/N3, "")</f>
        <v/>
      </c>
      <c r="P3" s="395" t="s">
        <v>1873</v>
      </c>
      <c r="Q3" s="401" t="s">
        <v>1880</v>
      </c>
      <c r="R3" s="388"/>
    </row>
    <row r="4" spans="1:32">
      <c r="B4" s="67">
        <v>3</v>
      </c>
      <c r="C4" s="406"/>
      <c r="D4" s="408"/>
      <c r="E4" s="227"/>
      <c r="F4" s="228"/>
      <c r="G4" s="229"/>
      <c r="H4" s="230"/>
      <c r="I4" s="594"/>
      <c r="J4" s="242"/>
      <c r="K4" s="72">
        <f>H4*LOOKUP("Reaction scale (µmol):",'Plate Planning'!$H$31:$H$32,'Plate Planning'!$J$31:$J$32)/100</f>
        <v>0</v>
      </c>
      <c r="L4" s="73" t="str">
        <f t="shared" si="0"/>
        <v/>
      </c>
      <c r="M4" s="57" t="str">
        <f t="shared" si="1"/>
        <v/>
      </c>
      <c r="N4" s="385" t="str">
        <f>IFERROR(VLOOKUP(B4,'Stock Solution Calculator'!$E$3:$P$38,11,FALSE),"")</f>
        <v/>
      </c>
      <c r="O4" s="391" t="str">
        <f t="shared" si="2"/>
        <v/>
      </c>
      <c r="P4" s="395" t="s">
        <v>1873</v>
      </c>
      <c r="Q4" s="401" t="s">
        <v>1880</v>
      </c>
      <c r="R4" s="388"/>
    </row>
    <row r="5" spans="1:32">
      <c r="B5" s="67">
        <v>4</v>
      </c>
      <c r="C5" s="406"/>
      <c r="D5" s="408"/>
      <c r="E5" s="227"/>
      <c r="F5" s="228"/>
      <c r="G5" s="229"/>
      <c r="H5" s="230"/>
      <c r="I5" s="594"/>
      <c r="J5" s="242"/>
      <c r="K5" s="72">
        <f>H5*LOOKUP("Reaction scale (µmol):",'Plate Planning'!$H$31:$H$32,'Plate Planning'!$J$31:$J$32)/100</f>
        <v>0</v>
      </c>
      <c r="L5" s="73" t="str">
        <f t="shared" si="0"/>
        <v/>
      </c>
      <c r="M5" s="57" t="str">
        <f t="shared" si="1"/>
        <v/>
      </c>
      <c r="N5" s="385" t="str">
        <f>IFERROR(VLOOKUP(B5,'Stock Solution Calculator'!$E$3:$P$38,11,FALSE),"")</f>
        <v/>
      </c>
      <c r="O5" s="391" t="str">
        <f t="shared" si="2"/>
        <v/>
      </c>
      <c r="P5" s="395" t="s">
        <v>1873</v>
      </c>
      <c r="Q5" s="401" t="s">
        <v>1880</v>
      </c>
      <c r="R5" s="388"/>
    </row>
    <row r="6" spans="1:32">
      <c r="B6" s="67">
        <v>5</v>
      </c>
      <c r="C6" s="406"/>
      <c r="D6" s="408"/>
      <c r="E6" s="227"/>
      <c r="F6" s="228"/>
      <c r="G6" s="229"/>
      <c r="H6" s="230"/>
      <c r="I6" s="594"/>
      <c r="J6" s="242"/>
      <c r="K6" s="72">
        <f>H6*LOOKUP("Reaction scale (µmol):",'Plate Planning'!$H$31:$H$32,'Plate Planning'!$J$31:$J$32)/100</f>
        <v>0</v>
      </c>
      <c r="L6" s="73" t="str">
        <f t="shared" si="0"/>
        <v/>
      </c>
      <c r="M6" s="57" t="str">
        <f t="shared" si="1"/>
        <v/>
      </c>
      <c r="N6" s="385" t="str">
        <f>IFERROR(VLOOKUP(B6,'Stock Solution Calculator'!$E$3:$P$38,11,FALSE),"")</f>
        <v/>
      </c>
      <c r="O6" s="391" t="str">
        <f t="shared" si="2"/>
        <v/>
      </c>
      <c r="P6" s="395" t="s">
        <v>1873</v>
      </c>
      <c r="Q6" s="401" t="s">
        <v>1880</v>
      </c>
      <c r="R6" s="388"/>
    </row>
    <row r="7" spans="1:32">
      <c r="B7" s="67">
        <v>6</v>
      </c>
      <c r="C7" s="406"/>
      <c r="D7" s="408"/>
      <c r="E7" s="227"/>
      <c r="F7" s="228"/>
      <c r="G7" s="229"/>
      <c r="H7" s="230"/>
      <c r="I7" s="594"/>
      <c r="J7" s="242"/>
      <c r="K7" s="72">
        <f>H7*LOOKUP("Reaction scale (µmol):",'Plate Planning'!$H$31:$H$32,'Plate Planning'!$J$31:$J$32)/100</f>
        <v>0</v>
      </c>
      <c r="L7" s="73" t="str">
        <f t="shared" si="0"/>
        <v/>
      </c>
      <c r="M7" s="57" t="str">
        <f t="shared" si="1"/>
        <v/>
      </c>
      <c r="N7" s="385" t="str">
        <f>IFERROR(VLOOKUP(B7,'Stock Solution Calculator'!$E$3:$P$38,11,FALSE),"")</f>
        <v/>
      </c>
      <c r="O7" s="391" t="str">
        <f t="shared" si="2"/>
        <v/>
      </c>
      <c r="P7" s="395" t="s">
        <v>1873</v>
      </c>
      <c r="Q7" s="401" t="s">
        <v>1880</v>
      </c>
      <c r="R7" s="388"/>
    </row>
    <row r="8" spans="1:32">
      <c r="B8" s="67">
        <v>7</v>
      </c>
      <c r="C8" s="406"/>
      <c r="D8" s="408"/>
      <c r="E8" s="227"/>
      <c r="F8" s="228"/>
      <c r="G8" s="229"/>
      <c r="H8" s="230"/>
      <c r="I8" s="594"/>
      <c r="J8" s="242"/>
      <c r="K8" s="72">
        <f>H8*LOOKUP("Reaction scale (µmol):",'Plate Planning'!$H$31:$H$32,'Plate Planning'!$J$31:$J$32)/100</f>
        <v>0</v>
      </c>
      <c r="L8" s="73" t="str">
        <f t="shared" si="0"/>
        <v/>
      </c>
      <c r="M8" s="57" t="str">
        <f t="shared" si="1"/>
        <v/>
      </c>
      <c r="N8" s="385" t="str">
        <f>IFERROR(VLOOKUP(B8,'Stock Solution Calculator'!$E$3:$P$38,11,FALSE),"")</f>
        <v/>
      </c>
      <c r="O8" s="391" t="str">
        <f t="shared" si="2"/>
        <v/>
      </c>
      <c r="P8" s="395" t="s">
        <v>1873</v>
      </c>
      <c r="Q8" s="401" t="s">
        <v>1880</v>
      </c>
      <c r="R8" s="388"/>
    </row>
    <row r="9" spans="1:32">
      <c r="B9" s="67">
        <v>8</v>
      </c>
      <c r="C9" s="406"/>
      <c r="D9" s="408"/>
      <c r="E9" s="227"/>
      <c r="F9" s="228"/>
      <c r="G9" s="229"/>
      <c r="H9" s="230"/>
      <c r="I9" s="594"/>
      <c r="J9" s="242"/>
      <c r="K9" s="72">
        <f>H9*LOOKUP("Reaction scale (µmol):",'Plate Planning'!$H$31:$H$32,'Plate Planning'!$J$31:$J$32)/100</f>
        <v>0</v>
      </c>
      <c r="L9" s="73" t="str">
        <f t="shared" si="0"/>
        <v/>
      </c>
      <c r="M9" s="57" t="str">
        <f t="shared" si="1"/>
        <v/>
      </c>
      <c r="N9" s="385" t="str">
        <f>IFERROR(VLOOKUP(B9,'Stock Solution Calculator'!$E$3:$P$38,11,FALSE),"")</f>
        <v/>
      </c>
      <c r="O9" s="391" t="str">
        <f t="shared" si="2"/>
        <v/>
      </c>
      <c r="P9" s="395" t="s">
        <v>1873</v>
      </c>
      <c r="Q9" s="401" t="s">
        <v>1880</v>
      </c>
      <c r="R9" s="388"/>
    </row>
    <row r="10" spans="1:32">
      <c r="B10" s="67">
        <v>9</v>
      </c>
      <c r="C10" s="406"/>
      <c r="D10" s="408"/>
      <c r="E10" s="227"/>
      <c r="F10" s="228"/>
      <c r="G10" s="229"/>
      <c r="H10" s="230"/>
      <c r="I10" s="594"/>
      <c r="J10" s="242"/>
      <c r="K10" s="72">
        <f>H10*LOOKUP("Reaction scale (µmol):",'Plate Planning'!$H$31:$H$32,'Plate Planning'!$J$31:$J$32)/100</f>
        <v>0</v>
      </c>
      <c r="L10" s="73" t="str">
        <f t="shared" si="0"/>
        <v/>
      </c>
      <c r="M10" s="57" t="str">
        <f t="shared" si="1"/>
        <v/>
      </c>
      <c r="N10" s="385" t="str">
        <f>IFERROR(VLOOKUP(B10,'Stock Solution Calculator'!$E$3:$P$38,11,FALSE),"")</f>
        <v/>
      </c>
      <c r="O10" s="391" t="str">
        <f t="shared" si="2"/>
        <v/>
      </c>
      <c r="P10" s="395" t="s">
        <v>1873</v>
      </c>
      <c r="Q10" s="401" t="s">
        <v>1880</v>
      </c>
      <c r="R10" s="388"/>
    </row>
    <row r="11" spans="1:32" ht="17" thickBot="1">
      <c r="A11" s="62"/>
      <c r="B11" s="68">
        <v>10</v>
      </c>
      <c r="C11" s="407"/>
      <c r="D11" s="409"/>
      <c r="E11" s="231"/>
      <c r="F11" s="232"/>
      <c r="G11" s="233"/>
      <c r="H11" s="234"/>
      <c r="I11" s="595"/>
      <c r="J11" s="243"/>
      <c r="K11" s="74">
        <f>H11*LOOKUP("Reaction scale (µmol):",'Plate Planning'!$H$31:$H$32,'Plate Planning'!$J$31:$J$32)/100</f>
        <v>0</v>
      </c>
      <c r="L11" s="141" t="str">
        <f t="shared" si="0"/>
        <v/>
      </c>
      <c r="M11" s="192" t="str">
        <f t="shared" si="1"/>
        <v/>
      </c>
      <c r="N11" s="389" t="str">
        <f>IFERROR(VLOOKUP(B11,'Stock Solution Calculator'!$E$3:$P$38,11,FALSE),"")</f>
        <v/>
      </c>
      <c r="O11" s="392" t="str">
        <f t="shared" si="2"/>
        <v/>
      </c>
      <c r="P11" s="396" t="s">
        <v>1873</v>
      </c>
      <c r="Q11" s="410" t="s">
        <v>1880</v>
      </c>
      <c r="R11" s="390"/>
    </row>
    <row r="12" spans="1:32">
      <c r="A12" s="63" t="s">
        <v>1139</v>
      </c>
      <c r="B12" s="299">
        <v>11</v>
      </c>
      <c r="C12" s="412" t="str">
        <f>IF(VLOOKUP(2,'Plate Planning'!$A$2:$T$16,5,FALSE)=0,"",VLOOKUP(2,'Plate Planning'!$A$2:$T$16,5,FALSE))</f>
        <v/>
      </c>
      <c r="D12" s="434"/>
      <c r="E12" s="235" t="str">
        <f t="shared" ref="E12:E17" si="3">IF(v1_col="column variable", "", v1_col)</f>
        <v/>
      </c>
      <c r="F12" s="236"/>
      <c r="G12" s="237"/>
      <c r="H12" s="238"/>
      <c r="I12" s="596"/>
      <c r="J12" s="261"/>
      <c r="K12" s="75">
        <f>H12*LOOKUP("Reaction scale (µmol):",'Plate Planning'!$H$31:$H$32,'Plate Planning'!$J$31:$J$32)/100</f>
        <v>0</v>
      </c>
      <c r="L12" s="76" t="str">
        <f t="shared" si="0"/>
        <v/>
      </c>
      <c r="M12" s="59" t="str">
        <f t="shared" si="1"/>
        <v/>
      </c>
      <c r="N12" s="387" t="str">
        <f>IFERROR(VLOOKUP(B12,'Stock Solution Calculator'!$E$3:$P$38,11,FALSE),"")</f>
        <v/>
      </c>
      <c r="O12" s="393" t="str">
        <f t="shared" si="2"/>
        <v/>
      </c>
      <c r="P12" s="397">
        <v>1</v>
      </c>
      <c r="Q12" s="403" t="s">
        <v>1880</v>
      </c>
      <c r="R12" s="400"/>
    </row>
    <row r="13" spans="1:32">
      <c r="A13" s="61" t="s">
        <v>1149</v>
      </c>
      <c r="B13" s="300">
        <v>12</v>
      </c>
      <c r="C13" s="365" t="str">
        <f>IF(VLOOKUP(2,'Plate Planning'!$A$2:$T$16,6,FALSE)=0,"",VLOOKUP(2,'Plate Planning'!$A$2:$T$16,6,FALSE))</f>
        <v/>
      </c>
      <c r="D13" s="434"/>
      <c r="E13" s="235" t="str">
        <f t="shared" si="3"/>
        <v/>
      </c>
      <c r="F13" s="228"/>
      <c r="G13" s="229"/>
      <c r="H13" s="230"/>
      <c r="I13" s="594"/>
      <c r="J13" s="242"/>
      <c r="K13" s="72">
        <f>H13*LOOKUP("Reaction scale (µmol):",'Plate Planning'!$H$31:$H$32,'Plate Planning'!$J$31:$J$32)/100</f>
        <v>0</v>
      </c>
      <c r="L13" s="73" t="str">
        <f t="shared" si="0"/>
        <v/>
      </c>
      <c r="M13" s="57" t="str">
        <f t="shared" si="1"/>
        <v/>
      </c>
      <c r="N13" s="385" t="str">
        <f>IFERROR(VLOOKUP(B13,'Stock Solution Calculator'!$E$3:$P$38,11,FALSE),"")</f>
        <v/>
      </c>
      <c r="O13" s="391" t="str">
        <f t="shared" si="2"/>
        <v/>
      </c>
      <c r="P13" s="395">
        <v>2</v>
      </c>
      <c r="Q13" s="403" t="s">
        <v>1880</v>
      </c>
      <c r="R13" s="388"/>
    </row>
    <row r="14" spans="1:32">
      <c r="A14" s="98">
        <v>1</v>
      </c>
      <c r="B14" s="300">
        <v>13</v>
      </c>
      <c r="C14" s="365" t="str">
        <f>IF(VLOOKUP(2,'Plate Planning'!$A$2:$T$16,7,FALSE)=0,"",VLOOKUP(2,'Plate Planning'!$A$2:$T$16,7,FALSE))</f>
        <v/>
      </c>
      <c r="D14" s="434"/>
      <c r="E14" s="235" t="str">
        <f t="shared" si="3"/>
        <v/>
      </c>
      <c r="F14" s="228"/>
      <c r="G14" s="229"/>
      <c r="H14" s="230"/>
      <c r="I14" s="594"/>
      <c r="J14" s="242"/>
      <c r="K14" s="72">
        <f>H14*LOOKUP("Reaction scale (µmol):",'Plate Planning'!$H$31:$H$32,'Plate Planning'!$J$31:$J$32)/100</f>
        <v>0</v>
      </c>
      <c r="L14" s="73" t="str">
        <f t="shared" si="0"/>
        <v/>
      </c>
      <c r="M14" s="57" t="str">
        <f t="shared" si="1"/>
        <v/>
      </c>
      <c r="N14" s="385" t="str">
        <f>IFERROR(VLOOKUP(B14,'Stock Solution Calculator'!$E$3:$P$38,11,FALSE),"")</f>
        <v/>
      </c>
      <c r="O14" s="391" t="str">
        <f t="shared" si="2"/>
        <v/>
      </c>
      <c r="P14" s="395">
        <v>3</v>
      </c>
      <c r="Q14" s="403" t="s">
        <v>1880</v>
      </c>
      <c r="R14" s="388"/>
    </row>
    <row r="15" spans="1:32">
      <c r="B15" s="300">
        <v>14</v>
      </c>
      <c r="C15" s="365" t="str">
        <f>IF(VLOOKUP(2,'Plate Planning'!$A$2:$T$16,8,FALSE)=0,"",VLOOKUP(2,'Plate Planning'!$A$2:$T$16,8,FALSE))</f>
        <v/>
      </c>
      <c r="D15" s="434"/>
      <c r="E15" s="235" t="str">
        <f t="shared" si="3"/>
        <v/>
      </c>
      <c r="F15" s="228"/>
      <c r="G15" s="229"/>
      <c r="H15" s="230"/>
      <c r="I15" s="594"/>
      <c r="J15" s="242"/>
      <c r="K15" s="72">
        <f>H15*LOOKUP("Reaction scale (µmol):",'Plate Planning'!$H$31:$H$32,'Plate Planning'!$J$31:$J$32)/100</f>
        <v>0</v>
      </c>
      <c r="L15" s="73" t="str">
        <f t="shared" si="0"/>
        <v/>
      </c>
      <c r="M15" s="57" t="str">
        <f t="shared" si="1"/>
        <v/>
      </c>
      <c r="N15" s="385" t="str">
        <f>IFERROR(VLOOKUP(B15,'Stock Solution Calculator'!$E$3:$P$38,11,FALSE),"")</f>
        <v/>
      </c>
      <c r="O15" s="391" t="str">
        <f t="shared" si="2"/>
        <v/>
      </c>
      <c r="P15" s="395">
        <v>4</v>
      </c>
      <c r="Q15" s="403" t="s">
        <v>1880</v>
      </c>
      <c r="R15" s="388"/>
    </row>
    <row r="16" spans="1:32">
      <c r="B16" s="300">
        <v>15</v>
      </c>
      <c r="C16" s="365" t="str">
        <f>IF(VLOOKUP(2,'Plate Planning'!$A$2:$T$16,9,FALSE)=0,"",VLOOKUP(2,'Plate Planning'!$A$2:$T$16,9,FALSE))</f>
        <v/>
      </c>
      <c r="D16" s="434"/>
      <c r="E16" s="235" t="str">
        <f t="shared" si="3"/>
        <v/>
      </c>
      <c r="F16" s="239"/>
      <c r="G16" s="229"/>
      <c r="H16" s="240"/>
      <c r="I16" s="594"/>
      <c r="J16" s="242"/>
      <c r="K16" s="72">
        <f>H16*LOOKUP("Reaction scale (µmol):",'Plate Planning'!$H$31:$H$32,'Plate Planning'!$J$31:$J$32)/100</f>
        <v>0</v>
      </c>
      <c r="L16" s="73" t="str">
        <f t="shared" si="0"/>
        <v/>
      </c>
      <c r="M16" s="57" t="str">
        <f t="shared" si="1"/>
        <v/>
      </c>
      <c r="N16" s="385" t="str">
        <f>IFERROR(VLOOKUP(B16,'Stock Solution Calculator'!$E$3:$P$38,11,FALSE),"")</f>
        <v/>
      </c>
      <c r="O16" s="391" t="str">
        <f t="shared" si="2"/>
        <v/>
      </c>
      <c r="P16" s="395">
        <v>5</v>
      </c>
      <c r="Q16" s="403" t="s">
        <v>1880</v>
      </c>
      <c r="R16" s="388"/>
    </row>
    <row r="17" spans="1:18" ht="17" thickBot="1">
      <c r="A17" s="62"/>
      <c r="B17" s="301">
        <v>16</v>
      </c>
      <c r="C17" s="676" t="str">
        <f>IF(VLOOKUP(2,'Plate Planning'!$A$2:$T$16,10,FALSE)=0,"",VLOOKUP(2,'Plate Planning'!$A$2:$T$16,10,FALSE))</f>
        <v/>
      </c>
      <c r="D17" s="677"/>
      <c r="E17" s="675" t="str">
        <f t="shared" si="3"/>
        <v/>
      </c>
      <c r="F17" s="241"/>
      <c r="G17" s="233"/>
      <c r="H17" s="234"/>
      <c r="I17" s="595"/>
      <c r="J17" s="243"/>
      <c r="K17" s="670">
        <f>H17*LOOKUP("Reaction scale (µmol):",'Plate Planning'!$H$31:$H$32,'Plate Planning'!$J$31:$J$32)/100</f>
        <v>0</v>
      </c>
      <c r="L17" s="662" t="str">
        <f t="shared" si="0"/>
        <v/>
      </c>
      <c r="M17" s="663" t="str">
        <f t="shared" si="1"/>
        <v/>
      </c>
      <c r="N17" s="386" t="str">
        <f>IFERROR(VLOOKUP(B17,'Stock Solution Calculator'!$E$3:$P$38,11,FALSE),"")</f>
        <v/>
      </c>
      <c r="O17" s="391" t="str">
        <f t="shared" si="2"/>
        <v/>
      </c>
      <c r="P17" s="395">
        <v>6</v>
      </c>
      <c r="Q17" s="402" t="s">
        <v>1880</v>
      </c>
      <c r="R17" s="390"/>
    </row>
    <row r="18" spans="1:18">
      <c r="A18" s="63" t="s">
        <v>1139</v>
      </c>
      <c r="B18" s="302">
        <v>23</v>
      </c>
      <c r="C18" s="366" t="str">
        <f>IF(VLOOKUP(12,'Plate Planning'!$A$2:$T$16,5,FALSE)=0,"",VLOOKUP(12,'Plate Planning'!$A$2:$T$16,5,FALSE))</f>
        <v/>
      </c>
      <c r="D18" s="434"/>
      <c r="E18" s="235" t="str">
        <f t="shared" ref="E18:E23" si="4">IF(v2_col="column variable", "", v2_col)</f>
        <v/>
      </c>
      <c r="F18" s="236"/>
      <c r="G18" s="237"/>
      <c r="H18" s="238"/>
      <c r="I18" s="596"/>
      <c r="J18" s="261"/>
      <c r="K18" s="75">
        <f>H18*LOOKUP("Reaction scale (µmol):",'Plate Planning'!$H$31:$H$32,'Plate Planning'!$J$31:$J$32)/100</f>
        <v>0</v>
      </c>
      <c r="L18" s="76" t="str">
        <f t="shared" si="0"/>
        <v/>
      </c>
      <c r="M18" s="59" t="str">
        <f t="shared" si="1"/>
        <v/>
      </c>
      <c r="N18" s="387" t="str">
        <f>IFERROR(VLOOKUP(B18,'Stock Solution Calculator'!$E$3:$P$38,11,FALSE),"")</f>
        <v/>
      </c>
      <c r="O18" s="394" t="str">
        <f t="shared" si="2"/>
        <v/>
      </c>
      <c r="P18" s="398">
        <v>1</v>
      </c>
      <c r="Q18" s="403" t="s">
        <v>1880</v>
      </c>
      <c r="R18" s="400"/>
    </row>
    <row r="19" spans="1:18">
      <c r="A19" s="61" t="s">
        <v>1149</v>
      </c>
      <c r="B19" s="303">
        <v>24</v>
      </c>
      <c r="C19" s="366" t="str">
        <f>IF(VLOOKUP(12,'Plate Planning'!$A$2:$T$16,6,FALSE)=0,"",VLOOKUP(12,'Plate Planning'!$A$2:$T$16,6,FALSE))</f>
        <v/>
      </c>
      <c r="D19" s="434"/>
      <c r="E19" s="235" t="str">
        <f t="shared" si="4"/>
        <v/>
      </c>
      <c r="F19" s="228"/>
      <c r="G19" s="229"/>
      <c r="H19" s="230"/>
      <c r="I19" s="594"/>
      <c r="J19" s="242"/>
      <c r="K19" s="72">
        <f>H19*LOOKUP("Reaction scale (µmol):",'Plate Planning'!$H$31:$H$32,'Plate Planning'!$J$31:$J$32)/100</f>
        <v>0</v>
      </c>
      <c r="L19" s="73" t="str">
        <f t="shared" si="0"/>
        <v/>
      </c>
      <c r="M19" s="57" t="str">
        <f t="shared" si="1"/>
        <v/>
      </c>
      <c r="N19" s="385" t="str">
        <f>IFERROR(VLOOKUP(B19,'Stock Solution Calculator'!$E$3:$P$38,11,FALSE),"")</f>
        <v/>
      </c>
      <c r="O19" s="391" t="str">
        <f t="shared" si="2"/>
        <v/>
      </c>
      <c r="P19" s="395">
        <v>2</v>
      </c>
      <c r="Q19" s="401" t="s">
        <v>1880</v>
      </c>
      <c r="R19" s="388"/>
    </row>
    <row r="20" spans="1:18">
      <c r="A20" s="98">
        <v>2</v>
      </c>
      <c r="B20" s="303">
        <v>25</v>
      </c>
      <c r="C20" s="366" t="str">
        <f>IF(VLOOKUP(12,'Plate Planning'!$A$2:$T$16,7,FALSE)=0,"",VLOOKUP(12,'Plate Planning'!$A$2:$T$16,7,FALSE))</f>
        <v/>
      </c>
      <c r="D20" s="434"/>
      <c r="E20" s="235" t="str">
        <f t="shared" si="4"/>
        <v/>
      </c>
      <c r="F20" s="228"/>
      <c r="G20" s="229"/>
      <c r="H20" s="230"/>
      <c r="I20" s="594"/>
      <c r="J20" s="242"/>
      <c r="K20" s="72">
        <f>H20*LOOKUP("Reaction scale (µmol):",'Plate Planning'!$H$31:$H$32,'Plate Planning'!$J$31:$J$32)/100</f>
        <v>0</v>
      </c>
      <c r="L20" s="73" t="str">
        <f t="shared" si="0"/>
        <v/>
      </c>
      <c r="M20" s="57" t="str">
        <f t="shared" si="1"/>
        <v/>
      </c>
      <c r="N20" s="385" t="str">
        <f>IFERROR(VLOOKUP(B20,'Stock Solution Calculator'!$E$3:$P$38,11,FALSE),"")</f>
        <v/>
      </c>
      <c r="O20" s="391" t="str">
        <f t="shared" si="2"/>
        <v/>
      </c>
      <c r="P20" s="395">
        <v>3</v>
      </c>
      <c r="Q20" s="401" t="s">
        <v>1880</v>
      </c>
      <c r="R20" s="388"/>
    </row>
    <row r="21" spans="1:18">
      <c r="B21" s="303">
        <v>26</v>
      </c>
      <c r="C21" s="366" t="str">
        <f>IF(VLOOKUP(12,'Plate Planning'!$A$2:$T$16,8,FALSE)=0,"",VLOOKUP(12,'Plate Planning'!$A$2:$T$16,8,FALSE))</f>
        <v/>
      </c>
      <c r="D21" s="434"/>
      <c r="E21" s="235" t="str">
        <f t="shared" si="4"/>
        <v/>
      </c>
      <c r="F21" s="228"/>
      <c r="G21" s="229"/>
      <c r="H21" s="230"/>
      <c r="I21" s="594"/>
      <c r="J21" s="242"/>
      <c r="K21" s="72">
        <f>H21*LOOKUP("Reaction scale (µmol):",'Plate Planning'!$H$31:$H$32,'Plate Planning'!$J$31:$J$32)/100</f>
        <v>0</v>
      </c>
      <c r="L21" s="73" t="str">
        <f t="shared" si="0"/>
        <v/>
      </c>
      <c r="M21" s="57" t="str">
        <f t="shared" si="1"/>
        <v/>
      </c>
      <c r="N21" s="385" t="str">
        <f>IFERROR(VLOOKUP(B21,'Stock Solution Calculator'!$E$3:$P$38,11,FALSE),"")</f>
        <v/>
      </c>
      <c r="O21" s="391" t="str">
        <f t="shared" si="2"/>
        <v/>
      </c>
      <c r="P21" s="395">
        <v>4</v>
      </c>
      <c r="Q21" s="401" t="s">
        <v>1880</v>
      </c>
      <c r="R21" s="388"/>
    </row>
    <row r="22" spans="1:18">
      <c r="B22" s="303">
        <v>27</v>
      </c>
      <c r="C22" s="366" t="str">
        <f>IF(VLOOKUP(12,'Plate Planning'!$A$2:$T$16,9,FALSE)=0,"",VLOOKUP(12,'Plate Planning'!$A$2:$T$16,9,FALSE))</f>
        <v/>
      </c>
      <c r="D22" s="434"/>
      <c r="E22" s="235" t="str">
        <f t="shared" si="4"/>
        <v/>
      </c>
      <c r="F22" s="239"/>
      <c r="G22" s="229"/>
      <c r="H22" s="230"/>
      <c r="I22" s="594"/>
      <c r="J22" s="242"/>
      <c r="K22" s="72">
        <f>H22*LOOKUP("Reaction scale (µmol):",'Plate Planning'!$H$31:$H$32,'Plate Planning'!$J$31:$J$32)/100</f>
        <v>0</v>
      </c>
      <c r="L22" s="73" t="str">
        <f t="shared" si="0"/>
        <v/>
      </c>
      <c r="M22" s="57" t="str">
        <f t="shared" si="1"/>
        <v/>
      </c>
      <c r="N22" s="385" t="str">
        <f>IFERROR(VLOOKUP(B22,'Stock Solution Calculator'!$E$3:$P$38,11,FALSE),"")</f>
        <v/>
      </c>
      <c r="O22" s="391" t="str">
        <f t="shared" si="2"/>
        <v/>
      </c>
      <c r="P22" s="395">
        <v>5</v>
      </c>
      <c r="Q22" s="401" t="s">
        <v>1880</v>
      </c>
      <c r="R22" s="388"/>
    </row>
    <row r="23" spans="1:18" ht="17" thickBot="1">
      <c r="A23" s="62"/>
      <c r="B23" s="304">
        <v>28</v>
      </c>
      <c r="C23" s="441" t="str">
        <f>IF(VLOOKUP(12,'Plate Planning'!$A$2:$T$16,10,FALSE)=0,"",VLOOKUP(12,'Plate Planning'!$A$2:$T$16,10,FALSE))</f>
        <v/>
      </c>
      <c r="D23" s="674"/>
      <c r="E23" s="675" t="str">
        <f t="shared" si="4"/>
        <v/>
      </c>
      <c r="F23" s="241"/>
      <c r="G23" s="233"/>
      <c r="H23" s="234"/>
      <c r="I23" s="595"/>
      <c r="J23" s="243"/>
      <c r="K23" s="670">
        <f>H23*LOOKUP("Reaction scale (µmol):",'Plate Planning'!$H$31:$H$32,'Plate Planning'!$J$31:$J$32)/100</f>
        <v>0</v>
      </c>
      <c r="L23" s="662" t="str">
        <f t="shared" si="0"/>
        <v/>
      </c>
      <c r="M23" s="663" t="str">
        <f t="shared" si="1"/>
        <v/>
      </c>
      <c r="N23" s="386" t="str">
        <f>IFERROR(VLOOKUP(B23,'Stock Solution Calculator'!$E$3:$P$38,11,FALSE),"")</f>
        <v/>
      </c>
      <c r="O23" s="392" t="str">
        <f t="shared" si="2"/>
        <v/>
      </c>
      <c r="P23" s="396">
        <v>6</v>
      </c>
      <c r="Q23" s="402" t="s">
        <v>1880</v>
      </c>
      <c r="R23" s="390"/>
    </row>
    <row r="24" spans="1:18">
      <c r="A24" s="99" t="s">
        <v>1139</v>
      </c>
      <c r="B24" s="673">
        <v>35</v>
      </c>
      <c r="C24" s="367" t="str">
        <f>IF(VLOOKUP(14,'Plate Planning'!$A$2:$T$16,5,FALSE)=0,"",VLOOKUP(14,'Plate Planning'!$A$2:$T$16,5,FALSE))</f>
        <v/>
      </c>
      <c r="D24" s="437"/>
      <c r="E24" s="413" t="str">
        <f t="shared" ref="E24:E29" si="5">IF(v3_col="column variable", "", v3_col)</f>
        <v/>
      </c>
      <c r="F24" s="244"/>
      <c r="G24" s="245"/>
      <c r="H24" s="246"/>
      <c r="I24" s="597"/>
      <c r="J24" s="247"/>
      <c r="K24" s="664">
        <f>H24*LOOKUP("Reaction scale (µmol):",'Plate Planning'!$H$31:$H$32,'Plate Planning'!$J$31:$J$32)/100</f>
        <v>0</v>
      </c>
      <c r="L24" s="76" t="str">
        <f t="shared" si="0"/>
        <v/>
      </c>
      <c r="M24" s="59" t="str">
        <f t="shared" si="1"/>
        <v/>
      </c>
      <c r="N24" s="387" t="str">
        <f>IFERROR(VLOOKUP(B24,'Stock Solution Calculator'!$E$3:$P$38,11,FALSE),"")</f>
        <v/>
      </c>
      <c r="O24" s="393" t="str">
        <f t="shared" si="2"/>
        <v/>
      </c>
      <c r="P24" s="397">
        <v>1</v>
      </c>
      <c r="Q24" s="403" t="s">
        <v>1880</v>
      </c>
      <c r="R24" s="400"/>
    </row>
    <row r="25" spans="1:18">
      <c r="A25" s="99" t="s">
        <v>1149</v>
      </c>
      <c r="B25" s="305">
        <v>36</v>
      </c>
      <c r="C25" s="367" t="str">
        <f>IF(VLOOKUP(14,'Plate Planning'!$A$2:$T$16,6,FALSE)=0,"",VLOOKUP(14,'Plate Planning'!$A$2:$T$16,6,FALSE))</f>
        <v/>
      </c>
      <c r="D25" s="436"/>
      <c r="E25" s="413" t="str">
        <f t="shared" si="5"/>
        <v/>
      </c>
      <c r="F25" s="248"/>
      <c r="G25" s="249"/>
      <c r="H25" s="250"/>
      <c r="I25" s="598"/>
      <c r="J25" s="251"/>
      <c r="K25" s="77">
        <f>H25*LOOKUP("Reaction scale (µmol):",'Plate Planning'!$H$31:$H$32,'Plate Planning'!$J$31:$J$32)/100</f>
        <v>0</v>
      </c>
      <c r="L25" s="73" t="str">
        <f t="shared" si="0"/>
        <v/>
      </c>
      <c r="M25" s="57" t="str">
        <f t="shared" si="1"/>
        <v/>
      </c>
      <c r="N25" s="385" t="str">
        <f>IFERROR(VLOOKUP(B25,'Stock Solution Calculator'!$E$3:$P$38,11,FALSE),"")</f>
        <v/>
      </c>
      <c r="O25" s="391" t="str">
        <f t="shared" si="2"/>
        <v/>
      </c>
      <c r="P25" s="395">
        <v>2</v>
      </c>
      <c r="Q25" s="401" t="s">
        <v>1880</v>
      </c>
      <c r="R25" s="388"/>
    </row>
    <row r="26" spans="1:18">
      <c r="A26" s="100">
        <v>3</v>
      </c>
      <c r="B26" s="305">
        <v>37</v>
      </c>
      <c r="C26" s="367" t="str">
        <f>IF(VLOOKUP(14,'Plate Planning'!$A$2:$T$16,7,FALSE)=0,"",VLOOKUP(14,'Plate Planning'!$A$2:$T$16,7,FALSE))</f>
        <v/>
      </c>
      <c r="D26" s="436"/>
      <c r="E26" s="413" t="str">
        <f t="shared" si="5"/>
        <v/>
      </c>
      <c r="F26" s="248"/>
      <c r="G26" s="249"/>
      <c r="H26" s="250"/>
      <c r="I26" s="598"/>
      <c r="J26" s="251"/>
      <c r="K26" s="77">
        <f>H26*LOOKUP("Reaction scale (µmol):",'Plate Planning'!$H$31:$H$32,'Plate Planning'!$J$31:$J$32)/100</f>
        <v>0</v>
      </c>
      <c r="L26" s="73" t="str">
        <f t="shared" si="0"/>
        <v/>
      </c>
      <c r="M26" s="57" t="str">
        <f t="shared" si="1"/>
        <v/>
      </c>
      <c r="N26" s="385" t="str">
        <f>IFERROR(VLOOKUP(B26,'Stock Solution Calculator'!$E$3:$P$38,11,FALSE),"")</f>
        <v/>
      </c>
      <c r="O26" s="391" t="str">
        <f t="shared" si="2"/>
        <v/>
      </c>
      <c r="P26" s="395">
        <v>3</v>
      </c>
      <c r="Q26" s="401" t="s">
        <v>1880</v>
      </c>
      <c r="R26" s="388"/>
    </row>
    <row r="27" spans="1:18">
      <c r="A27" s="64"/>
      <c r="B27" s="305">
        <v>38</v>
      </c>
      <c r="C27" s="367" t="str">
        <f>IF(VLOOKUP(14,'Plate Planning'!$A$2:$T$16,8,FALSE)=0,"",VLOOKUP(14,'Plate Planning'!$A$2:$T$16,8,FALSE))</f>
        <v/>
      </c>
      <c r="D27" s="437"/>
      <c r="E27" s="413" t="str">
        <f t="shared" si="5"/>
        <v/>
      </c>
      <c r="F27" s="248"/>
      <c r="G27" s="249"/>
      <c r="H27" s="250"/>
      <c r="I27" s="598"/>
      <c r="J27" s="251"/>
      <c r="K27" s="77">
        <f>H27*LOOKUP("Reaction scale (µmol):",'Plate Planning'!$H$31:$H$32,'Plate Planning'!$J$31:$J$32)/100</f>
        <v>0</v>
      </c>
      <c r="L27" s="73" t="str">
        <f t="shared" si="0"/>
        <v/>
      </c>
      <c r="M27" s="57" t="str">
        <f t="shared" si="1"/>
        <v/>
      </c>
      <c r="N27" s="385" t="str">
        <f>IFERROR(VLOOKUP(B27,'Stock Solution Calculator'!$E$3:$P$38,11,FALSE),"")</f>
        <v/>
      </c>
      <c r="O27" s="391" t="str">
        <f t="shared" si="2"/>
        <v/>
      </c>
      <c r="P27" s="395">
        <v>4</v>
      </c>
      <c r="Q27" s="401" t="s">
        <v>1880</v>
      </c>
      <c r="R27" s="388"/>
    </row>
    <row r="28" spans="1:18">
      <c r="A28" s="65"/>
      <c r="B28" s="306">
        <v>39</v>
      </c>
      <c r="C28" s="367" t="str">
        <f>IF(VLOOKUP(14,'Plate Planning'!$A$2:$T$16,9,FALSE)=0,"",VLOOKUP(14,'Plate Planning'!$A$2:$T$16,9,FALSE))</f>
        <v/>
      </c>
      <c r="D28" s="436"/>
      <c r="E28" s="413" t="str">
        <f t="shared" si="5"/>
        <v/>
      </c>
      <c r="F28" s="252"/>
      <c r="G28" s="253"/>
      <c r="H28" s="254"/>
      <c r="I28" s="599"/>
      <c r="J28" s="255"/>
      <c r="K28" s="77">
        <f>H28*LOOKUP("Reaction scale (µmol):",'Plate Planning'!$H$31:$H$32,'Plate Planning'!$J$31:$J$32)/100</f>
        <v>0</v>
      </c>
      <c r="L28" s="73" t="str">
        <f t="shared" si="0"/>
        <v/>
      </c>
      <c r="M28" s="57" t="str">
        <f t="shared" si="1"/>
        <v/>
      </c>
      <c r="N28" s="385" t="str">
        <f>IFERROR(VLOOKUP(B28,'Stock Solution Calculator'!$E$3:$P$38,11,FALSE),"")</f>
        <v/>
      </c>
      <c r="O28" s="391" t="str">
        <f t="shared" si="2"/>
        <v/>
      </c>
      <c r="P28" s="395">
        <v>5</v>
      </c>
      <c r="Q28" s="401" t="s">
        <v>1880</v>
      </c>
      <c r="R28" s="388"/>
    </row>
    <row r="29" spans="1:18" ht="17" thickBot="1">
      <c r="A29" s="66"/>
      <c r="B29" s="307">
        <v>40</v>
      </c>
      <c r="C29" s="672" t="str">
        <f>IF(VLOOKUP(14,'Plate Planning'!$A$2:$T$16,10,FALSE)=0,"",VLOOKUP(14,'Plate Planning'!$A$2:$T$16,10,FALSE))</f>
        <v/>
      </c>
      <c r="D29" s="657"/>
      <c r="E29" s="658" t="str">
        <f t="shared" si="5"/>
        <v/>
      </c>
      <c r="F29" s="256"/>
      <c r="G29" s="257"/>
      <c r="H29" s="258"/>
      <c r="I29" s="600"/>
      <c r="J29" s="259"/>
      <c r="K29" s="661">
        <f>H29*LOOKUP("Reaction scale (µmol):",'Plate Planning'!$H$31:$H$32,'Plate Planning'!$J$31:$J$32)/100</f>
        <v>0</v>
      </c>
      <c r="L29" s="662" t="str">
        <f t="shared" si="0"/>
        <v/>
      </c>
      <c r="M29" s="663" t="str">
        <f t="shared" si="1"/>
        <v/>
      </c>
      <c r="N29" s="386" t="str">
        <f>IFERROR(VLOOKUP(B29,'Stock Solution Calculator'!$E$3:$P$38,11,FALSE),"")</f>
        <v/>
      </c>
      <c r="O29" s="391" t="str">
        <f t="shared" si="2"/>
        <v/>
      </c>
      <c r="P29" s="395">
        <v>6</v>
      </c>
      <c r="Q29" s="402" t="s">
        <v>1880</v>
      </c>
      <c r="R29" s="390"/>
    </row>
    <row r="30" spans="1:18">
      <c r="A30" s="99" t="s">
        <v>1140</v>
      </c>
      <c r="B30" s="308">
        <v>47</v>
      </c>
      <c r="C30" s="368" t="str">
        <f>IF(VLOOKUP(4,'Plate Planning'!$A$2:$T$16,4,FALSE)=0,"",VLOOKUP(4,'Plate Planning'!$A$2:$T$16,4,FALSE))</f>
        <v/>
      </c>
      <c r="D30" s="671"/>
      <c r="E30" s="413" t="str">
        <f t="shared" ref="E30:E33" si="6">IF(v4_row="row variable", "", v4_row)</f>
        <v/>
      </c>
      <c r="F30" s="260"/>
      <c r="G30" s="237"/>
      <c r="H30" s="238"/>
      <c r="I30" s="596"/>
      <c r="J30" s="261"/>
      <c r="K30" s="75">
        <f>H30*LOOKUP("Reaction scale (µmol):",'Plate Planning'!$H$31:$H$32,'Plate Planning'!$J$31:$J$32)/100</f>
        <v>0</v>
      </c>
      <c r="L30" s="76" t="str">
        <f t="shared" si="0"/>
        <v/>
      </c>
      <c r="M30" s="59" t="str">
        <f t="shared" si="1"/>
        <v/>
      </c>
      <c r="N30" s="387" t="str">
        <f>IFERROR(VLOOKUP(B30,'Stock Solution Calculator'!$E$3:$P$38,11,FALSE),"")</f>
        <v/>
      </c>
      <c r="O30" s="394" t="str">
        <f t="shared" si="2"/>
        <v/>
      </c>
      <c r="P30" s="398" t="s">
        <v>1874</v>
      </c>
      <c r="Q30" s="403" t="s">
        <v>1880</v>
      </c>
      <c r="R30" s="400"/>
    </row>
    <row r="31" spans="1:18">
      <c r="A31" s="99" t="s">
        <v>1149</v>
      </c>
      <c r="B31" s="309">
        <v>48</v>
      </c>
      <c r="C31" s="368" t="str">
        <f>IF(VLOOKUP(5,'Plate Planning'!$A$2:$T$16,4,FALSE)=0,"",VLOOKUP(5,'Plate Planning'!$A$2:$T$16,4,FALSE))</f>
        <v/>
      </c>
      <c r="D31" s="438"/>
      <c r="E31" s="413" t="str">
        <f t="shared" si="6"/>
        <v/>
      </c>
      <c r="F31" s="239"/>
      <c r="G31" s="229"/>
      <c r="H31" s="230"/>
      <c r="I31" s="594"/>
      <c r="J31" s="242"/>
      <c r="K31" s="72">
        <f>H31*LOOKUP("Reaction scale (µmol):",'Plate Planning'!$H$31:$H$32,'Plate Planning'!$J$31:$J$32)/100</f>
        <v>0</v>
      </c>
      <c r="L31" s="73" t="str">
        <f t="shared" si="0"/>
        <v/>
      </c>
      <c r="M31" s="57" t="str">
        <f t="shared" si="1"/>
        <v/>
      </c>
      <c r="N31" s="385" t="str">
        <f>IFERROR(VLOOKUP(B31,'Stock Solution Calculator'!$E$3:$P$38,11,FALSE),"")</f>
        <v/>
      </c>
      <c r="O31" s="391" t="str">
        <f t="shared" si="2"/>
        <v/>
      </c>
      <c r="P31" s="395" t="s">
        <v>1875</v>
      </c>
      <c r="Q31" s="401" t="s">
        <v>1880</v>
      </c>
      <c r="R31" s="388"/>
    </row>
    <row r="32" spans="1:18">
      <c r="A32" s="100">
        <v>1</v>
      </c>
      <c r="B32" s="310">
        <v>49</v>
      </c>
      <c r="C32" s="368" t="str">
        <f>IF(VLOOKUP(6,'Plate Planning'!$A$2:$T$16,4,FALSE)=0,"",VLOOKUP(6,'Plate Planning'!$A$2:$T$16,4,FALSE))</f>
        <v/>
      </c>
      <c r="D32" s="438"/>
      <c r="E32" s="413" t="str">
        <f t="shared" si="6"/>
        <v/>
      </c>
      <c r="F32" s="239"/>
      <c r="G32" s="229"/>
      <c r="H32" s="230"/>
      <c r="I32" s="594"/>
      <c r="J32" s="242"/>
      <c r="K32" s="72">
        <f>H32*LOOKUP("Reaction scale (µmol):",'Plate Planning'!$H$31:$H$32,'Plate Planning'!$J$31:$J$32)/100</f>
        <v>0</v>
      </c>
      <c r="L32" s="73" t="str">
        <f t="shared" si="0"/>
        <v/>
      </c>
      <c r="M32" s="57" t="str">
        <f t="shared" si="1"/>
        <v/>
      </c>
      <c r="N32" s="385" t="str">
        <f>IFERROR(VLOOKUP(B32,'Stock Solution Calculator'!$E$3:$P$38,11,FALSE),"")</f>
        <v/>
      </c>
      <c r="O32" s="391" t="str">
        <f t="shared" si="2"/>
        <v/>
      </c>
      <c r="P32" s="395" t="s">
        <v>1876</v>
      </c>
      <c r="Q32" s="401" t="s">
        <v>1880</v>
      </c>
      <c r="R32" s="388"/>
    </row>
    <row r="33" spans="1:18" ht="17" thickBot="1">
      <c r="A33" s="668"/>
      <c r="B33" s="308">
        <v>50</v>
      </c>
      <c r="C33" s="368" t="str">
        <f>IF(VLOOKUP(7,'Plate Planning'!$A$2:$T$16,4,FALSE)=0,"",VLOOKUP(7,'Plate Planning'!$A$2:$T$16,4,FALSE))</f>
        <v/>
      </c>
      <c r="D33" s="669"/>
      <c r="E33" s="658" t="str">
        <f t="shared" si="6"/>
        <v/>
      </c>
      <c r="F33" s="241"/>
      <c r="G33" s="233"/>
      <c r="H33" s="234"/>
      <c r="I33" s="595"/>
      <c r="J33" s="243"/>
      <c r="K33" s="670">
        <f>H33*LOOKUP("Reaction scale (µmol):",'Plate Planning'!$H$31:$H$32,'Plate Planning'!$J$31:$J$32)/100</f>
        <v>0</v>
      </c>
      <c r="L33" s="662" t="str">
        <f t="shared" si="0"/>
        <v/>
      </c>
      <c r="M33" s="663" t="str">
        <f t="shared" si="1"/>
        <v/>
      </c>
      <c r="N33" s="386" t="str">
        <f>IFERROR(VLOOKUP(B33,'Stock Solution Calculator'!$E$3:$P$38,11,FALSE),"")</f>
        <v/>
      </c>
      <c r="O33" s="392" t="str">
        <f t="shared" si="2"/>
        <v/>
      </c>
      <c r="P33" s="396" t="s">
        <v>1877</v>
      </c>
      <c r="Q33" s="402" t="s">
        <v>1880</v>
      </c>
      <c r="R33" s="390"/>
    </row>
    <row r="34" spans="1:18">
      <c r="A34" s="99" t="s">
        <v>1140</v>
      </c>
      <c r="B34" s="311">
        <v>55</v>
      </c>
      <c r="C34" s="369" t="str">
        <f>IF(VLOOKUP(4,'Plate Planning'!$A$2:$T$16,11,FALSE)=0,"",VLOOKUP(4,'Plate Planning'!$A$2:$T$16,11,FALSE))</f>
        <v/>
      </c>
      <c r="D34" s="439"/>
      <c r="E34" s="414" t="str">
        <f t="shared" ref="E34:E37" si="7">IF(v5_row="row variable", "", v5_row)</f>
        <v/>
      </c>
      <c r="F34" s="260"/>
      <c r="G34" s="237"/>
      <c r="H34" s="238"/>
      <c r="I34" s="596"/>
      <c r="J34" s="261"/>
      <c r="K34" s="75">
        <f>H34*LOOKUP("Reaction scale (µmol):",'Plate Planning'!$H$31:$H$32,'Plate Planning'!$J$31:$J$32)/100</f>
        <v>0</v>
      </c>
      <c r="L34" s="76" t="str">
        <f t="shared" si="0"/>
        <v/>
      </c>
      <c r="M34" s="59" t="str">
        <f t="shared" si="1"/>
        <v/>
      </c>
      <c r="N34" s="387" t="str">
        <f>IFERROR(VLOOKUP(B34,'Stock Solution Calculator'!$E$3:$P$38,11,FALSE),"")</f>
        <v/>
      </c>
      <c r="O34" s="393" t="str">
        <f t="shared" si="2"/>
        <v/>
      </c>
      <c r="P34" s="397" t="s">
        <v>1874</v>
      </c>
      <c r="Q34" s="403" t="s">
        <v>1880</v>
      </c>
      <c r="R34" s="400"/>
    </row>
    <row r="35" spans="1:18">
      <c r="A35" s="99" t="s">
        <v>1149</v>
      </c>
      <c r="B35" s="312">
        <v>56</v>
      </c>
      <c r="C35" s="370" t="str">
        <f>IF(VLOOKUP(5,'Plate Planning'!$A$2:$T$16,11,FALSE)=0,"",VLOOKUP(5,'Plate Planning'!$A$2:$T$16,11,FALSE))</f>
        <v/>
      </c>
      <c r="D35" s="434"/>
      <c r="E35" s="235" t="str">
        <f t="shared" si="7"/>
        <v/>
      </c>
      <c r="F35" s="239"/>
      <c r="G35" s="229"/>
      <c r="H35" s="230"/>
      <c r="I35" s="594"/>
      <c r="J35" s="242"/>
      <c r="K35" s="72">
        <f>H35*LOOKUP("Reaction scale (µmol):",'Plate Planning'!$H$31:$H$32,'Plate Planning'!$J$31:$J$32)/100</f>
        <v>0</v>
      </c>
      <c r="L35" s="73" t="str">
        <f t="shared" si="0"/>
        <v/>
      </c>
      <c r="M35" s="57" t="str">
        <f t="shared" si="1"/>
        <v/>
      </c>
      <c r="N35" s="385" t="str">
        <f>IFERROR(VLOOKUP(B35,'Stock Solution Calculator'!$E$3:$P$38,11,FALSE),"")</f>
        <v/>
      </c>
      <c r="O35" s="391" t="str">
        <f t="shared" si="2"/>
        <v/>
      </c>
      <c r="P35" s="395" t="s">
        <v>1875</v>
      </c>
      <c r="Q35" s="401" t="s">
        <v>1880</v>
      </c>
      <c r="R35" s="388"/>
    </row>
    <row r="36" spans="1:18">
      <c r="A36" s="100">
        <v>2</v>
      </c>
      <c r="B36" s="313">
        <v>57</v>
      </c>
      <c r="C36" s="370" t="str">
        <f>IF(VLOOKUP(6,'Plate Planning'!$A$2:$T$16,11,FALSE)=0,"",VLOOKUP(6,'Plate Planning'!$A$2:$T$16,11,FALSE))</f>
        <v/>
      </c>
      <c r="D36" s="434"/>
      <c r="E36" s="235" t="str">
        <f t="shared" si="7"/>
        <v/>
      </c>
      <c r="F36" s="239"/>
      <c r="G36" s="229"/>
      <c r="H36" s="230"/>
      <c r="I36" s="594"/>
      <c r="J36" s="242"/>
      <c r="K36" s="72">
        <f>H36*LOOKUP("Reaction scale (µmol):",'Plate Planning'!$H$31:$H$32,'Plate Planning'!$J$31:$J$32)/100</f>
        <v>0</v>
      </c>
      <c r="L36" s="73" t="str">
        <f t="shared" si="0"/>
        <v/>
      </c>
      <c r="M36" s="57" t="str">
        <f t="shared" si="1"/>
        <v/>
      </c>
      <c r="N36" s="385" t="str">
        <f>IFERROR(VLOOKUP(B36,'Stock Solution Calculator'!$E$3:$P$38,11,FALSE),"")</f>
        <v/>
      </c>
      <c r="O36" s="391" t="str">
        <f t="shared" si="2"/>
        <v/>
      </c>
      <c r="P36" s="395" t="s">
        <v>1876</v>
      </c>
      <c r="Q36" s="401" t="s">
        <v>1880</v>
      </c>
      <c r="R36" s="388"/>
    </row>
    <row r="37" spans="1:18" ht="17" thickBot="1">
      <c r="A37" s="62"/>
      <c r="B37" s="666">
        <v>58</v>
      </c>
      <c r="C37" s="667" t="str">
        <f>IF(VLOOKUP(7,'Plate Planning'!$A$2:$T$16,11,FALSE)=0,"",VLOOKUP(7,'Plate Planning'!$A$2:$T$16,11,FALSE))</f>
        <v/>
      </c>
      <c r="D37" s="434"/>
      <c r="E37" s="235" t="str">
        <f t="shared" si="7"/>
        <v/>
      </c>
      <c r="F37" s="239"/>
      <c r="G37" s="229"/>
      <c r="H37" s="230"/>
      <c r="I37" s="594"/>
      <c r="J37" s="242"/>
      <c r="K37" s="665">
        <f>H37*LOOKUP("Reaction scale (µmol):",'Plate Planning'!$H$31:$H$32,'Plate Planning'!$J$31:$J$32)/100</f>
        <v>0</v>
      </c>
      <c r="L37" s="662" t="str">
        <f t="shared" si="0"/>
        <v/>
      </c>
      <c r="M37" s="663" t="str">
        <f t="shared" si="1"/>
        <v/>
      </c>
      <c r="N37" s="386" t="str">
        <f>IFERROR(VLOOKUP(B37,'Stock Solution Calculator'!$E$3:$P$38,11,FALSE),"")</f>
        <v/>
      </c>
      <c r="O37" s="391" t="str">
        <f t="shared" si="2"/>
        <v/>
      </c>
      <c r="P37" s="395" t="s">
        <v>1877</v>
      </c>
      <c r="Q37" s="440" t="s">
        <v>1880</v>
      </c>
      <c r="R37" s="390"/>
    </row>
    <row r="38" spans="1:18" s="44" customFormat="1">
      <c r="A38" s="99" t="s">
        <v>1140</v>
      </c>
      <c r="B38" s="315">
        <v>63</v>
      </c>
      <c r="C38" s="371" t="str">
        <f>IF(VLOOKUP(4,'Plate Planning'!$A$2:$T$16,13,FALSE)=0,"",VLOOKUP(4,'Plate Planning'!$A$2:$T$16,13,FALSE))</f>
        <v/>
      </c>
      <c r="D38" s="435"/>
      <c r="E38" s="415" t="str">
        <f t="shared" ref="E38:E41" si="8">IF(v6_row="row variable", "", v6_row)</f>
        <v/>
      </c>
      <c r="F38" s="262"/>
      <c r="G38" s="263"/>
      <c r="H38" s="264"/>
      <c r="I38" s="601"/>
      <c r="J38" s="264"/>
      <c r="K38" s="664">
        <f>H38*LOOKUP("Reaction scale (µmol):",'Plate Planning'!$H$31:$H$32,'Plate Planning'!$J$31:$J$32)/100</f>
        <v>0</v>
      </c>
      <c r="L38" s="76" t="str">
        <f t="shared" si="0"/>
        <v/>
      </c>
      <c r="M38" s="59" t="str">
        <f t="shared" si="1"/>
        <v/>
      </c>
      <c r="N38" s="387" t="str">
        <f>IFERROR(VLOOKUP(B38,'Stock Solution Calculator'!$E$3:$P$38,11,FALSE),"")</f>
        <v/>
      </c>
      <c r="O38" s="394" t="str">
        <f t="shared" si="2"/>
        <v/>
      </c>
      <c r="P38" s="398" t="s">
        <v>1874</v>
      </c>
      <c r="Q38" s="403" t="s">
        <v>1880</v>
      </c>
      <c r="R38" s="400"/>
    </row>
    <row r="39" spans="1:18" s="44" customFormat="1">
      <c r="A39" s="99" t="s">
        <v>1149</v>
      </c>
      <c r="B39" s="314">
        <v>64</v>
      </c>
      <c r="C39" s="371" t="str">
        <f>IF(VLOOKUP(5,'Plate Planning'!$A$2:$T$16,13,FALSE)=0,"",VLOOKUP(5,'Plate Planning'!$A$2:$T$16,13,FALSE))</f>
        <v/>
      </c>
      <c r="D39" s="436"/>
      <c r="E39" s="414" t="str">
        <f t="shared" si="8"/>
        <v/>
      </c>
      <c r="F39" s="265"/>
      <c r="G39" s="266"/>
      <c r="H39" s="251"/>
      <c r="I39" s="598"/>
      <c r="J39" s="251"/>
      <c r="K39" s="77">
        <f>H39*LOOKUP("Reaction scale (µmol):",'Plate Planning'!$H$31:$H$32,'Plate Planning'!$J$31:$J$32)/100</f>
        <v>0</v>
      </c>
      <c r="L39" s="73" t="str">
        <f t="shared" si="0"/>
        <v/>
      </c>
      <c r="M39" s="57" t="str">
        <f t="shared" si="1"/>
        <v/>
      </c>
      <c r="N39" s="385" t="str">
        <f>IFERROR(VLOOKUP(B39,'Stock Solution Calculator'!$E$3:$P$38,11,FALSE),"")</f>
        <v/>
      </c>
      <c r="O39" s="391" t="str">
        <f t="shared" si="2"/>
        <v/>
      </c>
      <c r="P39" s="395" t="s">
        <v>1875</v>
      </c>
      <c r="Q39" s="401" t="s">
        <v>1880</v>
      </c>
      <c r="R39" s="388"/>
    </row>
    <row r="40" spans="1:18" s="44" customFormat="1">
      <c r="A40" s="100">
        <v>3</v>
      </c>
      <c r="B40" s="315">
        <v>65</v>
      </c>
      <c r="C40" s="371" t="str">
        <f>IF(VLOOKUP(6,'Plate Planning'!$A$2:$T$16,13,FALSE)=0,"",VLOOKUP(6,'Plate Planning'!$A$2:$T$16,13,FALSE))</f>
        <v/>
      </c>
      <c r="D40" s="436"/>
      <c r="E40" s="414" t="str">
        <f t="shared" si="8"/>
        <v/>
      </c>
      <c r="F40" s="265"/>
      <c r="G40" s="266"/>
      <c r="H40" s="251"/>
      <c r="I40" s="598"/>
      <c r="J40" s="251"/>
      <c r="K40" s="77">
        <f>H40*LOOKUP("Reaction scale (µmol):",'Plate Planning'!$H$31:$H$32,'Plate Planning'!$J$31:$J$32)/100</f>
        <v>0</v>
      </c>
      <c r="L40" s="73" t="str">
        <f t="shared" si="0"/>
        <v/>
      </c>
      <c r="M40" s="57" t="str">
        <f t="shared" si="1"/>
        <v/>
      </c>
      <c r="N40" s="385" t="str">
        <f>IFERROR(VLOOKUP(B40,'Stock Solution Calculator'!$E$3:$P$38,11,FALSE),"")</f>
        <v/>
      </c>
      <c r="O40" s="391" t="str">
        <f t="shared" si="2"/>
        <v/>
      </c>
      <c r="P40" s="395" t="s">
        <v>1876</v>
      </c>
      <c r="Q40" s="401" t="s">
        <v>1880</v>
      </c>
      <c r="R40" s="388"/>
    </row>
    <row r="41" spans="1:18" s="44" customFormat="1" ht="17" thickBot="1">
      <c r="A41" s="654"/>
      <c r="B41" s="655">
        <v>66</v>
      </c>
      <c r="C41" s="656" t="str">
        <f>IF(VLOOKUP(7,'Plate Planning'!$A$2:$T$16,13,FALSE)=0,"",VLOOKUP(7,'Plate Planning'!$A$2:$T$16,13,FALSE))</f>
        <v/>
      </c>
      <c r="D41" s="657"/>
      <c r="E41" s="658" t="str">
        <f t="shared" si="8"/>
        <v/>
      </c>
      <c r="F41" s="659"/>
      <c r="G41" s="660"/>
      <c r="H41" s="259"/>
      <c r="I41" s="600"/>
      <c r="J41" s="259"/>
      <c r="K41" s="661">
        <f>H41*LOOKUP("Reaction scale (µmol):",'Plate Planning'!$H$31:$H$32,'Plate Planning'!$J$31:$J$32)/100</f>
        <v>0</v>
      </c>
      <c r="L41" s="662" t="str">
        <f t="shared" ref="L41" si="9">IF(K41=0, "",K41*G41/1000)</f>
        <v/>
      </c>
      <c r="M41" s="663" t="str">
        <f t="shared" ref="M41" si="10">IFERROR(IF(J41=0, L41/I41, K41/J41), "")</f>
        <v/>
      </c>
      <c r="N41" s="386" t="str">
        <f>IFERROR(VLOOKUP(B41,'Stock Solution Calculator'!$E$3:$P$38,11,FALSE),"")</f>
        <v/>
      </c>
      <c r="O41" s="392" t="str">
        <f t="shared" ref="O41" si="11">IFERROR(K41/N41, "")</f>
        <v/>
      </c>
      <c r="P41" s="396" t="s">
        <v>1877</v>
      </c>
      <c r="Q41" s="402" t="s">
        <v>1880</v>
      </c>
      <c r="R41" s="390"/>
    </row>
    <row r="42" spans="1:18" s="44" customFormat="1">
      <c r="A42" s="20"/>
      <c r="B42" s="21"/>
      <c r="G42" s="46"/>
      <c r="H42" s="46"/>
      <c r="I42" s="46"/>
      <c r="J42" s="46"/>
      <c r="K42" s="22"/>
      <c r="L42" s="23"/>
      <c r="M42" s="22"/>
      <c r="N42" s="383"/>
      <c r="O42" s="46"/>
      <c r="P42" s="22"/>
    </row>
    <row r="43" spans="1:18" s="44" customFormat="1">
      <c r="A43" s="20"/>
      <c r="B43" s="21"/>
      <c r="G43" s="46"/>
      <c r="H43" s="46"/>
      <c r="I43" s="46"/>
      <c r="J43" s="46"/>
      <c r="K43" s="22"/>
      <c r="L43" s="23"/>
      <c r="M43" s="22"/>
      <c r="N43" s="383"/>
      <c r="O43" s="46"/>
      <c r="P43" s="22"/>
    </row>
    <row r="44" spans="1:18" s="44" customFormat="1">
      <c r="A44" s="20"/>
      <c r="B44" s="21"/>
      <c r="G44" s="46"/>
      <c r="H44" s="46"/>
      <c r="I44" s="46"/>
      <c r="J44" s="46"/>
      <c r="K44" s="22"/>
      <c r="L44" s="23"/>
      <c r="M44" s="22"/>
      <c r="N44" s="383"/>
      <c r="O44" s="46"/>
      <c r="P44" s="22"/>
    </row>
    <row r="45" spans="1:18" s="44" customFormat="1">
      <c r="A45" s="20"/>
      <c r="B45" s="21"/>
      <c r="G45" s="46"/>
      <c r="H45" s="46"/>
      <c r="I45" s="46"/>
      <c r="J45" s="46"/>
      <c r="K45" s="22"/>
      <c r="L45" s="23"/>
      <c r="M45" s="22"/>
      <c r="N45" s="383"/>
      <c r="O45" s="46"/>
      <c r="P45" s="22"/>
    </row>
    <row r="46" spans="1:18" s="44" customFormat="1">
      <c r="A46" s="20"/>
      <c r="B46" s="21"/>
      <c r="G46" s="46"/>
      <c r="H46" s="46"/>
      <c r="I46" s="46"/>
      <c r="J46" s="46"/>
      <c r="K46" s="22"/>
      <c r="L46" s="23"/>
      <c r="M46" s="22"/>
      <c r="N46" s="383"/>
      <c r="O46" s="46"/>
      <c r="P46" s="22"/>
    </row>
    <row r="47" spans="1:18" s="44" customFormat="1">
      <c r="A47" s="20"/>
      <c r="B47" s="21"/>
      <c r="G47" s="46"/>
      <c r="H47" s="46"/>
      <c r="I47" s="46"/>
      <c r="J47" s="46"/>
      <c r="K47" s="22"/>
      <c r="L47" s="23"/>
      <c r="M47" s="22"/>
      <c r="N47" s="383"/>
      <c r="O47" s="46"/>
      <c r="P47" s="22"/>
    </row>
    <row r="48" spans="1:18" s="44" customFormat="1">
      <c r="A48" s="20"/>
      <c r="B48" s="21"/>
      <c r="G48" s="46"/>
      <c r="H48" s="46"/>
      <c r="I48" s="46"/>
      <c r="J48" s="46"/>
      <c r="K48" s="22"/>
      <c r="L48" s="23"/>
      <c r="M48" s="22"/>
      <c r="N48" s="383"/>
      <c r="O48" s="46"/>
      <c r="P48" s="22"/>
    </row>
    <row r="49" spans="1:20" s="44" customFormat="1">
      <c r="A49" s="20"/>
      <c r="B49" s="21"/>
      <c r="G49" s="46"/>
      <c r="H49" s="46"/>
      <c r="I49" s="46"/>
      <c r="J49" s="46"/>
      <c r="K49" s="22"/>
      <c r="L49" s="23"/>
      <c r="M49" s="22"/>
      <c r="N49" s="383"/>
      <c r="O49" s="46"/>
      <c r="P49" s="22"/>
    </row>
    <row r="50" spans="1:20" s="44" customFormat="1">
      <c r="A50" s="20"/>
      <c r="B50" s="21"/>
      <c r="G50" s="46"/>
      <c r="H50" s="46"/>
      <c r="I50" s="46"/>
      <c r="J50" s="46"/>
      <c r="K50" s="22"/>
      <c r="L50" s="23"/>
      <c r="M50" s="22"/>
      <c r="N50" s="383"/>
      <c r="O50" s="46"/>
      <c r="P50" s="22"/>
    </row>
    <row r="51" spans="1:20" s="44" customFormat="1">
      <c r="A51" s="20"/>
      <c r="B51" s="21"/>
      <c r="G51" s="46"/>
      <c r="H51" s="46"/>
      <c r="I51" s="46"/>
      <c r="J51" s="46"/>
      <c r="K51" s="22"/>
      <c r="L51" s="23"/>
      <c r="M51" s="22"/>
      <c r="N51" s="383"/>
      <c r="O51" s="46"/>
      <c r="P51" s="22"/>
    </row>
    <row r="52" spans="1:20" s="44" customFormat="1">
      <c r="A52" s="20"/>
      <c r="B52" s="21"/>
      <c r="G52" s="46"/>
      <c r="H52" s="46"/>
      <c r="I52" s="46"/>
      <c r="J52" s="46"/>
      <c r="K52" s="22"/>
      <c r="L52" s="23"/>
      <c r="M52" s="22"/>
      <c r="N52" s="383"/>
      <c r="O52" s="46"/>
      <c r="P52" s="22"/>
    </row>
    <row r="53" spans="1:20" s="44" customFormat="1">
      <c r="A53" s="20"/>
      <c r="B53" s="21"/>
      <c r="G53" s="46"/>
      <c r="H53" s="46"/>
      <c r="I53" s="46"/>
      <c r="J53" s="46"/>
      <c r="K53" s="22"/>
      <c r="L53" s="23"/>
      <c r="M53" s="22"/>
      <c r="N53" s="383"/>
      <c r="O53" s="46"/>
      <c r="P53" s="22"/>
    </row>
    <row r="54" spans="1:20" s="44" customFormat="1">
      <c r="A54" s="20"/>
      <c r="B54" s="21"/>
      <c r="G54" s="46"/>
      <c r="H54" s="46"/>
      <c r="I54" s="46"/>
      <c r="J54" s="46"/>
      <c r="K54" s="22"/>
      <c r="L54" s="23"/>
      <c r="M54" s="22"/>
      <c r="N54" s="383"/>
      <c r="O54" s="46"/>
      <c r="P54" s="22"/>
    </row>
    <row r="55" spans="1:20" s="44" customFormat="1">
      <c r="A55" s="20"/>
      <c r="B55" s="21"/>
      <c r="G55" s="46"/>
      <c r="H55" s="46"/>
      <c r="I55" s="46"/>
      <c r="J55" s="46"/>
      <c r="K55" s="22"/>
      <c r="L55" s="23"/>
      <c r="M55" s="22"/>
      <c r="N55" s="383"/>
      <c r="O55" s="46"/>
      <c r="P55" s="22"/>
    </row>
    <row r="56" spans="1:20" s="44" customFormat="1">
      <c r="A56" s="20"/>
      <c r="B56" s="21"/>
      <c r="G56" s="46"/>
      <c r="H56" s="46"/>
      <c r="I56" s="46"/>
      <c r="J56" s="46"/>
      <c r="K56" s="22"/>
      <c r="L56" s="23"/>
      <c r="M56" s="22"/>
      <c r="N56" s="383"/>
      <c r="O56" s="46"/>
      <c r="P56" s="22"/>
    </row>
    <row r="57" spans="1:20" s="45" customFormat="1">
      <c r="A57" s="8"/>
      <c r="B57" s="1"/>
      <c r="G57" s="60"/>
      <c r="H57" s="60"/>
      <c r="I57" s="60"/>
      <c r="J57" s="60"/>
      <c r="K57" s="2"/>
      <c r="L57" s="78"/>
      <c r="M57" s="2"/>
      <c r="N57" s="383"/>
      <c r="O57" s="46"/>
      <c r="P57" s="22"/>
      <c r="Q57" s="44"/>
      <c r="R57" s="44"/>
      <c r="S57" s="44"/>
      <c r="T57" s="44"/>
    </row>
    <row r="58" spans="1:20" s="45" customFormat="1">
      <c r="A58" s="8"/>
      <c r="B58" s="1"/>
      <c r="G58" s="60"/>
      <c r="H58" s="60"/>
      <c r="I58" s="60"/>
      <c r="J58" s="60"/>
      <c r="K58" s="2"/>
      <c r="L58" s="78"/>
      <c r="M58" s="2"/>
      <c r="N58" s="383"/>
      <c r="O58" s="46"/>
      <c r="P58" s="22"/>
      <c r="Q58" s="44"/>
      <c r="R58" s="44"/>
      <c r="S58" s="44"/>
      <c r="T58" s="44"/>
    </row>
    <row r="59" spans="1:20" s="45" customFormat="1">
      <c r="A59" s="8"/>
      <c r="B59" s="1"/>
      <c r="G59" s="60"/>
      <c r="H59" s="60"/>
      <c r="I59" s="60"/>
      <c r="J59" s="60"/>
      <c r="K59" s="2"/>
      <c r="L59" s="78"/>
      <c r="M59" s="2"/>
      <c r="N59" s="383"/>
      <c r="O59" s="46"/>
      <c r="P59" s="22"/>
      <c r="Q59" s="44"/>
      <c r="R59" s="44"/>
      <c r="S59" s="44"/>
      <c r="T59" s="44"/>
    </row>
    <row r="60" spans="1:20" s="45" customFormat="1">
      <c r="A60" s="8"/>
      <c r="B60" s="1"/>
      <c r="G60" s="60"/>
      <c r="H60" s="60"/>
      <c r="I60" s="60"/>
      <c r="J60" s="60"/>
      <c r="K60" s="2"/>
      <c r="L60" s="78"/>
      <c r="M60" s="2"/>
      <c r="N60" s="383"/>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6"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5" t="s">
        <v>24</v>
      </c>
      <c r="E1" s="135" t="s">
        <v>7</v>
      </c>
      <c r="F1" s="9"/>
      <c r="G1" s="9"/>
      <c r="H1" s="103"/>
      <c r="I1" s="104"/>
      <c r="J1" s="707" t="s">
        <v>8</v>
      </c>
      <c r="K1" s="707"/>
      <c r="L1" s="707"/>
      <c r="M1" s="708"/>
      <c r="N1" s="119"/>
      <c r="O1" s="148" t="s">
        <v>1844</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6" t="s">
        <v>51</v>
      </c>
      <c r="E2" s="136" t="s">
        <v>9</v>
      </c>
      <c r="F2" s="16" t="s">
        <v>0</v>
      </c>
      <c r="G2" s="330" t="s">
        <v>1845</v>
      </c>
      <c r="H2" s="105" t="s">
        <v>10</v>
      </c>
      <c r="I2" s="106" t="s">
        <v>45</v>
      </c>
      <c r="J2" s="137" t="s">
        <v>9</v>
      </c>
      <c r="K2" s="19" t="s">
        <v>0</v>
      </c>
      <c r="L2" s="334" t="s">
        <v>1845</v>
      </c>
      <c r="M2" s="120" t="s">
        <v>10</v>
      </c>
      <c r="N2" s="121" t="s">
        <v>45</v>
      </c>
      <c r="O2" s="374"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3"/>
      <c r="C3" s="194"/>
      <c r="D3" s="377"/>
      <c r="E3" s="199"/>
      <c r="F3" s="4" t="str">
        <f>IFERROR(LOOKUP('Stock Solution Calculator'!E3,Reagents!B:B,Reagents!C:C), "-")</f>
        <v>-</v>
      </c>
      <c r="G3" s="331"/>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2"/>
      <c r="K3" s="4" t="str">
        <f>IFERROR(LOOKUP(J3,Reagents!$B:$B,Reagents!$C:$C), "-")</f>
        <v>-</v>
      </c>
      <c r="L3" s="331"/>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7"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5"/>
      <c r="C4" s="196"/>
      <c r="D4" s="377"/>
      <c r="E4" s="200"/>
      <c r="F4" s="11" t="str">
        <f>IFERROR(LOOKUP('Stock Solution Calculator'!E4,Reagents!B:B,Reagents!C:C), "-")</f>
        <v>-</v>
      </c>
      <c r="G4" s="332"/>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3"/>
      <c r="K4" s="11" t="str">
        <f>IFERROR(LOOKUP(J4,Reagents!$B:$B,Reagents!$C:$C), "-")</f>
        <v>-</v>
      </c>
      <c r="L4" s="332"/>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7"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5"/>
      <c r="C5" s="196"/>
      <c r="D5" s="377"/>
      <c r="E5" s="199"/>
      <c r="F5" s="11" t="str">
        <f>IFERROR(LOOKUP('Stock Solution Calculator'!E5,Reagents!B:B,Reagents!C:C), "-")</f>
        <v>-</v>
      </c>
      <c r="G5" s="332"/>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3"/>
      <c r="K5" s="11" t="str">
        <f>IFERROR(LOOKUP(J5,Reagents!$B:$B,Reagents!$C:$C), "-")</f>
        <v>-</v>
      </c>
      <c r="L5" s="332"/>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7"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5"/>
      <c r="C6" s="196"/>
      <c r="D6" s="377"/>
      <c r="E6" s="200"/>
      <c r="F6" s="11" t="str">
        <f>IFERROR(LOOKUP('Stock Solution Calculator'!E6,Reagents!B:B,Reagents!C:C), "-")</f>
        <v>-</v>
      </c>
      <c r="G6" s="332"/>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3"/>
      <c r="K6" s="11" t="str">
        <f>IFERROR(LOOKUP(J6,Reagents!$B:$B,Reagents!$C:$C), "-")</f>
        <v>-</v>
      </c>
      <c r="L6" s="332"/>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7"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5"/>
      <c r="C7" s="196"/>
      <c r="D7" s="377"/>
      <c r="E7" s="199"/>
      <c r="F7" s="11" t="str">
        <f>IFERROR(LOOKUP('Stock Solution Calculator'!E7,Reagents!B:B,Reagents!C:C), "-")</f>
        <v>-</v>
      </c>
      <c r="G7" s="332"/>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3"/>
      <c r="K7" s="11" t="str">
        <f>IFERROR(LOOKUP(J7,Reagents!$B:$B,Reagents!$C:$C), "-")</f>
        <v>-</v>
      </c>
      <c r="L7" s="332"/>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7"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5"/>
      <c r="C8" s="196"/>
      <c r="D8" s="377"/>
      <c r="E8" s="200"/>
      <c r="F8" s="11" t="str">
        <f>IFERROR(LOOKUP('Stock Solution Calculator'!E8,Reagents!B:B,Reagents!C:C), "-")</f>
        <v>-</v>
      </c>
      <c r="G8" s="332"/>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3"/>
      <c r="K8" s="11" t="str">
        <f>IFERROR(LOOKUP(J8,Reagents!$B:$B,Reagents!$C:$C), "-")</f>
        <v>-</v>
      </c>
      <c r="L8" s="332"/>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7"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5"/>
      <c r="C9" s="196"/>
      <c r="D9" s="377"/>
      <c r="E9" s="199"/>
      <c r="F9" s="11" t="str">
        <f>IFERROR(LOOKUP('Stock Solution Calculator'!E9,Reagents!B:B,Reagents!C:C), "-")</f>
        <v>-</v>
      </c>
      <c r="G9" s="332"/>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3"/>
      <c r="K9" s="11" t="str">
        <f>IFERROR(LOOKUP(J9,Reagents!$B:$B,Reagents!$C:$C), "-")</f>
        <v>-</v>
      </c>
      <c r="L9" s="332"/>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7"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5"/>
      <c r="C10" s="196"/>
      <c r="D10" s="377"/>
      <c r="E10" s="200"/>
      <c r="F10" s="11" t="str">
        <f>IFERROR(LOOKUP('Stock Solution Calculator'!E10,Reagents!B:B,Reagents!C:C), "-")</f>
        <v>-</v>
      </c>
      <c r="G10" s="332"/>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3"/>
      <c r="K10" s="11" t="str">
        <f>IFERROR(LOOKUP(J10,Reagents!$B:$B,Reagents!$C:$C), "-")</f>
        <v>-</v>
      </c>
      <c r="L10" s="332"/>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7"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3"/>
      <c r="C11" s="194"/>
      <c r="D11" s="377"/>
      <c r="E11" s="199"/>
      <c r="F11" s="4" t="str">
        <f>IFERROR(LOOKUP('Stock Solution Calculator'!E11,Reagents!B:B,Reagents!C:C), "-")</f>
        <v>-</v>
      </c>
      <c r="G11" s="331"/>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2"/>
      <c r="K11" s="4" t="str">
        <f>IFERROR(LOOKUP(J11,Reagents!$B:$B,Reagents!$C:$C), "-")</f>
        <v>-</v>
      </c>
      <c r="L11" s="331"/>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7"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5"/>
      <c r="C12" s="196"/>
      <c r="D12" s="377"/>
      <c r="E12" s="200"/>
      <c r="F12" s="11" t="str">
        <f>IFERROR(LOOKUP('Stock Solution Calculator'!E12,Reagents!B:B,Reagents!C:C), "-")</f>
        <v>-</v>
      </c>
      <c r="G12" s="332"/>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3"/>
      <c r="K12" s="11" t="str">
        <f>IFERROR(LOOKUP(J12,Reagents!$B:$B,Reagents!$C:$C), "-")</f>
        <v>-</v>
      </c>
      <c r="L12" s="332"/>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7"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5"/>
      <c r="C13" s="196"/>
      <c r="D13" s="378"/>
      <c r="E13" s="199"/>
      <c r="F13" s="11" t="str">
        <f>IFERROR(LOOKUP('Stock Solution Calculator'!E13,Reagents!B:B,Reagents!C:C), "-")</f>
        <v>-</v>
      </c>
      <c r="G13" s="332"/>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3"/>
      <c r="K13" s="11" t="str">
        <f>IFERROR(LOOKUP(J13,Reagents!$B:$B,Reagents!$C:$C), "-")</f>
        <v>-</v>
      </c>
      <c r="L13" s="332"/>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7"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5"/>
      <c r="C14" s="196"/>
      <c r="D14" s="378"/>
      <c r="E14" s="200"/>
      <c r="F14" s="11" t="str">
        <f>IFERROR(LOOKUP('Stock Solution Calculator'!E14,Reagents!B:B,Reagents!C:C), "-")</f>
        <v>-</v>
      </c>
      <c r="G14" s="332"/>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3"/>
      <c r="K14" s="11" t="str">
        <f>IFERROR(LOOKUP(J14,Reagents!$B:$B,Reagents!$C:$C), "-")</f>
        <v>-</v>
      </c>
      <c r="L14" s="332"/>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7"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5"/>
      <c r="C15" s="196"/>
      <c r="D15" s="377"/>
      <c r="E15" s="199"/>
      <c r="F15" s="11" t="str">
        <f>IFERROR(LOOKUP('Stock Solution Calculator'!E15,Reagents!B:B,Reagents!C:C), "-")</f>
        <v>-</v>
      </c>
      <c r="G15" s="332"/>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3"/>
      <c r="K15" s="11" t="str">
        <f>IFERROR(LOOKUP(J15,Reagents!$B:$B,Reagents!$C:$C), "-")</f>
        <v>-</v>
      </c>
      <c r="L15" s="332"/>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7"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5"/>
      <c r="C16" s="196"/>
      <c r="D16" s="377"/>
      <c r="E16" s="200"/>
      <c r="F16" s="11" t="str">
        <f>IFERROR(LOOKUP('Stock Solution Calculator'!E16,Reagents!B:B,Reagents!C:C), "-")</f>
        <v>-</v>
      </c>
      <c r="G16" s="332"/>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3"/>
      <c r="K16" s="11" t="str">
        <f>IFERROR(LOOKUP(J16,Reagents!$B:$B,Reagents!$C:$C), "-")</f>
        <v>-</v>
      </c>
      <c r="L16" s="332"/>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7"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5"/>
      <c r="C17" s="196"/>
      <c r="D17" s="377"/>
      <c r="E17" s="199"/>
      <c r="F17" s="11" t="str">
        <f>IFERROR(LOOKUP('Stock Solution Calculator'!E17,Reagents!B:B,Reagents!C:C), "-")</f>
        <v>-</v>
      </c>
      <c r="G17" s="332"/>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3"/>
      <c r="K17" s="11" t="str">
        <f>IFERROR(LOOKUP(J17,Reagents!$B:$B,Reagents!$C:$C), "-")</f>
        <v>-</v>
      </c>
      <c r="L17" s="332"/>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7"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5"/>
      <c r="C18" s="196"/>
      <c r="D18" s="377"/>
      <c r="E18" s="200"/>
      <c r="F18" s="11" t="str">
        <f>IFERROR(LOOKUP('Stock Solution Calculator'!E18,Reagents!B:B,Reagents!C:C), "-")</f>
        <v>-</v>
      </c>
      <c r="G18" s="332"/>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3"/>
      <c r="K18" s="11" t="str">
        <f>IFERROR(LOOKUP(J18,Reagents!$B:$B,Reagents!$C:$C), "-")</f>
        <v>-</v>
      </c>
      <c r="L18" s="332"/>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7"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3"/>
      <c r="C19" s="194"/>
      <c r="D19" s="377"/>
      <c r="E19" s="199"/>
      <c r="F19" s="4" t="str">
        <f>IFERROR(LOOKUP('Stock Solution Calculator'!E19,Reagents!B:B,Reagents!C:C), "-")</f>
        <v>-</v>
      </c>
      <c r="G19" s="331"/>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2"/>
      <c r="K19" s="4" t="str">
        <f>IFERROR(LOOKUP(J19,Reagents!$B:$B,Reagents!$C:$C), "-")</f>
        <v>-</v>
      </c>
      <c r="L19" s="331"/>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7"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5"/>
      <c r="C20" s="196"/>
      <c r="D20" s="377"/>
      <c r="E20" s="200"/>
      <c r="F20" s="11" t="str">
        <f>IFERROR(LOOKUP('Stock Solution Calculator'!E20,Reagents!B:B,Reagents!C:C), "-")</f>
        <v>-</v>
      </c>
      <c r="G20" s="332"/>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3"/>
      <c r="K20" s="11" t="str">
        <f>IFERROR(LOOKUP(J20,Reagents!$B:$B,Reagents!$C:$C), "-")</f>
        <v>-</v>
      </c>
      <c r="L20" s="332"/>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7"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5"/>
      <c r="C21" s="196"/>
      <c r="D21" s="377"/>
      <c r="E21" s="199"/>
      <c r="F21" s="11" t="str">
        <f>IFERROR(LOOKUP('Stock Solution Calculator'!E21,Reagents!B:B,Reagents!C:C), "-")</f>
        <v>-</v>
      </c>
      <c r="G21" s="332"/>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3"/>
      <c r="K21" s="11" t="str">
        <f>IFERROR(LOOKUP(J21,Reagents!$B:$B,Reagents!$C:$C), "-")</f>
        <v>-</v>
      </c>
      <c r="L21" s="332"/>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7"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5"/>
      <c r="C22" s="196"/>
      <c r="D22" s="377"/>
      <c r="E22" s="200"/>
      <c r="F22" s="11" t="str">
        <f>IFERROR(LOOKUP('Stock Solution Calculator'!E22,Reagents!B:B,Reagents!C:C), "-")</f>
        <v>-</v>
      </c>
      <c r="G22" s="332"/>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3"/>
      <c r="K22" s="11" t="str">
        <f>IFERROR(LOOKUP(J22,Reagents!$B:$B,Reagents!$C:$C), "-")</f>
        <v>-</v>
      </c>
      <c r="L22" s="332"/>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7"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3"/>
      <c r="C23" s="194"/>
      <c r="D23" s="377"/>
      <c r="E23" s="199"/>
      <c r="F23" s="4" t="str">
        <f>IFERROR(LOOKUP('Stock Solution Calculator'!E23,Reagents!B:B,Reagents!C:C), "-")</f>
        <v>-</v>
      </c>
      <c r="G23" s="331"/>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4"/>
      <c r="K23" s="11" t="str">
        <f>IFERROR(LOOKUP(J23,Reagents!$B:$B,Reagents!$C:$C), "-")</f>
        <v>-</v>
      </c>
      <c r="L23" s="332"/>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7"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5"/>
      <c r="C24" s="196"/>
      <c r="D24" s="377"/>
      <c r="E24" s="200"/>
      <c r="F24" s="11" t="str">
        <f>IFERROR(LOOKUP('Stock Solution Calculator'!E24,Reagents!B:B,Reagents!C:C), "-")</f>
        <v>-</v>
      </c>
      <c r="G24" s="332"/>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2"/>
      <c r="K24" s="4" t="str">
        <f>IFERROR(LOOKUP(J24,Reagents!$B:$B,Reagents!$C:$C), "-")</f>
        <v>-</v>
      </c>
      <c r="L24" s="331"/>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7"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3"/>
      <c r="C25" s="194"/>
      <c r="D25" s="377"/>
      <c r="E25" s="199"/>
      <c r="F25" s="4" t="str">
        <f>IFERROR(LOOKUP('Stock Solution Calculator'!E25,Reagents!B:B,Reagents!C:C), "-")</f>
        <v>-</v>
      </c>
      <c r="G25" s="331"/>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4"/>
      <c r="K25" s="11" t="str">
        <f>IFERROR(LOOKUP(J25,Reagents!$B:$B,Reagents!$C:$C), "-")</f>
        <v>-</v>
      </c>
      <c r="L25" s="332"/>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7"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5"/>
      <c r="C26" s="196"/>
      <c r="D26" s="378"/>
      <c r="E26" s="200"/>
      <c r="F26" s="11" t="str">
        <f>IFERROR(LOOKUP('Stock Solution Calculator'!E26,Reagents!B:B,Reagents!C:C), "-")</f>
        <v>-</v>
      </c>
      <c r="G26" s="332"/>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2"/>
      <c r="K26" s="4" t="str">
        <f>IFERROR(LOOKUP(J26,Reagents!$B:$B,Reagents!$C:$C), "-")</f>
        <v>-</v>
      </c>
      <c r="L26" s="331"/>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7"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3"/>
      <c r="C27" s="194"/>
      <c r="D27" s="377"/>
      <c r="E27" s="199"/>
      <c r="F27" s="4" t="str">
        <f>IFERROR(LOOKUP('Stock Solution Calculator'!E27,Reagents!B:B,Reagents!C:C), "-")</f>
        <v>-</v>
      </c>
      <c r="G27" s="331"/>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3"/>
      <c r="K27" s="11" t="str">
        <f>IFERROR(LOOKUP(J27,Reagents!$B:$B,Reagents!$C:$C), "-")</f>
        <v>-</v>
      </c>
      <c r="L27" s="332"/>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7"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5"/>
      <c r="C28" s="196"/>
      <c r="D28" s="378"/>
      <c r="E28" s="200"/>
      <c r="F28" s="11" t="str">
        <f>IFERROR(LOOKUP('Stock Solution Calculator'!E28,Reagents!B:B,Reagents!C:C), "-")</f>
        <v>-</v>
      </c>
      <c r="G28" s="332"/>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3"/>
      <c r="K28" s="11" t="str">
        <f>IFERROR(LOOKUP(J28,Reagents!$B:$B,Reagents!$C:$C), "-")</f>
        <v>-</v>
      </c>
      <c r="L28" s="332"/>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7"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3"/>
      <c r="C29" s="194"/>
      <c r="D29" s="377"/>
      <c r="E29" s="199"/>
      <c r="F29" s="4" t="str">
        <f>IFERROR(LOOKUP('Stock Solution Calculator'!E29,Reagents!B:B,Reagents!C:C), "-")</f>
        <v>-</v>
      </c>
      <c r="G29" s="331"/>
      <c r="H29" s="107" t="str">
        <f>IFERROR(LOOKUP(E29,Reagents!B:B,Reagents!G:G)*LOOKUP(E29,Reagents!B:B,Reagents!K:K)*C29/1000*1.25, "-")</f>
        <v>-</v>
      </c>
      <c r="I29" s="556" t="str">
        <f>IFERROR(IF(LOOKUP(E29,Reagents!B:B,Reagents!J:J)=0,'Stock Solution Calculator'!H29/LOOKUP('Stock Solution Calculator'!E29,Reagents!B:B,Reagents!I:I),LOOKUP(E29,Reagents!B:B,Reagents!J:J)*LOOKUP(E29,Reagents!B:B,Reagents!K:K)*C29*1.25), "-")</f>
        <v>-</v>
      </c>
      <c r="J29" s="203"/>
      <c r="K29" s="11" t="str">
        <f>IFERROR(LOOKUP(J29,Reagents!$B:$B,Reagents!$C:$C), "-")</f>
        <v>-</v>
      </c>
      <c r="L29" s="332"/>
      <c r="M29" s="109" t="str">
        <f>IFERROR(LOOKUP(J29,Reagents!B:B,Reagents!G:G)*LOOKUP(J29,Reagents!B:B,Reagents!K:K)*C29/1000*1.25, "-")</f>
        <v>-</v>
      </c>
      <c r="N29" s="554" t="str">
        <f>IFERROR(IF(LOOKUP(J29,Reagents!$B:$B,Reagents!$J:$J)=0,'Stock Solution Calculator'!M29/LOOKUP('Stock Solution Calculator'!J29,Reagents!$B:$B,Reagents!$I:$I),LOOKUP(J29,Reagents!$B:$B,Reagents!$J:$J)*LOOKUP(J29,Reagents!$B:$B,Reagents!$K:$K)*$C29*1.25), "-")</f>
        <v>-</v>
      </c>
      <c r="O29" s="555" t="str">
        <f>IFERROR(LOOKUP(E29,Reagents!B:B,Reagents!K:K)/D29, "")</f>
        <v/>
      </c>
      <c r="P29" s="417"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5"/>
      <c r="C30" s="196"/>
      <c r="D30" s="378"/>
      <c r="E30" s="200"/>
      <c r="F30" s="11" t="str">
        <f>IFERROR(LOOKUP('Stock Solution Calculator'!E30,Reagents!B:B,Reagents!C:C), "-")</f>
        <v>-</v>
      </c>
      <c r="G30" s="332"/>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4"/>
      <c r="K30" s="11" t="str">
        <f>IFERROR(LOOKUP(J30,Reagents!$B:$B,Reagents!$C:$C), "-")</f>
        <v>-</v>
      </c>
      <c r="L30" s="332"/>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7"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3"/>
      <c r="C31" s="194"/>
      <c r="D31" s="377"/>
      <c r="E31" s="199"/>
      <c r="F31" s="4" t="str">
        <f>IFERROR(LOOKUP('Stock Solution Calculator'!E31,Reagents!B:B,Reagents!C:C), "-")</f>
        <v>-</v>
      </c>
      <c r="G31" s="331"/>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4"/>
      <c r="K31" s="11" t="str">
        <f>IFERROR(LOOKUP(J31,Reagents!$B:$B,Reagents!$C:$C), "-")</f>
        <v>-</v>
      </c>
      <c r="L31" s="332"/>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7"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5"/>
      <c r="C32" s="196"/>
      <c r="D32" s="378"/>
      <c r="E32" s="200"/>
      <c r="F32" s="11" t="str">
        <f>IFERROR(LOOKUP('Stock Solution Calculator'!E32,Reagents!B:B,Reagents!C:C), "-")</f>
        <v>-</v>
      </c>
      <c r="G32" s="332"/>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4"/>
      <c r="K32" s="11" t="str">
        <f>IFERROR(LOOKUP(J32,Reagents!$B:$B,Reagents!$C:$C), "-")</f>
        <v>-</v>
      </c>
      <c r="L32" s="332"/>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7"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3"/>
      <c r="C33" s="194"/>
      <c r="D33" s="377"/>
      <c r="E33" s="199"/>
      <c r="F33" s="4" t="str">
        <f>IFERROR(LOOKUP('Stock Solution Calculator'!E33,Reagents!B:B,Reagents!C:C), "-")</f>
        <v>-</v>
      </c>
      <c r="G33" s="331"/>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4"/>
      <c r="K33" s="11" t="str">
        <f>IFERROR(LOOKUP(J33,Reagents!$B:$B,Reagents!$C:$C), "-")</f>
        <v>-</v>
      </c>
      <c r="L33" s="332"/>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7"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5"/>
      <c r="C34" s="196"/>
      <c r="D34" s="378"/>
      <c r="E34" s="200"/>
      <c r="F34" s="11" t="str">
        <f>IFERROR(LOOKUP('Stock Solution Calculator'!E34,Reagents!B:B,Reagents!C:C), "-")</f>
        <v>-</v>
      </c>
      <c r="G34" s="332"/>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4"/>
      <c r="K34" s="11" t="str">
        <f>IFERROR(LOOKUP(J34,Reagents!$B:$B,Reagents!$C:$C), "-")</f>
        <v>-</v>
      </c>
      <c r="L34" s="332"/>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7"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3"/>
      <c r="C35" s="194"/>
      <c r="D35" s="377"/>
      <c r="E35" s="199"/>
      <c r="F35" s="4" t="str">
        <f>IFERROR(LOOKUP('Stock Solution Calculator'!E35,Reagents!B:B,Reagents!C:C), "-")</f>
        <v>-</v>
      </c>
      <c r="G35" s="331"/>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4"/>
      <c r="K35" s="11" t="str">
        <f>IFERROR(LOOKUP(J35,Reagents!$B:$B,Reagents!$C:$C), "-")</f>
        <v>-</v>
      </c>
      <c r="L35" s="332"/>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7"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5"/>
      <c r="C36" s="196"/>
      <c r="D36" s="378"/>
      <c r="E36" s="200"/>
      <c r="F36" s="11" t="str">
        <f>IFERROR(LOOKUP('Stock Solution Calculator'!E36,Reagents!B:B,Reagents!C:C), "-")</f>
        <v>-</v>
      </c>
      <c r="G36" s="332"/>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4"/>
      <c r="K36" s="11" t="str">
        <f>IFERROR(LOOKUP(J36,Reagents!$B:$B,Reagents!$C:$C), "-")</f>
        <v>-</v>
      </c>
      <c r="L36" s="332"/>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7"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3"/>
      <c r="C37" s="194"/>
      <c r="D37" s="377"/>
      <c r="E37" s="199"/>
      <c r="F37" s="4" t="str">
        <f>IFERROR(LOOKUP('Stock Solution Calculator'!E37,Reagents!B:B,Reagents!C:C), "-")</f>
        <v>-</v>
      </c>
      <c r="G37" s="331"/>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4"/>
      <c r="K37" s="11" t="str">
        <f>IFERROR(LOOKUP(J37,Reagents!$B:$B,Reagents!$C:$C), "-")</f>
        <v>-</v>
      </c>
      <c r="L37" s="332"/>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7"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7"/>
      <c r="C38" s="198"/>
      <c r="D38" s="379"/>
      <c r="E38" s="201"/>
      <c r="F38" s="26" t="str">
        <f>IFERROR(LOOKUP('Stock Solution Calculator'!E38,Reagents!B:B,Reagents!C:C), "-")</f>
        <v>-</v>
      </c>
      <c r="G38" s="333"/>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5"/>
      <c r="K38" s="29" t="str">
        <f>IFERROR(LOOKUP(J38,Reagents!$B:$B,Reagents!$C:$C), "-")</f>
        <v>-</v>
      </c>
      <c r="L38" s="335"/>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0" t="str">
        <f>IFERROR(LOOKUP(E38,Reagents!B:B,Reagents!K:K)/D38, "")</f>
        <v/>
      </c>
      <c r="P38" s="418"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6">
        <f>LOOKUP("Reaction scale (µmol):",'Plate Planning'!H31:H32,'Plate Planning'!J31:J32)/'Plate Planning'!J33</f>
        <v>0.1</v>
      </c>
      <c r="I41" s="22"/>
      <c r="M41" s="23"/>
      <c r="N41" s="23"/>
      <c r="O41" s="416"/>
      <c r="P41" s="22"/>
    </row>
    <row r="42" spans="1:16" s="21" customFormat="1">
      <c r="C42" s="24"/>
      <c r="D42" s="35" t="s">
        <v>890</v>
      </c>
      <c r="E42" s="34"/>
      <c r="F42" s="27"/>
      <c r="G42" s="207">
        <f>'Plate Planning'!J33</f>
        <v>100</v>
      </c>
      <c r="I42" s="22"/>
      <c r="M42" s="23"/>
      <c r="N42" s="23"/>
      <c r="P42" s="22"/>
    </row>
    <row r="43" spans="1:16" s="21" customFormat="1">
      <c r="D43" s="36" t="s">
        <v>891</v>
      </c>
      <c r="E43" s="34"/>
      <c r="F43" s="27"/>
      <c r="G43" s="139">
        <v>4</v>
      </c>
      <c r="I43" s="22"/>
      <c r="M43" s="23"/>
      <c r="N43" s="23"/>
      <c r="O43" s="416"/>
      <c r="P43" s="22"/>
    </row>
    <row r="44" spans="1:16" s="21" customFormat="1" ht="17" thickBot="1">
      <c r="D44" s="38" t="s">
        <v>889</v>
      </c>
      <c r="E44" s="39"/>
      <c r="F44" s="40"/>
      <c r="G44" s="140">
        <f>G42/G43</f>
        <v>25</v>
      </c>
      <c r="I44" s="22"/>
      <c r="M44" s="23"/>
      <c r="N44" s="23"/>
      <c r="O44" s="416"/>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E39" sqref="E39"/>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7" customWidth="1"/>
    <col min="10" max="55" width="10.83203125" style="275"/>
  </cols>
  <sheetData>
    <row r="1" spans="1:55" s="274" customFormat="1">
      <c r="A1" s="8" t="s">
        <v>1271</v>
      </c>
      <c r="B1" s="8" t="s">
        <v>13</v>
      </c>
      <c r="C1" s="8" t="s">
        <v>2115</v>
      </c>
      <c r="D1" s="8" t="s">
        <v>2116</v>
      </c>
      <c r="E1" s="8" t="s">
        <v>2117</v>
      </c>
      <c r="F1" s="8" t="s">
        <v>2118</v>
      </c>
      <c r="G1" s="8" t="s">
        <v>1269</v>
      </c>
      <c r="H1" s="8" t="s">
        <v>3</v>
      </c>
      <c r="I1" s="272" t="s">
        <v>1270</v>
      </c>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row>
    <row r="2" spans="1:55">
      <c r="A2" s="1">
        <v>1</v>
      </c>
      <c r="B2" s="1">
        <v>1</v>
      </c>
      <c r="C2" s="1" t="str">
        <f>IFERROR(E2/F2, "")</f>
        <v/>
      </c>
      <c r="D2" s="45"/>
      <c r="E2" s="45"/>
      <c r="F2" s="45"/>
      <c r="G2" s="1">
        <f t="shared" ref="G2:G16" si="0">product_1_name</f>
        <v>0</v>
      </c>
      <c r="H2" s="45"/>
      <c r="I2" s="208"/>
    </row>
    <row r="3" spans="1:55">
      <c r="A3" s="1">
        <v>1</v>
      </c>
      <c r="B3" s="1">
        <v>1</v>
      </c>
      <c r="C3" s="1" t="str">
        <f t="shared" ref="C3:C66" si="1">IFERROR(E3/F3, "")</f>
        <v/>
      </c>
      <c r="D3" s="45"/>
      <c r="E3" s="45"/>
      <c r="F3" s="45"/>
      <c r="G3" s="1">
        <f t="shared" si="0"/>
        <v>0</v>
      </c>
      <c r="H3" s="45"/>
      <c r="I3" s="208"/>
    </row>
    <row r="4" spans="1:55">
      <c r="A4" s="1">
        <v>1</v>
      </c>
      <c r="B4" s="1">
        <v>1</v>
      </c>
      <c r="C4" s="1" t="str">
        <f t="shared" si="1"/>
        <v/>
      </c>
      <c r="D4" s="45"/>
      <c r="E4" s="45"/>
      <c r="F4" s="45"/>
      <c r="G4" s="1">
        <f t="shared" si="0"/>
        <v>0</v>
      </c>
      <c r="H4" s="45"/>
      <c r="I4" s="208"/>
    </row>
    <row r="5" spans="1:55">
      <c r="A5" s="1">
        <v>1</v>
      </c>
      <c r="B5" s="1">
        <v>1</v>
      </c>
      <c r="C5" s="1" t="str">
        <f t="shared" si="1"/>
        <v/>
      </c>
      <c r="D5" s="45"/>
      <c r="E5" s="45"/>
      <c r="F5" s="45"/>
      <c r="G5" s="1">
        <f t="shared" si="0"/>
        <v>0</v>
      </c>
      <c r="H5" s="45"/>
      <c r="I5" s="208"/>
    </row>
    <row r="6" spans="1:55">
      <c r="A6" s="1">
        <v>1</v>
      </c>
      <c r="B6" s="1">
        <v>1</v>
      </c>
      <c r="C6" s="1" t="str">
        <f t="shared" si="1"/>
        <v/>
      </c>
      <c r="D6" s="45"/>
      <c r="E6" s="45"/>
      <c r="F6" s="45"/>
      <c r="G6" s="1">
        <f t="shared" si="0"/>
        <v>0</v>
      </c>
      <c r="H6" s="45"/>
      <c r="I6" s="208"/>
    </row>
    <row r="7" spans="1:55">
      <c r="A7" s="1">
        <v>1</v>
      </c>
      <c r="B7" s="1">
        <v>2</v>
      </c>
      <c r="C7" s="1" t="str">
        <f t="shared" si="1"/>
        <v/>
      </c>
      <c r="D7" s="45"/>
      <c r="E7" s="45"/>
      <c r="F7" s="45"/>
      <c r="G7" s="1">
        <f t="shared" si="0"/>
        <v>0</v>
      </c>
      <c r="H7" s="45"/>
      <c r="I7" s="208"/>
    </row>
    <row r="8" spans="1:55">
      <c r="A8" s="1">
        <v>1</v>
      </c>
      <c r="B8" s="1">
        <v>2</v>
      </c>
      <c r="C8" s="1" t="str">
        <f t="shared" si="1"/>
        <v/>
      </c>
      <c r="D8" s="45"/>
      <c r="E8" s="45"/>
      <c r="F8" s="45"/>
      <c r="G8" s="1">
        <f t="shared" si="0"/>
        <v>0</v>
      </c>
      <c r="H8" s="45"/>
      <c r="I8" s="208"/>
    </row>
    <row r="9" spans="1:55">
      <c r="A9" s="1">
        <v>1</v>
      </c>
      <c r="B9" s="1">
        <v>2</v>
      </c>
      <c r="C9" s="1" t="str">
        <f t="shared" si="1"/>
        <v/>
      </c>
      <c r="D9" s="45"/>
      <c r="E9" s="45"/>
      <c r="F9" s="45"/>
      <c r="G9" s="1">
        <f t="shared" si="0"/>
        <v>0</v>
      </c>
      <c r="H9" s="45"/>
      <c r="I9" s="208"/>
    </row>
    <row r="10" spans="1:55">
      <c r="A10" s="1">
        <v>1</v>
      </c>
      <c r="B10" s="1">
        <v>2</v>
      </c>
      <c r="C10" s="1" t="str">
        <f t="shared" si="1"/>
        <v/>
      </c>
      <c r="D10" s="45"/>
      <c r="E10" s="45"/>
      <c r="F10" s="45"/>
      <c r="G10" s="1">
        <f t="shared" si="0"/>
        <v>0</v>
      </c>
      <c r="H10" s="45"/>
      <c r="I10" s="208"/>
    </row>
    <row r="11" spans="1:55">
      <c r="A11" s="1">
        <v>1</v>
      </c>
      <c r="B11" s="1">
        <v>2</v>
      </c>
      <c r="C11" s="1" t="str">
        <f t="shared" si="1"/>
        <v/>
      </c>
      <c r="D11" s="45"/>
      <c r="E11" s="45"/>
      <c r="F11" s="45"/>
      <c r="G11" s="1">
        <f t="shared" si="0"/>
        <v>0</v>
      </c>
      <c r="H11" s="45"/>
      <c r="I11" s="208"/>
    </row>
    <row r="12" spans="1:55">
      <c r="A12" s="1">
        <v>1</v>
      </c>
      <c r="B12" s="1">
        <v>3</v>
      </c>
      <c r="C12" s="1" t="str">
        <f t="shared" si="1"/>
        <v/>
      </c>
      <c r="D12" s="45"/>
      <c r="E12" s="45"/>
      <c r="F12" s="45"/>
      <c r="G12" s="1">
        <f t="shared" si="0"/>
        <v>0</v>
      </c>
      <c r="H12" s="45"/>
      <c r="I12" s="208"/>
    </row>
    <row r="13" spans="1:55">
      <c r="A13" s="1">
        <v>1</v>
      </c>
      <c r="B13" s="1">
        <v>3</v>
      </c>
      <c r="C13" s="1" t="str">
        <f t="shared" si="1"/>
        <v/>
      </c>
      <c r="D13" s="45"/>
      <c r="E13" s="45"/>
      <c r="F13" s="45"/>
      <c r="G13" s="1">
        <f t="shared" si="0"/>
        <v>0</v>
      </c>
      <c r="H13" s="45"/>
      <c r="I13" s="208"/>
    </row>
    <row r="14" spans="1:55">
      <c r="A14" s="1">
        <v>1</v>
      </c>
      <c r="B14" s="1">
        <v>3</v>
      </c>
      <c r="C14" s="1" t="str">
        <f t="shared" si="1"/>
        <v/>
      </c>
      <c r="D14" s="45"/>
      <c r="E14" s="45"/>
      <c r="F14" s="45"/>
      <c r="G14" s="1">
        <f t="shared" si="0"/>
        <v>0</v>
      </c>
      <c r="H14" s="45"/>
      <c r="I14" s="208"/>
    </row>
    <row r="15" spans="1:55">
      <c r="A15" s="1">
        <v>1</v>
      </c>
      <c r="B15" s="1">
        <v>3</v>
      </c>
      <c r="C15" s="1" t="str">
        <f t="shared" si="1"/>
        <v/>
      </c>
      <c r="D15" s="45"/>
      <c r="E15" s="45"/>
      <c r="F15" s="45"/>
      <c r="G15" s="1">
        <f t="shared" si="0"/>
        <v>0</v>
      </c>
      <c r="H15" s="45"/>
      <c r="I15" s="208"/>
    </row>
    <row r="16" spans="1:55">
      <c r="A16" s="7">
        <v>1</v>
      </c>
      <c r="B16" s="7">
        <v>3</v>
      </c>
      <c r="C16" s="678" t="str">
        <f t="shared" si="1"/>
        <v/>
      </c>
      <c r="D16" s="45"/>
      <c r="E16" s="45"/>
      <c r="F16" s="45"/>
      <c r="G16" s="1">
        <f t="shared" si="0"/>
        <v>0</v>
      </c>
      <c r="H16" s="45"/>
      <c r="I16" s="208"/>
    </row>
    <row r="17" spans="1:9" hidden="1">
      <c r="A17" s="1">
        <v>2</v>
      </c>
      <c r="B17" s="1">
        <v>1</v>
      </c>
      <c r="C17" s="1" t="str">
        <f t="shared" si="1"/>
        <v/>
      </c>
      <c r="D17" s="270"/>
      <c r="E17" s="270"/>
      <c r="F17" s="270"/>
      <c r="G17" s="6">
        <f t="shared" ref="G17:G31" si="2">product_2_name</f>
        <v>0</v>
      </c>
      <c r="H17" s="270"/>
      <c r="I17" s="271"/>
    </row>
    <row r="18" spans="1:9" hidden="1">
      <c r="A18" s="1">
        <v>2</v>
      </c>
      <c r="B18" s="1">
        <v>1</v>
      </c>
      <c r="C18" s="1" t="str">
        <f t="shared" si="1"/>
        <v/>
      </c>
      <c r="D18" s="45"/>
      <c r="E18" s="45"/>
      <c r="F18" s="45"/>
      <c r="G18" s="1">
        <f t="shared" si="2"/>
        <v>0</v>
      </c>
      <c r="H18" s="45"/>
      <c r="I18" s="208"/>
    </row>
    <row r="19" spans="1:9" hidden="1">
      <c r="A19" s="1">
        <v>2</v>
      </c>
      <c r="B19" s="1">
        <v>1</v>
      </c>
      <c r="C19" s="1" t="str">
        <f t="shared" si="1"/>
        <v/>
      </c>
      <c r="D19" s="45"/>
      <c r="E19" s="45"/>
      <c r="F19" s="45"/>
      <c r="G19" s="1">
        <f t="shared" si="2"/>
        <v>0</v>
      </c>
      <c r="H19" s="45"/>
      <c r="I19" s="208"/>
    </row>
    <row r="20" spans="1:9" hidden="1">
      <c r="A20" s="1">
        <v>2</v>
      </c>
      <c r="B20" s="1">
        <v>1</v>
      </c>
      <c r="C20" s="1" t="str">
        <f t="shared" si="1"/>
        <v/>
      </c>
      <c r="D20" s="45"/>
      <c r="E20" s="45"/>
      <c r="F20" s="45"/>
      <c r="G20" s="1">
        <f t="shared" si="2"/>
        <v>0</v>
      </c>
      <c r="H20" s="45"/>
      <c r="I20" s="208"/>
    </row>
    <row r="21" spans="1:9" hidden="1">
      <c r="A21" s="1">
        <v>2</v>
      </c>
      <c r="B21" s="1">
        <v>1</v>
      </c>
      <c r="C21" s="1" t="str">
        <f t="shared" si="1"/>
        <v/>
      </c>
      <c r="D21" s="45"/>
      <c r="E21" s="45"/>
      <c r="F21" s="45"/>
      <c r="G21" s="1">
        <f t="shared" si="2"/>
        <v>0</v>
      </c>
      <c r="H21" s="45"/>
      <c r="I21" s="208"/>
    </row>
    <row r="22" spans="1:9" hidden="1">
      <c r="A22" s="1">
        <v>2</v>
      </c>
      <c r="B22" s="1">
        <v>2</v>
      </c>
      <c r="C22" s="1" t="str">
        <f t="shared" si="1"/>
        <v/>
      </c>
      <c r="D22" s="45"/>
      <c r="E22" s="45"/>
      <c r="F22" s="45"/>
      <c r="G22" s="1">
        <f t="shared" si="2"/>
        <v>0</v>
      </c>
      <c r="H22" s="45"/>
      <c r="I22" s="208"/>
    </row>
    <row r="23" spans="1:9" hidden="1">
      <c r="A23" s="1">
        <v>2</v>
      </c>
      <c r="B23" s="1">
        <v>2</v>
      </c>
      <c r="C23" s="1" t="str">
        <f t="shared" si="1"/>
        <v/>
      </c>
      <c r="D23" s="45"/>
      <c r="E23" s="45"/>
      <c r="F23" s="45"/>
      <c r="G23" s="1">
        <f t="shared" si="2"/>
        <v>0</v>
      </c>
      <c r="H23" s="45"/>
      <c r="I23" s="208"/>
    </row>
    <row r="24" spans="1:9" hidden="1">
      <c r="A24" s="1">
        <v>2</v>
      </c>
      <c r="B24" s="1">
        <v>2</v>
      </c>
      <c r="C24" s="1" t="str">
        <f t="shared" si="1"/>
        <v/>
      </c>
      <c r="D24" s="45"/>
      <c r="E24" s="45"/>
      <c r="F24" s="45"/>
      <c r="G24" s="1">
        <f t="shared" si="2"/>
        <v>0</v>
      </c>
      <c r="H24" s="45"/>
      <c r="I24" s="208"/>
    </row>
    <row r="25" spans="1:9" hidden="1">
      <c r="A25" s="1">
        <v>2</v>
      </c>
      <c r="B25" s="1">
        <v>2</v>
      </c>
      <c r="C25" s="1" t="str">
        <f t="shared" si="1"/>
        <v/>
      </c>
      <c r="D25" s="45"/>
      <c r="E25" s="45"/>
      <c r="F25" s="45"/>
      <c r="G25" s="1">
        <f t="shared" si="2"/>
        <v>0</v>
      </c>
      <c r="H25" s="45"/>
      <c r="I25" s="208"/>
    </row>
    <row r="26" spans="1:9" hidden="1">
      <c r="A26" s="1">
        <v>2</v>
      </c>
      <c r="B26" s="1">
        <v>2</v>
      </c>
      <c r="C26" s="1" t="str">
        <f t="shared" si="1"/>
        <v/>
      </c>
      <c r="D26" s="45"/>
      <c r="E26" s="45"/>
      <c r="F26" s="45"/>
      <c r="G26" s="1">
        <f t="shared" si="2"/>
        <v>0</v>
      </c>
      <c r="H26" s="45"/>
      <c r="I26" s="208"/>
    </row>
    <row r="27" spans="1:9" hidden="1">
      <c r="A27" s="1">
        <v>2</v>
      </c>
      <c r="B27" s="1">
        <v>3</v>
      </c>
      <c r="C27" s="1" t="str">
        <f t="shared" si="1"/>
        <v/>
      </c>
      <c r="D27" s="45"/>
      <c r="E27" s="45"/>
      <c r="F27" s="45"/>
      <c r="G27" s="1">
        <f t="shared" si="2"/>
        <v>0</v>
      </c>
      <c r="H27" s="45"/>
      <c r="I27" s="208"/>
    </row>
    <row r="28" spans="1:9" hidden="1">
      <c r="A28" s="1">
        <v>2</v>
      </c>
      <c r="B28" s="1">
        <v>3</v>
      </c>
      <c r="C28" s="1" t="str">
        <f t="shared" si="1"/>
        <v/>
      </c>
      <c r="D28" s="45"/>
      <c r="E28" s="45"/>
      <c r="F28" s="45"/>
      <c r="G28" s="1">
        <f t="shared" si="2"/>
        <v>0</v>
      </c>
      <c r="H28" s="45"/>
      <c r="I28" s="208"/>
    </row>
    <row r="29" spans="1:9" hidden="1">
      <c r="A29" s="1">
        <v>2</v>
      </c>
      <c r="B29" s="1">
        <v>3</v>
      </c>
      <c r="C29" s="1" t="str">
        <f t="shared" si="1"/>
        <v/>
      </c>
      <c r="D29" s="45"/>
      <c r="E29" s="45"/>
      <c r="F29" s="45"/>
      <c r="G29" s="1">
        <f t="shared" si="2"/>
        <v>0</v>
      </c>
      <c r="H29" s="45"/>
      <c r="I29" s="208"/>
    </row>
    <row r="30" spans="1:9" hidden="1">
      <c r="A30" s="1">
        <v>2</v>
      </c>
      <c r="B30" s="1">
        <v>3</v>
      </c>
      <c r="C30" s="1" t="str">
        <f t="shared" si="1"/>
        <v/>
      </c>
      <c r="D30" s="45"/>
      <c r="E30" s="45"/>
      <c r="F30" s="45"/>
      <c r="G30" s="1">
        <f t="shared" si="2"/>
        <v>0</v>
      </c>
      <c r="H30" s="45"/>
      <c r="I30" s="208"/>
    </row>
    <row r="31" spans="1:9" hidden="1">
      <c r="A31" s="1">
        <v>2</v>
      </c>
      <c r="B31" s="1">
        <v>3</v>
      </c>
      <c r="C31" s="1" t="str">
        <f t="shared" si="1"/>
        <v/>
      </c>
      <c r="D31" s="45"/>
      <c r="E31" s="45"/>
      <c r="F31" s="45"/>
      <c r="G31" s="1">
        <f t="shared" si="2"/>
        <v>0</v>
      </c>
      <c r="H31" s="45"/>
      <c r="I31" s="208"/>
    </row>
    <row r="32" spans="1:9">
      <c r="A32" s="1">
        <v>2</v>
      </c>
      <c r="B32" s="6">
        <v>1</v>
      </c>
      <c r="C32" s="1" t="str">
        <f t="shared" si="1"/>
        <v/>
      </c>
      <c r="D32" s="270"/>
      <c r="E32" s="270"/>
      <c r="F32" s="270"/>
      <c r="G32" s="679">
        <f t="shared" ref="G32:G46" si="3">product_3_name</f>
        <v>0</v>
      </c>
      <c r="H32" s="270"/>
      <c r="I32" s="271"/>
    </row>
    <row r="33" spans="1:9">
      <c r="A33" s="1">
        <v>2</v>
      </c>
      <c r="B33" s="1">
        <v>1</v>
      </c>
      <c r="C33" s="1" t="str">
        <f t="shared" si="1"/>
        <v/>
      </c>
      <c r="D33" s="45"/>
      <c r="E33" s="45"/>
      <c r="F33" s="45"/>
      <c r="G33" s="1">
        <f t="shared" si="3"/>
        <v>0</v>
      </c>
      <c r="H33" s="45"/>
      <c r="I33" s="208"/>
    </row>
    <row r="34" spans="1:9">
      <c r="A34" s="1">
        <v>2</v>
      </c>
      <c r="B34" s="1">
        <v>1</v>
      </c>
      <c r="C34" s="1" t="str">
        <f t="shared" si="1"/>
        <v/>
      </c>
      <c r="D34" s="45"/>
      <c r="E34" s="45"/>
      <c r="F34" s="45"/>
      <c r="G34" s="1">
        <f t="shared" si="3"/>
        <v>0</v>
      </c>
      <c r="H34" s="45"/>
      <c r="I34" s="208"/>
    </row>
    <row r="35" spans="1:9">
      <c r="A35" s="1">
        <v>2</v>
      </c>
      <c r="B35" s="1">
        <v>1</v>
      </c>
      <c r="C35" s="1" t="str">
        <f t="shared" si="1"/>
        <v/>
      </c>
      <c r="D35" s="45"/>
      <c r="E35" s="45"/>
      <c r="F35" s="45"/>
      <c r="G35" s="1">
        <f t="shared" si="3"/>
        <v>0</v>
      </c>
      <c r="H35" s="45"/>
      <c r="I35" s="208"/>
    </row>
    <row r="36" spans="1:9">
      <c r="A36" s="1">
        <v>2</v>
      </c>
      <c r="B36" s="1">
        <v>1</v>
      </c>
      <c r="C36" s="1" t="str">
        <f t="shared" si="1"/>
        <v/>
      </c>
      <c r="D36" s="45"/>
      <c r="E36" s="45"/>
      <c r="F36" s="45"/>
      <c r="G36" s="1">
        <f t="shared" si="3"/>
        <v>0</v>
      </c>
      <c r="H36" s="45"/>
      <c r="I36" s="208"/>
    </row>
    <row r="37" spans="1:9">
      <c r="A37" s="1">
        <v>2</v>
      </c>
      <c r="B37" s="1">
        <v>2</v>
      </c>
      <c r="C37" s="1" t="str">
        <f t="shared" si="1"/>
        <v/>
      </c>
      <c r="D37" s="45"/>
      <c r="E37" s="45"/>
      <c r="F37" s="45"/>
      <c r="G37" s="1">
        <f t="shared" si="3"/>
        <v>0</v>
      </c>
      <c r="H37" s="45"/>
      <c r="I37" s="208"/>
    </row>
    <row r="38" spans="1:9">
      <c r="A38" s="1">
        <v>2</v>
      </c>
      <c r="B38" s="1">
        <v>2</v>
      </c>
      <c r="C38" s="1" t="str">
        <f t="shared" si="1"/>
        <v/>
      </c>
      <c r="D38" s="45"/>
      <c r="E38" s="45"/>
      <c r="F38" s="45"/>
      <c r="G38" s="1">
        <f t="shared" si="3"/>
        <v>0</v>
      </c>
      <c r="H38" s="45"/>
      <c r="I38" s="208"/>
    </row>
    <row r="39" spans="1:9">
      <c r="A39" s="1">
        <v>2</v>
      </c>
      <c r="B39" s="1">
        <v>2</v>
      </c>
      <c r="C39" s="1" t="str">
        <f t="shared" si="1"/>
        <v/>
      </c>
      <c r="D39" s="45"/>
      <c r="E39" s="45"/>
      <c r="F39" s="45"/>
      <c r="G39" s="1">
        <f t="shared" si="3"/>
        <v>0</v>
      </c>
      <c r="H39" s="45"/>
      <c r="I39" s="208"/>
    </row>
    <row r="40" spans="1:9">
      <c r="A40" s="1">
        <v>2</v>
      </c>
      <c r="B40" s="1">
        <v>2</v>
      </c>
      <c r="C40" s="1" t="str">
        <f t="shared" si="1"/>
        <v/>
      </c>
      <c r="D40" s="45"/>
      <c r="E40" s="45"/>
      <c r="F40" s="45"/>
      <c r="G40" s="1">
        <f t="shared" si="3"/>
        <v>0</v>
      </c>
      <c r="H40" s="45"/>
      <c r="I40" s="208"/>
    </row>
    <row r="41" spans="1:9">
      <c r="A41" s="1">
        <v>2</v>
      </c>
      <c r="B41" s="1">
        <v>2</v>
      </c>
      <c r="C41" s="1" t="str">
        <f t="shared" si="1"/>
        <v/>
      </c>
      <c r="D41" s="45"/>
      <c r="E41" s="45"/>
      <c r="F41" s="45"/>
      <c r="G41" s="1">
        <f t="shared" si="3"/>
        <v>0</v>
      </c>
      <c r="H41" s="45"/>
      <c r="I41" s="208"/>
    </row>
    <row r="42" spans="1:9">
      <c r="A42" s="1">
        <v>2</v>
      </c>
      <c r="B42" s="1">
        <v>3</v>
      </c>
      <c r="C42" s="1" t="str">
        <f t="shared" si="1"/>
        <v/>
      </c>
      <c r="D42" s="45"/>
      <c r="E42" s="45"/>
      <c r="F42" s="45"/>
      <c r="G42" s="1">
        <f t="shared" si="3"/>
        <v>0</v>
      </c>
      <c r="H42" s="45"/>
      <c r="I42" s="208"/>
    </row>
    <row r="43" spans="1:9">
      <c r="A43" s="1">
        <v>2</v>
      </c>
      <c r="B43" s="1">
        <v>3</v>
      </c>
      <c r="C43" s="1" t="str">
        <f t="shared" si="1"/>
        <v/>
      </c>
      <c r="D43" s="45"/>
      <c r="E43" s="45"/>
      <c r="F43" s="45"/>
      <c r="G43" s="1">
        <f t="shared" si="3"/>
        <v>0</v>
      </c>
      <c r="H43" s="45"/>
      <c r="I43" s="208"/>
    </row>
    <row r="44" spans="1:9">
      <c r="A44" s="1">
        <v>2</v>
      </c>
      <c r="B44" s="1">
        <v>3</v>
      </c>
      <c r="C44" s="1" t="str">
        <f t="shared" si="1"/>
        <v/>
      </c>
      <c r="D44" s="45"/>
      <c r="E44" s="45"/>
      <c r="F44" s="45"/>
      <c r="G44" s="1">
        <f t="shared" si="3"/>
        <v>0</v>
      </c>
      <c r="H44" s="45"/>
      <c r="I44" s="208"/>
    </row>
    <row r="45" spans="1:9">
      <c r="A45" s="1">
        <v>2</v>
      </c>
      <c r="B45" s="1">
        <v>3</v>
      </c>
      <c r="C45" s="1" t="str">
        <f t="shared" si="1"/>
        <v/>
      </c>
      <c r="D45" s="45"/>
      <c r="E45" s="45"/>
      <c r="F45" s="45"/>
      <c r="G45" s="1">
        <f t="shared" si="3"/>
        <v>0</v>
      </c>
      <c r="H45" s="45"/>
      <c r="I45" s="208"/>
    </row>
    <row r="46" spans="1:9">
      <c r="A46" s="7">
        <v>2</v>
      </c>
      <c r="B46" s="7">
        <v>3</v>
      </c>
      <c r="C46" s="678" t="str">
        <f t="shared" si="1"/>
        <v/>
      </c>
      <c r="D46" s="45"/>
      <c r="E46" s="45"/>
      <c r="F46" s="45"/>
      <c r="G46" s="1">
        <f t="shared" si="3"/>
        <v>0</v>
      </c>
      <c r="H46" s="45"/>
      <c r="I46" s="208"/>
    </row>
    <row r="47" spans="1:9" hidden="1">
      <c r="A47" s="1">
        <v>4</v>
      </c>
      <c r="B47" s="1">
        <v>1</v>
      </c>
      <c r="C47" s="1" t="str">
        <f t="shared" si="1"/>
        <v/>
      </c>
      <c r="D47" s="270"/>
      <c r="E47" s="270"/>
      <c r="F47" s="270"/>
      <c r="G47" s="6">
        <f t="shared" ref="G47:G61" si="4">product_4_name</f>
        <v>0</v>
      </c>
      <c r="H47" s="270"/>
      <c r="I47" s="271"/>
    </row>
    <row r="48" spans="1:9" hidden="1">
      <c r="A48" s="1">
        <v>4</v>
      </c>
      <c r="B48" s="1">
        <v>1</v>
      </c>
      <c r="C48" s="1" t="str">
        <f t="shared" si="1"/>
        <v/>
      </c>
      <c r="D48" s="45"/>
      <c r="E48" s="45"/>
      <c r="F48" s="45"/>
      <c r="G48" s="1">
        <f t="shared" si="4"/>
        <v>0</v>
      </c>
      <c r="H48" s="45"/>
      <c r="I48" s="208"/>
    </row>
    <row r="49" spans="1:9" hidden="1">
      <c r="A49" s="1">
        <v>4</v>
      </c>
      <c r="B49" s="1">
        <v>1</v>
      </c>
      <c r="C49" s="1" t="str">
        <f t="shared" si="1"/>
        <v/>
      </c>
      <c r="D49" s="45"/>
      <c r="E49" s="45"/>
      <c r="F49" s="45"/>
      <c r="G49" s="1">
        <f t="shared" si="4"/>
        <v>0</v>
      </c>
      <c r="H49" s="45"/>
      <c r="I49" s="208"/>
    </row>
    <row r="50" spans="1:9" hidden="1">
      <c r="A50" s="1">
        <v>4</v>
      </c>
      <c r="B50" s="1">
        <v>1</v>
      </c>
      <c r="C50" s="1" t="str">
        <f t="shared" si="1"/>
        <v/>
      </c>
      <c r="D50" s="45"/>
      <c r="E50" s="45"/>
      <c r="F50" s="45"/>
      <c r="G50" s="1">
        <f t="shared" si="4"/>
        <v>0</v>
      </c>
      <c r="H50" s="45"/>
      <c r="I50" s="208"/>
    </row>
    <row r="51" spans="1:9" hidden="1">
      <c r="A51" s="1">
        <v>4</v>
      </c>
      <c r="B51" s="1">
        <v>1</v>
      </c>
      <c r="C51" s="1" t="str">
        <f t="shared" si="1"/>
        <v/>
      </c>
      <c r="D51" s="45"/>
      <c r="E51" s="45"/>
      <c r="F51" s="45"/>
      <c r="G51" s="1">
        <f t="shared" si="4"/>
        <v>0</v>
      </c>
      <c r="H51" s="45"/>
      <c r="I51" s="208"/>
    </row>
    <row r="52" spans="1:9" hidden="1">
      <c r="A52" s="1">
        <v>4</v>
      </c>
      <c r="B52" s="1">
        <v>2</v>
      </c>
      <c r="C52" s="1" t="str">
        <f t="shared" si="1"/>
        <v/>
      </c>
      <c r="D52" s="45"/>
      <c r="E52" s="45"/>
      <c r="F52" s="45"/>
      <c r="G52" s="1">
        <f t="shared" si="4"/>
        <v>0</v>
      </c>
      <c r="H52" s="45"/>
      <c r="I52" s="208"/>
    </row>
    <row r="53" spans="1:9" hidden="1">
      <c r="A53" s="1">
        <v>4</v>
      </c>
      <c r="B53" s="1">
        <v>2</v>
      </c>
      <c r="C53" s="1" t="str">
        <f t="shared" si="1"/>
        <v/>
      </c>
      <c r="D53" s="45"/>
      <c r="E53" s="45"/>
      <c r="F53" s="45"/>
      <c r="G53" s="1">
        <f t="shared" si="4"/>
        <v>0</v>
      </c>
      <c r="H53" s="45"/>
      <c r="I53" s="208"/>
    </row>
    <row r="54" spans="1:9" hidden="1">
      <c r="A54" s="1">
        <v>4</v>
      </c>
      <c r="B54" s="1">
        <v>2</v>
      </c>
      <c r="C54" s="1" t="str">
        <f t="shared" si="1"/>
        <v/>
      </c>
      <c r="D54" s="45"/>
      <c r="E54" s="45"/>
      <c r="F54" s="45"/>
      <c r="G54" s="1">
        <f t="shared" si="4"/>
        <v>0</v>
      </c>
      <c r="H54" s="45"/>
      <c r="I54" s="208"/>
    </row>
    <row r="55" spans="1:9" hidden="1">
      <c r="A55" s="1">
        <v>4</v>
      </c>
      <c r="B55" s="1">
        <v>2</v>
      </c>
      <c r="C55" s="1" t="str">
        <f t="shared" si="1"/>
        <v/>
      </c>
      <c r="D55" s="45"/>
      <c r="E55" s="45"/>
      <c r="F55" s="45"/>
      <c r="G55" s="1">
        <f t="shared" si="4"/>
        <v>0</v>
      </c>
      <c r="H55" s="45"/>
      <c r="I55" s="208"/>
    </row>
    <row r="56" spans="1:9" hidden="1">
      <c r="A56" s="1">
        <v>4</v>
      </c>
      <c r="B56" s="1">
        <v>2</v>
      </c>
      <c r="C56" s="1" t="str">
        <f t="shared" si="1"/>
        <v/>
      </c>
      <c r="D56" s="45"/>
      <c r="E56" s="45"/>
      <c r="F56" s="45"/>
      <c r="G56" s="1">
        <f t="shared" si="4"/>
        <v>0</v>
      </c>
      <c r="H56" s="45"/>
      <c r="I56" s="208"/>
    </row>
    <row r="57" spans="1:9" hidden="1">
      <c r="A57" s="1">
        <v>4</v>
      </c>
      <c r="B57" s="1">
        <v>3</v>
      </c>
      <c r="C57" s="1" t="str">
        <f t="shared" si="1"/>
        <v/>
      </c>
      <c r="D57" s="45"/>
      <c r="E57" s="45"/>
      <c r="F57" s="45"/>
      <c r="G57" s="1">
        <f t="shared" si="4"/>
        <v>0</v>
      </c>
      <c r="H57" s="45"/>
      <c r="I57" s="208"/>
    </row>
    <row r="58" spans="1:9" hidden="1">
      <c r="A58" s="1">
        <v>4</v>
      </c>
      <c r="B58" s="1">
        <v>3</v>
      </c>
      <c r="C58" s="1" t="str">
        <f t="shared" si="1"/>
        <v/>
      </c>
      <c r="D58" s="45"/>
      <c r="E58" s="45"/>
      <c r="F58" s="45"/>
      <c r="G58" s="1">
        <f t="shared" si="4"/>
        <v>0</v>
      </c>
      <c r="H58" s="45"/>
      <c r="I58" s="208"/>
    </row>
    <row r="59" spans="1:9" hidden="1">
      <c r="A59" s="1">
        <v>4</v>
      </c>
      <c r="B59" s="1">
        <v>3</v>
      </c>
      <c r="C59" s="1" t="str">
        <f t="shared" si="1"/>
        <v/>
      </c>
      <c r="D59" s="45"/>
      <c r="E59" s="45"/>
      <c r="F59" s="45"/>
      <c r="G59" s="1">
        <f t="shared" si="4"/>
        <v>0</v>
      </c>
      <c r="H59" s="45"/>
      <c r="I59" s="208"/>
    </row>
    <row r="60" spans="1:9" hidden="1">
      <c r="A60" s="1">
        <v>4</v>
      </c>
      <c r="B60" s="1">
        <v>3</v>
      </c>
      <c r="C60" s="1" t="str">
        <f t="shared" si="1"/>
        <v/>
      </c>
      <c r="D60" s="45"/>
      <c r="E60" s="45"/>
      <c r="F60" s="45"/>
      <c r="G60" s="1">
        <f t="shared" si="4"/>
        <v>0</v>
      </c>
      <c r="H60" s="45"/>
      <c r="I60" s="208"/>
    </row>
    <row r="61" spans="1:9" hidden="1">
      <c r="A61" s="1">
        <v>4</v>
      </c>
      <c r="B61" s="1">
        <v>3</v>
      </c>
      <c r="C61" s="1" t="str">
        <f t="shared" si="1"/>
        <v/>
      </c>
      <c r="D61" s="45"/>
      <c r="E61" s="45"/>
      <c r="F61" s="45"/>
      <c r="G61" s="1">
        <f t="shared" si="4"/>
        <v>0</v>
      </c>
      <c r="H61" s="45"/>
      <c r="I61" s="208"/>
    </row>
    <row r="62" spans="1:9">
      <c r="A62" s="6">
        <v>3</v>
      </c>
      <c r="B62" s="6">
        <v>1</v>
      </c>
      <c r="C62" s="1" t="str">
        <f t="shared" si="1"/>
        <v/>
      </c>
      <c r="D62" s="270"/>
      <c r="E62" s="270"/>
      <c r="F62" s="270"/>
      <c r="G62" s="6">
        <f t="shared" ref="G62:G76" si="5">product_5_name</f>
        <v>0</v>
      </c>
      <c r="H62" s="270"/>
      <c r="I62" s="271"/>
    </row>
    <row r="63" spans="1:9">
      <c r="A63" s="1">
        <v>3</v>
      </c>
      <c r="B63" s="1">
        <v>1</v>
      </c>
      <c r="C63" s="1" t="str">
        <f t="shared" si="1"/>
        <v/>
      </c>
      <c r="D63" s="45"/>
      <c r="E63" s="45"/>
      <c r="F63" s="45"/>
      <c r="G63" s="1">
        <f t="shared" si="5"/>
        <v>0</v>
      </c>
      <c r="H63" s="45"/>
      <c r="I63" s="208"/>
    </row>
    <row r="64" spans="1:9">
      <c r="A64" s="1">
        <v>3</v>
      </c>
      <c r="B64" s="1">
        <v>1</v>
      </c>
      <c r="C64" s="1" t="str">
        <f t="shared" si="1"/>
        <v/>
      </c>
      <c r="D64" s="45"/>
      <c r="E64" s="45"/>
      <c r="F64" s="45"/>
      <c r="G64" s="1">
        <f t="shared" si="5"/>
        <v>0</v>
      </c>
      <c r="H64" s="45"/>
      <c r="I64" s="208"/>
    </row>
    <row r="65" spans="1:9">
      <c r="A65" s="1">
        <v>3</v>
      </c>
      <c r="B65" s="1">
        <v>1</v>
      </c>
      <c r="C65" s="1" t="str">
        <f t="shared" si="1"/>
        <v/>
      </c>
      <c r="D65" s="45"/>
      <c r="E65" s="45"/>
      <c r="F65" s="45"/>
      <c r="G65" s="1">
        <f t="shared" si="5"/>
        <v>0</v>
      </c>
      <c r="H65" s="45"/>
      <c r="I65" s="208"/>
    </row>
    <row r="66" spans="1:9">
      <c r="A66" s="1">
        <v>3</v>
      </c>
      <c r="B66" s="1">
        <v>1</v>
      </c>
      <c r="C66" s="1" t="str">
        <f t="shared" si="1"/>
        <v/>
      </c>
      <c r="D66" s="45"/>
      <c r="E66" s="45"/>
      <c r="F66" s="45"/>
      <c r="G66" s="1">
        <f t="shared" si="5"/>
        <v>0</v>
      </c>
      <c r="H66" s="45"/>
      <c r="I66" s="208"/>
    </row>
    <row r="67" spans="1:9">
      <c r="A67" s="1">
        <v>3</v>
      </c>
      <c r="B67" s="1">
        <v>2</v>
      </c>
      <c r="C67" s="1" t="str">
        <f t="shared" ref="C67:C130" si="6">IFERROR(E67/F67, "")</f>
        <v/>
      </c>
      <c r="D67" s="45"/>
      <c r="E67" s="45"/>
      <c r="F67" s="45"/>
      <c r="G67" s="1">
        <f t="shared" si="5"/>
        <v>0</v>
      </c>
      <c r="H67" s="45"/>
      <c r="I67" s="208"/>
    </row>
    <row r="68" spans="1:9">
      <c r="A68" s="1">
        <v>3</v>
      </c>
      <c r="B68" s="1">
        <v>2</v>
      </c>
      <c r="C68" s="1" t="str">
        <f t="shared" si="6"/>
        <v/>
      </c>
      <c r="D68" s="45"/>
      <c r="E68" s="45"/>
      <c r="F68" s="45"/>
      <c r="G68" s="1">
        <f t="shared" si="5"/>
        <v>0</v>
      </c>
      <c r="H68" s="45"/>
      <c r="I68" s="208"/>
    </row>
    <row r="69" spans="1:9">
      <c r="A69" s="1">
        <v>3</v>
      </c>
      <c r="B69" s="1">
        <v>2</v>
      </c>
      <c r="C69" s="1" t="str">
        <f t="shared" si="6"/>
        <v/>
      </c>
      <c r="D69" s="45"/>
      <c r="E69" s="45"/>
      <c r="F69" s="45"/>
      <c r="G69" s="1">
        <f t="shared" si="5"/>
        <v>0</v>
      </c>
      <c r="H69" s="45"/>
      <c r="I69" s="208"/>
    </row>
    <row r="70" spans="1:9">
      <c r="A70" s="1">
        <v>3</v>
      </c>
      <c r="B70" s="1">
        <v>2</v>
      </c>
      <c r="C70" s="1" t="str">
        <f t="shared" si="6"/>
        <v/>
      </c>
      <c r="D70" s="45"/>
      <c r="E70" s="45"/>
      <c r="F70" s="45"/>
      <c r="G70" s="1">
        <f t="shared" si="5"/>
        <v>0</v>
      </c>
      <c r="H70" s="45"/>
      <c r="I70" s="208"/>
    </row>
    <row r="71" spans="1:9">
      <c r="A71" s="1">
        <v>3</v>
      </c>
      <c r="B71" s="1">
        <v>2</v>
      </c>
      <c r="C71" s="1" t="str">
        <f t="shared" si="6"/>
        <v/>
      </c>
      <c r="D71" s="45"/>
      <c r="E71" s="45"/>
      <c r="F71" s="45"/>
      <c r="G71" s="1">
        <f t="shared" si="5"/>
        <v>0</v>
      </c>
      <c r="H71" s="45"/>
      <c r="I71" s="208"/>
    </row>
    <row r="72" spans="1:9">
      <c r="A72" s="1">
        <v>3</v>
      </c>
      <c r="B72" s="1">
        <v>3</v>
      </c>
      <c r="C72" s="1" t="str">
        <f t="shared" si="6"/>
        <v/>
      </c>
      <c r="D72" s="45"/>
      <c r="E72" s="45"/>
      <c r="F72" s="45"/>
      <c r="G72" s="1">
        <f t="shared" si="5"/>
        <v>0</v>
      </c>
      <c r="H72" s="45"/>
      <c r="I72" s="208"/>
    </row>
    <row r="73" spans="1:9">
      <c r="A73" s="1">
        <v>3</v>
      </c>
      <c r="B73" s="1">
        <v>3</v>
      </c>
      <c r="C73" s="1" t="str">
        <f t="shared" si="6"/>
        <v/>
      </c>
      <c r="D73" s="45"/>
      <c r="E73" s="45"/>
      <c r="F73" s="45"/>
      <c r="G73" s="1">
        <f t="shared" si="5"/>
        <v>0</v>
      </c>
      <c r="H73" s="45"/>
      <c r="I73" s="208"/>
    </row>
    <row r="74" spans="1:9">
      <c r="A74" s="1">
        <v>3</v>
      </c>
      <c r="B74" s="1">
        <v>3</v>
      </c>
      <c r="C74" s="1" t="str">
        <f t="shared" si="6"/>
        <v/>
      </c>
      <c r="D74" s="45"/>
      <c r="E74" s="45"/>
      <c r="F74" s="45"/>
      <c r="G74" s="1">
        <f t="shared" si="5"/>
        <v>0</v>
      </c>
      <c r="H74" s="45"/>
      <c r="I74" s="208"/>
    </row>
    <row r="75" spans="1:9">
      <c r="A75" s="1">
        <v>3</v>
      </c>
      <c r="B75" s="1">
        <v>3</v>
      </c>
      <c r="C75" s="1" t="str">
        <f t="shared" si="6"/>
        <v/>
      </c>
      <c r="D75" s="45"/>
      <c r="E75" s="45"/>
      <c r="F75" s="45"/>
      <c r="G75" s="1">
        <f t="shared" si="5"/>
        <v>0</v>
      </c>
      <c r="H75" s="45"/>
      <c r="I75" s="208"/>
    </row>
    <row r="76" spans="1:9">
      <c r="A76" s="1">
        <v>3</v>
      </c>
      <c r="B76" s="1">
        <v>3</v>
      </c>
      <c r="C76" s="678" t="str">
        <f t="shared" si="6"/>
        <v/>
      </c>
      <c r="D76" s="45"/>
      <c r="E76" s="45"/>
      <c r="F76" s="45"/>
      <c r="G76" s="1">
        <f t="shared" si="5"/>
        <v>0</v>
      </c>
      <c r="H76" s="45"/>
      <c r="I76" s="208"/>
    </row>
    <row r="77" spans="1:9" hidden="1">
      <c r="A77" s="6">
        <v>6</v>
      </c>
      <c r="B77" s="6">
        <v>1</v>
      </c>
      <c r="C77" s="678" t="str">
        <f t="shared" si="6"/>
        <v/>
      </c>
      <c r="D77" s="270"/>
      <c r="E77" s="270"/>
      <c r="F77" s="270"/>
      <c r="G77" s="6">
        <f t="shared" ref="G77:G91" si="7">product_6_name</f>
        <v>0</v>
      </c>
      <c r="H77" s="270"/>
      <c r="I77" s="271"/>
    </row>
    <row r="78" spans="1:9" hidden="1">
      <c r="A78" s="1">
        <v>6</v>
      </c>
      <c r="B78" s="1">
        <v>1</v>
      </c>
      <c r="C78" s="678" t="str">
        <f t="shared" si="6"/>
        <v/>
      </c>
      <c r="D78" s="45"/>
      <c r="E78" s="45"/>
      <c r="F78" s="45"/>
      <c r="G78" s="1">
        <f t="shared" si="7"/>
        <v>0</v>
      </c>
      <c r="H78" s="45"/>
      <c r="I78" s="208"/>
    </row>
    <row r="79" spans="1:9" hidden="1">
      <c r="A79" s="1">
        <v>6</v>
      </c>
      <c r="B79" s="1">
        <v>1</v>
      </c>
      <c r="C79" s="678" t="str">
        <f t="shared" si="6"/>
        <v/>
      </c>
      <c r="D79" s="45"/>
      <c r="E79" s="45"/>
      <c r="F79" s="45"/>
      <c r="G79" s="1">
        <f t="shared" si="7"/>
        <v>0</v>
      </c>
      <c r="H79" s="45"/>
      <c r="I79" s="208"/>
    </row>
    <row r="80" spans="1:9" hidden="1">
      <c r="A80" s="1">
        <v>6</v>
      </c>
      <c r="B80" s="1">
        <v>1</v>
      </c>
      <c r="C80" s="678" t="str">
        <f t="shared" si="6"/>
        <v/>
      </c>
      <c r="D80" s="45"/>
      <c r="E80" s="45"/>
      <c r="F80" s="45"/>
      <c r="G80" s="1">
        <f t="shared" si="7"/>
        <v>0</v>
      </c>
      <c r="H80" s="45"/>
      <c r="I80" s="208"/>
    </row>
    <row r="81" spans="1:9" hidden="1">
      <c r="A81" s="1">
        <v>6</v>
      </c>
      <c r="B81" s="1">
        <v>1</v>
      </c>
      <c r="C81" s="678" t="str">
        <f t="shared" si="6"/>
        <v/>
      </c>
      <c r="D81" s="45"/>
      <c r="E81" s="45"/>
      <c r="F81" s="45"/>
      <c r="G81" s="1">
        <f t="shared" si="7"/>
        <v>0</v>
      </c>
      <c r="H81" s="45"/>
      <c r="I81" s="208"/>
    </row>
    <row r="82" spans="1:9" hidden="1">
      <c r="A82" s="1">
        <v>6</v>
      </c>
      <c r="B82" s="1">
        <v>2</v>
      </c>
      <c r="C82" s="678" t="str">
        <f t="shared" si="6"/>
        <v/>
      </c>
      <c r="D82" s="45"/>
      <c r="E82" s="45"/>
      <c r="F82" s="45"/>
      <c r="G82" s="1">
        <f t="shared" si="7"/>
        <v>0</v>
      </c>
      <c r="H82" s="45"/>
      <c r="I82" s="208"/>
    </row>
    <row r="83" spans="1:9" hidden="1">
      <c r="A83" s="1">
        <v>6</v>
      </c>
      <c r="B83" s="1">
        <v>2</v>
      </c>
      <c r="C83" s="678" t="str">
        <f t="shared" si="6"/>
        <v/>
      </c>
      <c r="D83" s="45"/>
      <c r="E83" s="45"/>
      <c r="F83" s="45"/>
      <c r="G83" s="1">
        <f t="shared" si="7"/>
        <v>0</v>
      </c>
      <c r="H83" s="45"/>
      <c r="I83" s="208"/>
    </row>
    <row r="84" spans="1:9" hidden="1">
      <c r="A84" s="1">
        <v>6</v>
      </c>
      <c r="B84" s="1">
        <v>2</v>
      </c>
      <c r="C84" s="678" t="str">
        <f t="shared" si="6"/>
        <v/>
      </c>
      <c r="D84" s="45"/>
      <c r="E84" s="45"/>
      <c r="F84" s="45"/>
      <c r="G84" s="1">
        <f t="shared" si="7"/>
        <v>0</v>
      </c>
      <c r="H84" s="45"/>
      <c r="I84" s="208"/>
    </row>
    <row r="85" spans="1:9" hidden="1">
      <c r="A85" s="1">
        <v>6</v>
      </c>
      <c r="B85" s="1">
        <v>2</v>
      </c>
      <c r="C85" s="678" t="str">
        <f t="shared" si="6"/>
        <v/>
      </c>
      <c r="D85" s="45"/>
      <c r="E85" s="45"/>
      <c r="F85" s="45"/>
      <c r="G85" s="1">
        <f t="shared" si="7"/>
        <v>0</v>
      </c>
      <c r="H85" s="45"/>
      <c r="I85" s="208"/>
    </row>
    <row r="86" spans="1:9" hidden="1">
      <c r="A86" s="1">
        <v>6</v>
      </c>
      <c r="B86" s="1">
        <v>2</v>
      </c>
      <c r="C86" s="678" t="str">
        <f t="shared" si="6"/>
        <v/>
      </c>
      <c r="D86" s="45"/>
      <c r="E86" s="45"/>
      <c r="F86" s="45"/>
      <c r="G86" s="1">
        <f t="shared" si="7"/>
        <v>0</v>
      </c>
      <c r="H86" s="45"/>
      <c r="I86" s="208"/>
    </row>
    <row r="87" spans="1:9" hidden="1">
      <c r="A87" s="1">
        <v>6</v>
      </c>
      <c r="B87" s="1">
        <v>3</v>
      </c>
      <c r="C87" s="678" t="str">
        <f t="shared" si="6"/>
        <v/>
      </c>
      <c r="D87" s="45"/>
      <c r="E87" s="45"/>
      <c r="F87" s="45"/>
      <c r="G87" s="1">
        <f t="shared" si="7"/>
        <v>0</v>
      </c>
      <c r="H87" s="45"/>
      <c r="I87" s="208"/>
    </row>
    <row r="88" spans="1:9" hidden="1">
      <c r="A88" s="1">
        <v>6</v>
      </c>
      <c r="B88" s="1">
        <v>3</v>
      </c>
      <c r="C88" s="678" t="str">
        <f t="shared" si="6"/>
        <v/>
      </c>
      <c r="D88" s="45"/>
      <c r="E88" s="45"/>
      <c r="F88" s="45"/>
      <c r="G88" s="1">
        <f t="shared" si="7"/>
        <v>0</v>
      </c>
      <c r="H88" s="45"/>
      <c r="I88" s="208"/>
    </row>
    <row r="89" spans="1:9" hidden="1">
      <c r="A89" s="1">
        <v>6</v>
      </c>
      <c r="B89" s="1">
        <v>3</v>
      </c>
      <c r="C89" s="678" t="str">
        <f t="shared" si="6"/>
        <v/>
      </c>
      <c r="D89" s="45"/>
      <c r="E89" s="45"/>
      <c r="F89" s="45"/>
      <c r="G89" s="1">
        <f t="shared" si="7"/>
        <v>0</v>
      </c>
      <c r="H89" s="45"/>
      <c r="I89" s="208"/>
    </row>
    <row r="90" spans="1:9" hidden="1">
      <c r="A90" s="1">
        <v>6</v>
      </c>
      <c r="B90" s="1">
        <v>3</v>
      </c>
      <c r="C90" s="678" t="str">
        <f t="shared" si="6"/>
        <v/>
      </c>
      <c r="D90" s="45"/>
      <c r="E90" s="45"/>
      <c r="F90" s="45"/>
      <c r="G90" s="1">
        <f t="shared" si="7"/>
        <v>0</v>
      </c>
      <c r="H90" s="45"/>
      <c r="I90" s="208"/>
    </row>
    <row r="91" spans="1:9" hidden="1">
      <c r="A91" s="1">
        <v>6</v>
      </c>
      <c r="B91" s="1">
        <v>3</v>
      </c>
      <c r="C91" s="678" t="str">
        <f t="shared" si="6"/>
        <v/>
      </c>
      <c r="D91" s="45"/>
      <c r="E91" s="45"/>
      <c r="F91" s="45"/>
      <c r="G91" s="1">
        <f t="shared" si="7"/>
        <v>0</v>
      </c>
      <c r="H91" s="45"/>
      <c r="I91" s="208"/>
    </row>
    <row r="92" spans="1:9">
      <c r="A92" s="6">
        <v>4</v>
      </c>
      <c r="B92" s="6">
        <v>1</v>
      </c>
      <c r="C92" s="679" t="str">
        <f t="shared" si="6"/>
        <v/>
      </c>
      <c r="D92" s="270"/>
      <c r="E92" s="270"/>
      <c r="F92" s="270"/>
      <c r="G92" s="6">
        <f t="shared" ref="G92:G106" si="8">product_7_name</f>
        <v>0</v>
      </c>
      <c r="H92" s="270"/>
      <c r="I92" s="271"/>
    </row>
    <row r="93" spans="1:9">
      <c r="A93" s="1">
        <v>4</v>
      </c>
      <c r="B93" s="1">
        <v>1</v>
      </c>
      <c r="C93" s="1" t="str">
        <f t="shared" si="6"/>
        <v/>
      </c>
      <c r="D93" s="45"/>
      <c r="E93" s="45"/>
      <c r="F93" s="45"/>
      <c r="G93" s="1">
        <f t="shared" si="8"/>
        <v>0</v>
      </c>
      <c r="H93" s="45"/>
      <c r="I93" s="208"/>
    </row>
    <row r="94" spans="1:9">
      <c r="A94" s="1">
        <v>4</v>
      </c>
      <c r="B94" s="1">
        <v>1</v>
      </c>
      <c r="C94" s="1" t="str">
        <f t="shared" si="6"/>
        <v/>
      </c>
      <c r="D94" s="45"/>
      <c r="E94" s="45"/>
      <c r="F94" s="45"/>
      <c r="G94" s="1">
        <f t="shared" si="8"/>
        <v>0</v>
      </c>
      <c r="H94" s="45"/>
      <c r="I94" s="208"/>
    </row>
    <row r="95" spans="1:9">
      <c r="A95" s="1">
        <v>4</v>
      </c>
      <c r="B95" s="1">
        <v>1</v>
      </c>
      <c r="C95" s="1" t="str">
        <f t="shared" si="6"/>
        <v/>
      </c>
      <c r="D95" s="45"/>
      <c r="E95" s="45"/>
      <c r="F95" s="45"/>
      <c r="G95" s="1">
        <f t="shared" si="8"/>
        <v>0</v>
      </c>
      <c r="H95" s="45"/>
      <c r="I95" s="208"/>
    </row>
    <row r="96" spans="1:9">
      <c r="A96" s="1">
        <v>4</v>
      </c>
      <c r="B96" s="1">
        <v>1</v>
      </c>
      <c r="C96" s="1" t="str">
        <f t="shared" si="6"/>
        <v/>
      </c>
      <c r="D96" s="45"/>
      <c r="E96" s="45"/>
      <c r="F96" s="45"/>
      <c r="G96" s="1">
        <f t="shared" si="8"/>
        <v>0</v>
      </c>
      <c r="H96" s="45"/>
      <c r="I96" s="208"/>
    </row>
    <row r="97" spans="1:9">
      <c r="A97" s="1">
        <v>4</v>
      </c>
      <c r="B97" s="1">
        <v>2</v>
      </c>
      <c r="C97" s="1" t="str">
        <f t="shared" si="6"/>
        <v/>
      </c>
      <c r="D97" s="45"/>
      <c r="E97" s="45"/>
      <c r="F97" s="45"/>
      <c r="G97" s="1">
        <f t="shared" si="8"/>
        <v>0</v>
      </c>
      <c r="H97" s="45"/>
      <c r="I97" s="208"/>
    </row>
    <row r="98" spans="1:9">
      <c r="A98" s="1">
        <v>4</v>
      </c>
      <c r="B98" s="1">
        <v>2</v>
      </c>
      <c r="C98" s="1" t="str">
        <f t="shared" si="6"/>
        <v/>
      </c>
      <c r="D98" s="45"/>
      <c r="E98" s="45"/>
      <c r="F98" s="45"/>
      <c r="G98" s="1">
        <f t="shared" si="8"/>
        <v>0</v>
      </c>
      <c r="H98" s="45"/>
      <c r="I98" s="208"/>
    </row>
    <row r="99" spans="1:9">
      <c r="A99" s="1">
        <v>4</v>
      </c>
      <c r="B99" s="1">
        <v>2</v>
      </c>
      <c r="C99" s="1" t="str">
        <f t="shared" si="6"/>
        <v/>
      </c>
      <c r="D99" s="45"/>
      <c r="E99" s="45"/>
      <c r="F99" s="45"/>
      <c r="G99" s="1">
        <f t="shared" si="8"/>
        <v>0</v>
      </c>
      <c r="H99" s="45"/>
      <c r="I99" s="208"/>
    </row>
    <row r="100" spans="1:9">
      <c r="A100" s="1">
        <v>4</v>
      </c>
      <c r="B100" s="1">
        <v>2</v>
      </c>
      <c r="C100" s="1" t="str">
        <f t="shared" si="6"/>
        <v/>
      </c>
      <c r="D100" s="45"/>
      <c r="E100" s="45"/>
      <c r="F100" s="45"/>
      <c r="G100" s="1">
        <f t="shared" si="8"/>
        <v>0</v>
      </c>
      <c r="H100" s="45"/>
      <c r="I100" s="208"/>
    </row>
    <row r="101" spans="1:9">
      <c r="A101" s="1">
        <v>4</v>
      </c>
      <c r="B101" s="1">
        <v>2</v>
      </c>
      <c r="C101" s="1" t="str">
        <f t="shared" si="6"/>
        <v/>
      </c>
      <c r="D101" s="45"/>
      <c r="E101" s="45"/>
      <c r="F101" s="45"/>
      <c r="G101" s="1">
        <f t="shared" si="8"/>
        <v>0</v>
      </c>
      <c r="H101" s="45"/>
      <c r="I101" s="208"/>
    </row>
    <row r="102" spans="1:9">
      <c r="A102" s="1">
        <v>4</v>
      </c>
      <c r="B102" s="1">
        <v>3</v>
      </c>
      <c r="C102" s="1" t="str">
        <f t="shared" si="6"/>
        <v/>
      </c>
      <c r="D102" s="45"/>
      <c r="E102" s="45"/>
      <c r="F102" s="45"/>
      <c r="G102" s="1">
        <f t="shared" si="8"/>
        <v>0</v>
      </c>
      <c r="H102" s="45"/>
      <c r="I102" s="208"/>
    </row>
    <row r="103" spans="1:9">
      <c r="A103" s="1">
        <v>4</v>
      </c>
      <c r="B103" s="1">
        <v>3</v>
      </c>
      <c r="C103" s="1" t="str">
        <f t="shared" si="6"/>
        <v/>
      </c>
      <c r="D103" s="45"/>
      <c r="E103" s="45"/>
      <c r="F103" s="45"/>
      <c r="G103" s="1">
        <f t="shared" si="8"/>
        <v>0</v>
      </c>
      <c r="H103" s="45"/>
      <c r="I103" s="208"/>
    </row>
    <row r="104" spans="1:9">
      <c r="A104" s="1">
        <v>4</v>
      </c>
      <c r="B104" s="1">
        <v>3</v>
      </c>
      <c r="C104" s="1" t="str">
        <f t="shared" si="6"/>
        <v/>
      </c>
      <c r="D104" s="45"/>
      <c r="E104" s="45"/>
      <c r="F104" s="45"/>
      <c r="G104" s="1">
        <f t="shared" si="8"/>
        <v>0</v>
      </c>
      <c r="H104" s="45"/>
      <c r="I104" s="208"/>
    </row>
    <row r="105" spans="1:9">
      <c r="A105" s="1">
        <v>4</v>
      </c>
      <c r="B105" s="1">
        <v>3</v>
      </c>
      <c r="C105" s="1" t="str">
        <f t="shared" si="6"/>
        <v/>
      </c>
      <c r="D105" s="45"/>
      <c r="E105" s="45"/>
      <c r="F105" s="45"/>
      <c r="G105" s="1">
        <f t="shared" si="8"/>
        <v>0</v>
      </c>
      <c r="H105" s="45"/>
      <c r="I105" s="208"/>
    </row>
    <row r="106" spans="1:9">
      <c r="A106" s="1">
        <v>4</v>
      </c>
      <c r="B106" s="1">
        <v>3</v>
      </c>
      <c r="C106" s="678" t="str">
        <f t="shared" si="6"/>
        <v/>
      </c>
      <c r="D106" s="45"/>
      <c r="E106" s="45"/>
      <c r="F106" s="45"/>
      <c r="G106" s="1">
        <f t="shared" si="8"/>
        <v>0</v>
      </c>
      <c r="H106" s="45"/>
      <c r="I106" s="208"/>
    </row>
    <row r="107" spans="1:9">
      <c r="A107" s="6">
        <v>5</v>
      </c>
      <c r="B107" s="6">
        <v>1</v>
      </c>
      <c r="C107" s="1" t="str">
        <f t="shared" si="6"/>
        <v/>
      </c>
      <c r="D107" s="270"/>
      <c r="E107" s="270"/>
      <c r="F107" s="270"/>
      <c r="G107" s="6">
        <f t="shared" ref="G107:G121" si="9">product_8_name</f>
        <v>0</v>
      </c>
      <c r="H107" s="270"/>
      <c r="I107" s="271"/>
    </row>
    <row r="108" spans="1:9">
      <c r="A108" s="1">
        <v>5</v>
      </c>
      <c r="B108" s="1">
        <v>1</v>
      </c>
      <c r="C108" s="1" t="str">
        <f t="shared" si="6"/>
        <v/>
      </c>
      <c r="D108" s="45"/>
      <c r="E108" s="45"/>
      <c r="F108" s="45"/>
      <c r="G108" s="1">
        <f t="shared" si="9"/>
        <v>0</v>
      </c>
      <c r="H108" s="45"/>
      <c r="I108" s="208"/>
    </row>
    <row r="109" spans="1:9">
      <c r="A109" s="1">
        <v>5</v>
      </c>
      <c r="B109" s="1">
        <v>1</v>
      </c>
      <c r="C109" s="1" t="str">
        <f t="shared" si="6"/>
        <v/>
      </c>
      <c r="D109" s="45"/>
      <c r="E109" s="45"/>
      <c r="F109" s="45"/>
      <c r="G109" s="1">
        <f t="shared" si="9"/>
        <v>0</v>
      </c>
      <c r="H109" s="45"/>
      <c r="I109" s="208"/>
    </row>
    <row r="110" spans="1:9">
      <c r="A110" s="1">
        <v>5</v>
      </c>
      <c r="B110" s="1">
        <v>1</v>
      </c>
      <c r="C110" s="1" t="str">
        <f t="shared" si="6"/>
        <v/>
      </c>
      <c r="D110" s="45"/>
      <c r="E110" s="45"/>
      <c r="F110" s="45"/>
      <c r="G110" s="1">
        <f t="shared" si="9"/>
        <v>0</v>
      </c>
      <c r="H110" s="45"/>
      <c r="I110" s="208"/>
    </row>
    <row r="111" spans="1:9">
      <c r="A111" s="1">
        <v>5</v>
      </c>
      <c r="B111" s="1">
        <v>1</v>
      </c>
      <c r="C111" s="1" t="str">
        <f t="shared" si="6"/>
        <v/>
      </c>
      <c r="D111" s="45"/>
      <c r="E111" s="45"/>
      <c r="F111" s="45"/>
      <c r="G111" s="1">
        <f t="shared" si="9"/>
        <v>0</v>
      </c>
      <c r="H111" s="45"/>
      <c r="I111" s="208"/>
    </row>
    <row r="112" spans="1:9">
      <c r="A112" s="1">
        <v>5</v>
      </c>
      <c r="B112" s="1">
        <v>2</v>
      </c>
      <c r="C112" s="1" t="str">
        <f t="shared" si="6"/>
        <v/>
      </c>
      <c r="D112" s="45"/>
      <c r="E112" s="45"/>
      <c r="F112" s="45"/>
      <c r="G112" s="1">
        <f t="shared" si="9"/>
        <v>0</v>
      </c>
      <c r="H112" s="45"/>
      <c r="I112" s="208"/>
    </row>
    <row r="113" spans="1:9">
      <c r="A113" s="1">
        <v>5</v>
      </c>
      <c r="B113" s="1">
        <v>2</v>
      </c>
      <c r="C113" s="1" t="str">
        <f t="shared" si="6"/>
        <v/>
      </c>
      <c r="D113" s="45"/>
      <c r="E113" s="45"/>
      <c r="F113" s="45"/>
      <c r="G113" s="1">
        <f t="shared" si="9"/>
        <v>0</v>
      </c>
      <c r="H113" s="45"/>
      <c r="I113" s="208"/>
    </row>
    <row r="114" spans="1:9">
      <c r="A114" s="1">
        <v>5</v>
      </c>
      <c r="B114" s="1">
        <v>2</v>
      </c>
      <c r="C114" s="1" t="str">
        <f t="shared" si="6"/>
        <v/>
      </c>
      <c r="D114" s="45"/>
      <c r="E114" s="45"/>
      <c r="F114" s="45"/>
      <c r="G114" s="1">
        <f t="shared" si="9"/>
        <v>0</v>
      </c>
      <c r="H114" s="45"/>
      <c r="I114" s="208"/>
    </row>
    <row r="115" spans="1:9">
      <c r="A115" s="1">
        <v>5</v>
      </c>
      <c r="B115" s="1">
        <v>2</v>
      </c>
      <c r="C115" s="1" t="str">
        <f t="shared" si="6"/>
        <v/>
      </c>
      <c r="D115" s="45"/>
      <c r="E115" s="45"/>
      <c r="F115" s="45"/>
      <c r="G115" s="1">
        <f t="shared" si="9"/>
        <v>0</v>
      </c>
      <c r="H115" s="45"/>
      <c r="I115" s="208"/>
    </row>
    <row r="116" spans="1:9">
      <c r="A116" s="1">
        <v>5</v>
      </c>
      <c r="B116" s="1">
        <v>2</v>
      </c>
      <c r="C116" s="1" t="str">
        <f t="shared" si="6"/>
        <v/>
      </c>
      <c r="D116" s="45"/>
      <c r="E116" s="45"/>
      <c r="F116" s="45"/>
      <c r="G116" s="1">
        <f t="shared" si="9"/>
        <v>0</v>
      </c>
      <c r="H116" s="45"/>
      <c r="I116" s="208"/>
    </row>
    <row r="117" spans="1:9">
      <c r="A117" s="1">
        <v>5</v>
      </c>
      <c r="B117" s="1">
        <v>3</v>
      </c>
      <c r="C117" s="1" t="str">
        <f t="shared" si="6"/>
        <v/>
      </c>
      <c r="D117" s="45"/>
      <c r="E117" s="45"/>
      <c r="F117" s="45"/>
      <c r="G117" s="1">
        <f t="shared" si="9"/>
        <v>0</v>
      </c>
      <c r="H117" s="45"/>
      <c r="I117" s="208"/>
    </row>
    <row r="118" spans="1:9">
      <c r="A118" s="1">
        <v>5</v>
      </c>
      <c r="B118" s="1">
        <v>3</v>
      </c>
      <c r="C118" s="1" t="str">
        <f t="shared" si="6"/>
        <v/>
      </c>
      <c r="D118" s="45"/>
      <c r="E118" s="45"/>
      <c r="F118" s="45"/>
      <c r="G118" s="1">
        <f t="shared" si="9"/>
        <v>0</v>
      </c>
      <c r="H118" s="45"/>
      <c r="I118" s="208"/>
    </row>
    <row r="119" spans="1:9">
      <c r="A119" s="1">
        <v>5</v>
      </c>
      <c r="B119" s="1">
        <v>3</v>
      </c>
      <c r="C119" s="1" t="str">
        <f t="shared" si="6"/>
        <v/>
      </c>
      <c r="D119" s="45"/>
      <c r="E119" s="45"/>
      <c r="F119" s="45"/>
      <c r="G119" s="1">
        <f t="shared" si="9"/>
        <v>0</v>
      </c>
      <c r="H119" s="45"/>
      <c r="I119" s="208"/>
    </row>
    <row r="120" spans="1:9">
      <c r="A120" s="1">
        <v>5</v>
      </c>
      <c r="B120" s="1">
        <v>3</v>
      </c>
      <c r="C120" s="1" t="str">
        <f t="shared" si="6"/>
        <v/>
      </c>
      <c r="D120" s="45"/>
      <c r="E120" s="45"/>
      <c r="F120" s="45"/>
      <c r="G120" s="1">
        <f t="shared" si="9"/>
        <v>0</v>
      </c>
      <c r="H120" s="45"/>
      <c r="I120" s="208"/>
    </row>
    <row r="121" spans="1:9">
      <c r="A121" s="1">
        <v>5</v>
      </c>
      <c r="B121" s="1">
        <v>3</v>
      </c>
      <c r="C121" s="678" t="str">
        <f t="shared" si="6"/>
        <v/>
      </c>
      <c r="D121" s="45"/>
      <c r="E121" s="45"/>
      <c r="F121" s="45"/>
      <c r="G121" s="1">
        <f t="shared" si="9"/>
        <v>0</v>
      </c>
      <c r="H121" s="45"/>
      <c r="I121" s="208"/>
    </row>
    <row r="122" spans="1:9">
      <c r="A122" s="6">
        <v>6</v>
      </c>
      <c r="B122" s="276">
        <v>1</v>
      </c>
      <c r="C122" s="1" t="str">
        <f t="shared" si="6"/>
        <v/>
      </c>
      <c r="D122" s="270"/>
      <c r="E122" s="270"/>
      <c r="F122" s="270"/>
      <c r="G122" s="6">
        <f t="shared" ref="G122:G136" si="10">product_9_name</f>
        <v>0</v>
      </c>
      <c r="H122" s="270"/>
      <c r="I122" s="271"/>
    </row>
    <row r="123" spans="1:9">
      <c r="A123" s="1">
        <v>6</v>
      </c>
      <c r="B123" s="14">
        <v>1</v>
      </c>
      <c r="C123" s="1" t="str">
        <f t="shared" si="6"/>
        <v/>
      </c>
      <c r="D123" s="45"/>
      <c r="E123" s="45"/>
      <c r="F123" s="45"/>
      <c r="G123" s="1">
        <f t="shared" si="10"/>
        <v>0</v>
      </c>
      <c r="H123" s="45"/>
      <c r="I123" s="208"/>
    </row>
    <row r="124" spans="1:9">
      <c r="A124" s="1">
        <v>6</v>
      </c>
      <c r="B124" s="14">
        <v>1</v>
      </c>
      <c r="C124" s="1" t="str">
        <f t="shared" si="6"/>
        <v/>
      </c>
      <c r="D124" s="45"/>
      <c r="E124" s="45"/>
      <c r="F124" s="45"/>
      <c r="G124" s="1">
        <f t="shared" si="10"/>
        <v>0</v>
      </c>
      <c r="H124" s="45"/>
      <c r="I124" s="208"/>
    </row>
    <row r="125" spans="1:9">
      <c r="A125" s="1">
        <v>6</v>
      </c>
      <c r="B125" s="14">
        <v>1</v>
      </c>
      <c r="C125" s="1" t="str">
        <f t="shared" si="6"/>
        <v/>
      </c>
      <c r="D125" s="45"/>
      <c r="E125" s="45"/>
      <c r="F125" s="45"/>
      <c r="G125" s="1">
        <f t="shared" si="10"/>
        <v>0</v>
      </c>
      <c r="H125" s="45"/>
      <c r="I125" s="208"/>
    </row>
    <row r="126" spans="1:9">
      <c r="A126" s="1">
        <v>6</v>
      </c>
      <c r="B126" s="14">
        <v>1</v>
      </c>
      <c r="C126" s="1" t="str">
        <f t="shared" si="6"/>
        <v/>
      </c>
      <c r="D126" s="45"/>
      <c r="E126" s="45"/>
      <c r="F126" s="45"/>
      <c r="G126" s="1">
        <f t="shared" si="10"/>
        <v>0</v>
      </c>
      <c r="H126" s="45"/>
      <c r="I126" s="208"/>
    </row>
    <row r="127" spans="1:9">
      <c r="A127" s="1">
        <v>6</v>
      </c>
      <c r="B127" s="14">
        <v>2</v>
      </c>
      <c r="C127" s="1" t="str">
        <f t="shared" si="6"/>
        <v/>
      </c>
      <c r="D127" s="45"/>
      <c r="E127" s="45"/>
      <c r="F127" s="45"/>
      <c r="G127" s="1">
        <f t="shared" si="10"/>
        <v>0</v>
      </c>
      <c r="H127" s="45"/>
      <c r="I127" s="208"/>
    </row>
    <row r="128" spans="1:9">
      <c r="A128" s="1">
        <v>6</v>
      </c>
      <c r="B128" s="14">
        <v>2</v>
      </c>
      <c r="C128" s="1" t="str">
        <f t="shared" si="6"/>
        <v/>
      </c>
      <c r="D128" s="45"/>
      <c r="E128" s="45"/>
      <c r="F128" s="45"/>
      <c r="G128" s="1">
        <f t="shared" si="10"/>
        <v>0</v>
      </c>
      <c r="H128" s="45"/>
      <c r="I128" s="208"/>
    </row>
    <row r="129" spans="1:9">
      <c r="A129" s="1">
        <v>6</v>
      </c>
      <c r="B129" s="14">
        <v>2</v>
      </c>
      <c r="C129" s="1" t="str">
        <f t="shared" si="6"/>
        <v/>
      </c>
      <c r="D129" s="45"/>
      <c r="E129" s="45"/>
      <c r="F129" s="45"/>
      <c r="G129" s="1">
        <f t="shared" si="10"/>
        <v>0</v>
      </c>
      <c r="H129" s="45"/>
      <c r="I129" s="208"/>
    </row>
    <row r="130" spans="1:9">
      <c r="A130" s="1">
        <v>6</v>
      </c>
      <c r="B130" s="14">
        <v>2</v>
      </c>
      <c r="C130" s="1" t="str">
        <f t="shared" si="6"/>
        <v/>
      </c>
      <c r="D130" s="45"/>
      <c r="E130" s="45"/>
      <c r="F130" s="45"/>
      <c r="G130" s="1">
        <f t="shared" si="10"/>
        <v>0</v>
      </c>
      <c r="H130" s="45"/>
      <c r="I130" s="208"/>
    </row>
    <row r="131" spans="1:9">
      <c r="A131" s="1">
        <v>6</v>
      </c>
      <c r="B131" s="14">
        <v>2</v>
      </c>
      <c r="C131" s="1" t="str">
        <f t="shared" ref="C131:C194" si="11">IFERROR(E131/F131, "")</f>
        <v/>
      </c>
      <c r="D131" s="45"/>
      <c r="E131" s="45"/>
      <c r="F131" s="45"/>
      <c r="G131" s="1">
        <f t="shared" si="10"/>
        <v>0</v>
      </c>
      <c r="H131" s="45"/>
      <c r="I131" s="208"/>
    </row>
    <row r="132" spans="1:9">
      <c r="A132" s="1">
        <v>6</v>
      </c>
      <c r="B132" s="14">
        <v>3</v>
      </c>
      <c r="C132" s="1" t="str">
        <f t="shared" si="11"/>
        <v/>
      </c>
      <c r="D132" s="45"/>
      <c r="E132" s="45"/>
      <c r="F132" s="45"/>
      <c r="G132" s="1">
        <f t="shared" si="10"/>
        <v>0</v>
      </c>
      <c r="H132" s="45"/>
      <c r="I132" s="208"/>
    </row>
    <row r="133" spans="1:9">
      <c r="A133" s="1">
        <v>6</v>
      </c>
      <c r="B133" s="14">
        <v>3</v>
      </c>
      <c r="C133" s="1" t="str">
        <f t="shared" si="11"/>
        <v/>
      </c>
      <c r="D133" s="45"/>
      <c r="E133" s="45"/>
      <c r="F133" s="45"/>
      <c r="G133" s="1">
        <f t="shared" si="10"/>
        <v>0</v>
      </c>
      <c r="H133" s="45"/>
      <c r="I133" s="208"/>
    </row>
    <row r="134" spans="1:9">
      <c r="A134" s="1">
        <v>6</v>
      </c>
      <c r="B134" s="14">
        <v>3</v>
      </c>
      <c r="C134" s="1" t="str">
        <f t="shared" si="11"/>
        <v/>
      </c>
      <c r="D134" s="45"/>
      <c r="E134" s="45"/>
      <c r="F134" s="45"/>
      <c r="G134" s="1">
        <f t="shared" si="10"/>
        <v>0</v>
      </c>
      <c r="H134" s="45"/>
      <c r="I134" s="208"/>
    </row>
    <row r="135" spans="1:9">
      <c r="A135" s="1">
        <v>6</v>
      </c>
      <c r="B135" s="14">
        <v>3</v>
      </c>
      <c r="C135" s="1" t="str">
        <f t="shared" si="11"/>
        <v/>
      </c>
      <c r="D135" s="45"/>
      <c r="E135" s="45"/>
      <c r="F135" s="45"/>
      <c r="G135" s="1">
        <f t="shared" si="10"/>
        <v>0</v>
      </c>
      <c r="H135" s="45"/>
      <c r="I135" s="208"/>
    </row>
    <row r="136" spans="1:9">
      <c r="A136" s="1">
        <v>6</v>
      </c>
      <c r="B136" s="14">
        <v>3</v>
      </c>
      <c r="C136" s="678" t="str">
        <f t="shared" si="11"/>
        <v/>
      </c>
      <c r="D136" s="45"/>
      <c r="E136" s="45"/>
      <c r="F136" s="45"/>
      <c r="G136" s="1">
        <f t="shared" si="10"/>
        <v>0</v>
      </c>
      <c r="H136" s="45"/>
      <c r="I136" s="208"/>
    </row>
    <row r="137" spans="1:9">
      <c r="A137" s="6">
        <v>7</v>
      </c>
      <c r="B137" s="276">
        <v>1</v>
      </c>
      <c r="C137" s="1" t="str">
        <f t="shared" si="11"/>
        <v/>
      </c>
      <c r="D137" s="270"/>
      <c r="E137" s="270"/>
      <c r="F137" s="270"/>
      <c r="G137" s="6">
        <f t="shared" ref="G137:G151" si="12">product_10_name</f>
        <v>0</v>
      </c>
      <c r="H137" s="270"/>
      <c r="I137" s="271"/>
    </row>
    <row r="138" spans="1:9">
      <c r="A138" s="1">
        <v>7</v>
      </c>
      <c r="B138" s="14">
        <v>1</v>
      </c>
      <c r="C138" s="1" t="str">
        <f t="shared" si="11"/>
        <v/>
      </c>
      <c r="D138" s="45"/>
      <c r="E138" s="45"/>
      <c r="F138" s="45"/>
      <c r="G138" s="1">
        <f t="shared" si="12"/>
        <v>0</v>
      </c>
      <c r="H138" s="45"/>
      <c r="I138" s="208"/>
    </row>
    <row r="139" spans="1:9">
      <c r="A139" s="1">
        <v>7</v>
      </c>
      <c r="B139" s="14">
        <v>1</v>
      </c>
      <c r="C139" s="1" t="str">
        <f t="shared" si="11"/>
        <v/>
      </c>
      <c r="D139" s="45"/>
      <c r="E139" s="45"/>
      <c r="F139" s="45"/>
      <c r="G139" s="1">
        <f t="shared" si="12"/>
        <v>0</v>
      </c>
      <c r="H139" s="45"/>
      <c r="I139" s="208"/>
    </row>
    <row r="140" spans="1:9">
      <c r="A140" s="1">
        <v>7</v>
      </c>
      <c r="B140" s="14">
        <v>1</v>
      </c>
      <c r="C140" s="1" t="str">
        <f t="shared" si="11"/>
        <v/>
      </c>
      <c r="D140" s="45"/>
      <c r="E140" s="45"/>
      <c r="F140" s="45"/>
      <c r="G140" s="1">
        <f t="shared" si="12"/>
        <v>0</v>
      </c>
      <c r="H140" s="45"/>
      <c r="I140" s="208"/>
    </row>
    <row r="141" spans="1:9">
      <c r="A141" s="1">
        <v>7</v>
      </c>
      <c r="B141" s="14">
        <v>1</v>
      </c>
      <c r="C141" s="1" t="str">
        <f t="shared" si="11"/>
        <v/>
      </c>
      <c r="D141" s="45"/>
      <c r="E141" s="45"/>
      <c r="F141" s="45"/>
      <c r="G141" s="1">
        <f t="shared" si="12"/>
        <v>0</v>
      </c>
      <c r="H141" s="45"/>
      <c r="I141" s="208"/>
    </row>
    <row r="142" spans="1:9">
      <c r="A142" s="1">
        <v>7</v>
      </c>
      <c r="B142" s="14">
        <v>2</v>
      </c>
      <c r="C142" s="1" t="str">
        <f t="shared" si="11"/>
        <v/>
      </c>
      <c r="D142" s="45"/>
      <c r="E142" s="45"/>
      <c r="F142" s="45"/>
      <c r="G142" s="1">
        <f t="shared" si="12"/>
        <v>0</v>
      </c>
      <c r="H142" s="45"/>
      <c r="I142" s="208"/>
    </row>
    <row r="143" spans="1:9">
      <c r="A143" s="1">
        <v>7</v>
      </c>
      <c r="B143" s="14">
        <v>2</v>
      </c>
      <c r="C143" s="1" t="str">
        <f t="shared" si="11"/>
        <v/>
      </c>
      <c r="D143" s="45"/>
      <c r="E143" s="45"/>
      <c r="F143" s="45"/>
      <c r="G143" s="1">
        <f t="shared" si="12"/>
        <v>0</v>
      </c>
      <c r="H143" s="45"/>
      <c r="I143" s="208"/>
    </row>
    <row r="144" spans="1:9">
      <c r="A144" s="1">
        <v>7</v>
      </c>
      <c r="B144" s="14">
        <v>2</v>
      </c>
      <c r="C144" s="1" t="str">
        <f t="shared" si="11"/>
        <v/>
      </c>
      <c r="D144" s="45"/>
      <c r="E144" s="45"/>
      <c r="F144" s="45"/>
      <c r="G144" s="1">
        <f t="shared" si="12"/>
        <v>0</v>
      </c>
      <c r="H144" s="45"/>
      <c r="I144" s="208"/>
    </row>
    <row r="145" spans="1:9">
      <c r="A145" s="1">
        <v>7</v>
      </c>
      <c r="B145" s="14">
        <v>2</v>
      </c>
      <c r="C145" s="1" t="str">
        <f t="shared" si="11"/>
        <v/>
      </c>
      <c r="D145" s="45"/>
      <c r="E145" s="45"/>
      <c r="F145" s="45"/>
      <c r="G145" s="1">
        <f t="shared" si="12"/>
        <v>0</v>
      </c>
      <c r="H145" s="45"/>
      <c r="I145" s="208"/>
    </row>
    <row r="146" spans="1:9">
      <c r="A146" s="1">
        <v>7</v>
      </c>
      <c r="B146" s="14">
        <v>2</v>
      </c>
      <c r="C146" s="1" t="str">
        <f t="shared" si="11"/>
        <v/>
      </c>
      <c r="D146" s="45"/>
      <c r="E146" s="45"/>
      <c r="F146" s="45"/>
      <c r="G146" s="1">
        <f t="shared" si="12"/>
        <v>0</v>
      </c>
      <c r="H146" s="45"/>
      <c r="I146" s="208"/>
    </row>
    <row r="147" spans="1:9">
      <c r="A147" s="1">
        <v>7</v>
      </c>
      <c r="B147" s="14">
        <v>3</v>
      </c>
      <c r="C147" s="1" t="str">
        <f t="shared" si="11"/>
        <v/>
      </c>
      <c r="D147" s="45"/>
      <c r="E147" s="45"/>
      <c r="F147" s="45"/>
      <c r="G147" s="1">
        <f t="shared" si="12"/>
        <v>0</v>
      </c>
      <c r="H147" s="45"/>
      <c r="I147" s="208"/>
    </row>
    <row r="148" spans="1:9">
      <c r="A148" s="1">
        <v>7</v>
      </c>
      <c r="B148" s="14">
        <v>3</v>
      </c>
      <c r="C148" s="1" t="str">
        <f t="shared" si="11"/>
        <v/>
      </c>
      <c r="D148" s="45"/>
      <c r="E148" s="45"/>
      <c r="F148" s="45"/>
      <c r="G148" s="1">
        <f t="shared" si="12"/>
        <v>0</v>
      </c>
      <c r="H148" s="45"/>
      <c r="I148" s="208"/>
    </row>
    <row r="149" spans="1:9">
      <c r="A149" s="1">
        <v>7</v>
      </c>
      <c r="B149" s="14">
        <v>3</v>
      </c>
      <c r="C149" s="1" t="str">
        <f t="shared" si="11"/>
        <v/>
      </c>
      <c r="D149" s="45"/>
      <c r="E149" s="45"/>
      <c r="F149" s="45"/>
      <c r="G149" s="1">
        <f t="shared" si="12"/>
        <v>0</v>
      </c>
      <c r="H149" s="45"/>
      <c r="I149" s="208"/>
    </row>
    <row r="150" spans="1:9">
      <c r="A150" s="1">
        <v>7</v>
      </c>
      <c r="B150" s="14">
        <v>3</v>
      </c>
      <c r="C150" s="1" t="str">
        <f t="shared" si="11"/>
        <v/>
      </c>
      <c r="D150" s="45"/>
      <c r="E150" s="45"/>
      <c r="F150" s="45"/>
      <c r="G150" s="1">
        <f t="shared" si="12"/>
        <v>0</v>
      </c>
      <c r="H150" s="45"/>
      <c r="I150" s="208"/>
    </row>
    <row r="151" spans="1:9">
      <c r="A151" s="1">
        <v>7</v>
      </c>
      <c r="B151" s="14">
        <v>3</v>
      </c>
      <c r="C151" s="678" t="str">
        <f t="shared" si="11"/>
        <v/>
      </c>
      <c r="D151" s="45"/>
      <c r="E151" s="45"/>
      <c r="F151" s="45"/>
      <c r="G151" s="1">
        <f t="shared" si="12"/>
        <v>0</v>
      </c>
      <c r="H151" s="45"/>
      <c r="I151" s="208"/>
    </row>
    <row r="152" spans="1:9">
      <c r="A152" s="6">
        <v>8</v>
      </c>
      <c r="B152" s="276">
        <v>1</v>
      </c>
      <c r="C152" s="1" t="str">
        <f t="shared" si="11"/>
        <v/>
      </c>
      <c r="D152" s="270"/>
      <c r="E152" s="270"/>
      <c r="F152" s="270"/>
      <c r="G152" s="6">
        <f t="shared" ref="G152:G166" si="13">product_11_name</f>
        <v>0</v>
      </c>
      <c r="H152" s="270"/>
      <c r="I152" s="271"/>
    </row>
    <row r="153" spans="1:9">
      <c r="A153" s="1">
        <v>8</v>
      </c>
      <c r="B153" s="14">
        <v>1</v>
      </c>
      <c r="C153" s="1" t="str">
        <f t="shared" si="11"/>
        <v/>
      </c>
      <c r="D153" s="45"/>
      <c r="E153" s="45"/>
      <c r="F153" s="45"/>
      <c r="G153" s="1">
        <f t="shared" si="13"/>
        <v>0</v>
      </c>
      <c r="H153" s="45"/>
      <c r="I153" s="208"/>
    </row>
    <row r="154" spans="1:9">
      <c r="A154" s="1">
        <v>8</v>
      </c>
      <c r="B154" s="14">
        <v>1</v>
      </c>
      <c r="C154" s="1" t="str">
        <f t="shared" si="11"/>
        <v/>
      </c>
      <c r="D154" s="45"/>
      <c r="E154" s="45"/>
      <c r="F154" s="45"/>
      <c r="G154" s="1">
        <f t="shared" si="13"/>
        <v>0</v>
      </c>
      <c r="H154" s="45"/>
      <c r="I154" s="208"/>
    </row>
    <row r="155" spans="1:9">
      <c r="A155" s="1">
        <v>8</v>
      </c>
      <c r="B155" s="14">
        <v>1</v>
      </c>
      <c r="C155" s="1" t="str">
        <f t="shared" si="11"/>
        <v/>
      </c>
      <c r="D155" s="45"/>
      <c r="E155" s="45"/>
      <c r="F155" s="45"/>
      <c r="G155" s="1">
        <f t="shared" si="13"/>
        <v>0</v>
      </c>
      <c r="H155" s="45"/>
      <c r="I155" s="208"/>
    </row>
    <row r="156" spans="1:9">
      <c r="A156" s="1">
        <v>8</v>
      </c>
      <c r="B156" s="14">
        <v>1</v>
      </c>
      <c r="C156" s="1" t="str">
        <f t="shared" si="11"/>
        <v/>
      </c>
      <c r="D156" s="45"/>
      <c r="E156" s="45"/>
      <c r="F156" s="45"/>
      <c r="G156" s="1">
        <f t="shared" si="13"/>
        <v>0</v>
      </c>
      <c r="H156" s="45"/>
      <c r="I156" s="208"/>
    </row>
    <row r="157" spans="1:9">
      <c r="A157" s="1">
        <v>8</v>
      </c>
      <c r="B157" s="14">
        <v>2</v>
      </c>
      <c r="C157" s="1" t="str">
        <f t="shared" si="11"/>
        <v/>
      </c>
      <c r="D157" s="45"/>
      <c r="E157" s="45"/>
      <c r="F157" s="45"/>
      <c r="G157" s="1">
        <f t="shared" si="13"/>
        <v>0</v>
      </c>
      <c r="H157" s="45"/>
      <c r="I157" s="208"/>
    </row>
    <row r="158" spans="1:9">
      <c r="A158" s="1">
        <v>8</v>
      </c>
      <c r="B158" s="14">
        <v>2</v>
      </c>
      <c r="C158" s="1" t="str">
        <f t="shared" si="11"/>
        <v/>
      </c>
      <c r="D158" s="45"/>
      <c r="E158" s="45"/>
      <c r="F158" s="45"/>
      <c r="G158" s="1">
        <f t="shared" si="13"/>
        <v>0</v>
      </c>
      <c r="H158" s="45"/>
      <c r="I158" s="208"/>
    </row>
    <row r="159" spans="1:9">
      <c r="A159" s="1">
        <v>8</v>
      </c>
      <c r="B159" s="14">
        <v>2</v>
      </c>
      <c r="C159" s="1" t="str">
        <f t="shared" si="11"/>
        <v/>
      </c>
      <c r="D159" s="45"/>
      <c r="E159" s="45"/>
      <c r="F159" s="45"/>
      <c r="G159" s="1">
        <f t="shared" si="13"/>
        <v>0</v>
      </c>
      <c r="H159" s="45"/>
      <c r="I159" s="208"/>
    </row>
    <row r="160" spans="1:9">
      <c r="A160" s="1">
        <v>8</v>
      </c>
      <c r="B160" s="14">
        <v>2</v>
      </c>
      <c r="C160" s="1" t="str">
        <f t="shared" si="11"/>
        <v/>
      </c>
      <c r="D160" s="45"/>
      <c r="E160" s="45"/>
      <c r="F160" s="45"/>
      <c r="G160" s="1">
        <f t="shared" si="13"/>
        <v>0</v>
      </c>
      <c r="H160" s="45"/>
      <c r="I160" s="208"/>
    </row>
    <row r="161" spans="1:9">
      <c r="A161" s="1">
        <v>8</v>
      </c>
      <c r="B161" s="14">
        <v>2</v>
      </c>
      <c r="C161" s="1" t="str">
        <f t="shared" si="11"/>
        <v/>
      </c>
      <c r="D161" s="45"/>
      <c r="E161" s="45"/>
      <c r="F161" s="45"/>
      <c r="G161" s="1">
        <f t="shared" si="13"/>
        <v>0</v>
      </c>
      <c r="H161" s="45"/>
      <c r="I161" s="208"/>
    </row>
    <row r="162" spans="1:9">
      <c r="A162" s="1">
        <v>8</v>
      </c>
      <c r="B162" s="14">
        <v>3</v>
      </c>
      <c r="C162" s="1" t="str">
        <f t="shared" si="11"/>
        <v/>
      </c>
      <c r="D162" s="45"/>
      <c r="E162" s="45"/>
      <c r="F162" s="45"/>
      <c r="G162" s="1">
        <f t="shared" si="13"/>
        <v>0</v>
      </c>
      <c r="H162" s="45"/>
      <c r="I162" s="208"/>
    </row>
    <row r="163" spans="1:9">
      <c r="A163" s="1">
        <v>8</v>
      </c>
      <c r="B163" s="14">
        <v>3</v>
      </c>
      <c r="C163" s="1" t="str">
        <f t="shared" si="11"/>
        <v/>
      </c>
      <c r="D163" s="45"/>
      <c r="E163" s="45"/>
      <c r="F163" s="45"/>
      <c r="G163" s="1">
        <f t="shared" si="13"/>
        <v>0</v>
      </c>
      <c r="H163" s="45"/>
      <c r="I163" s="208"/>
    </row>
    <row r="164" spans="1:9">
      <c r="A164" s="1">
        <v>8</v>
      </c>
      <c r="B164" s="14">
        <v>3</v>
      </c>
      <c r="C164" s="1" t="str">
        <f t="shared" si="11"/>
        <v/>
      </c>
      <c r="D164" s="45"/>
      <c r="E164" s="45"/>
      <c r="F164" s="45"/>
      <c r="G164" s="1">
        <f t="shared" si="13"/>
        <v>0</v>
      </c>
      <c r="H164" s="45"/>
      <c r="I164" s="208"/>
    </row>
    <row r="165" spans="1:9">
      <c r="A165" s="1">
        <v>8</v>
      </c>
      <c r="B165" s="14">
        <v>3</v>
      </c>
      <c r="C165" s="1" t="str">
        <f t="shared" si="11"/>
        <v/>
      </c>
      <c r="D165" s="45"/>
      <c r="E165" s="45"/>
      <c r="F165" s="45"/>
      <c r="G165" s="1">
        <f t="shared" si="13"/>
        <v>0</v>
      </c>
      <c r="H165" s="45"/>
      <c r="I165" s="208"/>
    </row>
    <row r="166" spans="1:9">
      <c r="A166" s="1">
        <v>8</v>
      </c>
      <c r="B166" s="14">
        <v>3</v>
      </c>
      <c r="C166" s="678" t="str">
        <f t="shared" si="11"/>
        <v/>
      </c>
      <c r="D166" s="45"/>
      <c r="E166" s="45"/>
      <c r="F166" s="45"/>
      <c r="G166" s="292">
        <f t="shared" si="13"/>
        <v>0</v>
      </c>
      <c r="H166" s="45"/>
      <c r="I166" s="208"/>
    </row>
    <row r="167" spans="1:9">
      <c r="A167" s="6">
        <v>9</v>
      </c>
      <c r="B167" s="276">
        <v>1</v>
      </c>
      <c r="C167" s="1" t="str">
        <f t="shared" si="11"/>
        <v/>
      </c>
      <c r="D167" s="270"/>
      <c r="E167" s="270"/>
      <c r="F167" s="270"/>
      <c r="G167" s="1">
        <f t="shared" ref="G167:G181" si="14">product_12_name</f>
        <v>0</v>
      </c>
      <c r="H167" s="270"/>
      <c r="I167" s="271"/>
    </row>
    <row r="168" spans="1:9">
      <c r="A168" s="1">
        <v>9</v>
      </c>
      <c r="B168" s="14">
        <v>1</v>
      </c>
      <c r="C168" s="1" t="str">
        <f t="shared" si="11"/>
        <v/>
      </c>
      <c r="D168" s="45"/>
      <c r="E168" s="45"/>
      <c r="F168" s="45"/>
      <c r="G168" s="1">
        <f t="shared" si="14"/>
        <v>0</v>
      </c>
      <c r="H168" s="45"/>
      <c r="I168" s="208"/>
    </row>
    <row r="169" spans="1:9">
      <c r="A169" s="1">
        <v>9</v>
      </c>
      <c r="B169" s="14">
        <v>1</v>
      </c>
      <c r="C169" s="1" t="str">
        <f t="shared" si="11"/>
        <v/>
      </c>
      <c r="D169" s="45"/>
      <c r="E169" s="45"/>
      <c r="F169" s="45"/>
      <c r="G169" s="1">
        <f t="shared" si="14"/>
        <v>0</v>
      </c>
      <c r="H169" s="45"/>
      <c r="I169" s="208"/>
    </row>
    <row r="170" spans="1:9">
      <c r="A170" s="1">
        <v>9</v>
      </c>
      <c r="B170" s="14">
        <v>1</v>
      </c>
      <c r="C170" s="1" t="str">
        <f t="shared" si="11"/>
        <v/>
      </c>
      <c r="D170" s="45"/>
      <c r="E170" s="45"/>
      <c r="F170" s="45"/>
      <c r="G170" s="1">
        <f t="shared" si="14"/>
        <v>0</v>
      </c>
      <c r="H170" s="45"/>
      <c r="I170" s="208"/>
    </row>
    <row r="171" spans="1:9">
      <c r="A171" s="1">
        <v>9</v>
      </c>
      <c r="B171" s="14">
        <v>1</v>
      </c>
      <c r="C171" s="1" t="str">
        <f t="shared" si="11"/>
        <v/>
      </c>
      <c r="D171" s="45"/>
      <c r="E171" s="45"/>
      <c r="F171" s="45"/>
      <c r="G171" s="1">
        <f t="shared" si="14"/>
        <v>0</v>
      </c>
      <c r="H171" s="45"/>
      <c r="I171" s="208"/>
    </row>
    <row r="172" spans="1:9">
      <c r="A172" s="1">
        <v>9</v>
      </c>
      <c r="B172" s="14">
        <v>2</v>
      </c>
      <c r="C172" s="1" t="str">
        <f t="shared" si="11"/>
        <v/>
      </c>
      <c r="D172" s="45"/>
      <c r="E172" s="45"/>
      <c r="F172" s="45"/>
      <c r="G172" s="1">
        <f t="shared" si="14"/>
        <v>0</v>
      </c>
      <c r="H172" s="45"/>
      <c r="I172" s="208"/>
    </row>
    <row r="173" spans="1:9">
      <c r="A173" s="1">
        <v>9</v>
      </c>
      <c r="B173" s="14">
        <v>2</v>
      </c>
      <c r="C173" s="1" t="str">
        <f t="shared" si="11"/>
        <v/>
      </c>
      <c r="D173" s="45"/>
      <c r="E173" s="45"/>
      <c r="F173" s="45"/>
      <c r="G173" s="1">
        <f t="shared" si="14"/>
        <v>0</v>
      </c>
      <c r="H173" s="45"/>
      <c r="I173" s="208"/>
    </row>
    <row r="174" spans="1:9">
      <c r="A174" s="1">
        <v>9</v>
      </c>
      <c r="B174" s="14">
        <v>2</v>
      </c>
      <c r="C174" s="1" t="str">
        <f t="shared" si="11"/>
        <v/>
      </c>
      <c r="D174" s="45"/>
      <c r="E174" s="45"/>
      <c r="F174" s="45"/>
      <c r="G174" s="1">
        <f t="shared" si="14"/>
        <v>0</v>
      </c>
      <c r="H174" s="45"/>
      <c r="I174" s="208"/>
    </row>
    <row r="175" spans="1:9">
      <c r="A175" s="1">
        <v>9</v>
      </c>
      <c r="B175" s="14">
        <v>2</v>
      </c>
      <c r="C175" s="1" t="str">
        <f t="shared" si="11"/>
        <v/>
      </c>
      <c r="D175" s="45"/>
      <c r="E175" s="45"/>
      <c r="F175" s="45"/>
      <c r="G175" s="1">
        <f t="shared" si="14"/>
        <v>0</v>
      </c>
      <c r="H175" s="45"/>
      <c r="I175" s="208"/>
    </row>
    <row r="176" spans="1:9">
      <c r="A176" s="1">
        <v>9</v>
      </c>
      <c r="B176" s="14">
        <v>2</v>
      </c>
      <c r="C176" s="1" t="str">
        <f t="shared" si="11"/>
        <v/>
      </c>
      <c r="D176" s="45"/>
      <c r="E176" s="45"/>
      <c r="F176" s="45"/>
      <c r="G176" s="1">
        <f t="shared" si="14"/>
        <v>0</v>
      </c>
      <c r="H176" s="45"/>
      <c r="I176" s="208"/>
    </row>
    <row r="177" spans="1:9">
      <c r="A177" s="1">
        <v>9</v>
      </c>
      <c r="B177" s="14">
        <v>3</v>
      </c>
      <c r="C177" s="1" t="str">
        <f t="shared" si="11"/>
        <v/>
      </c>
      <c r="D177" s="45"/>
      <c r="E177" s="45"/>
      <c r="F177" s="45"/>
      <c r="G177" s="1">
        <f t="shared" si="14"/>
        <v>0</v>
      </c>
      <c r="H177" s="45"/>
      <c r="I177" s="208"/>
    </row>
    <row r="178" spans="1:9">
      <c r="A178" s="1">
        <v>9</v>
      </c>
      <c r="B178" s="14">
        <v>3</v>
      </c>
      <c r="C178" s="1" t="str">
        <f t="shared" si="11"/>
        <v/>
      </c>
      <c r="D178" s="45"/>
      <c r="E178" s="45"/>
      <c r="F178" s="45"/>
      <c r="G178" s="1">
        <f t="shared" si="14"/>
        <v>0</v>
      </c>
      <c r="H178" s="45"/>
      <c r="I178" s="208"/>
    </row>
    <row r="179" spans="1:9">
      <c r="A179" s="1">
        <v>9</v>
      </c>
      <c r="B179" s="14">
        <v>3</v>
      </c>
      <c r="C179" s="1" t="str">
        <f t="shared" si="11"/>
        <v/>
      </c>
      <c r="D179" s="45"/>
      <c r="E179" s="45"/>
      <c r="F179" s="45"/>
      <c r="G179" s="1">
        <f t="shared" si="14"/>
        <v>0</v>
      </c>
      <c r="H179" s="45"/>
      <c r="I179" s="208"/>
    </row>
    <row r="180" spans="1:9">
      <c r="A180" s="1">
        <v>9</v>
      </c>
      <c r="B180" s="14">
        <v>3</v>
      </c>
      <c r="C180" s="1" t="str">
        <f t="shared" si="11"/>
        <v/>
      </c>
      <c r="D180" s="45"/>
      <c r="E180" s="45"/>
      <c r="F180" s="45"/>
      <c r="G180" s="1">
        <f t="shared" si="14"/>
        <v>0</v>
      </c>
      <c r="H180" s="45"/>
      <c r="I180" s="208"/>
    </row>
    <row r="181" spans="1:9">
      <c r="A181" s="1">
        <v>9</v>
      </c>
      <c r="B181" s="14">
        <v>3</v>
      </c>
      <c r="C181" s="678" t="str">
        <f t="shared" si="11"/>
        <v/>
      </c>
      <c r="D181" s="45"/>
      <c r="E181" s="45"/>
      <c r="F181" s="45"/>
      <c r="G181" s="1">
        <f t="shared" si="14"/>
        <v>0</v>
      </c>
      <c r="H181" s="45"/>
      <c r="I181" s="208"/>
    </row>
    <row r="182" spans="1:9">
      <c r="A182" s="6">
        <v>10</v>
      </c>
      <c r="B182" s="276">
        <v>1</v>
      </c>
      <c r="C182" s="1" t="str">
        <f t="shared" si="11"/>
        <v/>
      </c>
      <c r="D182" s="270"/>
      <c r="E182" s="270"/>
      <c r="F182" s="270"/>
      <c r="G182" s="6">
        <f t="shared" ref="G182:G196" si="15">product_13_name</f>
        <v>0</v>
      </c>
      <c r="H182" s="270"/>
      <c r="I182" s="271"/>
    </row>
    <row r="183" spans="1:9">
      <c r="A183" s="1">
        <v>10</v>
      </c>
      <c r="B183" s="14">
        <v>1</v>
      </c>
      <c r="C183" s="1" t="str">
        <f t="shared" si="11"/>
        <v/>
      </c>
      <c r="D183" s="45"/>
      <c r="E183" s="45"/>
      <c r="F183" s="45"/>
      <c r="G183" s="1">
        <f t="shared" si="15"/>
        <v>0</v>
      </c>
      <c r="H183" s="45"/>
      <c r="I183" s="208"/>
    </row>
    <row r="184" spans="1:9">
      <c r="A184" s="1">
        <v>10</v>
      </c>
      <c r="B184" s="14">
        <v>1</v>
      </c>
      <c r="C184" s="1" t="str">
        <f t="shared" si="11"/>
        <v/>
      </c>
      <c r="D184" s="45"/>
      <c r="E184" s="45"/>
      <c r="F184" s="45"/>
      <c r="G184" s="1">
        <f t="shared" si="15"/>
        <v>0</v>
      </c>
      <c r="H184" s="45"/>
      <c r="I184" s="208"/>
    </row>
    <row r="185" spans="1:9">
      <c r="A185" s="1">
        <v>10</v>
      </c>
      <c r="B185" s="14">
        <v>1</v>
      </c>
      <c r="C185" s="1" t="str">
        <f t="shared" si="11"/>
        <v/>
      </c>
      <c r="D185" s="45"/>
      <c r="E185" s="45"/>
      <c r="F185" s="45"/>
      <c r="G185" s="1">
        <f t="shared" si="15"/>
        <v>0</v>
      </c>
      <c r="H185" s="45"/>
      <c r="I185" s="208"/>
    </row>
    <row r="186" spans="1:9">
      <c r="A186" s="1">
        <v>10</v>
      </c>
      <c r="B186" s="14">
        <v>1</v>
      </c>
      <c r="C186" s="1" t="str">
        <f t="shared" si="11"/>
        <v/>
      </c>
      <c r="D186" s="45"/>
      <c r="E186" s="45"/>
      <c r="F186" s="45"/>
      <c r="G186" s="1">
        <f t="shared" si="15"/>
        <v>0</v>
      </c>
      <c r="H186" s="45"/>
      <c r="I186" s="208"/>
    </row>
    <row r="187" spans="1:9">
      <c r="A187" s="1">
        <v>10</v>
      </c>
      <c r="B187" s="14">
        <v>2</v>
      </c>
      <c r="C187" s="1" t="str">
        <f t="shared" si="11"/>
        <v/>
      </c>
      <c r="D187" s="45"/>
      <c r="E187" s="45"/>
      <c r="F187" s="45"/>
      <c r="G187" s="1">
        <f t="shared" si="15"/>
        <v>0</v>
      </c>
      <c r="H187" s="45"/>
      <c r="I187" s="208"/>
    </row>
    <row r="188" spans="1:9">
      <c r="A188" s="1">
        <v>10</v>
      </c>
      <c r="B188" s="14">
        <v>2</v>
      </c>
      <c r="C188" s="1" t="str">
        <f t="shared" si="11"/>
        <v/>
      </c>
      <c r="D188" s="45"/>
      <c r="E188" s="45"/>
      <c r="F188" s="45"/>
      <c r="G188" s="1">
        <f t="shared" si="15"/>
        <v>0</v>
      </c>
      <c r="H188" s="45"/>
      <c r="I188" s="208"/>
    </row>
    <row r="189" spans="1:9">
      <c r="A189" s="1">
        <v>10</v>
      </c>
      <c r="B189" s="14">
        <v>2</v>
      </c>
      <c r="C189" s="1" t="str">
        <f t="shared" si="11"/>
        <v/>
      </c>
      <c r="D189" s="45"/>
      <c r="E189" s="45"/>
      <c r="F189" s="45"/>
      <c r="G189" s="1">
        <f t="shared" si="15"/>
        <v>0</v>
      </c>
      <c r="H189" s="45"/>
      <c r="I189" s="208"/>
    </row>
    <row r="190" spans="1:9">
      <c r="A190" s="1">
        <v>10</v>
      </c>
      <c r="B190" s="14">
        <v>2</v>
      </c>
      <c r="C190" s="1" t="str">
        <f t="shared" si="11"/>
        <v/>
      </c>
      <c r="D190" s="45"/>
      <c r="E190" s="45"/>
      <c r="F190" s="45"/>
      <c r="G190" s="1">
        <f t="shared" si="15"/>
        <v>0</v>
      </c>
      <c r="H190" s="45"/>
      <c r="I190" s="208"/>
    </row>
    <row r="191" spans="1:9">
      <c r="A191" s="1">
        <v>10</v>
      </c>
      <c r="B191" s="14">
        <v>2</v>
      </c>
      <c r="C191" s="1" t="str">
        <f t="shared" si="11"/>
        <v/>
      </c>
      <c r="D191" s="45"/>
      <c r="E191" s="45"/>
      <c r="F191" s="45"/>
      <c r="G191" s="1">
        <f t="shared" si="15"/>
        <v>0</v>
      </c>
      <c r="H191" s="45"/>
      <c r="I191" s="208"/>
    </row>
    <row r="192" spans="1:9">
      <c r="A192" s="1">
        <v>10</v>
      </c>
      <c r="B192" s="14">
        <v>3</v>
      </c>
      <c r="C192" s="1" t="str">
        <f t="shared" si="11"/>
        <v/>
      </c>
      <c r="D192" s="45"/>
      <c r="E192" s="45"/>
      <c r="F192" s="45"/>
      <c r="G192" s="1">
        <f t="shared" si="15"/>
        <v>0</v>
      </c>
      <c r="H192" s="45"/>
      <c r="I192" s="208"/>
    </row>
    <row r="193" spans="1:9">
      <c r="A193" s="1">
        <v>10</v>
      </c>
      <c r="B193" s="14">
        <v>3</v>
      </c>
      <c r="C193" s="1" t="str">
        <f t="shared" si="11"/>
        <v/>
      </c>
      <c r="D193" s="45"/>
      <c r="E193" s="45"/>
      <c r="F193" s="45"/>
      <c r="G193" s="1">
        <f t="shared" si="15"/>
        <v>0</v>
      </c>
      <c r="H193" s="45"/>
      <c r="I193" s="208"/>
    </row>
    <row r="194" spans="1:9">
      <c r="A194" s="1">
        <v>10</v>
      </c>
      <c r="B194" s="14">
        <v>3</v>
      </c>
      <c r="C194" s="1" t="str">
        <f t="shared" si="11"/>
        <v/>
      </c>
      <c r="D194" s="45"/>
      <c r="E194" s="45"/>
      <c r="F194" s="45"/>
      <c r="G194" s="1">
        <f t="shared" si="15"/>
        <v>0</v>
      </c>
      <c r="H194" s="45"/>
      <c r="I194" s="208"/>
    </row>
    <row r="195" spans="1:9">
      <c r="A195" s="1">
        <v>10</v>
      </c>
      <c r="B195" s="14">
        <v>3</v>
      </c>
      <c r="C195" s="1" t="str">
        <f t="shared" ref="C195:C196" si="16">IFERROR(E195/F195, "")</f>
        <v/>
      </c>
      <c r="D195" s="45"/>
      <c r="E195" s="45"/>
      <c r="F195" s="45"/>
      <c r="G195" s="1">
        <f t="shared" si="15"/>
        <v>0</v>
      </c>
      <c r="H195" s="45"/>
      <c r="I195" s="208"/>
    </row>
    <row r="196" spans="1:9">
      <c r="A196" s="1">
        <v>10</v>
      </c>
      <c r="B196" s="14">
        <v>3</v>
      </c>
      <c r="C196" s="678" t="str">
        <f t="shared" si="16"/>
        <v/>
      </c>
      <c r="D196" s="45"/>
      <c r="E196" s="45"/>
      <c r="F196" s="45"/>
      <c r="G196" s="1">
        <f t="shared" si="15"/>
        <v>0</v>
      </c>
      <c r="H196" s="45"/>
      <c r="I196" s="208"/>
    </row>
    <row r="197" spans="1:9">
      <c r="A197" s="346"/>
      <c r="B197" s="347"/>
      <c r="C197" s="21"/>
      <c r="D197" s="348"/>
      <c r="E197" s="348"/>
      <c r="F197" s="348"/>
      <c r="G197" s="346"/>
      <c r="H197" s="348"/>
      <c r="I197" s="349"/>
    </row>
    <row r="198" spans="1:9">
      <c r="A198" s="21"/>
      <c r="B198" s="293"/>
      <c r="C198" s="21"/>
      <c r="D198" s="44"/>
      <c r="E198" s="44"/>
      <c r="F198" s="44"/>
      <c r="G198" s="21"/>
      <c r="H198" s="44"/>
      <c r="I198" s="350"/>
    </row>
    <row r="199" spans="1:9">
      <c r="A199" s="21"/>
      <c r="B199" s="293"/>
      <c r="C199" s="21"/>
      <c r="D199" s="44"/>
      <c r="E199" s="44"/>
      <c r="F199" s="44"/>
      <c r="G199" s="21"/>
      <c r="H199" s="44"/>
      <c r="I199" s="350"/>
    </row>
    <row r="200" spans="1:9">
      <c r="A200" s="21"/>
      <c r="B200" s="293"/>
      <c r="C200" s="21"/>
      <c r="D200" s="44"/>
      <c r="E200" s="44"/>
      <c r="F200" s="44"/>
      <c r="G200" s="21"/>
      <c r="H200" s="44"/>
      <c r="I200" s="350"/>
    </row>
    <row r="201" spans="1:9">
      <c r="A201" s="21"/>
      <c r="B201" s="293"/>
      <c r="C201" s="21"/>
      <c r="D201" s="44"/>
      <c r="E201" s="44"/>
      <c r="F201" s="44"/>
      <c r="G201" s="21"/>
      <c r="H201" s="44"/>
      <c r="I201" s="350"/>
    </row>
    <row r="202" spans="1:9">
      <c r="A202" s="21"/>
      <c r="B202" s="293"/>
      <c r="C202" s="21"/>
      <c r="D202" s="44"/>
      <c r="E202" s="44"/>
      <c r="F202" s="44"/>
      <c r="G202" s="21"/>
      <c r="H202" s="44"/>
      <c r="I202" s="350"/>
    </row>
    <row r="203" spans="1:9">
      <c r="A203" s="21"/>
      <c r="B203" s="293"/>
      <c r="C203" s="21"/>
      <c r="D203" s="44"/>
      <c r="E203" s="44"/>
      <c r="F203" s="44"/>
      <c r="G203" s="21"/>
      <c r="H203" s="44"/>
      <c r="I203" s="350"/>
    </row>
    <row r="204" spans="1:9">
      <c r="A204" s="21"/>
      <c r="B204" s="293"/>
      <c r="C204" s="21"/>
      <c r="D204" s="44"/>
      <c r="E204" s="44"/>
      <c r="F204" s="44"/>
      <c r="G204" s="21"/>
      <c r="H204" s="44"/>
      <c r="I204" s="350"/>
    </row>
    <row r="205" spans="1:9">
      <c r="A205" s="21"/>
      <c r="B205" s="293"/>
      <c r="C205" s="21"/>
      <c r="D205" s="44"/>
      <c r="E205" s="44"/>
      <c r="F205" s="44"/>
      <c r="G205" s="21"/>
      <c r="H205" s="44"/>
      <c r="I205" s="350"/>
    </row>
    <row r="206" spans="1:9">
      <c r="A206" s="21"/>
      <c r="B206" s="293"/>
      <c r="C206" s="21"/>
      <c r="D206" s="44"/>
      <c r="E206" s="44"/>
      <c r="F206" s="44"/>
      <c r="G206" s="21"/>
      <c r="H206" s="44"/>
      <c r="I206" s="350"/>
    </row>
    <row r="207" spans="1:9">
      <c r="A207" s="21"/>
      <c r="B207" s="293"/>
      <c r="C207" s="21"/>
      <c r="D207" s="44"/>
      <c r="E207" s="44"/>
      <c r="F207" s="44"/>
      <c r="G207" s="21"/>
      <c r="H207" s="44"/>
      <c r="I207" s="350"/>
    </row>
    <row r="208" spans="1:9">
      <c r="A208" s="21"/>
      <c r="B208" s="293"/>
      <c r="C208" s="21"/>
      <c r="D208" s="44"/>
      <c r="E208" s="44"/>
      <c r="F208" s="44"/>
      <c r="G208" s="21"/>
      <c r="H208" s="44"/>
      <c r="I208" s="350"/>
    </row>
    <row r="209" spans="1:9">
      <c r="A209" s="21"/>
      <c r="B209" s="293"/>
      <c r="C209" s="21"/>
      <c r="D209" s="44"/>
      <c r="E209" s="44"/>
      <c r="F209" s="44"/>
      <c r="G209" s="21"/>
      <c r="H209" s="44"/>
      <c r="I209" s="350"/>
    </row>
    <row r="210" spans="1:9">
      <c r="A210" s="21"/>
      <c r="B210" s="293"/>
      <c r="C210" s="21"/>
      <c r="D210" s="44"/>
      <c r="E210" s="44"/>
      <c r="F210" s="44"/>
      <c r="G210" s="21"/>
      <c r="H210" s="44"/>
      <c r="I210" s="350"/>
    </row>
    <row r="211" spans="1:9">
      <c r="A211" s="21"/>
      <c r="B211" s="293"/>
      <c r="C211" s="351"/>
      <c r="D211" s="44"/>
      <c r="E211" s="44"/>
      <c r="F211" s="44"/>
      <c r="G211" s="21"/>
      <c r="H211" s="44"/>
      <c r="I211" s="350"/>
    </row>
    <row r="212" spans="1:9">
      <c r="A212" s="346"/>
      <c r="B212" s="347"/>
      <c r="C212" s="21"/>
      <c r="D212" s="348"/>
      <c r="E212" s="348"/>
      <c r="F212" s="348"/>
      <c r="G212" s="346"/>
      <c r="H212" s="348"/>
      <c r="I212" s="349"/>
    </row>
    <row r="213" spans="1:9">
      <c r="A213" s="21"/>
      <c r="B213" s="293"/>
      <c r="C213" s="21"/>
      <c r="D213" s="44"/>
      <c r="E213" s="44"/>
      <c r="F213" s="44"/>
      <c r="G213" s="21"/>
      <c r="H213" s="44"/>
      <c r="I213" s="350"/>
    </row>
    <row r="214" spans="1:9">
      <c r="A214" s="21"/>
      <c r="B214" s="293"/>
      <c r="C214" s="21"/>
      <c r="D214" s="44"/>
      <c r="E214" s="44"/>
      <c r="F214" s="44"/>
      <c r="G214" s="21"/>
      <c r="H214" s="44"/>
      <c r="I214" s="350"/>
    </row>
    <row r="215" spans="1:9">
      <c r="A215" s="21"/>
      <c r="B215" s="293"/>
      <c r="C215" s="21"/>
      <c r="D215" s="44"/>
      <c r="E215" s="44"/>
      <c r="F215" s="44"/>
      <c r="G215" s="21"/>
      <c r="H215" s="44"/>
      <c r="I215" s="350"/>
    </row>
    <row r="216" spans="1:9">
      <c r="A216" s="21"/>
      <c r="B216" s="293"/>
      <c r="C216" s="21"/>
      <c r="D216" s="44"/>
      <c r="E216" s="44"/>
      <c r="F216" s="44"/>
      <c r="G216" s="21"/>
      <c r="H216" s="44"/>
      <c r="I216" s="350"/>
    </row>
    <row r="217" spans="1:9">
      <c r="A217" s="21"/>
      <c r="B217" s="293"/>
      <c r="C217" s="21"/>
      <c r="D217" s="44"/>
      <c r="E217" s="44"/>
      <c r="F217" s="44"/>
      <c r="G217" s="21"/>
      <c r="H217" s="44"/>
      <c r="I217" s="350"/>
    </row>
    <row r="218" spans="1:9">
      <c r="A218" s="21"/>
      <c r="B218" s="293"/>
      <c r="C218" s="21"/>
      <c r="D218" s="44"/>
      <c r="E218" s="44"/>
      <c r="F218" s="44"/>
      <c r="G218" s="21"/>
      <c r="H218" s="44"/>
      <c r="I218" s="350"/>
    </row>
    <row r="219" spans="1:9">
      <c r="A219" s="21"/>
      <c r="B219" s="293"/>
      <c r="C219" s="21"/>
      <c r="D219" s="44"/>
      <c r="E219" s="44"/>
      <c r="F219" s="44"/>
      <c r="G219" s="21"/>
      <c r="H219" s="44"/>
      <c r="I219" s="350"/>
    </row>
    <row r="220" spans="1:9">
      <c r="A220" s="21"/>
      <c r="B220" s="293"/>
      <c r="C220" s="21"/>
      <c r="D220" s="44"/>
      <c r="E220" s="44"/>
      <c r="F220" s="44"/>
      <c r="G220" s="21"/>
      <c r="H220" s="44"/>
      <c r="I220" s="350"/>
    </row>
    <row r="221" spans="1:9">
      <c r="A221" s="21"/>
      <c r="B221" s="293"/>
      <c r="C221" s="21"/>
      <c r="D221" s="44"/>
      <c r="E221" s="44"/>
      <c r="F221" s="44"/>
      <c r="G221" s="21"/>
      <c r="H221" s="44"/>
      <c r="I221" s="350"/>
    </row>
    <row r="222" spans="1:9">
      <c r="A222" s="21"/>
      <c r="B222" s="293"/>
      <c r="C222" s="21"/>
      <c r="D222" s="44"/>
      <c r="E222" s="44"/>
      <c r="F222" s="44"/>
      <c r="G222" s="21"/>
      <c r="H222" s="44"/>
      <c r="I222" s="350"/>
    </row>
    <row r="223" spans="1:9">
      <c r="A223" s="21"/>
      <c r="B223" s="293"/>
      <c r="C223" s="21"/>
      <c r="D223" s="44"/>
      <c r="E223" s="44"/>
      <c r="F223" s="44"/>
      <c r="G223" s="21"/>
      <c r="H223" s="44"/>
      <c r="I223" s="350"/>
    </row>
    <row r="224" spans="1:9">
      <c r="A224" s="21"/>
      <c r="B224" s="293"/>
      <c r="C224" s="21"/>
      <c r="D224" s="44"/>
      <c r="E224" s="44"/>
      <c r="F224" s="44"/>
      <c r="G224" s="21"/>
      <c r="H224" s="44"/>
      <c r="I224" s="350"/>
    </row>
    <row r="225" spans="1:9">
      <c r="A225" s="21"/>
      <c r="B225" s="293"/>
      <c r="C225" s="21"/>
      <c r="D225" s="44"/>
      <c r="E225" s="44"/>
      <c r="F225" s="44"/>
      <c r="G225" s="21"/>
      <c r="H225" s="44"/>
      <c r="I225" s="350"/>
    </row>
    <row r="226" spans="1:9">
      <c r="A226" s="351"/>
      <c r="B226" s="352"/>
      <c r="C226" s="351"/>
      <c r="D226" s="353"/>
      <c r="E226" s="353"/>
      <c r="F226" s="353"/>
      <c r="G226" s="354"/>
      <c r="H226" s="355"/>
      <c r="I226" s="356"/>
    </row>
    <row r="227" spans="1:9" s="275" customFormat="1">
      <c r="A227" s="21"/>
      <c r="B227" s="293">
        <v>1</v>
      </c>
      <c r="C227" s="21"/>
      <c r="D227" s="21"/>
      <c r="E227" s="21"/>
      <c r="F227" s="21"/>
      <c r="G227" s="21"/>
      <c r="H227" s="21"/>
      <c r="I227" s="147"/>
    </row>
    <row r="228" spans="1:9" s="275" customFormat="1">
      <c r="A228" s="21"/>
      <c r="B228" s="293">
        <v>1</v>
      </c>
      <c r="C228" s="21"/>
      <c r="D228" s="21"/>
      <c r="E228" s="21"/>
      <c r="F228" s="21"/>
      <c r="G228" s="21"/>
      <c r="H228" s="21"/>
      <c r="I228" s="147"/>
    </row>
    <row r="229" spans="1:9" s="275" customFormat="1">
      <c r="A229" s="21"/>
      <c r="B229" s="293">
        <v>1</v>
      </c>
      <c r="C229" s="21"/>
      <c r="D229" s="21"/>
      <c r="E229" s="21"/>
      <c r="F229" s="21"/>
      <c r="G229" s="21"/>
      <c r="H229" s="21"/>
      <c r="I229" s="147"/>
    </row>
    <row r="230" spans="1:9" s="275" customFormat="1">
      <c r="A230" s="21"/>
      <c r="B230" s="293">
        <v>1</v>
      </c>
      <c r="C230" s="21"/>
      <c r="D230" s="21"/>
      <c r="E230" s="21"/>
      <c r="F230" s="21"/>
      <c r="G230" s="21"/>
      <c r="H230" s="21"/>
      <c r="I230" s="147"/>
    </row>
    <row r="231" spans="1:9" s="275" customFormat="1">
      <c r="A231" s="21"/>
      <c r="B231" s="293">
        <v>1</v>
      </c>
      <c r="C231" s="21"/>
      <c r="D231" s="21"/>
      <c r="E231" s="21"/>
      <c r="F231" s="21"/>
      <c r="G231" s="21"/>
      <c r="H231" s="21"/>
      <c r="I231" s="147"/>
    </row>
    <row r="232" spans="1:9" s="275" customFormat="1">
      <c r="A232" s="21"/>
      <c r="B232" s="293">
        <v>2</v>
      </c>
      <c r="C232" s="21"/>
      <c r="D232" s="21"/>
      <c r="E232" s="21"/>
      <c r="F232" s="21"/>
      <c r="G232" s="21"/>
      <c r="H232" s="21"/>
      <c r="I232" s="147"/>
    </row>
    <row r="233" spans="1:9" s="275" customFormat="1">
      <c r="A233" s="21"/>
      <c r="B233" s="293">
        <v>2</v>
      </c>
      <c r="C233" s="21"/>
      <c r="D233" s="21"/>
      <c r="E233" s="21"/>
      <c r="F233" s="21"/>
      <c r="G233" s="21"/>
      <c r="H233" s="21"/>
      <c r="I233" s="147"/>
    </row>
    <row r="234" spans="1:9" s="275" customFormat="1">
      <c r="A234" s="21"/>
      <c r="B234" s="293">
        <v>2</v>
      </c>
      <c r="C234" s="21"/>
      <c r="D234" s="21"/>
      <c r="E234" s="21"/>
      <c r="F234" s="21"/>
      <c r="G234" s="21"/>
      <c r="H234" s="21"/>
      <c r="I234" s="147"/>
    </row>
    <row r="235" spans="1:9" s="275" customFormat="1">
      <c r="A235" s="21"/>
      <c r="B235" s="293">
        <v>2</v>
      </c>
      <c r="C235" s="21"/>
      <c r="D235" s="21"/>
      <c r="E235" s="21"/>
      <c r="F235" s="21"/>
      <c r="G235" s="21"/>
      <c r="H235" s="21"/>
      <c r="I235" s="147"/>
    </row>
    <row r="236" spans="1:9" s="275" customFormat="1">
      <c r="A236" s="21"/>
      <c r="B236" s="293">
        <v>2</v>
      </c>
      <c r="C236" s="21"/>
      <c r="D236" s="21"/>
      <c r="E236" s="21"/>
      <c r="F236" s="21"/>
      <c r="G236" s="21"/>
      <c r="H236" s="21"/>
      <c r="I236" s="147"/>
    </row>
    <row r="237" spans="1:9" s="275" customFormat="1">
      <c r="A237" s="21"/>
      <c r="B237" s="293">
        <v>3</v>
      </c>
      <c r="C237" s="21"/>
      <c r="D237" s="21"/>
      <c r="E237" s="21"/>
      <c r="F237" s="21"/>
      <c r="G237" s="21"/>
      <c r="H237" s="21"/>
      <c r="I237" s="147"/>
    </row>
    <row r="238" spans="1:9" s="275" customFormat="1">
      <c r="A238" s="21"/>
      <c r="B238" s="293">
        <v>3</v>
      </c>
      <c r="C238" s="21"/>
      <c r="D238" s="21"/>
      <c r="E238" s="21"/>
      <c r="F238" s="21"/>
      <c r="G238" s="21"/>
      <c r="H238" s="21"/>
      <c r="I238" s="147"/>
    </row>
    <row r="239" spans="1:9" s="275" customFormat="1">
      <c r="A239" s="21"/>
      <c r="B239" s="293">
        <v>3</v>
      </c>
      <c r="C239" s="21"/>
      <c r="D239" s="21"/>
      <c r="E239" s="21"/>
      <c r="F239" s="21"/>
      <c r="G239" s="21"/>
      <c r="H239" s="21"/>
      <c r="I239" s="147"/>
    </row>
    <row r="240" spans="1:9" s="275" customFormat="1">
      <c r="A240" s="21"/>
      <c r="B240" s="293">
        <v>3</v>
      </c>
      <c r="C240" s="21"/>
      <c r="D240" s="21"/>
      <c r="E240" s="21"/>
      <c r="F240" s="21"/>
      <c r="G240" s="21"/>
      <c r="H240" s="21"/>
      <c r="I240" s="147"/>
    </row>
    <row r="241" spans="1:9" s="275" customFormat="1">
      <c r="A241" s="21"/>
      <c r="B241" s="293">
        <v>3</v>
      </c>
      <c r="C241" s="21"/>
      <c r="D241" s="21"/>
      <c r="E241" s="21"/>
      <c r="F241" s="21"/>
      <c r="G241" s="21"/>
      <c r="H241" s="21"/>
      <c r="I241" s="147"/>
    </row>
    <row r="242" spans="1:9" s="275" customFormat="1">
      <c r="A242" s="21"/>
      <c r="B242" s="21"/>
      <c r="I242" s="294"/>
    </row>
    <row r="243" spans="1:9" s="275" customFormat="1">
      <c r="I243" s="294"/>
    </row>
    <row r="244" spans="1:9" s="275" customFormat="1">
      <c r="I244" s="294"/>
    </row>
    <row r="245" spans="1:9" s="275" customFormat="1">
      <c r="I245" s="294"/>
    </row>
    <row r="246" spans="1:9" s="275" customFormat="1">
      <c r="I246" s="294"/>
    </row>
    <row r="247" spans="1:9" s="275" customFormat="1">
      <c r="I247" s="294"/>
    </row>
    <row r="248" spans="1:9" s="275" customFormat="1">
      <c r="I248" s="294"/>
    </row>
    <row r="249" spans="1:9" s="275" customFormat="1">
      <c r="I249" s="294"/>
    </row>
    <row r="250" spans="1:9" s="275" customFormat="1">
      <c r="I250" s="294"/>
    </row>
    <row r="251" spans="1:9" s="275" customFormat="1">
      <c r="I251" s="294"/>
    </row>
    <row r="252" spans="1:9" s="275" customFormat="1">
      <c r="I252" s="294"/>
    </row>
    <row r="253" spans="1:9" s="275" customFormat="1">
      <c r="I253" s="294"/>
    </row>
    <row r="254" spans="1:9" s="275" customFormat="1">
      <c r="I254" s="294"/>
    </row>
    <row r="255" spans="1:9" s="275" customFormat="1">
      <c r="I255" s="294"/>
    </row>
    <row r="256" spans="1:9" s="275" customFormat="1">
      <c r="I256" s="294"/>
    </row>
    <row r="257" spans="9:9" s="275" customFormat="1">
      <c r="I257" s="294"/>
    </row>
    <row r="258" spans="9:9" s="275" customFormat="1">
      <c r="I258" s="294"/>
    </row>
    <row r="259" spans="9:9" s="275" customFormat="1">
      <c r="I259" s="294"/>
    </row>
    <row r="260" spans="9:9" s="275" customFormat="1">
      <c r="I260" s="294"/>
    </row>
    <row r="261" spans="9:9" s="275" customFormat="1">
      <c r="I261" s="294"/>
    </row>
    <row r="262" spans="9:9" s="275" customFormat="1">
      <c r="I262" s="294"/>
    </row>
    <row r="263" spans="9:9" s="275" customFormat="1">
      <c r="I263" s="294"/>
    </row>
    <row r="264" spans="9:9" s="275" customFormat="1">
      <c r="I264" s="294"/>
    </row>
    <row r="265" spans="9:9" s="275" customFormat="1">
      <c r="I265" s="294"/>
    </row>
    <row r="266" spans="9:9" s="275" customFormat="1">
      <c r="I266" s="294"/>
    </row>
    <row r="267" spans="9:9" s="275" customFormat="1">
      <c r="I267" s="294"/>
    </row>
    <row r="268" spans="9:9" s="275" customFormat="1">
      <c r="I268" s="294"/>
    </row>
    <row r="269" spans="9:9" s="275" customFormat="1">
      <c r="I269" s="294"/>
    </row>
    <row r="270" spans="9:9" s="275" customFormat="1">
      <c r="I270" s="294"/>
    </row>
    <row r="271" spans="9:9" s="275" customFormat="1">
      <c r="I271" s="294"/>
    </row>
    <row r="272" spans="9:9" s="275" customFormat="1">
      <c r="I272" s="294"/>
    </row>
    <row r="273" spans="9:9" s="275" customFormat="1">
      <c r="I273" s="294"/>
    </row>
    <row r="274" spans="9:9" s="275" customFormat="1">
      <c r="I274" s="294"/>
    </row>
    <row r="275" spans="9:9" s="275" customFormat="1">
      <c r="I275" s="294"/>
    </row>
    <row r="276" spans="9:9" s="275" customFormat="1">
      <c r="I276" s="294"/>
    </row>
    <row r="277" spans="9:9" s="275" customFormat="1">
      <c r="I277" s="294"/>
    </row>
    <row r="278" spans="9:9" s="275" customFormat="1">
      <c r="I278" s="294"/>
    </row>
    <row r="279" spans="9:9" s="275" customFormat="1">
      <c r="I279" s="294"/>
    </row>
    <row r="280" spans="9:9" s="275" customFormat="1">
      <c r="I280" s="294"/>
    </row>
    <row r="281" spans="9:9" s="275" customFormat="1">
      <c r="I281" s="294"/>
    </row>
    <row r="282" spans="9:9" s="275" customFormat="1">
      <c r="I282" s="294"/>
    </row>
    <row r="283" spans="9:9" s="275" customFormat="1">
      <c r="I283" s="294"/>
    </row>
    <row r="284" spans="9:9" s="275" customFormat="1">
      <c r="I284" s="294"/>
    </row>
    <row r="285" spans="9:9" s="275" customFormat="1">
      <c r="I285" s="294"/>
    </row>
    <row r="286" spans="9:9" s="275" customFormat="1">
      <c r="I286" s="294"/>
    </row>
    <row r="287" spans="9:9" s="275" customFormat="1">
      <c r="I287" s="294"/>
    </row>
    <row r="288" spans="9:9" s="275" customFormat="1">
      <c r="I288" s="294"/>
    </row>
    <row r="289" spans="9:9" s="275" customFormat="1">
      <c r="I289" s="294"/>
    </row>
    <row r="290" spans="9:9" s="275" customFormat="1">
      <c r="I290" s="294"/>
    </row>
    <row r="291" spans="9:9" s="275" customFormat="1">
      <c r="I291" s="294"/>
    </row>
    <row r="292" spans="9:9" s="275" customFormat="1">
      <c r="I292" s="294"/>
    </row>
    <row r="293" spans="9:9" s="275" customFormat="1">
      <c r="I293" s="294"/>
    </row>
    <row r="294" spans="9:9" s="275" customFormat="1">
      <c r="I294" s="294"/>
    </row>
    <row r="295" spans="9:9" s="275" customFormat="1">
      <c r="I295" s="294"/>
    </row>
    <row r="296" spans="9:9" s="275" customFormat="1">
      <c r="I296" s="294"/>
    </row>
    <row r="297" spans="9:9" s="275" customFormat="1">
      <c r="I297" s="294"/>
    </row>
    <row r="298" spans="9:9" s="275" customFormat="1">
      <c r="I298" s="294"/>
    </row>
    <row r="299" spans="9:9" s="275" customFormat="1">
      <c r="I299" s="294"/>
    </row>
    <row r="300" spans="9:9" s="275" customFormat="1">
      <c r="I300" s="294"/>
    </row>
    <row r="301" spans="9:9" s="275" customFormat="1">
      <c r="I301" s="294"/>
    </row>
    <row r="302" spans="9:9" s="275" customFormat="1">
      <c r="I302" s="294"/>
    </row>
    <row r="303" spans="9:9" s="275" customFormat="1">
      <c r="I303" s="294"/>
    </row>
    <row r="304" spans="9:9" s="275" customFormat="1">
      <c r="I304" s="294"/>
    </row>
    <row r="305" spans="9:9" s="275" customFormat="1">
      <c r="I305" s="294"/>
    </row>
    <row r="306" spans="9:9" s="275" customFormat="1">
      <c r="I306" s="294"/>
    </row>
    <row r="307" spans="9:9" s="275" customFormat="1">
      <c r="I307" s="294"/>
    </row>
    <row r="308" spans="9:9" s="275" customFormat="1">
      <c r="I308" s="294"/>
    </row>
    <row r="309" spans="9:9" s="275" customFormat="1">
      <c r="I309" s="294"/>
    </row>
    <row r="310" spans="9:9" s="275" customFormat="1">
      <c r="I310" s="294"/>
    </row>
    <row r="311" spans="9:9" s="275" customFormat="1">
      <c r="I311" s="294"/>
    </row>
    <row r="312" spans="9:9" s="275" customFormat="1">
      <c r="I312" s="294"/>
    </row>
    <row r="313" spans="9:9" s="275" customFormat="1">
      <c r="I313" s="294"/>
    </row>
    <row r="314" spans="9:9" s="275" customFormat="1">
      <c r="I314" s="294"/>
    </row>
    <row r="315" spans="9:9" s="275" customFormat="1">
      <c r="I315" s="294"/>
    </row>
    <row r="316" spans="9:9" s="275" customFormat="1">
      <c r="I316" s="294"/>
    </row>
    <row r="317" spans="9:9" s="275" customFormat="1">
      <c r="I317" s="294"/>
    </row>
    <row r="318" spans="9:9" s="275" customFormat="1">
      <c r="I318" s="294"/>
    </row>
    <row r="319" spans="9:9" s="275" customFormat="1">
      <c r="I319" s="294"/>
    </row>
    <row r="320" spans="9:9" s="275" customFormat="1">
      <c r="I320" s="294"/>
    </row>
    <row r="321" spans="9:9" s="275" customFormat="1">
      <c r="I321" s="294"/>
    </row>
    <row r="322" spans="9:9" s="275" customFormat="1">
      <c r="I322" s="294"/>
    </row>
    <row r="323" spans="9:9" s="275" customFormat="1">
      <c r="I323" s="294"/>
    </row>
    <row r="324" spans="9:9" s="275" customFormat="1">
      <c r="I324" s="294"/>
    </row>
    <row r="325" spans="9:9" s="275" customFormat="1">
      <c r="I325" s="294"/>
    </row>
    <row r="326" spans="9:9" s="275" customFormat="1">
      <c r="I326" s="294"/>
    </row>
    <row r="327" spans="9:9" s="275" customFormat="1">
      <c r="I327" s="294"/>
    </row>
    <row r="328" spans="9:9" s="275" customFormat="1">
      <c r="I328" s="294"/>
    </row>
    <row r="329" spans="9:9" s="275" customFormat="1">
      <c r="I329" s="294"/>
    </row>
    <row r="330" spans="9:9" s="275" customFormat="1">
      <c r="I330" s="294"/>
    </row>
    <row r="331" spans="9:9" s="275" customFormat="1">
      <c r="I331" s="294"/>
    </row>
    <row r="332" spans="9:9" s="275" customFormat="1">
      <c r="I332" s="294"/>
    </row>
    <row r="333" spans="9:9" s="275" customFormat="1">
      <c r="I333" s="294"/>
    </row>
    <row r="334" spans="9:9" s="275" customFormat="1">
      <c r="I334" s="294"/>
    </row>
    <row r="335" spans="9:9" s="275" customFormat="1">
      <c r="I335" s="294"/>
    </row>
    <row r="336" spans="9:9" s="275" customFormat="1">
      <c r="I336" s="294"/>
    </row>
    <row r="337" spans="9:9" s="275" customFormat="1">
      <c r="I337" s="294"/>
    </row>
    <row r="338" spans="9:9" s="275" customFormat="1">
      <c r="I338" s="294"/>
    </row>
    <row r="339" spans="9:9" s="275" customFormat="1">
      <c r="I339" s="294"/>
    </row>
    <row r="340" spans="9:9" s="275" customFormat="1">
      <c r="I340" s="294"/>
    </row>
    <row r="341" spans="9:9" s="275" customFormat="1">
      <c r="I341" s="294"/>
    </row>
    <row r="342" spans="9:9" s="275" customFormat="1">
      <c r="I342" s="294"/>
    </row>
    <row r="343" spans="9:9" s="275" customFormat="1">
      <c r="I343" s="294"/>
    </row>
    <row r="344" spans="9:9" s="275" customFormat="1">
      <c r="I344" s="294"/>
    </row>
    <row r="345" spans="9:9" s="275" customFormat="1">
      <c r="I345" s="294"/>
    </row>
    <row r="346" spans="9:9" s="275" customFormat="1">
      <c r="I346" s="294"/>
    </row>
    <row r="347" spans="9:9" s="275" customFormat="1">
      <c r="I347" s="294"/>
    </row>
    <row r="348" spans="9:9" s="275" customFormat="1">
      <c r="I348" s="294"/>
    </row>
    <row r="349" spans="9:9" s="275" customFormat="1">
      <c r="I349" s="294"/>
    </row>
    <row r="350" spans="9:9" s="275" customFormat="1">
      <c r="I350" s="294"/>
    </row>
    <row r="351" spans="9:9" s="275" customFormat="1">
      <c r="I351" s="294"/>
    </row>
    <row r="352" spans="9:9" s="275" customFormat="1">
      <c r="I352" s="294"/>
    </row>
    <row r="353" spans="9:9" s="275" customFormat="1">
      <c r="I353" s="294"/>
    </row>
    <row r="354" spans="9:9" s="275" customFormat="1">
      <c r="I354" s="294"/>
    </row>
    <row r="355" spans="9:9" s="275" customFormat="1">
      <c r="I355" s="294"/>
    </row>
    <row r="356" spans="9:9" s="275" customFormat="1">
      <c r="I356" s="294"/>
    </row>
    <row r="357" spans="9:9" s="275" customFormat="1">
      <c r="I357" s="294"/>
    </row>
    <row r="358" spans="9:9" s="275" customFormat="1">
      <c r="I358" s="294"/>
    </row>
    <row r="359" spans="9:9" s="275" customFormat="1">
      <c r="I359" s="294"/>
    </row>
    <row r="360" spans="9:9" s="275" customFormat="1">
      <c r="I360" s="294"/>
    </row>
    <row r="361" spans="9:9" s="275" customFormat="1">
      <c r="I361" s="294"/>
    </row>
    <row r="362" spans="9:9" s="275" customFormat="1">
      <c r="I362" s="294"/>
    </row>
    <row r="363" spans="9:9" s="275" customFormat="1">
      <c r="I363" s="294"/>
    </row>
    <row r="364" spans="9:9" s="275" customFormat="1">
      <c r="I364" s="294"/>
    </row>
    <row r="365" spans="9:9" s="275" customFormat="1">
      <c r="I365" s="294"/>
    </row>
    <row r="366" spans="9:9" s="275" customFormat="1">
      <c r="I366" s="294"/>
    </row>
    <row r="367" spans="9:9" s="275" customFormat="1">
      <c r="I367" s="294"/>
    </row>
    <row r="368" spans="9:9" s="275" customFormat="1">
      <c r="I368" s="294"/>
    </row>
    <row r="369" spans="9:9" s="275" customFormat="1">
      <c r="I369" s="294"/>
    </row>
    <row r="370" spans="9:9" s="275" customFormat="1">
      <c r="I370" s="294"/>
    </row>
    <row r="371" spans="9:9" s="275" customFormat="1">
      <c r="I371" s="294"/>
    </row>
    <row r="372" spans="9:9" s="275" customFormat="1">
      <c r="I372" s="294"/>
    </row>
    <row r="373" spans="9:9" s="275" customFormat="1">
      <c r="I373" s="294"/>
    </row>
    <row r="374" spans="9:9" s="275" customFormat="1">
      <c r="I374" s="294"/>
    </row>
    <row r="375" spans="9:9" s="275" customFormat="1">
      <c r="I375" s="294"/>
    </row>
    <row r="376" spans="9:9" s="275" customFormat="1">
      <c r="I376" s="294"/>
    </row>
    <row r="377" spans="9:9" s="275" customFormat="1">
      <c r="I377" s="294"/>
    </row>
    <row r="378" spans="9:9" s="275" customFormat="1">
      <c r="I378" s="294"/>
    </row>
    <row r="379" spans="9:9" s="275" customFormat="1">
      <c r="I379" s="294"/>
    </row>
    <row r="380" spans="9:9" s="275" customFormat="1">
      <c r="I380" s="294"/>
    </row>
    <row r="381" spans="9:9" s="275" customFormat="1">
      <c r="I381" s="294"/>
    </row>
    <row r="382" spans="9:9" s="275" customFormat="1">
      <c r="I382" s="294"/>
    </row>
    <row r="383" spans="9:9" s="275" customFormat="1">
      <c r="I383" s="294"/>
    </row>
    <row r="384" spans="9:9" s="275" customFormat="1">
      <c r="I384" s="294"/>
    </row>
    <row r="385" spans="9:9" s="275" customFormat="1">
      <c r="I385" s="294"/>
    </row>
    <row r="386" spans="9:9" s="275" customFormat="1">
      <c r="I386" s="294"/>
    </row>
    <row r="387" spans="9:9" s="275" customFormat="1">
      <c r="I387" s="294"/>
    </row>
    <row r="388" spans="9:9" s="275" customFormat="1">
      <c r="I388" s="294"/>
    </row>
    <row r="389" spans="9:9" s="275" customFormat="1">
      <c r="I389" s="294"/>
    </row>
    <row r="390" spans="9:9" s="275" customFormat="1">
      <c r="I390" s="294"/>
    </row>
    <row r="391" spans="9:9" s="275" customFormat="1">
      <c r="I391" s="294"/>
    </row>
    <row r="392" spans="9:9" s="275" customFormat="1">
      <c r="I392" s="294"/>
    </row>
    <row r="393" spans="9:9" s="275" customFormat="1">
      <c r="I393" s="294"/>
    </row>
    <row r="394" spans="9:9" s="275" customFormat="1">
      <c r="I394" s="294"/>
    </row>
    <row r="395" spans="9:9" s="275" customFormat="1">
      <c r="I395" s="294"/>
    </row>
    <row r="396" spans="9:9" s="275" customFormat="1">
      <c r="I396" s="294"/>
    </row>
    <row r="397" spans="9:9" s="275" customFormat="1">
      <c r="I397" s="294"/>
    </row>
    <row r="398" spans="9:9" s="275" customFormat="1">
      <c r="I398" s="294"/>
    </row>
    <row r="399" spans="9:9" s="275" customFormat="1">
      <c r="I399" s="294"/>
    </row>
    <row r="400" spans="9:9" s="275" customFormat="1">
      <c r="I400" s="294"/>
    </row>
    <row r="401" spans="9:9" s="275" customFormat="1">
      <c r="I401" s="294"/>
    </row>
    <row r="402" spans="9:9" s="275" customFormat="1">
      <c r="I402" s="294"/>
    </row>
    <row r="403" spans="9:9" s="275" customFormat="1">
      <c r="I403" s="294"/>
    </row>
    <row r="404" spans="9:9" s="275" customFormat="1">
      <c r="I404" s="294"/>
    </row>
    <row r="405" spans="9:9" s="275" customFormat="1">
      <c r="I405" s="294"/>
    </row>
    <row r="406" spans="9:9" s="275" customFormat="1">
      <c r="I406" s="294"/>
    </row>
    <row r="407" spans="9:9" s="275" customFormat="1">
      <c r="I407" s="294"/>
    </row>
    <row r="408" spans="9:9" s="275" customFormat="1">
      <c r="I408" s="294"/>
    </row>
    <row r="409" spans="9:9" s="275" customFormat="1">
      <c r="I409" s="294"/>
    </row>
    <row r="410" spans="9:9" s="275" customFormat="1">
      <c r="I410" s="294"/>
    </row>
    <row r="411" spans="9:9" s="275" customFormat="1">
      <c r="I411" s="294"/>
    </row>
    <row r="412" spans="9:9" s="275" customFormat="1">
      <c r="I412" s="294"/>
    </row>
    <row r="413" spans="9:9" s="275" customFormat="1">
      <c r="I413" s="294"/>
    </row>
    <row r="414" spans="9:9" s="275" customFormat="1">
      <c r="I414" s="294"/>
    </row>
    <row r="415" spans="9:9" s="275" customFormat="1">
      <c r="I415" s="294"/>
    </row>
    <row r="416" spans="9:9" s="275" customFormat="1">
      <c r="I416" s="294"/>
    </row>
    <row r="417" spans="9:9" s="275" customFormat="1">
      <c r="I417" s="294"/>
    </row>
    <row r="418" spans="9:9" s="275" customFormat="1">
      <c r="I418" s="294"/>
    </row>
    <row r="419" spans="9:9" s="275" customFormat="1">
      <c r="I419" s="294"/>
    </row>
    <row r="420" spans="9:9" s="275" customFormat="1">
      <c r="I420" s="294"/>
    </row>
    <row r="421" spans="9:9" s="275" customFormat="1">
      <c r="I421" s="294"/>
    </row>
    <row r="422" spans="9:9" s="275" customFormat="1">
      <c r="I422" s="294"/>
    </row>
    <row r="423" spans="9:9" s="275" customFormat="1">
      <c r="I423" s="294"/>
    </row>
    <row r="424" spans="9:9" s="275" customFormat="1">
      <c r="I424" s="294"/>
    </row>
    <row r="425" spans="9:9" s="275" customFormat="1">
      <c r="I425" s="294"/>
    </row>
    <row r="426" spans="9:9" s="275" customFormat="1">
      <c r="I426" s="294"/>
    </row>
    <row r="427" spans="9:9" s="275" customFormat="1">
      <c r="I427" s="294"/>
    </row>
    <row r="428" spans="9:9" s="275" customFormat="1">
      <c r="I428" s="294"/>
    </row>
    <row r="429" spans="9:9" s="275" customFormat="1">
      <c r="I429" s="294"/>
    </row>
    <row r="430" spans="9:9" s="275" customFormat="1">
      <c r="I430" s="294"/>
    </row>
    <row r="431" spans="9:9" s="275" customFormat="1">
      <c r="I431" s="294"/>
    </row>
    <row r="432" spans="9:9" s="275" customFormat="1">
      <c r="I432" s="294"/>
    </row>
    <row r="433" spans="9:9" s="275" customFormat="1">
      <c r="I433" s="294"/>
    </row>
    <row r="434" spans="9:9" s="275" customFormat="1">
      <c r="I434" s="294"/>
    </row>
    <row r="435" spans="9:9" s="275" customFormat="1">
      <c r="I435" s="294"/>
    </row>
    <row r="436" spans="9:9" s="275" customFormat="1">
      <c r="I436" s="294"/>
    </row>
    <row r="437" spans="9:9" s="275" customFormat="1">
      <c r="I437" s="294"/>
    </row>
    <row r="438" spans="9:9" s="275" customFormat="1">
      <c r="I438" s="294"/>
    </row>
    <row r="439" spans="9:9" s="275" customFormat="1">
      <c r="I439" s="294"/>
    </row>
    <row r="440" spans="9:9" s="275" customFormat="1">
      <c r="I440" s="294"/>
    </row>
    <row r="441" spans="9:9" s="275" customFormat="1">
      <c r="I441" s="294"/>
    </row>
    <row r="442" spans="9:9" s="275" customFormat="1">
      <c r="I442" s="294"/>
    </row>
    <row r="443" spans="9:9" s="275" customFormat="1">
      <c r="I443" s="294"/>
    </row>
    <row r="444" spans="9:9" s="275" customFormat="1">
      <c r="I444" s="294"/>
    </row>
    <row r="445" spans="9:9" s="275" customFormat="1">
      <c r="I445" s="294"/>
    </row>
    <row r="446" spans="9:9" s="275" customFormat="1">
      <c r="I446" s="294"/>
    </row>
    <row r="447" spans="9:9" s="275" customFormat="1">
      <c r="I447" s="294"/>
    </row>
    <row r="448" spans="9:9" s="275" customFormat="1">
      <c r="I448" s="294"/>
    </row>
    <row r="449" spans="9:9" s="275" customFormat="1">
      <c r="I449" s="294"/>
    </row>
    <row r="450" spans="9:9" s="275" customFormat="1">
      <c r="I450" s="294"/>
    </row>
    <row r="451" spans="9:9" s="275" customFormat="1">
      <c r="I451" s="294"/>
    </row>
    <row r="452" spans="9:9" s="275" customFormat="1">
      <c r="I452" s="294"/>
    </row>
    <row r="453" spans="9:9" s="275" customFormat="1">
      <c r="I453" s="294"/>
    </row>
    <row r="454" spans="9:9" s="275" customFormat="1">
      <c r="I454" s="294"/>
    </row>
    <row r="455" spans="9:9" s="275" customFormat="1">
      <c r="I455" s="294"/>
    </row>
    <row r="456" spans="9:9" s="275" customFormat="1">
      <c r="I456" s="294"/>
    </row>
    <row r="457" spans="9:9" s="275" customFormat="1">
      <c r="I457" s="294"/>
    </row>
    <row r="458" spans="9:9" s="275" customFormat="1">
      <c r="I458" s="294"/>
    </row>
    <row r="459" spans="9:9" s="275" customFormat="1">
      <c r="I459" s="294"/>
    </row>
    <row r="460" spans="9:9" s="275" customFormat="1">
      <c r="I460" s="294"/>
    </row>
    <row r="461" spans="9:9" s="275" customFormat="1">
      <c r="I461" s="294"/>
    </row>
    <row r="462" spans="9:9" s="275" customFormat="1">
      <c r="I462" s="294"/>
    </row>
    <row r="463" spans="9:9" s="275" customFormat="1">
      <c r="I463" s="294"/>
    </row>
    <row r="464" spans="9:9" s="275" customFormat="1">
      <c r="I464" s="294"/>
    </row>
    <row r="465" spans="9:9" s="275" customFormat="1">
      <c r="I465" s="294"/>
    </row>
    <row r="466" spans="9:9" s="275" customFormat="1">
      <c r="I466" s="294"/>
    </row>
    <row r="467" spans="9:9" s="275" customFormat="1">
      <c r="I467" s="294"/>
    </row>
    <row r="468" spans="9:9" s="275" customFormat="1">
      <c r="I468" s="294"/>
    </row>
    <row r="469" spans="9:9" s="275" customFormat="1">
      <c r="I469" s="294"/>
    </row>
    <row r="470" spans="9:9" s="275" customFormat="1">
      <c r="I470" s="294"/>
    </row>
    <row r="471" spans="9:9" s="275" customFormat="1">
      <c r="I471" s="294"/>
    </row>
    <row r="472" spans="9:9" s="275" customFormat="1">
      <c r="I472" s="294"/>
    </row>
    <row r="473" spans="9:9" s="275" customFormat="1">
      <c r="I473" s="294"/>
    </row>
    <row r="474" spans="9:9" s="275" customFormat="1">
      <c r="I474" s="294"/>
    </row>
    <row r="475" spans="9:9" s="275" customFormat="1">
      <c r="I475" s="294"/>
    </row>
    <row r="476" spans="9:9" s="275" customFormat="1">
      <c r="I476" s="294"/>
    </row>
    <row r="477" spans="9:9" s="275" customFormat="1">
      <c r="I477" s="294"/>
    </row>
    <row r="478" spans="9:9" s="275" customFormat="1">
      <c r="I478" s="294"/>
    </row>
    <row r="479" spans="9:9" s="275" customFormat="1">
      <c r="I479" s="294"/>
    </row>
    <row r="480" spans="9:9" s="275" customFormat="1">
      <c r="I480" s="294"/>
    </row>
    <row r="481" spans="9:9" s="275" customFormat="1">
      <c r="I481" s="294"/>
    </row>
    <row r="482" spans="9:9" s="275" customFormat="1">
      <c r="I482" s="294"/>
    </row>
    <row r="483" spans="9:9" s="275" customFormat="1">
      <c r="I483" s="294"/>
    </row>
    <row r="484" spans="9:9" s="275" customFormat="1">
      <c r="I484" s="294"/>
    </row>
    <row r="485" spans="9:9" s="275" customFormat="1">
      <c r="I485" s="294"/>
    </row>
    <row r="486" spans="9:9" s="275" customFormat="1">
      <c r="I486" s="294"/>
    </row>
    <row r="487" spans="9:9" s="275" customFormat="1">
      <c r="I487" s="294"/>
    </row>
    <row r="488" spans="9:9" s="275" customFormat="1">
      <c r="I488" s="294"/>
    </row>
    <row r="489" spans="9:9" s="275" customFormat="1">
      <c r="I489" s="294"/>
    </row>
    <row r="490" spans="9:9" s="275" customFormat="1">
      <c r="I490" s="294"/>
    </row>
    <row r="491" spans="9:9" s="275" customFormat="1">
      <c r="I491" s="294"/>
    </row>
    <row r="492" spans="9:9" s="275" customFormat="1">
      <c r="I492" s="294"/>
    </row>
    <row r="493" spans="9:9" s="275" customFormat="1">
      <c r="I493" s="294"/>
    </row>
    <row r="494" spans="9:9" s="275" customFormat="1">
      <c r="I494" s="294"/>
    </row>
    <row r="495" spans="9:9" s="275" customFormat="1">
      <c r="I495" s="294"/>
    </row>
    <row r="496" spans="9:9" s="275" customFormat="1">
      <c r="I496" s="294"/>
    </row>
    <row r="497" spans="9:9" s="275" customFormat="1">
      <c r="I497" s="294"/>
    </row>
    <row r="498" spans="9:9" s="275" customFormat="1">
      <c r="I498" s="294"/>
    </row>
    <row r="499" spans="9:9" s="275" customFormat="1">
      <c r="I499" s="294"/>
    </row>
    <row r="500" spans="9:9" s="275" customFormat="1">
      <c r="I500" s="294"/>
    </row>
    <row r="501" spans="9:9" s="275" customFormat="1">
      <c r="I501" s="294"/>
    </row>
    <row r="502" spans="9:9" s="275" customFormat="1">
      <c r="I502" s="294"/>
    </row>
    <row r="503" spans="9:9" s="275" customFormat="1">
      <c r="I503" s="294"/>
    </row>
    <row r="504" spans="9:9" s="275" customFormat="1">
      <c r="I504" s="294"/>
    </row>
    <row r="505" spans="9:9" s="275" customFormat="1">
      <c r="I505" s="294"/>
    </row>
    <row r="506" spans="9:9" s="275" customFormat="1">
      <c r="I506" s="294"/>
    </row>
    <row r="507" spans="9:9" s="275" customFormat="1">
      <c r="I507" s="294"/>
    </row>
    <row r="508" spans="9:9" s="275" customFormat="1">
      <c r="I508" s="294"/>
    </row>
    <row r="509" spans="9:9" s="275" customFormat="1">
      <c r="I509" s="294"/>
    </row>
    <row r="510" spans="9:9" s="275" customFormat="1">
      <c r="I510" s="294"/>
    </row>
    <row r="511" spans="9:9" s="275" customFormat="1">
      <c r="I511" s="294"/>
    </row>
    <row r="512" spans="9:9" s="275" customFormat="1">
      <c r="I512" s="294"/>
    </row>
    <row r="513" spans="9:9" s="275" customFormat="1">
      <c r="I513" s="294"/>
    </row>
    <row r="514" spans="9:9" s="275" customFormat="1">
      <c r="I514" s="294"/>
    </row>
    <row r="515" spans="9:9" s="275" customFormat="1">
      <c r="I515" s="294"/>
    </row>
    <row r="516" spans="9:9" s="275" customFormat="1">
      <c r="I516" s="294"/>
    </row>
    <row r="517" spans="9:9" s="275" customFormat="1">
      <c r="I517" s="294"/>
    </row>
    <row r="518" spans="9:9" s="275" customFormat="1">
      <c r="I518" s="294"/>
    </row>
    <row r="519" spans="9:9" s="275" customFormat="1">
      <c r="I519" s="294"/>
    </row>
    <row r="520" spans="9:9" s="275" customFormat="1">
      <c r="I520" s="294"/>
    </row>
    <row r="521" spans="9:9" s="275" customFormat="1">
      <c r="I521" s="294"/>
    </row>
    <row r="522" spans="9:9" s="275" customFormat="1">
      <c r="I522" s="294"/>
    </row>
    <row r="523" spans="9:9" s="275" customFormat="1">
      <c r="I523" s="294"/>
    </row>
    <row r="524" spans="9:9" s="275" customFormat="1">
      <c r="I524" s="294"/>
    </row>
    <row r="525" spans="9:9" s="275" customFormat="1">
      <c r="I525" s="294"/>
    </row>
    <row r="526" spans="9:9" s="275" customFormat="1">
      <c r="I526" s="294"/>
    </row>
    <row r="527" spans="9:9" s="275" customFormat="1">
      <c r="I527" s="294"/>
    </row>
    <row r="528" spans="9:9" s="275" customFormat="1">
      <c r="I528" s="294"/>
    </row>
    <row r="529" spans="9:9" s="275" customFormat="1">
      <c r="I529" s="294"/>
    </row>
    <row r="530" spans="9:9" s="275" customFormat="1">
      <c r="I530" s="294"/>
    </row>
    <row r="531" spans="9:9" s="275" customFormat="1">
      <c r="I531" s="294"/>
    </row>
    <row r="532" spans="9:9" s="275" customFormat="1">
      <c r="I532" s="294"/>
    </row>
    <row r="533" spans="9:9" s="275" customFormat="1">
      <c r="I533" s="294"/>
    </row>
    <row r="534" spans="9:9" s="275" customFormat="1">
      <c r="I534" s="294"/>
    </row>
    <row r="535" spans="9:9" s="275" customFormat="1">
      <c r="I535" s="294"/>
    </row>
    <row r="536" spans="9:9" s="275" customFormat="1">
      <c r="I536" s="294"/>
    </row>
    <row r="537" spans="9:9" s="275" customFormat="1">
      <c r="I537" s="294"/>
    </row>
    <row r="538" spans="9:9" s="275" customFormat="1">
      <c r="I538" s="294"/>
    </row>
    <row r="539" spans="9:9" s="275" customFormat="1">
      <c r="I539" s="294"/>
    </row>
    <row r="540" spans="9:9" s="275" customFormat="1">
      <c r="I540" s="294"/>
    </row>
    <row r="541" spans="9:9" s="275" customFormat="1">
      <c r="I541" s="294"/>
    </row>
    <row r="542" spans="9:9" s="275" customFormat="1">
      <c r="I542" s="294"/>
    </row>
    <row r="543" spans="9:9" s="275" customFormat="1">
      <c r="I543" s="294"/>
    </row>
    <row r="544" spans="9:9" s="275" customFormat="1">
      <c r="I544" s="294"/>
    </row>
    <row r="545" spans="9:9" s="275" customFormat="1">
      <c r="I545" s="294"/>
    </row>
    <row r="546" spans="9:9" s="275" customFormat="1">
      <c r="I546" s="294"/>
    </row>
    <row r="547" spans="9:9" s="275" customFormat="1">
      <c r="I547" s="294"/>
    </row>
    <row r="548" spans="9:9" s="275" customFormat="1">
      <c r="I548" s="294"/>
    </row>
    <row r="549" spans="9:9" s="275" customFormat="1">
      <c r="I549" s="294"/>
    </row>
    <row r="550" spans="9:9" s="275" customFormat="1">
      <c r="I550" s="294"/>
    </row>
    <row r="551" spans="9:9" s="275" customFormat="1">
      <c r="I551" s="294"/>
    </row>
    <row r="552" spans="9:9" s="275" customFormat="1">
      <c r="I552" s="294"/>
    </row>
    <row r="553" spans="9:9" s="275" customFormat="1">
      <c r="I553" s="294"/>
    </row>
    <row r="554" spans="9:9" s="275" customFormat="1">
      <c r="I554" s="294"/>
    </row>
    <row r="555" spans="9:9" s="275" customFormat="1">
      <c r="I555" s="294"/>
    </row>
    <row r="556" spans="9:9" s="275" customFormat="1">
      <c r="I556" s="294"/>
    </row>
    <row r="557" spans="9:9" s="275" customFormat="1">
      <c r="I557" s="294"/>
    </row>
    <row r="558" spans="9:9" s="275" customFormat="1">
      <c r="I558" s="294"/>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09" customWidth="1"/>
    <col min="4" max="4" width="13.1640625" style="209" hidden="1" customWidth="1"/>
    <col min="5" max="5" width="27.1640625" style="45" hidden="1" customWidth="1"/>
    <col min="6" max="6" width="20" style="45" hidden="1" customWidth="1"/>
    <col min="7" max="7" width="20.5" style="45" customWidth="1"/>
    <col min="8" max="8" width="9.5" style="209" hidden="1" customWidth="1"/>
    <col min="9" max="9" width="11.1640625" style="45" hidden="1" customWidth="1"/>
    <col min="10" max="10" width="14.6640625" style="45" hidden="1" customWidth="1"/>
    <col min="11" max="11" width="20.6640625" style="471" customWidth="1"/>
    <col min="12" max="14" width="14.6640625" style="471" hidden="1" customWidth="1"/>
    <col min="15" max="15" width="20.5" style="471" customWidth="1"/>
    <col min="16" max="16" width="13.83203125" style="45" hidden="1" customWidth="1"/>
    <col min="17" max="17" width="13.83203125" style="471" hidden="1" customWidth="1"/>
    <col min="18" max="18" width="13.83203125" style="45" hidden="1" customWidth="1"/>
    <col min="19" max="19" width="20.83203125" style="471" customWidth="1"/>
    <col min="20" max="22" width="13.1640625" style="471"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6" t="s">
        <v>2026</v>
      </c>
      <c r="C1" s="5" t="s">
        <v>23</v>
      </c>
      <c r="D1" s="456" t="s">
        <v>1042</v>
      </c>
      <c r="E1" s="457" t="s">
        <v>1043</v>
      </c>
      <c r="F1" s="457" t="s">
        <v>2028</v>
      </c>
      <c r="G1" s="457" t="s">
        <v>2040</v>
      </c>
      <c r="H1" s="456" t="s">
        <v>1045</v>
      </c>
      <c r="I1" s="457" t="s">
        <v>1046</v>
      </c>
      <c r="J1" s="457" t="s">
        <v>2029</v>
      </c>
      <c r="K1" s="472" t="s">
        <v>2030</v>
      </c>
      <c r="L1" s="472" t="s">
        <v>1051</v>
      </c>
      <c r="M1" s="472" t="s">
        <v>1052</v>
      </c>
      <c r="N1" s="472" t="s">
        <v>2031</v>
      </c>
      <c r="O1" s="472" t="s">
        <v>2032</v>
      </c>
      <c r="P1" s="411" t="s">
        <v>1054</v>
      </c>
      <c r="Q1" s="472" t="s">
        <v>1055</v>
      </c>
      <c r="R1" s="411" t="s">
        <v>2037</v>
      </c>
      <c r="S1" s="472" t="s">
        <v>1056</v>
      </c>
      <c r="T1" s="472" t="s">
        <v>1115</v>
      </c>
      <c r="U1" s="472" t="s">
        <v>1116</v>
      </c>
      <c r="V1" s="472" t="s">
        <v>2038</v>
      </c>
      <c r="W1" s="457" t="s">
        <v>1117</v>
      </c>
      <c r="X1" s="457" t="s">
        <v>1119</v>
      </c>
      <c r="Y1" s="457" t="s">
        <v>1120</v>
      </c>
      <c r="Z1" s="457" t="s">
        <v>2039</v>
      </c>
      <c r="AA1" s="457" t="s">
        <v>1121</v>
      </c>
      <c r="AB1" s="457" t="s">
        <v>1123</v>
      </c>
      <c r="AC1" s="457" t="s">
        <v>1124</v>
      </c>
      <c r="AD1" s="457" t="s">
        <v>2041</v>
      </c>
      <c r="AE1" s="457" t="s">
        <v>1125</v>
      </c>
      <c r="AF1" s="457" t="s">
        <v>1127</v>
      </c>
      <c r="AG1" s="457" t="s">
        <v>1128</v>
      </c>
      <c r="AH1" s="457" t="s">
        <v>2042</v>
      </c>
      <c r="AI1" s="457" t="s">
        <v>1129</v>
      </c>
      <c r="AJ1" s="457" t="s">
        <v>1131</v>
      </c>
      <c r="AK1" s="457" t="s">
        <v>1132</v>
      </c>
      <c r="AL1" s="457" t="s">
        <v>2043</v>
      </c>
      <c r="AM1" s="457" t="s">
        <v>1133</v>
      </c>
      <c r="AN1" s="457" t="s">
        <v>1135</v>
      </c>
      <c r="AO1" s="457" t="s">
        <v>1136</v>
      </c>
      <c r="AP1" s="457" t="s">
        <v>2044</v>
      </c>
      <c r="AQ1" s="411" t="s">
        <v>1137</v>
      </c>
      <c r="AR1" s="457" t="s">
        <v>2033</v>
      </c>
      <c r="AS1" s="411" t="s">
        <v>2034</v>
      </c>
      <c r="AT1" s="472" t="s">
        <v>2035</v>
      </c>
      <c r="AU1" s="477" t="s">
        <v>2036</v>
      </c>
      <c r="AX1" s="4"/>
      <c r="BI1" s="4"/>
    </row>
    <row r="2" spans="1:61" s="322" customFormat="1" hidden="1">
      <c r="A2" s="17"/>
      <c r="B2" s="319"/>
      <c r="C2" s="319"/>
      <c r="D2" s="320" t="s">
        <v>1317</v>
      </c>
      <c r="E2" s="321"/>
      <c r="F2" s="321"/>
      <c r="G2" s="321" t="s">
        <v>1318</v>
      </c>
      <c r="H2" s="320" t="s">
        <v>1319</v>
      </c>
      <c r="I2" s="321"/>
      <c r="J2" s="321"/>
      <c r="K2" s="473" t="s">
        <v>1320</v>
      </c>
      <c r="L2" s="473" t="s">
        <v>1321</v>
      </c>
      <c r="M2" s="473"/>
      <c r="N2" s="473"/>
      <c r="O2" s="473" t="s">
        <v>1322</v>
      </c>
      <c r="P2" s="469"/>
      <c r="Q2" s="473"/>
      <c r="R2" s="469"/>
      <c r="S2" s="470">
        <v>4</v>
      </c>
      <c r="T2" s="470"/>
      <c r="U2" s="470"/>
      <c r="V2" s="470"/>
      <c r="W2" s="322">
        <v>5</v>
      </c>
      <c r="X2" s="170"/>
      <c r="Y2" s="170"/>
      <c r="Z2" s="170"/>
      <c r="AA2" s="170">
        <v>6</v>
      </c>
      <c r="AB2" s="170"/>
      <c r="AC2" s="170"/>
      <c r="AD2" s="170"/>
      <c r="AE2" s="322">
        <v>7</v>
      </c>
      <c r="AF2" s="170"/>
      <c r="AG2" s="170"/>
      <c r="AH2" s="170"/>
      <c r="AI2" s="170">
        <v>8</v>
      </c>
      <c r="AJ2" s="170"/>
      <c r="AK2" s="170"/>
      <c r="AL2" s="170"/>
      <c r="AM2" s="322">
        <v>9</v>
      </c>
      <c r="AN2" s="170"/>
      <c r="AO2" s="170"/>
      <c r="AP2" s="170"/>
      <c r="AQ2" s="170">
        <v>10</v>
      </c>
      <c r="AS2" s="170"/>
      <c r="AT2" s="470"/>
      <c r="AU2" s="478"/>
    </row>
    <row r="3" spans="1:61" s="12" customFormat="1" ht="19" hidden="1" customHeight="1">
      <c r="A3" s="11">
        <v>1</v>
      </c>
      <c r="B3" s="460">
        <v>2</v>
      </c>
      <c r="C3" s="212">
        <v>3</v>
      </c>
      <c r="D3" s="11">
        <v>4</v>
      </c>
      <c r="E3" s="460">
        <v>5</v>
      </c>
      <c r="F3" s="212">
        <v>6</v>
      </c>
      <c r="G3" s="11">
        <v>7</v>
      </c>
      <c r="H3" s="460">
        <v>8</v>
      </c>
      <c r="I3" s="212">
        <v>9</v>
      </c>
      <c r="J3" s="11">
        <v>10</v>
      </c>
      <c r="K3" s="460">
        <v>11</v>
      </c>
      <c r="L3" s="212">
        <v>12</v>
      </c>
      <c r="M3" s="11">
        <v>13</v>
      </c>
      <c r="N3" s="460">
        <v>14</v>
      </c>
      <c r="O3" s="212">
        <v>15</v>
      </c>
      <c r="P3" s="11">
        <v>16</v>
      </c>
      <c r="Q3" s="460">
        <v>17</v>
      </c>
      <c r="R3" s="212">
        <v>18</v>
      </c>
      <c r="S3" s="11">
        <v>19</v>
      </c>
      <c r="T3" s="460">
        <v>20</v>
      </c>
      <c r="U3" s="212">
        <v>21</v>
      </c>
      <c r="V3" s="11">
        <v>22</v>
      </c>
      <c r="W3" s="460">
        <v>23</v>
      </c>
      <c r="X3" s="212">
        <v>24</v>
      </c>
      <c r="Y3" s="11">
        <v>25</v>
      </c>
      <c r="Z3" s="460">
        <v>26</v>
      </c>
      <c r="AA3" s="212">
        <v>27</v>
      </c>
      <c r="AB3" s="11">
        <v>28</v>
      </c>
      <c r="AC3" s="460">
        <v>29</v>
      </c>
      <c r="AD3" s="212">
        <v>30</v>
      </c>
      <c r="AE3" s="11">
        <v>31</v>
      </c>
      <c r="AF3" s="460">
        <v>32</v>
      </c>
      <c r="AG3" s="212">
        <v>33</v>
      </c>
      <c r="AH3" s="11">
        <v>34</v>
      </c>
      <c r="AI3" s="460">
        <v>35</v>
      </c>
      <c r="AJ3" s="212">
        <v>36</v>
      </c>
      <c r="AK3" s="11">
        <v>37</v>
      </c>
      <c r="AL3" s="460">
        <v>38</v>
      </c>
      <c r="AM3" s="212">
        <v>39</v>
      </c>
      <c r="AN3" s="11">
        <v>40</v>
      </c>
      <c r="AO3" s="460">
        <v>41</v>
      </c>
      <c r="AP3" s="212">
        <v>42</v>
      </c>
      <c r="AQ3" s="11">
        <v>43</v>
      </c>
      <c r="AR3" s="460">
        <v>44</v>
      </c>
      <c r="AS3" s="212">
        <v>45</v>
      </c>
      <c r="AT3" s="11">
        <v>46</v>
      </c>
      <c r="AU3" s="460">
        <v>47</v>
      </c>
    </row>
    <row r="4" spans="1:61">
      <c r="A4" s="211" t="s">
        <v>1161</v>
      </c>
      <c r="B4" s="436"/>
      <c r="C4" s="461"/>
      <c r="D4" s="463" t="str">
        <f>IF(VLOOKUP(20,'Plate Planning'!$A$1:$T$35,13,FALSE)=0, "", VLOOKUP(20,'Plate Planning'!$A$1:$T$35,13,FALSE))</f>
        <v/>
      </c>
      <c r="E4" s="436" t="str">
        <f>IF(VLOOKUP(20,'Plate Planning'!$A$1:$T$35,14,FALSE)=0, "", VLOOKUP(20,'Plate Planning'!$A$1:$T$35,14,FALSE))</f>
        <v/>
      </c>
      <c r="F4" s="436" t="str">
        <f>IFERROR(VLOOKUP(20,'Plate Planning'!$A$1:$T$35,18,FALSE),"")</f>
        <v/>
      </c>
      <c r="G4" s="466"/>
      <c r="H4" s="463" t="str">
        <f>IF(VLOOKUP(21,'Plate Planning'!$A$1:$T$35,13,FALSE)=0, "", VLOOKUP(21,'Plate Planning'!$A$1:$T$35,13,FALSE))</f>
        <v/>
      </c>
      <c r="I4" s="436" t="str">
        <f>IF(VLOOKUP(21,'Plate Planning'!$A$1:$T$35,14,FALSE)=0, "", VLOOKUP(21,'Plate Planning'!$A$1:$T$35,14,FALSE))</f>
        <v/>
      </c>
      <c r="J4" s="474" t="str">
        <f>IFERROR(VLOOKUP(21,'Plate Planning'!$A$1:$T$35,18,FALSE),"")</f>
        <v/>
      </c>
      <c r="K4" s="436"/>
      <c r="L4" s="436" t="str">
        <f>IF(VLOOKUP(22,'Plate Planning'!$A$1:$T$35,13,FALSE)=0, "", VLOOKUP(22,'Plate Planning'!$A$1:$T$35,13,FALSE))</f>
        <v/>
      </c>
      <c r="M4" s="436" t="str">
        <f>IF(VLOOKUP(22,'Plate Planning'!$A$1:$T$35,14,FALSE)=0, "", VLOOKUP(22,'Plate Planning'!$A$1:$T$35,14,FALSE))</f>
        <v/>
      </c>
      <c r="N4" s="436" t="str">
        <f>IFERROR(VLOOKUP(22,'Plate Planning'!$A$1:$T$35,18,FALSE),"")</f>
        <v/>
      </c>
      <c r="O4" s="436"/>
      <c r="P4" s="463" t="str">
        <f>IF(VLOOKUP(23,'Plate Planning'!$A$1:$T$35,13,FALSE)=0, "", VLOOKUP(23,'Plate Planning'!$A$1:$T$35,13,FALSE))</f>
        <v/>
      </c>
      <c r="Q4" s="436" t="str">
        <f>IF(VLOOKUP(23,'Plate Planning'!$A$1:$T$35,14,FALSE)=0, "", VLOOKUP(23,'Plate Planning'!$A$1:$T$35,14,FALSE))</f>
        <v/>
      </c>
      <c r="R4" s="463" t="str">
        <f>IFERROR(VLOOKUP(23,'Plate Planning'!$A$1:$T$35,18,FALSE),"")</f>
        <v/>
      </c>
      <c r="S4" s="436"/>
      <c r="T4" s="436" t="str">
        <f>IF(VLOOKUP(24,'Plate Planning'!$A$1:$T$35,13,FALSE)=0, "", VLOOKUP(24,'Plate Planning'!$A$1:$T$35,13,FALSE))</f>
        <v/>
      </c>
      <c r="U4" s="436" t="str">
        <f>IF(VLOOKUP(24,'Plate Planning'!$A$1:$T$35,14,FALSE)=0, "", VLOOKUP(24,'Plate Planning'!$A$1:$T$35,14,FALSE))</f>
        <v/>
      </c>
      <c r="V4" s="436" t="str">
        <f>IFERROR(VLOOKUP(24,'Plate Planning'!$A$1:$T$35,18,FALSE),"")</f>
        <v/>
      </c>
      <c r="W4" s="267"/>
      <c r="X4" s="267" t="str">
        <f>IF(VLOOKUP(25,'Plate Planning'!$A$1:$T$35,13,FALSE)=0, "", VLOOKUP(25,'Plate Planning'!$A$1:$T$35,13,FALSE))</f>
        <v/>
      </c>
      <c r="Y4" s="267" t="str">
        <f>IF(VLOOKUP(25,'Plate Planning'!$A$1:$T$35,14,FALSE)=0, "", VLOOKUP(25,'Plate Planning'!$A$1:$T$35,14,FALSE))</f>
        <v/>
      </c>
      <c r="Z4" s="267" t="str">
        <f>IFERROR(VLOOKUP(25,'Plate Planning'!$A$1:$T$35,18,FALSE),"")</f>
        <v/>
      </c>
      <c r="AA4" s="268"/>
      <c r="AB4" s="267" t="str">
        <f>IF(VLOOKUP(26,'Plate Planning'!$A$1:$T$35,13,FALSE)=0, "", VLOOKUP(26,'Plate Planning'!$A$1:$T$35,13,FALSE))</f>
        <v/>
      </c>
      <c r="AC4" s="267" t="str">
        <f>IF(VLOOKUP(26,'Plate Planning'!$A$1:$T$35,14,FALSE)=0, "", VLOOKUP(26,'Plate Planning'!$A$1:$T$35,14,FALSE))</f>
        <v/>
      </c>
      <c r="AD4" s="267" t="str">
        <f>IFERROR(VLOOKUP(26,'Plate Planning'!$A$1:$T$35,18,FALSE),"")</f>
        <v/>
      </c>
      <c r="AE4" s="268"/>
      <c r="AF4" s="267" t="str">
        <f>IF(VLOOKUP(27,'Plate Planning'!$A$1:$T$35,13,FALSE)=0, "", VLOOKUP(27,'Plate Planning'!$A$1:$T$35,13,FALSE))</f>
        <v/>
      </c>
      <c r="AG4" s="267" t="str">
        <f>IF(VLOOKUP(27,'Plate Planning'!$A$1:$T$35,14,FALSE)=0, "", VLOOKUP(27,'Plate Planning'!$A$1:$T$35,14,FALSE))</f>
        <v/>
      </c>
      <c r="AH4" s="267" t="str">
        <f>IFERROR(VLOOKUP(27,'Plate Planning'!$A$1:$T$35,18,FALSE),"")</f>
        <v/>
      </c>
      <c r="AI4" s="268"/>
      <c r="AJ4" s="267" t="str">
        <f>IF(VLOOKUP(28,'Plate Planning'!$A$1:$T$35,13,FALSE)=0, "", VLOOKUP(28,'Plate Planning'!$A$1:$T$35,13,FALSE))</f>
        <v/>
      </c>
      <c r="AK4" s="267" t="str">
        <f>IF(VLOOKUP(28,'Plate Planning'!$A$1:$T$35,14,FALSE)=0, "", VLOOKUP(28,'Plate Planning'!$A$1:$T$35,14,FALSE))</f>
        <v/>
      </c>
      <c r="AL4" s="267" t="str">
        <f>IFERROR(VLOOKUP(28,'Plate Planning'!$A$1:$T$35,18,FALSE),"")</f>
        <v/>
      </c>
      <c r="AM4" s="268"/>
      <c r="AN4" s="267" t="str">
        <f>IF(VLOOKUP(29,'Plate Planning'!$A$1:$T$35,13,FALSE)=0, "", VLOOKUP(29,'Plate Planning'!$A$1:$T$35,13,FALSE))</f>
        <v/>
      </c>
      <c r="AO4" s="267" t="str">
        <f>IF(VLOOKUP(29,'Plate Planning'!$A$1:$T$35,14,FALSE)=0, "", VLOOKUP(29,'Plate Planning'!$A$1:$T$35,14,FALSE))</f>
        <v/>
      </c>
      <c r="AP4" s="267" t="str">
        <f>IFERROR(VLOOKUP(29,'Plate Planning'!$A$1:$T$35,18,FALSE),"")</f>
        <v/>
      </c>
      <c r="AQ4" s="268"/>
      <c r="AR4" s="357"/>
      <c r="AS4" s="475"/>
      <c r="AT4" s="471"/>
      <c r="AU4" s="479">
        <f t="shared" ref="AU4:AU21" si="0">B4-C4-AR4-AS4-AT4</f>
        <v>0</v>
      </c>
      <c r="AX4" s="208"/>
      <c r="BI4" s="208"/>
    </row>
    <row r="5" spans="1:61">
      <c r="A5" s="211" t="s">
        <v>1162</v>
      </c>
      <c r="B5" s="436"/>
      <c r="C5" s="462"/>
      <c r="D5" s="463" t="str">
        <f>IF(VLOOKUP(20,'Plate Planning'!$A$1:$T$35,13,FALSE)=0, "", VLOOKUP(20,'Plate Planning'!$A$1:$T$35,13,FALSE))</f>
        <v/>
      </c>
      <c r="E5" s="436" t="str">
        <f>IF(VLOOKUP(20,'Plate Planning'!$A$1:$T$35,14,FALSE)=0, "", VLOOKUP(20,'Plate Planning'!$A$1:$T$35,14,FALSE))</f>
        <v/>
      </c>
      <c r="F5" s="436" t="str">
        <f>IFERROR(VLOOKUP(20,'Plate Planning'!$A$1:$T$35,18,FALSE),"")</f>
        <v/>
      </c>
      <c r="G5" s="467"/>
      <c r="H5" s="463" t="str">
        <f>IF(VLOOKUP(21,'Plate Planning'!$A$1:$T$35,13,FALSE)=0, "", VLOOKUP(21,'Plate Planning'!$A$1:$T$35,13,FALSE))</f>
        <v/>
      </c>
      <c r="I5" s="436" t="str">
        <f>IF(VLOOKUP(21,'Plate Planning'!$A$1:$T$35,14,FALSE)=0, "", VLOOKUP(21,'Plate Planning'!$A$1:$T$35,14,FALSE))</f>
        <v/>
      </c>
      <c r="J5" s="474" t="str">
        <f>IFERROR(VLOOKUP(21,'Plate Planning'!$A$1:$T$35,18,FALSE),"")</f>
        <v/>
      </c>
      <c r="K5" s="436"/>
      <c r="L5" s="436" t="str">
        <f>IF(VLOOKUP(22,'Plate Planning'!$A$1:$T$35,13,FALSE)=0, "", VLOOKUP(22,'Plate Planning'!$A$1:$T$35,13,FALSE))</f>
        <v/>
      </c>
      <c r="M5" s="436" t="str">
        <f>IF(VLOOKUP(22,'Plate Planning'!$A$1:$T$35,14,FALSE)=0, "", VLOOKUP(22,'Plate Planning'!$A$1:$T$35,14,FALSE))</f>
        <v/>
      </c>
      <c r="N5" s="436" t="str">
        <f>IFERROR(VLOOKUP(22,'Plate Planning'!$A$1:$T$35,18,FALSE),"")</f>
        <v/>
      </c>
      <c r="O5" s="436"/>
      <c r="P5" s="463" t="str">
        <f>IF(VLOOKUP(23,'Plate Planning'!$A$1:$T$35,13,FALSE)=0, "", VLOOKUP(23,'Plate Planning'!$A$1:$T$35,13,FALSE))</f>
        <v/>
      </c>
      <c r="Q5" s="436" t="str">
        <f>IF(VLOOKUP(23,'Plate Planning'!$A$1:$T$35,14,FALSE)=0, "", VLOOKUP(23,'Plate Planning'!$A$1:$T$35,14,FALSE))</f>
        <v/>
      </c>
      <c r="R5" s="463" t="str">
        <f>IFERROR(VLOOKUP(23,'Plate Planning'!$A$1:$T$35,18,FALSE),"")</f>
        <v/>
      </c>
      <c r="S5" s="436"/>
      <c r="T5" s="436" t="str">
        <f>IF(VLOOKUP(24,'Plate Planning'!$A$1:$T$35,13,FALSE)=0, "", VLOOKUP(24,'Plate Planning'!$A$1:$T$35,13,FALSE))</f>
        <v/>
      </c>
      <c r="U5" s="436" t="str">
        <f>IF(VLOOKUP(24,'Plate Planning'!$A$1:$T$35,14,FALSE)=0, "", VLOOKUP(24,'Plate Planning'!$A$1:$T$35,14,FALSE))</f>
        <v/>
      </c>
      <c r="V5" s="436" t="str">
        <f>IFERROR(VLOOKUP(24,'Plate Planning'!$A$1:$T$35,18,FALSE),"")</f>
        <v/>
      </c>
      <c r="W5" s="265"/>
      <c r="X5" s="267" t="str">
        <f>IF(VLOOKUP(25,'Plate Planning'!$A$1:$T$35,13,FALSE)=0, "", VLOOKUP(25,'Plate Planning'!$A$1:$T$35,13,FALSE))</f>
        <v/>
      </c>
      <c r="Y5" s="267" t="str">
        <f>IF(VLOOKUP(25,'Plate Planning'!$A$1:$T$35,14,FALSE)=0, "", VLOOKUP(25,'Plate Planning'!$A$1:$T$35,14,FALSE))</f>
        <v/>
      </c>
      <c r="Z5" s="267" t="str">
        <f>IFERROR(VLOOKUP(25,'Plate Planning'!$A$1:$T$35,18,FALSE),"")</f>
        <v/>
      </c>
      <c r="AA5" s="269"/>
      <c r="AB5" s="267" t="str">
        <f>IF(VLOOKUP(26,'Plate Planning'!$A$1:$T$35,13,FALSE)=0, "", VLOOKUP(26,'Plate Planning'!$A$1:$T$35,13,FALSE))</f>
        <v/>
      </c>
      <c r="AC5" s="267" t="str">
        <f>IF(VLOOKUP(26,'Plate Planning'!$A$1:$T$35,14,FALSE)=0, "", VLOOKUP(26,'Plate Planning'!$A$1:$T$35,14,FALSE))</f>
        <v/>
      </c>
      <c r="AD5" s="267" t="str">
        <f>IFERROR(VLOOKUP(26,'Plate Planning'!$A$1:$T$35,18,FALSE),"")</f>
        <v/>
      </c>
      <c r="AE5" s="269"/>
      <c r="AF5" s="267" t="str">
        <f>IF(VLOOKUP(27,'Plate Planning'!$A$1:$T$35,13,FALSE)=0, "", VLOOKUP(27,'Plate Planning'!$A$1:$T$35,13,FALSE))</f>
        <v/>
      </c>
      <c r="AG5" s="267" t="str">
        <f>IF(VLOOKUP(27,'Plate Planning'!$A$1:$T$35,14,FALSE)=0, "", VLOOKUP(27,'Plate Planning'!$A$1:$T$35,14,FALSE))</f>
        <v/>
      </c>
      <c r="AH5" s="267" t="str">
        <f>IFERROR(VLOOKUP(27,'Plate Planning'!$A$1:$T$35,18,FALSE),"")</f>
        <v/>
      </c>
      <c r="AI5" s="269"/>
      <c r="AJ5" s="267" t="str">
        <f>IF(VLOOKUP(28,'Plate Planning'!$A$1:$T$35,13,FALSE)=0, "", VLOOKUP(28,'Plate Planning'!$A$1:$T$35,13,FALSE))</f>
        <v/>
      </c>
      <c r="AK5" s="267" t="str">
        <f>IF(VLOOKUP(28,'Plate Planning'!$A$1:$T$35,14,FALSE)=0, "", VLOOKUP(28,'Plate Planning'!$A$1:$T$35,14,FALSE))</f>
        <v/>
      </c>
      <c r="AL5" s="267" t="str">
        <f>IFERROR(VLOOKUP(28,'Plate Planning'!$A$1:$T$35,18,FALSE),"")</f>
        <v/>
      </c>
      <c r="AM5" s="269"/>
      <c r="AN5" s="267" t="str">
        <f>IF(VLOOKUP(29,'Plate Planning'!$A$1:$T$35,13,FALSE)=0, "", VLOOKUP(29,'Plate Planning'!$A$1:$T$35,13,FALSE))</f>
        <v/>
      </c>
      <c r="AO5" s="267" t="str">
        <f>IF(VLOOKUP(29,'Plate Planning'!$A$1:$T$35,14,FALSE)=0, "", VLOOKUP(29,'Plate Planning'!$A$1:$T$35,14,FALSE))</f>
        <v/>
      </c>
      <c r="AP5" s="267" t="str">
        <f>IFERROR(VLOOKUP(29,'Plate Planning'!$A$1:$T$35,18,FALSE),"")</f>
        <v/>
      </c>
      <c r="AQ5" s="269"/>
      <c r="AR5" s="358"/>
      <c r="AS5" s="476"/>
      <c r="AT5" s="471"/>
      <c r="AU5" s="479">
        <f t="shared" si="0"/>
        <v>0</v>
      </c>
      <c r="AX5" s="208"/>
      <c r="BI5" s="208"/>
    </row>
    <row r="6" spans="1:61">
      <c r="A6" s="211" t="s">
        <v>1163</v>
      </c>
      <c r="B6" s="436"/>
      <c r="C6" s="462"/>
      <c r="D6" s="463" t="str">
        <f>IF(VLOOKUP(20,'Plate Planning'!$A$1:$T$35,13,FALSE)=0, "", VLOOKUP(20,'Plate Planning'!$A$1:$T$35,13,FALSE))</f>
        <v/>
      </c>
      <c r="E6" s="436" t="str">
        <f>IF(VLOOKUP(20,'Plate Planning'!$A$1:$T$35,14,FALSE)=0, "", VLOOKUP(20,'Plate Planning'!$A$1:$T$35,14,FALSE))</f>
        <v/>
      </c>
      <c r="F6" s="436" t="str">
        <f>IFERROR(VLOOKUP(20,'Plate Planning'!$A$1:$T$35,18,FALSE),"")</f>
        <v/>
      </c>
      <c r="G6" s="468"/>
      <c r="H6" s="463" t="str">
        <f>IF(VLOOKUP(21,'Plate Planning'!$A$1:$T$35,13,FALSE)=0, "", VLOOKUP(21,'Plate Planning'!$A$1:$T$35,13,FALSE))</f>
        <v/>
      </c>
      <c r="I6" s="436" t="str">
        <f>IF(VLOOKUP(21,'Plate Planning'!$A$1:$T$35,14,FALSE)=0, "", VLOOKUP(21,'Plate Planning'!$A$1:$T$35,14,FALSE))</f>
        <v/>
      </c>
      <c r="J6" s="474" t="str">
        <f>IFERROR(VLOOKUP(21,'Plate Planning'!$A$1:$T$35,18,FALSE),"")</f>
        <v/>
      </c>
      <c r="K6" s="436"/>
      <c r="L6" s="436" t="str">
        <f>IF(VLOOKUP(22,'Plate Planning'!$A$1:$T$35,13,FALSE)=0, "", VLOOKUP(22,'Plate Planning'!$A$1:$T$35,13,FALSE))</f>
        <v/>
      </c>
      <c r="M6" s="436" t="str">
        <f>IF(VLOOKUP(22,'Plate Planning'!$A$1:$T$35,14,FALSE)=0, "", VLOOKUP(22,'Plate Planning'!$A$1:$T$35,14,FALSE))</f>
        <v/>
      </c>
      <c r="N6" s="436" t="str">
        <f>IFERROR(VLOOKUP(22,'Plate Planning'!$A$1:$T$35,18,FALSE),"")</f>
        <v/>
      </c>
      <c r="O6" s="436"/>
      <c r="P6" s="463" t="str">
        <f>IF(VLOOKUP(23,'Plate Planning'!$A$1:$T$35,13,FALSE)=0, "", VLOOKUP(23,'Plate Planning'!$A$1:$T$35,13,FALSE))</f>
        <v/>
      </c>
      <c r="Q6" s="436" t="str">
        <f>IF(VLOOKUP(23,'Plate Planning'!$A$1:$T$35,14,FALSE)=0, "", VLOOKUP(23,'Plate Planning'!$A$1:$T$35,14,FALSE))</f>
        <v/>
      </c>
      <c r="R6" s="463" t="str">
        <f>IFERROR(VLOOKUP(23,'Plate Planning'!$A$1:$T$35,18,FALSE),"")</f>
        <v/>
      </c>
      <c r="S6" s="436"/>
      <c r="T6" s="436" t="str">
        <f>IF(VLOOKUP(24,'Plate Planning'!$A$1:$T$35,13,FALSE)=0, "", VLOOKUP(24,'Plate Planning'!$A$1:$T$35,13,FALSE))</f>
        <v/>
      </c>
      <c r="U6" s="436" t="str">
        <f>IF(VLOOKUP(24,'Plate Planning'!$A$1:$T$35,14,FALSE)=0, "", VLOOKUP(24,'Plate Planning'!$A$1:$T$35,14,FALSE))</f>
        <v/>
      </c>
      <c r="V6" s="436" t="str">
        <f>IFERROR(VLOOKUP(24,'Plate Planning'!$A$1:$T$35,18,FALSE),"")</f>
        <v/>
      </c>
      <c r="W6" s="265"/>
      <c r="X6" s="267" t="str">
        <f>IF(VLOOKUP(25,'Plate Planning'!$A$1:$T$35,13,FALSE)=0, "", VLOOKUP(25,'Plate Planning'!$A$1:$T$35,13,FALSE))</f>
        <v/>
      </c>
      <c r="Y6" s="267" t="str">
        <f>IF(VLOOKUP(25,'Plate Planning'!$A$1:$T$35,14,FALSE)=0, "", VLOOKUP(25,'Plate Planning'!$A$1:$T$35,14,FALSE))</f>
        <v/>
      </c>
      <c r="Z6" s="267" t="str">
        <f>IFERROR(VLOOKUP(25,'Plate Planning'!$A$1:$T$35,18,FALSE),"")</f>
        <v/>
      </c>
      <c r="AA6" s="269"/>
      <c r="AB6" s="267" t="str">
        <f>IF(VLOOKUP(26,'Plate Planning'!$A$1:$T$35,13,FALSE)=0, "", VLOOKUP(26,'Plate Planning'!$A$1:$T$35,13,FALSE))</f>
        <v/>
      </c>
      <c r="AC6" s="267" t="str">
        <f>IF(VLOOKUP(26,'Plate Planning'!$A$1:$T$35,14,FALSE)=0, "", VLOOKUP(26,'Plate Planning'!$A$1:$T$35,14,FALSE))</f>
        <v/>
      </c>
      <c r="AD6" s="267" t="str">
        <f>IFERROR(VLOOKUP(26,'Plate Planning'!$A$1:$T$35,18,FALSE),"")</f>
        <v/>
      </c>
      <c r="AE6" s="269"/>
      <c r="AF6" s="267" t="str">
        <f>IF(VLOOKUP(27,'Plate Planning'!$A$1:$T$35,13,FALSE)=0, "", VLOOKUP(27,'Plate Planning'!$A$1:$T$35,13,FALSE))</f>
        <v/>
      </c>
      <c r="AG6" s="267" t="str">
        <f>IF(VLOOKUP(27,'Plate Planning'!$A$1:$T$35,14,FALSE)=0, "", VLOOKUP(27,'Plate Planning'!$A$1:$T$35,14,FALSE))</f>
        <v/>
      </c>
      <c r="AH6" s="267" t="str">
        <f>IFERROR(VLOOKUP(27,'Plate Planning'!$A$1:$T$35,18,FALSE),"")</f>
        <v/>
      </c>
      <c r="AI6" s="269"/>
      <c r="AJ6" s="267" t="str">
        <f>IF(VLOOKUP(28,'Plate Planning'!$A$1:$T$35,13,FALSE)=0, "", VLOOKUP(28,'Plate Planning'!$A$1:$T$35,13,FALSE))</f>
        <v/>
      </c>
      <c r="AK6" s="267" t="str">
        <f>IF(VLOOKUP(28,'Plate Planning'!$A$1:$T$35,14,FALSE)=0, "", VLOOKUP(28,'Plate Planning'!$A$1:$T$35,14,FALSE))</f>
        <v/>
      </c>
      <c r="AL6" s="267" t="str">
        <f>IFERROR(VLOOKUP(28,'Plate Planning'!$A$1:$T$35,18,FALSE),"")</f>
        <v/>
      </c>
      <c r="AM6" s="269"/>
      <c r="AN6" s="267" t="str">
        <f>IF(VLOOKUP(29,'Plate Planning'!$A$1:$T$35,13,FALSE)=0, "", VLOOKUP(29,'Plate Planning'!$A$1:$T$35,13,FALSE))</f>
        <v/>
      </c>
      <c r="AO6" s="267" t="str">
        <f>IF(VLOOKUP(29,'Plate Planning'!$A$1:$T$35,14,FALSE)=0, "", VLOOKUP(29,'Plate Planning'!$A$1:$T$35,14,FALSE))</f>
        <v/>
      </c>
      <c r="AP6" s="267" t="str">
        <f>IFERROR(VLOOKUP(29,'Plate Planning'!$A$1:$T$35,18,FALSE),"")</f>
        <v/>
      </c>
      <c r="AQ6" s="269"/>
      <c r="AR6" s="358"/>
      <c r="AS6" s="476"/>
      <c r="AT6" s="471"/>
      <c r="AU6" s="479">
        <f t="shared" si="0"/>
        <v>0</v>
      </c>
      <c r="AX6" s="208"/>
      <c r="BI6" s="208"/>
    </row>
    <row r="7" spans="1:61">
      <c r="A7" s="211" t="s">
        <v>1164</v>
      </c>
      <c r="B7" s="436"/>
      <c r="C7" s="462"/>
      <c r="D7" s="463" t="str">
        <f>IF(VLOOKUP(20,'Plate Planning'!$A$1:$T$35,13,FALSE)=0, "", VLOOKUP(20,'Plate Planning'!$A$1:$T$35,13,FALSE))</f>
        <v/>
      </c>
      <c r="E7" s="436" t="str">
        <f>IF(VLOOKUP(20,'Plate Planning'!$A$1:$T$35,14,FALSE)=0, "", VLOOKUP(20,'Plate Planning'!$A$1:$T$35,14,FALSE))</f>
        <v/>
      </c>
      <c r="F7" s="436" t="str">
        <f>IFERROR(VLOOKUP(20,'Plate Planning'!$A$1:$T$35,18,FALSE),"")</f>
        <v/>
      </c>
      <c r="G7" s="467"/>
      <c r="H7" s="463" t="str">
        <f>IF(VLOOKUP(21,'Plate Planning'!$A$1:$T$35,13,FALSE)=0, "", VLOOKUP(21,'Plate Planning'!$A$1:$T$35,13,FALSE))</f>
        <v/>
      </c>
      <c r="I7" s="436" t="str">
        <f>IF(VLOOKUP(21,'Plate Planning'!$A$1:$T$35,14,FALSE)=0, "", VLOOKUP(21,'Plate Planning'!$A$1:$T$35,14,FALSE))</f>
        <v/>
      </c>
      <c r="J7" s="474" t="str">
        <f>IFERROR(VLOOKUP(21,'Plate Planning'!$A$1:$T$35,18,FALSE),"")</f>
        <v/>
      </c>
      <c r="K7" s="436"/>
      <c r="L7" s="436" t="str">
        <f>IF(VLOOKUP(22,'Plate Planning'!$A$1:$T$35,13,FALSE)=0, "", VLOOKUP(22,'Plate Planning'!$A$1:$T$35,13,FALSE))</f>
        <v/>
      </c>
      <c r="M7" s="436" t="str">
        <f>IF(VLOOKUP(22,'Plate Planning'!$A$1:$T$35,14,FALSE)=0, "", VLOOKUP(22,'Plate Planning'!$A$1:$T$35,14,FALSE))</f>
        <v/>
      </c>
      <c r="N7" s="436" t="str">
        <f>IFERROR(VLOOKUP(22,'Plate Planning'!$A$1:$T$35,18,FALSE),"")</f>
        <v/>
      </c>
      <c r="O7" s="436"/>
      <c r="P7" s="463" t="str">
        <f>IF(VLOOKUP(23,'Plate Planning'!$A$1:$T$35,13,FALSE)=0, "", VLOOKUP(23,'Plate Planning'!$A$1:$T$35,13,FALSE))</f>
        <v/>
      </c>
      <c r="Q7" s="436" t="str">
        <f>IF(VLOOKUP(23,'Plate Planning'!$A$1:$T$35,14,FALSE)=0, "", VLOOKUP(23,'Plate Planning'!$A$1:$T$35,14,FALSE))</f>
        <v/>
      </c>
      <c r="R7" s="463" t="str">
        <f>IFERROR(VLOOKUP(23,'Plate Planning'!$A$1:$T$35,18,FALSE),"")</f>
        <v/>
      </c>
      <c r="S7" s="436"/>
      <c r="T7" s="436" t="str">
        <f>IF(VLOOKUP(24,'Plate Planning'!$A$1:$T$35,13,FALSE)=0, "", VLOOKUP(24,'Plate Planning'!$A$1:$T$35,13,FALSE))</f>
        <v/>
      </c>
      <c r="U7" s="436" t="str">
        <f>IF(VLOOKUP(24,'Plate Planning'!$A$1:$T$35,14,FALSE)=0, "", VLOOKUP(24,'Plate Planning'!$A$1:$T$35,14,FALSE))</f>
        <v/>
      </c>
      <c r="V7" s="436" t="str">
        <f>IFERROR(VLOOKUP(24,'Plate Planning'!$A$1:$T$35,18,FALSE),"")</f>
        <v/>
      </c>
      <c r="W7" s="265"/>
      <c r="X7" s="267" t="str">
        <f>IF(VLOOKUP(25,'Plate Planning'!$A$1:$T$35,13,FALSE)=0, "", VLOOKUP(25,'Plate Planning'!$A$1:$T$35,13,FALSE))</f>
        <v/>
      </c>
      <c r="Y7" s="267" t="str">
        <f>IF(VLOOKUP(25,'Plate Planning'!$A$1:$T$35,14,FALSE)=0, "", VLOOKUP(25,'Plate Planning'!$A$1:$T$35,14,FALSE))</f>
        <v/>
      </c>
      <c r="Z7" s="267" t="str">
        <f>IFERROR(VLOOKUP(25,'Plate Planning'!$A$1:$T$35,18,FALSE),"")</f>
        <v/>
      </c>
      <c r="AA7" s="269"/>
      <c r="AB7" s="267" t="str">
        <f>IF(VLOOKUP(26,'Plate Planning'!$A$1:$T$35,13,FALSE)=0, "", VLOOKUP(26,'Plate Planning'!$A$1:$T$35,13,FALSE))</f>
        <v/>
      </c>
      <c r="AC7" s="267" t="str">
        <f>IF(VLOOKUP(26,'Plate Planning'!$A$1:$T$35,14,FALSE)=0, "", VLOOKUP(26,'Plate Planning'!$A$1:$T$35,14,FALSE))</f>
        <v/>
      </c>
      <c r="AD7" s="267" t="str">
        <f>IFERROR(VLOOKUP(26,'Plate Planning'!$A$1:$T$35,18,FALSE),"")</f>
        <v/>
      </c>
      <c r="AE7" s="269"/>
      <c r="AF7" s="267" t="str">
        <f>IF(VLOOKUP(27,'Plate Planning'!$A$1:$T$35,13,FALSE)=0, "", VLOOKUP(27,'Plate Planning'!$A$1:$T$35,13,FALSE))</f>
        <v/>
      </c>
      <c r="AG7" s="267" t="str">
        <f>IF(VLOOKUP(27,'Plate Planning'!$A$1:$T$35,14,FALSE)=0, "", VLOOKUP(27,'Plate Planning'!$A$1:$T$35,14,FALSE))</f>
        <v/>
      </c>
      <c r="AH7" s="267" t="str">
        <f>IFERROR(VLOOKUP(27,'Plate Planning'!$A$1:$T$35,18,FALSE),"")</f>
        <v/>
      </c>
      <c r="AI7" s="269"/>
      <c r="AJ7" s="267" t="str">
        <f>IF(VLOOKUP(28,'Plate Planning'!$A$1:$T$35,13,FALSE)=0, "", VLOOKUP(28,'Plate Planning'!$A$1:$T$35,13,FALSE))</f>
        <v/>
      </c>
      <c r="AK7" s="267" t="str">
        <f>IF(VLOOKUP(28,'Plate Planning'!$A$1:$T$35,14,FALSE)=0, "", VLOOKUP(28,'Plate Planning'!$A$1:$T$35,14,FALSE))</f>
        <v/>
      </c>
      <c r="AL7" s="267" t="str">
        <f>IFERROR(VLOOKUP(28,'Plate Planning'!$A$1:$T$35,18,FALSE),"")</f>
        <v/>
      </c>
      <c r="AM7" s="269"/>
      <c r="AN7" s="267" t="str">
        <f>IF(VLOOKUP(29,'Plate Planning'!$A$1:$T$35,13,FALSE)=0, "", VLOOKUP(29,'Plate Planning'!$A$1:$T$35,13,FALSE))</f>
        <v/>
      </c>
      <c r="AO7" s="267" t="str">
        <f>IF(VLOOKUP(29,'Plate Planning'!$A$1:$T$35,14,FALSE)=0, "", VLOOKUP(29,'Plate Planning'!$A$1:$T$35,14,FALSE))</f>
        <v/>
      </c>
      <c r="AP7" s="267" t="str">
        <f>IFERROR(VLOOKUP(29,'Plate Planning'!$A$1:$T$35,18,FALSE),"")</f>
        <v/>
      </c>
      <c r="AQ7" s="269"/>
      <c r="AR7" s="358"/>
      <c r="AS7" s="476"/>
      <c r="AT7" s="471"/>
      <c r="AU7" s="479">
        <f t="shared" si="0"/>
        <v>0</v>
      </c>
      <c r="AX7" s="208"/>
      <c r="BI7" s="208"/>
    </row>
    <row r="8" spans="1:61">
      <c r="A8" s="211" t="s">
        <v>1165</v>
      </c>
      <c r="B8" s="436"/>
      <c r="C8" s="462"/>
      <c r="D8" s="463" t="str">
        <f>IF(VLOOKUP(20,'Plate Planning'!$A$1:$T$35,13,FALSE)=0, "", VLOOKUP(20,'Plate Planning'!$A$1:$T$35,13,FALSE))</f>
        <v/>
      </c>
      <c r="E8" s="436" t="str">
        <f>IF(VLOOKUP(20,'Plate Planning'!$A$1:$T$35,14,FALSE)=0, "", VLOOKUP(20,'Plate Planning'!$A$1:$T$35,14,FALSE))</f>
        <v/>
      </c>
      <c r="F8" s="436" t="str">
        <f>IFERROR(VLOOKUP(20,'Plate Planning'!$A$1:$T$35,18,FALSE),"")</f>
        <v/>
      </c>
      <c r="G8" s="467"/>
      <c r="H8" s="463" t="str">
        <f>IF(VLOOKUP(21,'Plate Planning'!$A$1:$T$35,13,FALSE)=0, "", VLOOKUP(21,'Plate Planning'!$A$1:$T$35,13,FALSE))</f>
        <v/>
      </c>
      <c r="I8" s="436" t="str">
        <f>IF(VLOOKUP(21,'Plate Planning'!$A$1:$T$35,14,FALSE)=0, "", VLOOKUP(21,'Plate Planning'!$A$1:$T$35,14,FALSE))</f>
        <v/>
      </c>
      <c r="J8" s="474" t="str">
        <f>IFERROR(VLOOKUP(21,'Plate Planning'!$A$1:$T$35,18,FALSE),"")</f>
        <v/>
      </c>
      <c r="K8" s="436"/>
      <c r="L8" s="436" t="str">
        <f>IF(VLOOKUP(22,'Plate Planning'!$A$1:$T$35,13,FALSE)=0, "", VLOOKUP(22,'Plate Planning'!$A$1:$T$35,13,FALSE))</f>
        <v/>
      </c>
      <c r="M8" s="436" t="str">
        <f>IF(VLOOKUP(22,'Plate Planning'!$A$1:$T$35,14,FALSE)=0, "", VLOOKUP(22,'Plate Planning'!$A$1:$T$35,14,FALSE))</f>
        <v/>
      </c>
      <c r="N8" s="436" t="str">
        <f>IFERROR(VLOOKUP(22,'Plate Planning'!$A$1:$T$35,18,FALSE),"")</f>
        <v/>
      </c>
      <c r="O8" s="436"/>
      <c r="P8" s="463" t="str">
        <f>IF(VLOOKUP(23,'Plate Planning'!$A$1:$T$35,13,FALSE)=0, "", VLOOKUP(23,'Plate Planning'!$A$1:$T$35,13,FALSE))</f>
        <v/>
      </c>
      <c r="Q8" s="436" t="str">
        <f>IF(VLOOKUP(23,'Plate Planning'!$A$1:$T$35,14,FALSE)=0, "", VLOOKUP(23,'Plate Planning'!$A$1:$T$35,14,FALSE))</f>
        <v/>
      </c>
      <c r="R8" s="463" t="str">
        <f>IFERROR(VLOOKUP(23,'Plate Planning'!$A$1:$T$35,18,FALSE),"")</f>
        <v/>
      </c>
      <c r="S8" s="436"/>
      <c r="T8" s="436" t="str">
        <f>IF(VLOOKUP(24,'Plate Planning'!$A$1:$T$35,13,FALSE)=0, "", VLOOKUP(24,'Plate Planning'!$A$1:$T$35,13,FALSE))</f>
        <v/>
      </c>
      <c r="U8" s="436" t="str">
        <f>IF(VLOOKUP(24,'Plate Planning'!$A$1:$T$35,14,FALSE)=0, "", VLOOKUP(24,'Plate Planning'!$A$1:$T$35,14,FALSE))</f>
        <v/>
      </c>
      <c r="V8" s="436" t="str">
        <f>IFERROR(VLOOKUP(24,'Plate Planning'!$A$1:$T$35,18,FALSE),"")</f>
        <v/>
      </c>
      <c r="W8" s="265"/>
      <c r="X8" s="267" t="str">
        <f>IF(VLOOKUP(25,'Plate Planning'!$A$1:$T$35,13,FALSE)=0, "", VLOOKUP(25,'Plate Planning'!$A$1:$T$35,13,FALSE))</f>
        <v/>
      </c>
      <c r="Y8" s="267" t="str">
        <f>IF(VLOOKUP(25,'Plate Planning'!$A$1:$T$35,14,FALSE)=0, "", VLOOKUP(25,'Plate Planning'!$A$1:$T$35,14,FALSE))</f>
        <v/>
      </c>
      <c r="Z8" s="267" t="str">
        <f>IFERROR(VLOOKUP(25,'Plate Planning'!$A$1:$T$35,18,FALSE),"")</f>
        <v/>
      </c>
      <c r="AA8" s="269"/>
      <c r="AB8" s="267" t="str">
        <f>IF(VLOOKUP(26,'Plate Planning'!$A$1:$T$35,13,FALSE)=0, "", VLOOKUP(26,'Plate Planning'!$A$1:$T$35,13,FALSE))</f>
        <v/>
      </c>
      <c r="AC8" s="267" t="str">
        <f>IF(VLOOKUP(26,'Plate Planning'!$A$1:$T$35,14,FALSE)=0, "", VLOOKUP(26,'Plate Planning'!$A$1:$T$35,14,FALSE))</f>
        <v/>
      </c>
      <c r="AD8" s="267" t="str">
        <f>IFERROR(VLOOKUP(26,'Plate Planning'!$A$1:$T$35,18,FALSE),"")</f>
        <v/>
      </c>
      <c r="AE8" s="269"/>
      <c r="AF8" s="267" t="str">
        <f>IF(VLOOKUP(27,'Plate Planning'!$A$1:$T$35,13,FALSE)=0, "", VLOOKUP(27,'Plate Planning'!$A$1:$T$35,13,FALSE))</f>
        <v/>
      </c>
      <c r="AG8" s="267" t="str">
        <f>IF(VLOOKUP(27,'Plate Planning'!$A$1:$T$35,14,FALSE)=0, "", VLOOKUP(27,'Plate Planning'!$A$1:$T$35,14,FALSE))</f>
        <v/>
      </c>
      <c r="AH8" s="267" t="str">
        <f>IFERROR(VLOOKUP(27,'Plate Planning'!$A$1:$T$35,18,FALSE),"")</f>
        <v/>
      </c>
      <c r="AI8" s="269"/>
      <c r="AJ8" s="267" t="str">
        <f>IF(VLOOKUP(28,'Plate Planning'!$A$1:$T$35,13,FALSE)=0, "", VLOOKUP(28,'Plate Planning'!$A$1:$T$35,13,FALSE))</f>
        <v/>
      </c>
      <c r="AK8" s="267" t="str">
        <f>IF(VLOOKUP(28,'Plate Planning'!$A$1:$T$35,14,FALSE)=0, "", VLOOKUP(28,'Plate Planning'!$A$1:$T$35,14,FALSE))</f>
        <v/>
      </c>
      <c r="AL8" s="267" t="str">
        <f>IFERROR(VLOOKUP(28,'Plate Planning'!$A$1:$T$35,18,FALSE),"")</f>
        <v/>
      </c>
      <c r="AM8" s="269"/>
      <c r="AN8" s="267" t="str">
        <f>IF(VLOOKUP(29,'Plate Planning'!$A$1:$T$35,13,FALSE)=0, "", VLOOKUP(29,'Plate Planning'!$A$1:$T$35,13,FALSE))</f>
        <v/>
      </c>
      <c r="AO8" s="267" t="str">
        <f>IF(VLOOKUP(29,'Plate Planning'!$A$1:$T$35,14,FALSE)=0, "", VLOOKUP(29,'Plate Planning'!$A$1:$T$35,14,FALSE))</f>
        <v/>
      </c>
      <c r="AP8" s="267" t="str">
        <f>IFERROR(VLOOKUP(29,'Plate Planning'!$A$1:$T$35,18,FALSE),"")</f>
        <v/>
      </c>
      <c r="AQ8" s="269"/>
      <c r="AR8" s="358"/>
      <c r="AS8" s="476"/>
      <c r="AT8" s="471"/>
      <c r="AU8" s="479">
        <f t="shared" si="0"/>
        <v>0</v>
      </c>
      <c r="AX8" s="208"/>
      <c r="BI8" s="208"/>
    </row>
    <row r="9" spans="1:61">
      <c r="A9" s="211" t="s">
        <v>1166</v>
      </c>
      <c r="B9" s="436"/>
      <c r="C9" s="462"/>
      <c r="D9" s="463" t="str">
        <f>IF(VLOOKUP(20,'Plate Planning'!$A$1:$T$35,13,FALSE)=0, "", VLOOKUP(20,'Plate Planning'!$A$1:$T$35,13,FALSE))</f>
        <v/>
      </c>
      <c r="E9" s="436" t="str">
        <f>IF(VLOOKUP(20,'Plate Planning'!$A$1:$T$35,14,FALSE)=0, "", VLOOKUP(20,'Plate Planning'!$A$1:$T$35,14,FALSE))</f>
        <v/>
      </c>
      <c r="F9" s="436" t="str">
        <f>IFERROR(VLOOKUP(20,'Plate Planning'!$A$1:$T$35,18,FALSE),"")</f>
        <v/>
      </c>
      <c r="G9" s="467"/>
      <c r="H9" s="463" t="str">
        <f>IF(VLOOKUP(21,'Plate Planning'!$A$1:$T$35,13,FALSE)=0, "", VLOOKUP(21,'Plate Planning'!$A$1:$T$35,13,FALSE))</f>
        <v/>
      </c>
      <c r="I9" s="436" t="str">
        <f>IF(VLOOKUP(21,'Plate Planning'!$A$1:$T$35,14,FALSE)=0, "", VLOOKUP(21,'Plate Planning'!$A$1:$T$35,14,FALSE))</f>
        <v/>
      </c>
      <c r="J9" s="474" t="str">
        <f>IFERROR(VLOOKUP(21,'Plate Planning'!$A$1:$T$35,18,FALSE),"")</f>
        <v/>
      </c>
      <c r="K9" s="436"/>
      <c r="L9" s="436" t="str">
        <f>IF(VLOOKUP(22,'Plate Planning'!$A$1:$T$35,13,FALSE)=0, "", VLOOKUP(22,'Plate Planning'!$A$1:$T$35,13,FALSE))</f>
        <v/>
      </c>
      <c r="M9" s="436" t="str">
        <f>IF(VLOOKUP(22,'Plate Planning'!$A$1:$T$35,14,FALSE)=0, "", VLOOKUP(22,'Plate Planning'!$A$1:$T$35,14,FALSE))</f>
        <v/>
      </c>
      <c r="N9" s="436" t="str">
        <f>IFERROR(VLOOKUP(22,'Plate Planning'!$A$1:$T$35,18,FALSE),"")</f>
        <v/>
      </c>
      <c r="O9" s="436"/>
      <c r="P9" s="463" t="str">
        <f>IF(VLOOKUP(23,'Plate Planning'!$A$1:$T$35,13,FALSE)=0, "", VLOOKUP(23,'Plate Planning'!$A$1:$T$35,13,FALSE))</f>
        <v/>
      </c>
      <c r="Q9" s="436" t="str">
        <f>IF(VLOOKUP(23,'Plate Planning'!$A$1:$T$35,14,FALSE)=0, "", VLOOKUP(23,'Plate Planning'!$A$1:$T$35,14,FALSE))</f>
        <v/>
      </c>
      <c r="R9" s="463" t="str">
        <f>IFERROR(VLOOKUP(23,'Plate Planning'!$A$1:$T$35,18,FALSE),"")</f>
        <v/>
      </c>
      <c r="S9" s="436"/>
      <c r="T9" s="436" t="str">
        <f>IF(VLOOKUP(24,'Plate Planning'!$A$1:$T$35,13,FALSE)=0, "", VLOOKUP(24,'Plate Planning'!$A$1:$T$35,13,FALSE))</f>
        <v/>
      </c>
      <c r="U9" s="436" t="str">
        <f>IF(VLOOKUP(24,'Plate Planning'!$A$1:$T$35,14,FALSE)=0, "", VLOOKUP(24,'Plate Planning'!$A$1:$T$35,14,FALSE))</f>
        <v/>
      </c>
      <c r="V9" s="436" t="str">
        <f>IFERROR(VLOOKUP(24,'Plate Planning'!$A$1:$T$35,18,FALSE),"")</f>
        <v/>
      </c>
      <c r="W9" s="265"/>
      <c r="X9" s="267" t="str">
        <f>IF(VLOOKUP(25,'Plate Planning'!$A$1:$T$35,13,FALSE)=0, "", VLOOKUP(25,'Plate Planning'!$A$1:$T$35,13,FALSE))</f>
        <v/>
      </c>
      <c r="Y9" s="267" t="str">
        <f>IF(VLOOKUP(25,'Plate Planning'!$A$1:$T$35,14,FALSE)=0, "", VLOOKUP(25,'Plate Planning'!$A$1:$T$35,14,FALSE))</f>
        <v/>
      </c>
      <c r="Z9" s="267" t="str">
        <f>IFERROR(VLOOKUP(25,'Plate Planning'!$A$1:$T$35,18,FALSE),"")</f>
        <v/>
      </c>
      <c r="AA9" s="269"/>
      <c r="AB9" s="267" t="str">
        <f>IF(VLOOKUP(26,'Plate Planning'!$A$1:$T$35,13,FALSE)=0, "", VLOOKUP(26,'Plate Planning'!$A$1:$T$35,13,FALSE))</f>
        <v/>
      </c>
      <c r="AC9" s="267" t="str">
        <f>IF(VLOOKUP(26,'Plate Planning'!$A$1:$T$35,14,FALSE)=0, "", VLOOKUP(26,'Plate Planning'!$A$1:$T$35,14,FALSE))</f>
        <v/>
      </c>
      <c r="AD9" s="267" t="str">
        <f>IFERROR(VLOOKUP(26,'Plate Planning'!$A$1:$T$35,18,FALSE),"")</f>
        <v/>
      </c>
      <c r="AE9" s="269"/>
      <c r="AF9" s="267" t="str">
        <f>IF(VLOOKUP(27,'Plate Planning'!$A$1:$T$35,13,FALSE)=0, "", VLOOKUP(27,'Plate Planning'!$A$1:$T$35,13,FALSE))</f>
        <v/>
      </c>
      <c r="AG9" s="267" t="str">
        <f>IF(VLOOKUP(27,'Plate Planning'!$A$1:$T$35,14,FALSE)=0, "", VLOOKUP(27,'Plate Planning'!$A$1:$T$35,14,FALSE))</f>
        <v/>
      </c>
      <c r="AH9" s="267" t="str">
        <f>IFERROR(VLOOKUP(27,'Plate Planning'!$A$1:$T$35,18,FALSE),"")</f>
        <v/>
      </c>
      <c r="AI9" s="269"/>
      <c r="AJ9" s="267" t="str">
        <f>IF(VLOOKUP(28,'Plate Planning'!$A$1:$T$35,13,FALSE)=0, "", VLOOKUP(28,'Plate Planning'!$A$1:$T$35,13,FALSE))</f>
        <v/>
      </c>
      <c r="AK9" s="267" t="str">
        <f>IF(VLOOKUP(28,'Plate Planning'!$A$1:$T$35,14,FALSE)=0, "", VLOOKUP(28,'Plate Planning'!$A$1:$T$35,14,FALSE))</f>
        <v/>
      </c>
      <c r="AL9" s="267" t="str">
        <f>IFERROR(VLOOKUP(28,'Plate Planning'!$A$1:$T$35,18,FALSE),"")</f>
        <v/>
      </c>
      <c r="AM9" s="269"/>
      <c r="AN9" s="267" t="str">
        <f>IF(VLOOKUP(29,'Plate Planning'!$A$1:$T$35,13,FALSE)=0, "", VLOOKUP(29,'Plate Planning'!$A$1:$T$35,13,FALSE))</f>
        <v/>
      </c>
      <c r="AO9" s="267" t="str">
        <f>IF(VLOOKUP(29,'Plate Planning'!$A$1:$T$35,14,FALSE)=0, "", VLOOKUP(29,'Plate Planning'!$A$1:$T$35,14,FALSE))</f>
        <v/>
      </c>
      <c r="AP9" s="267" t="str">
        <f>IFERROR(VLOOKUP(29,'Plate Planning'!$A$1:$T$35,18,FALSE),"")</f>
        <v/>
      </c>
      <c r="AQ9" s="269"/>
      <c r="AR9" s="358"/>
      <c r="AS9" s="476"/>
      <c r="AT9" s="471"/>
      <c r="AU9" s="479">
        <f t="shared" si="0"/>
        <v>0</v>
      </c>
      <c r="AX9" s="208"/>
      <c r="BI9" s="208"/>
    </row>
    <row r="10" spans="1:61">
      <c r="A10" s="211" t="s">
        <v>1173</v>
      </c>
      <c r="B10" s="436"/>
      <c r="C10" s="462"/>
      <c r="D10" s="463" t="str">
        <f>IF(VLOOKUP(20,'Plate Planning'!$A$1:$T$35,13,FALSE)=0, "", VLOOKUP(20,'Plate Planning'!$A$1:$T$35,13,FALSE))</f>
        <v/>
      </c>
      <c r="E10" s="436" t="str">
        <f>IF(VLOOKUP(20,'Plate Planning'!$A$1:$T$35,14,FALSE)=0, "", VLOOKUP(20,'Plate Planning'!$A$1:$T$35,14,FALSE))</f>
        <v/>
      </c>
      <c r="F10" s="436" t="str">
        <f>IFERROR(VLOOKUP(20,'Plate Planning'!$A$1:$T$35,18,FALSE),"")</f>
        <v/>
      </c>
      <c r="G10" s="467"/>
      <c r="H10" s="463" t="str">
        <f>IF(VLOOKUP(21,'Plate Planning'!$A$1:$T$35,13,FALSE)=0, "", VLOOKUP(21,'Plate Planning'!$A$1:$T$35,13,FALSE))</f>
        <v/>
      </c>
      <c r="I10" s="436" t="str">
        <f>IF(VLOOKUP(21,'Plate Planning'!$A$1:$T$35,14,FALSE)=0, "", VLOOKUP(21,'Plate Planning'!$A$1:$T$35,14,FALSE))</f>
        <v/>
      </c>
      <c r="J10" s="474" t="str">
        <f>IFERROR(VLOOKUP(21,'Plate Planning'!$A$1:$T$35,18,FALSE),"")</f>
        <v/>
      </c>
      <c r="K10" s="436"/>
      <c r="L10" s="436" t="str">
        <f>IF(VLOOKUP(22,'Plate Planning'!$A$1:$T$35,13,FALSE)=0, "", VLOOKUP(22,'Plate Planning'!$A$1:$T$35,13,FALSE))</f>
        <v/>
      </c>
      <c r="M10" s="436" t="str">
        <f>IF(VLOOKUP(22,'Plate Planning'!$A$1:$T$35,14,FALSE)=0, "", VLOOKUP(22,'Plate Planning'!$A$1:$T$35,14,FALSE))</f>
        <v/>
      </c>
      <c r="N10" s="436" t="str">
        <f>IFERROR(VLOOKUP(22,'Plate Planning'!$A$1:$T$35,18,FALSE),"")</f>
        <v/>
      </c>
      <c r="O10" s="436"/>
      <c r="P10" s="463" t="str">
        <f>IF(VLOOKUP(23,'Plate Planning'!$A$1:$T$35,13,FALSE)=0, "", VLOOKUP(23,'Plate Planning'!$A$1:$T$35,13,FALSE))</f>
        <v/>
      </c>
      <c r="Q10" s="436" t="str">
        <f>IF(VLOOKUP(23,'Plate Planning'!$A$1:$T$35,14,FALSE)=0, "", VLOOKUP(23,'Plate Planning'!$A$1:$T$35,14,FALSE))</f>
        <v/>
      </c>
      <c r="R10" s="463" t="str">
        <f>IFERROR(VLOOKUP(23,'Plate Planning'!$A$1:$T$35,18,FALSE),"")</f>
        <v/>
      </c>
      <c r="S10" s="436"/>
      <c r="T10" s="436" t="str">
        <f>IF(VLOOKUP(24,'Plate Planning'!$A$1:$T$35,13,FALSE)=0, "", VLOOKUP(24,'Plate Planning'!$A$1:$T$35,13,FALSE))</f>
        <v/>
      </c>
      <c r="U10" s="436" t="str">
        <f>IF(VLOOKUP(24,'Plate Planning'!$A$1:$T$35,14,FALSE)=0, "", VLOOKUP(24,'Plate Planning'!$A$1:$T$35,14,FALSE))</f>
        <v/>
      </c>
      <c r="V10" s="436" t="str">
        <f>IFERROR(VLOOKUP(24,'Plate Planning'!$A$1:$T$35,18,FALSE),"")</f>
        <v/>
      </c>
      <c r="W10" s="265"/>
      <c r="X10" s="267" t="str">
        <f>IF(VLOOKUP(25,'Plate Planning'!$A$1:$T$35,13,FALSE)=0, "", VLOOKUP(25,'Plate Planning'!$A$1:$T$35,13,FALSE))</f>
        <v/>
      </c>
      <c r="Y10" s="267" t="str">
        <f>IF(VLOOKUP(25,'Plate Planning'!$A$1:$T$35,14,FALSE)=0, "", VLOOKUP(25,'Plate Planning'!$A$1:$T$35,14,FALSE))</f>
        <v/>
      </c>
      <c r="Z10" s="267" t="str">
        <f>IFERROR(VLOOKUP(25,'Plate Planning'!$A$1:$T$35,18,FALSE),"")</f>
        <v/>
      </c>
      <c r="AA10" s="269"/>
      <c r="AB10" s="267" t="str">
        <f>IF(VLOOKUP(26,'Plate Planning'!$A$1:$T$35,13,FALSE)=0, "", VLOOKUP(26,'Plate Planning'!$A$1:$T$35,13,FALSE))</f>
        <v/>
      </c>
      <c r="AC10" s="267" t="str">
        <f>IF(VLOOKUP(26,'Plate Planning'!$A$1:$T$35,14,FALSE)=0, "", VLOOKUP(26,'Plate Planning'!$A$1:$T$35,14,FALSE))</f>
        <v/>
      </c>
      <c r="AD10" s="267" t="str">
        <f>IFERROR(VLOOKUP(26,'Plate Planning'!$A$1:$T$35,18,FALSE),"")</f>
        <v/>
      </c>
      <c r="AE10" s="269"/>
      <c r="AF10" s="267" t="str">
        <f>IF(VLOOKUP(27,'Plate Planning'!$A$1:$T$35,13,FALSE)=0, "", VLOOKUP(27,'Plate Planning'!$A$1:$T$35,13,FALSE))</f>
        <v/>
      </c>
      <c r="AG10" s="267" t="str">
        <f>IF(VLOOKUP(27,'Plate Planning'!$A$1:$T$35,14,FALSE)=0, "", VLOOKUP(27,'Plate Planning'!$A$1:$T$35,14,FALSE))</f>
        <v/>
      </c>
      <c r="AH10" s="267" t="str">
        <f>IFERROR(VLOOKUP(27,'Plate Planning'!$A$1:$T$35,18,FALSE),"")</f>
        <v/>
      </c>
      <c r="AI10" s="269"/>
      <c r="AJ10" s="267" t="str">
        <f>IF(VLOOKUP(28,'Plate Planning'!$A$1:$T$35,13,FALSE)=0, "", VLOOKUP(28,'Plate Planning'!$A$1:$T$35,13,FALSE))</f>
        <v/>
      </c>
      <c r="AK10" s="267" t="str">
        <f>IF(VLOOKUP(28,'Plate Planning'!$A$1:$T$35,14,FALSE)=0, "", VLOOKUP(28,'Plate Planning'!$A$1:$T$35,14,FALSE))</f>
        <v/>
      </c>
      <c r="AL10" s="267" t="str">
        <f>IFERROR(VLOOKUP(28,'Plate Planning'!$A$1:$T$35,18,FALSE),"")</f>
        <v/>
      </c>
      <c r="AM10" s="269"/>
      <c r="AN10" s="267" t="str">
        <f>IF(VLOOKUP(29,'Plate Planning'!$A$1:$T$35,13,FALSE)=0, "", VLOOKUP(29,'Plate Planning'!$A$1:$T$35,13,FALSE))</f>
        <v/>
      </c>
      <c r="AO10" s="267" t="str">
        <f>IF(VLOOKUP(29,'Plate Planning'!$A$1:$T$35,14,FALSE)=0, "", VLOOKUP(29,'Plate Planning'!$A$1:$T$35,14,FALSE))</f>
        <v/>
      </c>
      <c r="AP10" s="267" t="str">
        <f>IFERROR(VLOOKUP(29,'Plate Planning'!$A$1:$T$35,18,FALSE),"")</f>
        <v/>
      </c>
      <c r="AQ10" s="269"/>
      <c r="AR10" s="358"/>
      <c r="AS10" s="476"/>
      <c r="AT10" s="471"/>
      <c r="AU10" s="479">
        <f t="shared" si="0"/>
        <v>0</v>
      </c>
      <c r="AX10" s="208"/>
      <c r="BI10" s="208"/>
    </row>
    <row r="11" spans="1:61">
      <c r="A11" s="211" t="s">
        <v>1174</v>
      </c>
      <c r="B11" s="436"/>
      <c r="C11" s="462"/>
      <c r="D11" s="463" t="str">
        <f>IF(VLOOKUP(20,'Plate Planning'!$A$1:$T$35,13,FALSE)=0, "", VLOOKUP(20,'Plate Planning'!$A$1:$T$35,13,FALSE))</f>
        <v/>
      </c>
      <c r="E11" s="436" t="str">
        <f>IF(VLOOKUP(20,'Plate Planning'!$A$1:$T$35,14,FALSE)=0, "", VLOOKUP(20,'Plate Planning'!$A$1:$T$35,14,FALSE))</f>
        <v/>
      </c>
      <c r="F11" s="436" t="str">
        <f>IFERROR(VLOOKUP(20,'Plate Planning'!$A$1:$T$35,18,FALSE),"")</f>
        <v/>
      </c>
      <c r="G11" s="467"/>
      <c r="H11" s="463" t="str">
        <f>IF(VLOOKUP(21,'Plate Planning'!$A$1:$T$35,13,FALSE)=0, "", VLOOKUP(21,'Plate Planning'!$A$1:$T$35,13,FALSE))</f>
        <v/>
      </c>
      <c r="I11" s="436" t="str">
        <f>IF(VLOOKUP(21,'Plate Planning'!$A$1:$T$35,14,FALSE)=0, "", VLOOKUP(21,'Plate Planning'!$A$1:$T$35,14,FALSE))</f>
        <v/>
      </c>
      <c r="J11" s="474" t="str">
        <f>IFERROR(VLOOKUP(21,'Plate Planning'!$A$1:$T$35,18,FALSE),"")</f>
        <v/>
      </c>
      <c r="K11" s="436"/>
      <c r="L11" s="436" t="str">
        <f>IF(VLOOKUP(22,'Plate Planning'!$A$1:$T$35,13,FALSE)=0, "", VLOOKUP(22,'Plate Planning'!$A$1:$T$35,13,FALSE))</f>
        <v/>
      </c>
      <c r="M11" s="436" t="str">
        <f>IF(VLOOKUP(22,'Plate Planning'!$A$1:$T$35,14,FALSE)=0, "", VLOOKUP(22,'Plate Planning'!$A$1:$T$35,14,FALSE))</f>
        <v/>
      </c>
      <c r="N11" s="436" t="str">
        <f>IFERROR(VLOOKUP(22,'Plate Planning'!$A$1:$T$35,18,FALSE),"")</f>
        <v/>
      </c>
      <c r="O11" s="436"/>
      <c r="P11" s="463" t="str">
        <f>IF(VLOOKUP(23,'Plate Planning'!$A$1:$T$35,13,FALSE)=0, "", VLOOKUP(23,'Plate Planning'!$A$1:$T$35,13,FALSE))</f>
        <v/>
      </c>
      <c r="Q11" s="436" t="str">
        <f>IF(VLOOKUP(23,'Plate Planning'!$A$1:$T$35,14,FALSE)=0, "", VLOOKUP(23,'Plate Planning'!$A$1:$T$35,14,FALSE))</f>
        <v/>
      </c>
      <c r="R11" s="463" t="str">
        <f>IFERROR(VLOOKUP(23,'Plate Planning'!$A$1:$T$35,18,FALSE),"")</f>
        <v/>
      </c>
      <c r="S11" s="436"/>
      <c r="T11" s="436" t="str">
        <f>IF(VLOOKUP(24,'Plate Planning'!$A$1:$T$35,13,FALSE)=0, "", VLOOKUP(24,'Plate Planning'!$A$1:$T$35,13,FALSE))</f>
        <v/>
      </c>
      <c r="U11" s="436" t="str">
        <f>IF(VLOOKUP(24,'Plate Planning'!$A$1:$T$35,14,FALSE)=0, "", VLOOKUP(24,'Plate Planning'!$A$1:$T$35,14,FALSE))</f>
        <v/>
      </c>
      <c r="V11" s="436" t="str">
        <f>IFERROR(VLOOKUP(24,'Plate Planning'!$A$1:$T$35,18,FALSE),"")</f>
        <v/>
      </c>
      <c r="W11" s="265"/>
      <c r="X11" s="267" t="str">
        <f>IF(VLOOKUP(25,'Plate Planning'!$A$1:$T$35,13,FALSE)=0, "", VLOOKUP(25,'Plate Planning'!$A$1:$T$35,13,FALSE))</f>
        <v/>
      </c>
      <c r="Y11" s="267" t="str">
        <f>IF(VLOOKUP(25,'Plate Planning'!$A$1:$T$35,14,FALSE)=0, "", VLOOKUP(25,'Plate Planning'!$A$1:$T$35,14,FALSE))</f>
        <v/>
      </c>
      <c r="Z11" s="267" t="str">
        <f>IFERROR(VLOOKUP(25,'Plate Planning'!$A$1:$T$35,18,FALSE),"")</f>
        <v/>
      </c>
      <c r="AA11" s="269"/>
      <c r="AB11" s="267" t="str">
        <f>IF(VLOOKUP(26,'Plate Planning'!$A$1:$T$35,13,FALSE)=0, "", VLOOKUP(26,'Plate Planning'!$A$1:$T$35,13,FALSE))</f>
        <v/>
      </c>
      <c r="AC11" s="267" t="str">
        <f>IF(VLOOKUP(26,'Plate Planning'!$A$1:$T$35,14,FALSE)=0, "", VLOOKUP(26,'Plate Planning'!$A$1:$T$35,14,FALSE))</f>
        <v/>
      </c>
      <c r="AD11" s="267" t="str">
        <f>IFERROR(VLOOKUP(26,'Plate Planning'!$A$1:$T$35,18,FALSE),"")</f>
        <v/>
      </c>
      <c r="AE11" s="269"/>
      <c r="AF11" s="267" t="str">
        <f>IF(VLOOKUP(27,'Plate Planning'!$A$1:$T$35,13,FALSE)=0, "", VLOOKUP(27,'Plate Planning'!$A$1:$T$35,13,FALSE))</f>
        <v/>
      </c>
      <c r="AG11" s="267" t="str">
        <f>IF(VLOOKUP(27,'Plate Planning'!$A$1:$T$35,14,FALSE)=0, "", VLOOKUP(27,'Plate Planning'!$A$1:$T$35,14,FALSE))</f>
        <v/>
      </c>
      <c r="AH11" s="267" t="str">
        <f>IFERROR(VLOOKUP(27,'Plate Planning'!$A$1:$T$35,18,FALSE),"")</f>
        <v/>
      </c>
      <c r="AI11" s="269"/>
      <c r="AJ11" s="267" t="str">
        <f>IF(VLOOKUP(28,'Plate Planning'!$A$1:$T$35,13,FALSE)=0, "", VLOOKUP(28,'Plate Planning'!$A$1:$T$35,13,FALSE))</f>
        <v/>
      </c>
      <c r="AK11" s="267" t="str">
        <f>IF(VLOOKUP(28,'Plate Planning'!$A$1:$T$35,14,FALSE)=0, "", VLOOKUP(28,'Plate Planning'!$A$1:$T$35,14,FALSE))</f>
        <v/>
      </c>
      <c r="AL11" s="267" t="str">
        <f>IFERROR(VLOOKUP(28,'Plate Planning'!$A$1:$T$35,18,FALSE),"")</f>
        <v/>
      </c>
      <c r="AM11" s="269"/>
      <c r="AN11" s="267" t="str">
        <f>IF(VLOOKUP(29,'Plate Planning'!$A$1:$T$35,13,FALSE)=0, "", VLOOKUP(29,'Plate Planning'!$A$1:$T$35,13,FALSE))</f>
        <v/>
      </c>
      <c r="AO11" s="267" t="str">
        <f>IF(VLOOKUP(29,'Plate Planning'!$A$1:$T$35,14,FALSE)=0, "", VLOOKUP(29,'Plate Planning'!$A$1:$T$35,14,FALSE))</f>
        <v/>
      </c>
      <c r="AP11" s="267" t="str">
        <f>IFERROR(VLOOKUP(29,'Plate Planning'!$A$1:$T$35,18,FALSE),"")</f>
        <v/>
      </c>
      <c r="AQ11" s="269"/>
      <c r="AR11" s="358"/>
      <c r="AS11" s="476"/>
      <c r="AT11" s="471"/>
      <c r="AU11" s="479">
        <f t="shared" si="0"/>
        <v>0</v>
      </c>
      <c r="AX11" s="208"/>
      <c r="BI11" s="208"/>
    </row>
    <row r="12" spans="1:61">
      <c r="A12" s="211" t="s">
        <v>1175</v>
      </c>
      <c r="B12" s="436"/>
      <c r="C12" s="462"/>
      <c r="D12" s="463" t="str">
        <f>IF(VLOOKUP(20,'Plate Planning'!$A$1:$T$35,13,FALSE)=0, "", VLOOKUP(20,'Plate Planning'!$A$1:$T$35,13,FALSE))</f>
        <v/>
      </c>
      <c r="E12" s="436" t="str">
        <f>IF(VLOOKUP(20,'Plate Planning'!$A$1:$T$35,14,FALSE)=0, "", VLOOKUP(20,'Plate Planning'!$A$1:$T$35,14,FALSE))</f>
        <v/>
      </c>
      <c r="F12" s="436" t="str">
        <f>IFERROR(VLOOKUP(20,'Plate Planning'!$A$1:$T$35,18,FALSE),"")</f>
        <v/>
      </c>
      <c r="G12" s="467"/>
      <c r="H12" s="463" t="str">
        <f>IF(VLOOKUP(21,'Plate Planning'!$A$1:$T$35,13,FALSE)=0, "", VLOOKUP(21,'Plate Planning'!$A$1:$T$35,13,FALSE))</f>
        <v/>
      </c>
      <c r="I12" s="436" t="str">
        <f>IF(VLOOKUP(21,'Plate Planning'!$A$1:$T$35,14,FALSE)=0, "", VLOOKUP(21,'Plate Planning'!$A$1:$T$35,14,FALSE))</f>
        <v/>
      </c>
      <c r="J12" s="474" t="str">
        <f>IFERROR(VLOOKUP(21,'Plate Planning'!$A$1:$T$35,18,FALSE),"")</f>
        <v/>
      </c>
      <c r="K12" s="436"/>
      <c r="L12" s="436" t="str">
        <f>IF(VLOOKUP(22,'Plate Planning'!$A$1:$T$35,13,FALSE)=0, "", VLOOKUP(22,'Plate Planning'!$A$1:$T$35,13,FALSE))</f>
        <v/>
      </c>
      <c r="M12" s="436" t="str">
        <f>IF(VLOOKUP(22,'Plate Planning'!$A$1:$T$35,14,FALSE)=0, "", VLOOKUP(22,'Plate Planning'!$A$1:$T$35,14,FALSE))</f>
        <v/>
      </c>
      <c r="N12" s="436" t="str">
        <f>IFERROR(VLOOKUP(22,'Plate Planning'!$A$1:$T$35,18,FALSE),"")</f>
        <v/>
      </c>
      <c r="O12" s="436"/>
      <c r="P12" s="463" t="str">
        <f>IF(VLOOKUP(23,'Plate Planning'!$A$1:$T$35,13,FALSE)=0, "", VLOOKUP(23,'Plate Planning'!$A$1:$T$35,13,FALSE))</f>
        <v/>
      </c>
      <c r="Q12" s="436" t="str">
        <f>IF(VLOOKUP(23,'Plate Planning'!$A$1:$T$35,14,FALSE)=0, "", VLOOKUP(23,'Plate Planning'!$A$1:$T$35,14,FALSE))</f>
        <v/>
      </c>
      <c r="R12" s="463" t="str">
        <f>IFERROR(VLOOKUP(23,'Plate Planning'!$A$1:$T$35,18,FALSE),"")</f>
        <v/>
      </c>
      <c r="S12" s="436"/>
      <c r="T12" s="436" t="str">
        <f>IF(VLOOKUP(24,'Plate Planning'!$A$1:$T$35,13,FALSE)=0, "", VLOOKUP(24,'Plate Planning'!$A$1:$T$35,13,FALSE))</f>
        <v/>
      </c>
      <c r="U12" s="436" t="str">
        <f>IF(VLOOKUP(24,'Plate Planning'!$A$1:$T$35,14,FALSE)=0, "", VLOOKUP(24,'Plate Planning'!$A$1:$T$35,14,FALSE))</f>
        <v/>
      </c>
      <c r="V12" s="436" t="str">
        <f>IFERROR(VLOOKUP(24,'Plate Planning'!$A$1:$T$35,18,FALSE),"")</f>
        <v/>
      </c>
      <c r="W12" s="265"/>
      <c r="X12" s="267" t="str">
        <f>IF(VLOOKUP(25,'Plate Planning'!$A$1:$T$35,13,FALSE)=0, "", VLOOKUP(25,'Plate Planning'!$A$1:$T$35,13,FALSE))</f>
        <v/>
      </c>
      <c r="Y12" s="267" t="str">
        <f>IF(VLOOKUP(25,'Plate Planning'!$A$1:$T$35,14,FALSE)=0, "", VLOOKUP(25,'Plate Planning'!$A$1:$T$35,14,FALSE))</f>
        <v/>
      </c>
      <c r="Z12" s="267" t="str">
        <f>IFERROR(VLOOKUP(25,'Plate Planning'!$A$1:$T$35,18,FALSE),"")</f>
        <v/>
      </c>
      <c r="AA12" s="269"/>
      <c r="AB12" s="267" t="str">
        <f>IF(VLOOKUP(26,'Plate Planning'!$A$1:$T$35,13,FALSE)=0, "", VLOOKUP(26,'Plate Planning'!$A$1:$T$35,13,FALSE))</f>
        <v/>
      </c>
      <c r="AC12" s="267" t="str">
        <f>IF(VLOOKUP(26,'Plate Planning'!$A$1:$T$35,14,FALSE)=0, "", VLOOKUP(26,'Plate Planning'!$A$1:$T$35,14,FALSE))</f>
        <v/>
      </c>
      <c r="AD12" s="267" t="str">
        <f>IFERROR(VLOOKUP(26,'Plate Planning'!$A$1:$T$35,18,FALSE),"")</f>
        <v/>
      </c>
      <c r="AE12" s="269"/>
      <c r="AF12" s="267" t="str">
        <f>IF(VLOOKUP(27,'Plate Planning'!$A$1:$T$35,13,FALSE)=0, "", VLOOKUP(27,'Plate Planning'!$A$1:$T$35,13,FALSE))</f>
        <v/>
      </c>
      <c r="AG12" s="267" t="str">
        <f>IF(VLOOKUP(27,'Plate Planning'!$A$1:$T$35,14,FALSE)=0, "", VLOOKUP(27,'Plate Planning'!$A$1:$T$35,14,FALSE))</f>
        <v/>
      </c>
      <c r="AH12" s="267" t="str">
        <f>IFERROR(VLOOKUP(27,'Plate Planning'!$A$1:$T$35,18,FALSE),"")</f>
        <v/>
      </c>
      <c r="AI12" s="269"/>
      <c r="AJ12" s="267" t="str">
        <f>IF(VLOOKUP(28,'Plate Planning'!$A$1:$T$35,13,FALSE)=0, "", VLOOKUP(28,'Plate Planning'!$A$1:$T$35,13,FALSE))</f>
        <v/>
      </c>
      <c r="AK12" s="267" t="str">
        <f>IF(VLOOKUP(28,'Plate Planning'!$A$1:$T$35,14,FALSE)=0, "", VLOOKUP(28,'Plate Planning'!$A$1:$T$35,14,FALSE))</f>
        <v/>
      </c>
      <c r="AL12" s="267" t="str">
        <f>IFERROR(VLOOKUP(28,'Plate Planning'!$A$1:$T$35,18,FALSE),"")</f>
        <v/>
      </c>
      <c r="AM12" s="269"/>
      <c r="AN12" s="267" t="str">
        <f>IF(VLOOKUP(29,'Plate Planning'!$A$1:$T$35,13,FALSE)=0, "", VLOOKUP(29,'Plate Planning'!$A$1:$T$35,13,FALSE))</f>
        <v/>
      </c>
      <c r="AO12" s="267" t="str">
        <f>IF(VLOOKUP(29,'Plate Planning'!$A$1:$T$35,14,FALSE)=0, "", VLOOKUP(29,'Plate Planning'!$A$1:$T$35,14,FALSE))</f>
        <v/>
      </c>
      <c r="AP12" s="267" t="str">
        <f>IFERROR(VLOOKUP(29,'Plate Planning'!$A$1:$T$35,18,FALSE),"")</f>
        <v/>
      </c>
      <c r="AQ12" s="269"/>
      <c r="AR12" s="358"/>
      <c r="AS12" s="476"/>
      <c r="AT12" s="471"/>
      <c r="AU12" s="479">
        <f t="shared" si="0"/>
        <v>0</v>
      </c>
      <c r="AX12" s="208"/>
      <c r="BI12" s="208"/>
    </row>
    <row r="13" spans="1:61">
      <c r="A13" s="211" t="s">
        <v>1176</v>
      </c>
      <c r="B13" s="436"/>
      <c r="C13" s="462"/>
      <c r="D13" s="463" t="str">
        <f>IF(VLOOKUP(20,'Plate Planning'!$A$1:$T$35,13,FALSE)=0, "", VLOOKUP(20,'Plate Planning'!$A$1:$T$35,13,FALSE))</f>
        <v/>
      </c>
      <c r="E13" s="436" t="str">
        <f>IF(VLOOKUP(20,'Plate Planning'!$A$1:$T$35,14,FALSE)=0, "", VLOOKUP(20,'Plate Planning'!$A$1:$T$35,14,FALSE))</f>
        <v/>
      </c>
      <c r="F13" s="436" t="str">
        <f>IFERROR(VLOOKUP(20,'Plate Planning'!$A$1:$T$35,18,FALSE),"")</f>
        <v/>
      </c>
      <c r="G13" s="467"/>
      <c r="H13" s="463" t="str">
        <f>IF(VLOOKUP(21,'Plate Planning'!$A$1:$T$35,13,FALSE)=0, "", VLOOKUP(21,'Plate Planning'!$A$1:$T$35,13,FALSE))</f>
        <v/>
      </c>
      <c r="I13" s="436" t="str">
        <f>IF(VLOOKUP(21,'Plate Planning'!$A$1:$T$35,14,FALSE)=0, "", VLOOKUP(21,'Plate Planning'!$A$1:$T$35,14,FALSE))</f>
        <v/>
      </c>
      <c r="J13" s="474" t="str">
        <f>IFERROR(VLOOKUP(21,'Plate Planning'!$A$1:$T$35,18,FALSE),"")</f>
        <v/>
      </c>
      <c r="K13" s="436"/>
      <c r="L13" s="436" t="str">
        <f>IF(VLOOKUP(22,'Plate Planning'!$A$1:$T$35,13,FALSE)=0, "", VLOOKUP(22,'Plate Planning'!$A$1:$T$35,13,FALSE))</f>
        <v/>
      </c>
      <c r="M13" s="436" t="str">
        <f>IF(VLOOKUP(22,'Plate Planning'!$A$1:$T$35,14,FALSE)=0, "", VLOOKUP(22,'Plate Planning'!$A$1:$T$35,14,FALSE))</f>
        <v/>
      </c>
      <c r="N13" s="436" t="str">
        <f>IFERROR(VLOOKUP(22,'Plate Planning'!$A$1:$T$35,18,FALSE),"")</f>
        <v/>
      </c>
      <c r="O13" s="436"/>
      <c r="P13" s="463" t="str">
        <f>IF(VLOOKUP(23,'Plate Planning'!$A$1:$T$35,13,FALSE)=0, "", VLOOKUP(23,'Plate Planning'!$A$1:$T$35,13,FALSE))</f>
        <v/>
      </c>
      <c r="Q13" s="436" t="str">
        <f>IF(VLOOKUP(23,'Plate Planning'!$A$1:$T$35,14,FALSE)=0, "", VLOOKUP(23,'Plate Planning'!$A$1:$T$35,14,FALSE))</f>
        <v/>
      </c>
      <c r="R13" s="463" t="str">
        <f>IFERROR(VLOOKUP(23,'Plate Planning'!$A$1:$T$35,18,FALSE),"")</f>
        <v/>
      </c>
      <c r="S13" s="436"/>
      <c r="T13" s="436" t="str">
        <f>IF(VLOOKUP(24,'Plate Planning'!$A$1:$T$35,13,FALSE)=0, "", VLOOKUP(24,'Plate Planning'!$A$1:$T$35,13,FALSE))</f>
        <v/>
      </c>
      <c r="U13" s="436" t="str">
        <f>IF(VLOOKUP(24,'Plate Planning'!$A$1:$T$35,14,FALSE)=0, "", VLOOKUP(24,'Plate Planning'!$A$1:$T$35,14,FALSE))</f>
        <v/>
      </c>
      <c r="V13" s="436" t="str">
        <f>IFERROR(VLOOKUP(24,'Plate Planning'!$A$1:$T$35,18,FALSE),"")</f>
        <v/>
      </c>
      <c r="W13" s="265"/>
      <c r="X13" s="267" t="str">
        <f>IF(VLOOKUP(25,'Plate Planning'!$A$1:$T$35,13,FALSE)=0, "", VLOOKUP(25,'Plate Planning'!$A$1:$T$35,13,FALSE))</f>
        <v/>
      </c>
      <c r="Y13" s="267" t="str">
        <f>IF(VLOOKUP(25,'Plate Planning'!$A$1:$T$35,14,FALSE)=0, "", VLOOKUP(25,'Plate Planning'!$A$1:$T$35,14,FALSE))</f>
        <v/>
      </c>
      <c r="Z13" s="267" t="str">
        <f>IFERROR(VLOOKUP(25,'Plate Planning'!$A$1:$T$35,18,FALSE),"")</f>
        <v/>
      </c>
      <c r="AA13" s="269"/>
      <c r="AB13" s="267" t="str">
        <f>IF(VLOOKUP(26,'Plate Planning'!$A$1:$T$35,13,FALSE)=0, "", VLOOKUP(26,'Plate Planning'!$A$1:$T$35,13,FALSE))</f>
        <v/>
      </c>
      <c r="AC13" s="267" t="str">
        <f>IF(VLOOKUP(26,'Plate Planning'!$A$1:$T$35,14,FALSE)=0, "", VLOOKUP(26,'Plate Planning'!$A$1:$T$35,14,FALSE))</f>
        <v/>
      </c>
      <c r="AD13" s="267" t="str">
        <f>IFERROR(VLOOKUP(26,'Plate Planning'!$A$1:$T$35,18,FALSE),"")</f>
        <v/>
      </c>
      <c r="AE13" s="269"/>
      <c r="AF13" s="267" t="str">
        <f>IF(VLOOKUP(27,'Plate Planning'!$A$1:$T$35,13,FALSE)=0, "", VLOOKUP(27,'Plate Planning'!$A$1:$T$35,13,FALSE))</f>
        <v/>
      </c>
      <c r="AG13" s="267" t="str">
        <f>IF(VLOOKUP(27,'Plate Planning'!$A$1:$T$35,14,FALSE)=0, "", VLOOKUP(27,'Plate Planning'!$A$1:$T$35,14,FALSE))</f>
        <v/>
      </c>
      <c r="AH13" s="267" t="str">
        <f>IFERROR(VLOOKUP(27,'Plate Planning'!$A$1:$T$35,18,FALSE),"")</f>
        <v/>
      </c>
      <c r="AI13" s="269"/>
      <c r="AJ13" s="267" t="str">
        <f>IF(VLOOKUP(28,'Plate Planning'!$A$1:$T$35,13,FALSE)=0, "", VLOOKUP(28,'Plate Planning'!$A$1:$T$35,13,FALSE))</f>
        <v/>
      </c>
      <c r="AK13" s="267" t="str">
        <f>IF(VLOOKUP(28,'Plate Planning'!$A$1:$T$35,14,FALSE)=0, "", VLOOKUP(28,'Plate Planning'!$A$1:$T$35,14,FALSE))</f>
        <v/>
      </c>
      <c r="AL13" s="267" t="str">
        <f>IFERROR(VLOOKUP(28,'Plate Planning'!$A$1:$T$35,18,FALSE),"")</f>
        <v/>
      </c>
      <c r="AM13" s="269"/>
      <c r="AN13" s="267" t="str">
        <f>IF(VLOOKUP(29,'Plate Planning'!$A$1:$T$35,13,FALSE)=0, "", VLOOKUP(29,'Plate Planning'!$A$1:$T$35,13,FALSE))</f>
        <v/>
      </c>
      <c r="AO13" s="267" t="str">
        <f>IF(VLOOKUP(29,'Plate Planning'!$A$1:$T$35,14,FALSE)=0, "", VLOOKUP(29,'Plate Planning'!$A$1:$T$35,14,FALSE))</f>
        <v/>
      </c>
      <c r="AP13" s="267" t="str">
        <f>IFERROR(VLOOKUP(29,'Plate Planning'!$A$1:$T$35,18,FALSE),"")</f>
        <v/>
      </c>
      <c r="AQ13" s="269"/>
      <c r="AR13" s="358"/>
      <c r="AS13" s="476"/>
      <c r="AT13" s="471"/>
      <c r="AU13" s="479">
        <f t="shared" si="0"/>
        <v>0</v>
      </c>
      <c r="AX13" s="208"/>
      <c r="BI13" s="208"/>
    </row>
    <row r="14" spans="1:61">
      <c r="A14" s="211" t="s">
        <v>1177</v>
      </c>
      <c r="B14" s="436"/>
      <c r="C14" s="462"/>
      <c r="D14" s="463" t="str">
        <f>IF(VLOOKUP(20,'Plate Planning'!$A$1:$T$35,13,FALSE)=0, "", VLOOKUP(20,'Plate Planning'!$A$1:$T$35,13,FALSE))</f>
        <v/>
      </c>
      <c r="E14" s="436" t="str">
        <f>IF(VLOOKUP(20,'Plate Planning'!$A$1:$T$35,14,FALSE)=0, "", VLOOKUP(20,'Plate Planning'!$A$1:$T$35,14,FALSE))</f>
        <v/>
      </c>
      <c r="F14" s="436" t="str">
        <f>IFERROR(VLOOKUP(20,'Plate Planning'!$A$1:$T$35,18,FALSE),"")</f>
        <v/>
      </c>
      <c r="G14" s="467"/>
      <c r="H14" s="463" t="str">
        <f>IF(VLOOKUP(21,'Plate Planning'!$A$1:$T$35,13,FALSE)=0, "", VLOOKUP(21,'Plate Planning'!$A$1:$T$35,13,FALSE))</f>
        <v/>
      </c>
      <c r="I14" s="436" t="str">
        <f>IF(VLOOKUP(21,'Plate Planning'!$A$1:$T$35,14,FALSE)=0, "", VLOOKUP(21,'Plate Planning'!$A$1:$T$35,14,FALSE))</f>
        <v/>
      </c>
      <c r="J14" s="474" t="str">
        <f>IFERROR(VLOOKUP(21,'Plate Planning'!$A$1:$T$35,18,FALSE),"")</f>
        <v/>
      </c>
      <c r="K14" s="436"/>
      <c r="L14" s="436" t="str">
        <f>IF(VLOOKUP(22,'Plate Planning'!$A$1:$T$35,13,FALSE)=0, "", VLOOKUP(22,'Plate Planning'!$A$1:$T$35,13,FALSE))</f>
        <v/>
      </c>
      <c r="M14" s="436" t="str">
        <f>IF(VLOOKUP(22,'Plate Planning'!$A$1:$T$35,14,FALSE)=0, "", VLOOKUP(22,'Plate Planning'!$A$1:$T$35,14,FALSE))</f>
        <v/>
      </c>
      <c r="N14" s="436" t="str">
        <f>IFERROR(VLOOKUP(22,'Plate Planning'!$A$1:$T$35,18,FALSE),"")</f>
        <v/>
      </c>
      <c r="O14" s="436"/>
      <c r="P14" s="463" t="str">
        <f>IF(VLOOKUP(23,'Plate Planning'!$A$1:$T$35,13,FALSE)=0, "", VLOOKUP(23,'Plate Planning'!$A$1:$T$35,13,FALSE))</f>
        <v/>
      </c>
      <c r="Q14" s="436" t="str">
        <f>IF(VLOOKUP(23,'Plate Planning'!$A$1:$T$35,14,FALSE)=0, "", VLOOKUP(23,'Plate Planning'!$A$1:$T$35,14,FALSE))</f>
        <v/>
      </c>
      <c r="R14" s="463" t="str">
        <f>IFERROR(VLOOKUP(23,'Plate Planning'!$A$1:$T$35,18,FALSE),"")</f>
        <v/>
      </c>
      <c r="S14" s="436"/>
      <c r="T14" s="436" t="str">
        <f>IF(VLOOKUP(24,'Plate Planning'!$A$1:$T$35,13,FALSE)=0, "", VLOOKUP(24,'Plate Planning'!$A$1:$T$35,13,FALSE))</f>
        <v/>
      </c>
      <c r="U14" s="436" t="str">
        <f>IF(VLOOKUP(24,'Plate Planning'!$A$1:$T$35,14,FALSE)=0, "", VLOOKUP(24,'Plate Planning'!$A$1:$T$35,14,FALSE))</f>
        <v/>
      </c>
      <c r="V14" s="436" t="str">
        <f>IFERROR(VLOOKUP(24,'Plate Planning'!$A$1:$T$35,18,FALSE),"")</f>
        <v/>
      </c>
      <c r="W14" s="265"/>
      <c r="X14" s="267" t="str">
        <f>IF(VLOOKUP(25,'Plate Planning'!$A$1:$T$35,13,FALSE)=0, "", VLOOKUP(25,'Plate Planning'!$A$1:$T$35,13,FALSE))</f>
        <v/>
      </c>
      <c r="Y14" s="267" t="str">
        <f>IF(VLOOKUP(25,'Plate Planning'!$A$1:$T$35,14,FALSE)=0, "", VLOOKUP(25,'Plate Planning'!$A$1:$T$35,14,FALSE))</f>
        <v/>
      </c>
      <c r="Z14" s="267" t="str">
        <f>IFERROR(VLOOKUP(25,'Plate Planning'!$A$1:$T$35,18,FALSE),"")</f>
        <v/>
      </c>
      <c r="AA14" s="269"/>
      <c r="AB14" s="267" t="str">
        <f>IF(VLOOKUP(26,'Plate Planning'!$A$1:$T$35,13,FALSE)=0, "", VLOOKUP(26,'Plate Planning'!$A$1:$T$35,13,FALSE))</f>
        <v/>
      </c>
      <c r="AC14" s="267" t="str">
        <f>IF(VLOOKUP(26,'Plate Planning'!$A$1:$T$35,14,FALSE)=0, "", VLOOKUP(26,'Plate Planning'!$A$1:$T$35,14,FALSE))</f>
        <v/>
      </c>
      <c r="AD14" s="267" t="str">
        <f>IFERROR(VLOOKUP(26,'Plate Planning'!$A$1:$T$35,18,FALSE),"")</f>
        <v/>
      </c>
      <c r="AE14" s="269"/>
      <c r="AF14" s="267" t="str">
        <f>IF(VLOOKUP(27,'Plate Planning'!$A$1:$T$35,13,FALSE)=0, "", VLOOKUP(27,'Plate Planning'!$A$1:$T$35,13,FALSE))</f>
        <v/>
      </c>
      <c r="AG14" s="267" t="str">
        <f>IF(VLOOKUP(27,'Plate Planning'!$A$1:$T$35,14,FALSE)=0, "", VLOOKUP(27,'Plate Planning'!$A$1:$T$35,14,FALSE))</f>
        <v/>
      </c>
      <c r="AH14" s="267" t="str">
        <f>IFERROR(VLOOKUP(27,'Plate Planning'!$A$1:$T$35,18,FALSE),"")</f>
        <v/>
      </c>
      <c r="AI14" s="269"/>
      <c r="AJ14" s="267" t="str">
        <f>IF(VLOOKUP(28,'Plate Planning'!$A$1:$T$35,13,FALSE)=0, "", VLOOKUP(28,'Plate Planning'!$A$1:$T$35,13,FALSE))</f>
        <v/>
      </c>
      <c r="AK14" s="267" t="str">
        <f>IF(VLOOKUP(28,'Plate Planning'!$A$1:$T$35,14,FALSE)=0, "", VLOOKUP(28,'Plate Planning'!$A$1:$T$35,14,FALSE))</f>
        <v/>
      </c>
      <c r="AL14" s="267" t="str">
        <f>IFERROR(VLOOKUP(28,'Plate Planning'!$A$1:$T$35,18,FALSE),"")</f>
        <v/>
      </c>
      <c r="AM14" s="269"/>
      <c r="AN14" s="267" t="str">
        <f>IF(VLOOKUP(29,'Plate Planning'!$A$1:$T$35,13,FALSE)=0, "", VLOOKUP(29,'Plate Planning'!$A$1:$T$35,13,FALSE))</f>
        <v/>
      </c>
      <c r="AO14" s="267" t="str">
        <f>IF(VLOOKUP(29,'Plate Planning'!$A$1:$T$35,14,FALSE)=0, "", VLOOKUP(29,'Plate Planning'!$A$1:$T$35,14,FALSE))</f>
        <v/>
      </c>
      <c r="AP14" s="267" t="str">
        <f>IFERROR(VLOOKUP(29,'Plate Planning'!$A$1:$T$35,18,FALSE),"")</f>
        <v/>
      </c>
      <c r="AQ14" s="269"/>
      <c r="AR14" s="358"/>
      <c r="AS14" s="476"/>
      <c r="AT14" s="471"/>
      <c r="AU14" s="479">
        <f t="shared" si="0"/>
        <v>0</v>
      </c>
      <c r="AX14" s="208"/>
      <c r="BI14" s="208"/>
    </row>
    <row r="15" spans="1:61">
      <c r="A15" s="211" t="s">
        <v>1178</v>
      </c>
      <c r="B15" s="436"/>
      <c r="C15" s="462"/>
      <c r="D15" s="463" t="str">
        <f>IF(VLOOKUP(20,'Plate Planning'!$A$1:$T$35,13,FALSE)=0, "", VLOOKUP(20,'Plate Planning'!$A$1:$T$35,13,FALSE))</f>
        <v/>
      </c>
      <c r="E15" s="436" t="str">
        <f>IF(VLOOKUP(20,'Plate Planning'!$A$1:$T$35,14,FALSE)=0, "", VLOOKUP(20,'Plate Planning'!$A$1:$T$35,14,FALSE))</f>
        <v/>
      </c>
      <c r="F15" s="436" t="str">
        <f>IFERROR(VLOOKUP(20,'Plate Planning'!$A$1:$T$35,18,FALSE),"")</f>
        <v/>
      </c>
      <c r="G15" s="467"/>
      <c r="H15" s="463" t="str">
        <f>IF(VLOOKUP(21,'Plate Planning'!$A$1:$T$35,13,FALSE)=0, "", VLOOKUP(21,'Plate Planning'!$A$1:$T$35,13,FALSE))</f>
        <v/>
      </c>
      <c r="I15" s="436" t="str">
        <f>IF(VLOOKUP(21,'Plate Planning'!$A$1:$T$35,14,FALSE)=0, "", VLOOKUP(21,'Plate Planning'!$A$1:$T$35,14,FALSE))</f>
        <v/>
      </c>
      <c r="J15" s="474" t="str">
        <f>IFERROR(VLOOKUP(21,'Plate Planning'!$A$1:$T$35,18,FALSE),"")</f>
        <v/>
      </c>
      <c r="K15" s="436"/>
      <c r="L15" s="436" t="str">
        <f>IF(VLOOKUP(22,'Plate Planning'!$A$1:$T$35,13,FALSE)=0, "", VLOOKUP(22,'Plate Planning'!$A$1:$T$35,13,FALSE))</f>
        <v/>
      </c>
      <c r="M15" s="436" t="str">
        <f>IF(VLOOKUP(22,'Plate Planning'!$A$1:$T$35,14,FALSE)=0, "", VLOOKUP(22,'Plate Planning'!$A$1:$T$35,14,FALSE))</f>
        <v/>
      </c>
      <c r="N15" s="436" t="str">
        <f>IFERROR(VLOOKUP(22,'Plate Planning'!$A$1:$T$35,18,FALSE),"")</f>
        <v/>
      </c>
      <c r="O15" s="436"/>
      <c r="P15" s="463" t="str">
        <f>IF(VLOOKUP(23,'Plate Planning'!$A$1:$T$35,13,FALSE)=0, "", VLOOKUP(23,'Plate Planning'!$A$1:$T$35,13,FALSE))</f>
        <v/>
      </c>
      <c r="Q15" s="436" t="str">
        <f>IF(VLOOKUP(23,'Plate Planning'!$A$1:$T$35,14,FALSE)=0, "", VLOOKUP(23,'Plate Planning'!$A$1:$T$35,14,FALSE))</f>
        <v/>
      </c>
      <c r="R15" s="463" t="str">
        <f>IFERROR(VLOOKUP(23,'Plate Planning'!$A$1:$T$35,18,FALSE),"")</f>
        <v/>
      </c>
      <c r="S15" s="436"/>
      <c r="T15" s="436" t="str">
        <f>IF(VLOOKUP(24,'Plate Planning'!$A$1:$T$35,13,FALSE)=0, "", VLOOKUP(24,'Plate Planning'!$A$1:$T$35,13,FALSE))</f>
        <v/>
      </c>
      <c r="U15" s="436" t="str">
        <f>IF(VLOOKUP(24,'Plate Planning'!$A$1:$T$35,14,FALSE)=0, "", VLOOKUP(24,'Plate Planning'!$A$1:$T$35,14,FALSE))</f>
        <v/>
      </c>
      <c r="V15" s="436" t="str">
        <f>IFERROR(VLOOKUP(24,'Plate Planning'!$A$1:$T$35,18,FALSE),"")</f>
        <v/>
      </c>
      <c r="W15" s="265"/>
      <c r="X15" s="267" t="str">
        <f>IF(VLOOKUP(25,'Plate Planning'!$A$1:$T$35,13,FALSE)=0, "", VLOOKUP(25,'Plate Planning'!$A$1:$T$35,13,FALSE))</f>
        <v/>
      </c>
      <c r="Y15" s="267" t="str">
        <f>IF(VLOOKUP(25,'Plate Planning'!$A$1:$T$35,14,FALSE)=0, "", VLOOKUP(25,'Plate Planning'!$A$1:$T$35,14,FALSE))</f>
        <v/>
      </c>
      <c r="Z15" s="267" t="str">
        <f>IFERROR(VLOOKUP(25,'Plate Planning'!$A$1:$T$35,18,FALSE),"")</f>
        <v/>
      </c>
      <c r="AA15" s="269"/>
      <c r="AB15" s="267" t="str">
        <f>IF(VLOOKUP(26,'Plate Planning'!$A$1:$T$35,13,FALSE)=0, "", VLOOKUP(26,'Plate Planning'!$A$1:$T$35,13,FALSE))</f>
        <v/>
      </c>
      <c r="AC15" s="267" t="str">
        <f>IF(VLOOKUP(26,'Plate Planning'!$A$1:$T$35,14,FALSE)=0, "", VLOOKUP(26,'Plate Planning'!$A$1:$T$35,14,FALSE))</f>
        <v/>
      </c>
      <c r="AD15" s="267" t="str">
        <f>IFERROR(VLOOKUP(26,'Plate Planning'!$A$1:$T$35,18,FALSE),"")</f>
        <v/>
      </c>
      <c r="AE15" s="269"/>
      <c r="AF15" s="267" t="str">
        <f>IF(VLOOKUP(27,'Plate Planning'!$A$1:$T$35,13,FALSE)=0, "", VLOOKUP(27,'Plate Planning'!$A$1:$T$35,13,FALSE))</f>
        <v/>
      </c>
      <c r="AG15" s="267" t="str">
        <f>IF(VLOOKUP(27,'Plate Planning'!$A$1:$T$35,14,FALSE)=0, "", VLOOKUP(27,'Plate Planning'!$A$1:$T$35,14,FALSE))</f>
        <v/>
      </c>
      <c r="AH15" s="267" t="str">
        <f>IFERROR(VLOOKUP(27,'Plate Planning'!$A$1:$T$35,18,FALSE),"")</f>
        <v/>
      </c>
      <c r="AI15" s="269"/>
      <c r="AJ15" s="267" t="str">
        <f>IF(VLOOKUP(28,'Plate Planning'!$A$1:$T$35,13,FALSE)=0, "", VLOOKUP(28,'Plate Planning'!$A$1:$T$35,13,FALSE))</f>
        <v/>
      </c>
      <c r="AK15" s="267" t="str">
        <f>IF(VLOOKUP(28,'Plate Planning'!$A$1:$T$35,14,FALSE)=0, "", VLOOKUP(28,'Plate Planning'!$A$1:$T$35,14,FALSE))</f>
        <v/>
      </c>
      <c r="AL15" s="267" t="str">
        <f>IFERROR(VLOOKUP(28,'Plate Planning'!$A$1:$T$35,18,FALSE),"")</f>
        <v/>
      </c>
      <c r="AM15" s="269"/>
      <c r="AN15" s="267" t="str">
        <f>IF(VLOOKUP(29,'Plate Planning'!$A$1:$T$35,13,FALSE)=0, "", VLOOKUP(29,'Plate Planning'!$A$1:$T$35,13,FALSE))</f>
        <v/>
      </c>
      <c r="AO15" s="267" t="str">
        <f>IF(VLOOKUP(29,'Plate Planning'!$A$1:$T$35,14,FALSE)=0, "", VLOOKUP(29,'Plate Planning'!$A$1:$T$35,14,FALSE))</f>
        <v/>
      </c>
      <c r="AP15" s="267" t="str">
        <f>IFERROR(VLOOKUP(29,'Plate Planning'!$A$1:$T$35,18,FALSE),"")</f>
        <v/>
      </c>
      <c r="AQ15" s="269"/>
      <c r="AR15" s="358"/>
      <c r="AS15" s="476"/>
      <c r="AT15" s="471"/>
      <c r="AU15" s="479">
        <f t="shared" si="0"/>
        <v>0</v>
      </c>
      <c r="AX15" s="208"/>
      <c r="BI15" s="208"/>
    </row>
    <row r="16" spans="1:61">
      <c r="A16" s="211" t="s">
        <v>1185</v>
      </c>
      <c r="B16" s="436"/>
      <c r="C16" s="462"/>
      <c r="D16" s="463" t="str">
        <f>IF(VLOOKUP(20,'Plate Planning'!$A$1:$T$35,13,FALSE)=0, "", VLOOKUP(20,'Plate Planning'!$A$1:$T$35,13,FALSE))</f>
        <v/>
      </c>
      <c r="E16" s="436" t="str">
        <f>IF(VLOOKUP(20,'Plate Planning'!$A$1:$T$35,14,FALSE)=0, "", VLOOKUP(20,'Plate Planning'!$A$1:$T$35,14,FALSE))</f>
        <v/>
      </c>
      <c r="F16" s="436" t="str">
        <f>IFERROR(VLOOKUP(20,'Plate Planning'!$A$1:$T$35,18,FALSE),"")</f>
        <v/>
      </c>
      <c r="G16" s="467"/>
      <c r="H16" s="463" t="str">
        <f>IF(VLOOKUP(21,'Plate Planning'!$A$1:$T$35,13,FALSE)=0, "", VLOOKUP(21,'Plate Planning'!$A$1:$T$35,13,FALSE))</f>
        <v/>
      </c>
      <c r="I16" s="436" t="str">
        <f>IF(VLOOKUP(21,'Plate Planning'!$A$1:$T$35,14,FALSE)=0, "", VLOOKUP(21,'Plate Planning'!$A$1:$T$35,14,FALSE))</f>
        <v/>
      </c>
      <c r="J16" s="474" t="str">
        <f>IFERROR(VLOOKUP(21,'Plate Planning'!$A$1:$T$35,18,FALSE),"")</f>
        <v/>
      </c>
      <c r="K16" s="436"/>
      <c r="L16" s="436" t="str">
        <f>IF(VLOOKUP(22,'Plate Planning'!$A$1:$T$35,13,FALSE)=0, "", VLOOKUP(22,'Plate Planning'!$A$1:$T$35,13,FALSE))</f>
        <v/>
      </c>
      <c r="M16" s="436" t="str">
        <f>IF(VLOOKUP(22,'Plate Planning'!$A$1:$T$35,14,FALSE)=0, "", VLOOKUP(22,'Plate Planning'!$A$1:$T$35,14,FALSE))</f>
        <v/>
      </c>
      <c r="N16" s="436" t="str">
        <f>IFERROR(VLOOKUP(22,'Plate Planning'!$A$1:$T$35,18,FALSE),"")</f>
        <v/>
      </c>
      <c r="O16" s="436"/>
      <c r="P16" s="463" t="str">
        <f>IF(VLOOKUP(23,'Plate Planning'!$A$1:$T$35,13,FALSE)=0, "", VLOOKUP(23,'Plate Planning'!$A$1:$T$35,13,FALSE))</f>
        <v/>
      </c>
      <c r="Q16" s="436" t="str">
        <f>IF(VLOOKUP(23,'Plate Planning'!$A$1:$T$35,14,FALSE)=0, "", VLOOKUP(23,'Plate Planning'!$A$1:$T$35,14,FALSE))</f>
        <v/>
      </c>
      <c r="R16" s="463" t="str">
        <f>IFERROR(VLOOKUP(23,'Plate Planning'!$A$1:$T$35,18,FALSE),"")</f>
        <v/>
      </c>
      <c r="S16" s="436"/>
      <c r="T16" s="436" t="str">
        <f>IF(VLOOKUP(24,'Plate Planning'!$A$1:$T$35,13,FALSE)=0, "", VLOOKUP(24,'Plate Planning'!$A$1:$T$35,13,FALSE))</f>
        <v/>
      </c>
      <c r="U16" s="436" t="str">
        <f>IF(VLOOKUP(24,'Plate Planning'!$A$1:$T$35,14,FALSE)=0, "", VLOOKUP(24,'Plate Planning'!$A$1:$T$35,14,FALSE))</f>
        <v/>
      </c>
      <c r="V16" s="436" t="str">
        <f>IFERROR(VLOOKUP(24,'Plate Planning'!$A$1:$T$35,18,FALSE),"")</f>
        <v/>
      </c>
      <c r="W16" s="265"/>
      <c r="X16" s="267" t="str">
        <f>IF(VLOOKUP(25,'Plate Planning'!$A$1:$T$35,13,FALSE)=0, "", VLOOKUP(25,'Plate Planning'!$A$1:$T$35,13,FALSE))</f>
        <v/>
      </c>
      <c r="Y16" s="267" t="str">
        <f>IF(VLOOKUP(25,'Plate Planning'!$A$1:$T$35,14,FALSE)=0, "", VLOOKUP(25,'Plate Planning'!$A$1:$T$35,14,FALSE))</f>
        <v/>
      </c>
      <c r="Z16" s="267" t="str">
        <f>IFERROR(VLOOKUP(25,'Plate Planning'!$A$1:$T$35,18,FALSE),"")</f>
        <v/>
      </c>
      <c r="AA16" s="269"/>
      <c r="AB16" s="267" t="str">
        <f>IF(VLOOKUP(26,'Plate Planning'!$A$1:$T$35,13,FALSE)=0, "", VLOOKUP(26,'Plate Planning'!$A$1:$T$35,13,FALSE))</f>
        <v/>
      </c>
      <c r="AC16" s="267" t="str">
        <f>IF(VLOOKUP(26,'Plate Planning'!$A$1:$T$35,14,FALSE)=0, "", VLOOKUP(26,'Plate Planning'!$A$1:$T$35,14,FALSE))</f>
        <v/>
      </c>
      <c r="AD16" s="267" t="str">
        <f>IFERROR(VLOOKUP(26,'Plate Planning'!$A$1:$T$35,18,FALSE),"")</f>
        <v/>
      </c>
      <c r="AE16" s="269"/>
      <c r="AF16" s="267" t="str">
        <f>IF(VLOOKUP(27,'Plate Planning'!$A$1:$T$35,13,FALSE)=0, "", VLOOKUP(27,'Plate Planning'!$A$1:$T$35,13,FALSE))</f>
        <v/>
      </c>
      <c r="AG16" s="267" t="str">
        <f>IF(VLOOKUP(27,'Plate Planning'!$A$1:$T$35,14,FALSE)=0, "", VLOOKUP(27,'Plate Planning'!$A$1:$T$35,14,FALSE))</f>
        <v/>
      </c>
      <c r="AH16" s="267" t="str">
        <f>IFERROR(VLOOKUP(27,'Plate Planning'!$A$1:$T$35,18,FALSE),"")</f>
        <v/>
      </c>
      <c r="AI16" s="269"/>
      <c r="AJ16" s="267" t="str">
        <f>IF(VLOOKUP(28,'Plate Planning'!$A$1:$T$35,13,FALSE)=0, "", VLOOKUP(28,'Plate Planning'!$A$1:$T$35,13,FALSE))</f>
        <v/>
      </c>
      <c r="AK16" s="267" t="str">
        <f>IF(VLOOKUP(28,'Plate Planning'!$A$1:$T$35,14,FALSE)=0, "", VLOOKUP(28,'Plate Planning'!$A$1:$T$35,14,FALSE))</f>
        <v/>
      </c>
      <c r="AL16" s="267" t="str">
        <f>IFERROR(VLOOKUP(28,'Plate Planning'!$A$1:$T$35,18,FALSE),"")</f>
        <v/>
      </c>
      <c r="AM16" s="269"/>
      <c r="AN16" s="267" t="str">
        <f>IF(VLOOKUP(29,'Plate Planning'!$A$1:$T$35,13,FALSE)=0, "", VLOOKUP(29,'Plate Planning'!$A$1:$T$35,13,FALSE))</f>
        <v/>
      </c>
      <c r="AO16" s="267" t="str">
        <f>IF(VLOOKUP(29,'Plate Planning'!$A$1:$T$35,14,FALSE)=0, "", VLOOKUP(29,'Plate Planning'!$A$1:$T$35,14,FALSE))</f>
        <v/>
      </c>
      <c r="AP16" s="267" t="str">
        <f>IFERROR(VLOOKUP(29,'Plate Planning'!$A$1:$T$35,18,FALSE),"")</f>
        <v/>
      </c>
      <c r="AQ16" s="269"/>
      <c r="AR16" s="358"/>
      <c r="AS16" s="476"/>
      <c r="AT16" s="471"/>
      <c r="AU16" s="479">
        <f t="shared" si="0"/>
        <v>0</v>
      </c>
      <c r="AX16" s="208"/>
      <c r="BI16" s="208"/>
    </row>
    <row r="17" spans="1:61">
      <c r="A17" s="211" t="s">
        <v>1186</v>
      </c>
      <c r="B17" s="436"/>
      <c r="C17" s="462"/>
      <c r="D17" s="463" t="str">
        <f>IF(VLOOKUP(20,'Plate Planning'!$A$1:$T$35,13,FALSE)=0, "", VLOOKUP(20,'Plate Planning'!$A$1:$T$35,13,FALSE))</f>
        <v/>
      </c>
      <c r="E17" s="436" t="str">
        <f>IF(VLOOKUP(20,'Plate Planning'!$A$1:$T$35,14,FALSE)=0, "", VLOOKUP(20,'Plate Planning'!$A$1:$T$35,14,FALSE))</f>
        <v/>
      </c>
      <c r="F17" s="436" t="str">
        <f>IFERROR(VLOOKUP(20,'Plate Planning'!$A$1:$T$35,18,FALSE),"")</f>
        <v/>
      </c>
      <c r="G17" s="467"/>
      <c r="H17" s="463" t="str">
        <f>IF(VLOOKUP(21,'Plate Planning'!$A$1:$T$35,13,FALSE)=0, "", VLOOKUP(21,'Plate Planning'!$A$1:$T$35,13,FALSE))</f>
        <v/>
      </c>
      <c r="I17" s="436" t="str">
        <f>IF(VLOOKUP(21,'Plate Planning'!$A$1:$T$35,14,FALSE)=0, "", VLOOKUP(21,'Plate Planning'!$A$1:$T$35,14,FALSE))</f>
        <v/>
      </c>
      <c r="J17" s="474" t="str">
        <f>IFERROR(VLOOKUP(21,'Plate Planning'!$A$1:$T$35,18,FALSE),"")</f>
        <v/>
      </c>
      <c r="K17" s="436"/>
      <c r="L17" s="436" t="str">
        <f>IF(VLOOKUP(22,'Plate Planning'!$A$1:$T$35,13,FALSE)=0, "", VLOOKUP(22,'Plate Planning'!$A$1:$T$35,13,FALSE))</f>
        <v/>
      </c>
      <c r="M17" s="436" t="str">
        <f>IF(VLOOKUP(22,'Plate Planning'!$A$1:$T$35,14,FALSE)=0, "", VLOOKUP(22,'Plate Planning'!$A$1:$T$35,14,FALSE))</f>
        <v/>
      </c>
      <c r="N17" s="436" t="str">
        <f>IFERROR(VLOOKUP(22,'Plate Planning'!$A$1:$T$35,18,FALSE),"")</f>
        <v/>
      </c>
      <c r="O17" s="436"/>
      <c r="P17" s="463" t="str">
        <f>IF(VLOOKUP(23,'Plate Planning'!$A$1:$T$35,13,FALSE)=0, "", VLOOKUP(23,'Plate Planning'!$A$1:$T$35,13,FALSE))</f>
        <v/>
      </c>
      <c r="Q17" s="436" t="str">
        <f>IF(VLOOKUP(23,'Plate Planning'!$A$1:$T$35,14,FALSE)=0, "", VLOOKUP(23,'Plate Planning'!$A$1:$T$35,14,FALSE))</f>
        <v/>
      </c>
      <c r="R17" s="463" t="str">
        <f>IFERROR(VLOOKUP(23,'Plate Planning'!$A$1:$T$35,18,FALSE),"")</f>
        <v/>
      </c>
      <c r="S17" s="436"/>
      <c r="T17" s="436" t="str">
        <f>IF(VLOOKUP(24,'Plate Planning'!$A$1:$T$35,13,FALSE)=0, "", VLOOKUP(24,'Plate Planning'!$A$1:$T$35,13,FALSE))</f>
        <v/>
      </c>
      <c r="U17" s="436" t="str">
        <f>IF(VLOOKUP(24,'Plate Planning'!$A$1:$T$35,14,FALSE)=0, "", VLOOKUP(24,'Plate Planning'!$A$1:$T$35,14,FALSE))</f>
        <v/>
      </c>
      <c r="V17" s="436" t="str">
        <f>IFERROR(VLOOKUP(24,'Plate Planning'!$A$1:$T$35,18,FALSE),"")</f>
        <v/>
      </c>
      <c r="W17" s="265"/>
      <c r="X17" s="267" t="str">
        <f>IF(VLOOKUP(25,'Plate Planning'!$A$1:$T$35,13,FALSE)=0, "", VLOOKUP(25,'Plate Planning'!$A$1:$T$35,13,FALSE))</f>
        <v/>
      </c>
      <c r="Y17" s="267" t="str">
        <f>IF(VLOOKUP(25,'Plate Planning'!$A$1:$T$35,14,FALSE)=0, "", VLOOKUP(25,'Plate Planning'!$A$1:$T$35,14,FALSE))</f>
        <v/>
      </c>
      <c r="Z17" s="267" t="str">
        <f>IFERROR(VLOOKUP(25,'Plate Planning'!$A$1:$T$35,18,FALSE),"")</f>
        <v/>
      </c>
      <c r="AA17" s="269"/>
      <c r="AB17" s="267" t="str">
        <f>IF(VLOOKUP(26,'Plate Planning'!$A$1:$T$35,13,FALSE)=0, "", VLOOKUP(26,'Plate Planning'!$A$1:$T$35,13,FALSE))</f>
        <v/>
      </c>
      <c r="AC17" s="267" t="str">
        <f>IF(VLOOKUP(26,'Plate Planning'!$A$1:$T$35,14,FALSE)=0, "", VLOOKUP(26,'Plate Planning'!$A$1:$T$35,14,FALSE))</f>
        <v/>
      </c>
      <c r="AD17" s="267" t="str">
        <f>IFERROR(VLOOKUP(26,'Plate Planning'!$A$1:$T$35,18,FALSE),"")</f>
        <v/>
      </c>
      <c r="AE17" s="269"/>
      <c r="AF17" s="267" t="str">
        <f>IF(VLOOKUP(27,'Plate Planning'!$A$1:$T$35,13,FALSE)=0, "", VLOOKUP(27,'Plate Planning'!$A$1:$T$35,13,FALSE))</f>
        <v/>
      </c>
      <c r="AG17" s="267" t="str">
        <f>IF(VLOOKUP(27,'Plate Planning'!$A$1:$T$35,14,FALSE)=0, "", VLOOKUP(27,'Plate Planning'!$A$1:$T$35,14,FALSE))</f>
        <v/>
      </c>
      <c r="AH17" s="267" t="str">
        <f>IFERROR(VLOOKUP(27,'Plate Planning'!$A$1:$T$35,18,FALSE),"")</f>
        <v/>
      </c>
      <c r="AI17" s="269"/>
      <c r="AJ17" s="267" t="str">
        <f>IF(VLOOKUP(28,'Plate Planning'!$A$1:$T$35,13,FALSE)=0, "", VLOOKUP(28,'Plate Planning'!$A$1:$T$35,13,FALSE))</f>
        <v/>
      </c>
      <c r="AK17" s="267" t="str">
        <f>IF(VLOOKUP(28,'Plate Planning'!$A$1:$T$35,14,FALSE)=0, "", VLOOKUP(28,'Plate Planning'!$A$1:$T$35,14,FALSE))</f>
        <v/>
      </c>
      <c r="AL17" s="267" t="str">
        <f>IFERROR(VLOOKUP(28,'Plate Planning'!$A$1:$T$35,18,FALSE),"")</f>
        <v/>
      </c>
      <c r="AM17" s="269"/>
      <c r="AN17" s="267" t="str">
        <f>IF(VLOOKUP(29,'Plate Planning'!$A$1:$T$35,13,FALSE)=0, "", VLOOKUP(29,'Plate Planning'!$A$1:$T$35,13,FALSE))</f>
        <v/>
      </c>
      <c r="AO17" s="267" t="str">
        <f>IF(VLOOKUP(29,'Plate Planning'!$A$1:$T$35,14,FALSE)=0, "", VLOOKUP(29,'Plate Planning'!$A$1:$T$35,14,FALSE))</f>
        <v/>
      </c>
      <c r="AP17" s="267" t="str">
        <f>IFERROR(VLOOKUP(29,'Plate Planning'!$A$1:$T$35,18,FALSE),"")</f>
        <v/>
      </c>
      <c r="AQ17" s="269"/>
      <c r="AR17" s="358"/>
      <c r="AS17" s="476"/>
      <c r="AT17" s="471"/>
      <c r="AU17" s="479">
        <f t="shared" si="0"/>
        <v>0</v>
      </c>
      <c r="AX17" s="208"/>
      <c r="BI17" s="208"/>
    </row>
    <row r="18" spans="1:61">
      <c r="A18" s="211" t="s">
        <v>1187</v>
      </c>
      <c r="B18" s="436"/>
      <c r="C18" s="462"/>
      <c r="D18" s="463" t="str">
        <f>IF(VLOOKUP(20,'Plate Planning'!$A$1:$T$35,13,FALSE)=0, "", VLOOKUP(20,'Plate Planning'!$A$1:$T$35,13,FALSE))</f>
        <v/>
      </c>
      <c r="E18" s="436" t="str">
        <f>IF(VLOOKUP(20,'Plate Planning'!$A$1:$T$35,14,FALSE)=0, "", VLOOKUP(20,'Plate Planning'!$A$1:$T$35,14,FALSE))</f>
        <v/>
      </c>
      <c r="F18" s="436" t="str">
        <f>IFERROR(VLOOKUP(20,'Plate Planning'!$A$1:$T$35,18,FALSE),"")</f>
        <v/>
      </c>
      <c r="G18" s="467"/>
      <c r="H18" s="463" t="str">
        <f>IF(VLOOKUP(21,'Plate Planning'!$A$1:$T$35,13,FALSE)=0, "", VLOOKUP(21,'Plate Planning'!$A$1:$T$35,13,FALSE))</f>
        <v/>
      </c>
      <c r="I18" s="436" t="str">
        <f>IF(VLOOKUP(21,'Plate Planning'!$A$1:$T$35,14,FALSE)=0, "", VLOOKUP(21,'Plate Planning'!$A$1:$T$35,14,FALSE))</f>
        <v/>
      </c>
      <c r="J18" s="474" t="str">
        <f>IFERROR(VLOOKUP(21,'Plate Planning'!$A$1:$T$35,18,FALSE),"")</f>
        <v/>
      </c>
      <c r="K18" s="436"/>
      <c r="L18" s="436" t="str">
        <f>IF(VLOOKUP(22,'Plate Planning'!$A$1:$T$35,13,FALSE)=0, "", VLOOKUP(22,'Plate Planning'!$A$1:$T$35,13,FALSE))</f>
        <v/>
      </c>
      <c r="M18" s="436" t="str">
        <f>IF(VLOOKUP(22,'Plate Planning'!$A$1:$T$35,14,FALSE)=0, "", VLOOKUP(22,'Plate Planning'!$A$1:$T$35,14,FALSE))</f>
        <v/>
      </c>
      <c r="N18" s="436" t="str">
        <f>IFERROR(VLOOKUP(22,'Plate Planning'!$A$1:$T$35,18,FALSE),"")</f>
        <v/>
      </c>
      <c r="O18" s="436"/>
      <c r="P18" s="463" t="str">
        <f>IF(VLOOKUP(23,'Plate Planning'!$A$1:$T$35,13,FALSE)=0, "", VLOOKUP(23,'Plate Planning'!$A$1:$T$35,13,FALSE))</f>
        <v/>
      </c>
      <c r="Q18" s="436" t="str">
        <f>IF(VLOOKUP(23,'Plate Planning'!$A$1:$T$35,14,FALSE)=0, "", VLOOKUP(23,'Plate Planning'!$A$1:$T$35,14,FALSE))</f>
        <v/>
      </c>
      <c r="R18" s="463" t="str">
        <f>IFERROR(VLOOKUP(23,'Plate Planning'!$A$1:$T$35,18,FALSE),"")</f>
        <v/>
      </c>
      <c r="S18" s="436"/>
      <c r="T18" s="436" t="str">
        <f>IF(VLOOKUP(24,'Plate Planning'!$A$1:$T$35,13,FALSE)=0, "", VLOOKUP(24,'Plate Planning'!$A$1:$T$35,13,FALSE))</f>
        <v/>
      </c>
      <c r="U18" s="436" t="str">
        <f>IF(VLOOKUP(24,'Plate Planning'!$A$1:$T$35,14,FALSE)=0, "", VLOOKUP(24,'Plate Planning'!$A$1:$T$35,14,FALSE))</f>
        <v/>
      </c>
      <c r="V18" s="436" t="str">
        <f>IFERROR(VLOOKUP(24,'Plate Planning'!$A$1:$T$35,18,FALSE),"")</f>
        <v/>
      </c>
      <c r="W18" s="265"/>
      <c r="X18" s="267" t="str">
        <f>IF(VLOOKUP(25,'Plate Planning'!$A$1:$T$35,13,FALSE)=0, "", VLOOKUP(25,'Plate Planning'!$A$1:$T$35,13,FALSE))</f>
        <v/>
      </c>
      <c r="Y18" s="267" t="str">
        <f>IF(VLOOKUP(25,'Plate Planning'!$A$1:$T$35,14,FALSE)=0, "", VLOOKUP(25,'Plate Planning'!$A$1:$T$35,14,FALSE))</f>
        <v/>
      </c>
      <c r="Z18" s="267" t="str">
        <f>IFERROR(VLOOKUP(25,'Plate Planning'!$A$1:$T$35,18,FALSE),"")</f>
        <v/>
      </c>
      <c r="AA18" s="269"/>
      <c r="AB18" s="267" t="str">
        <f>IF(VLOOKUP(26,'Plate Planning'!$A$1:$T$35,13,FALSE)=0, "", VLOOKUP(26,'Plate Planning'!$A$1:$T$35,13,FALSE))</f>
        <v/>
      </c>
      <c r="AC18" s="267" t="str">
        <f>IF(VLOOKUP(26,'Plate Planning'!$A$1:$T$35,14,FALSE)=0, "", VLOOKUP(26,'Plate Planning'!$A$1:$T$35,14,FALSE))</f>
        <v/>
      </c>
      <c r="AD18" s="267" t="str">
        <f>IFERROR(VLOOKUP(26,'Plate Planning'!$A$1:$T$35,18,FALSE),"")</f>
        <v/>
      </c>
      <c r="AE18" s="269"/>
      <c r="AF18" s="267" t="str">
        <f>IF(VLOOKUP(27,'Plate Planning'!$A$1:$T$35,13,FALSE)=0, "", VLOOKUP(27,'Plate Planning'!$A$1:$T$35,13,FALSE))</f>
        <v/>
      </c>
      <c r="AG18" s="267" t="str">
        <f>IF(VLOOKUP(27,'Plate Planning'!$A$1:$T$35,14,FALSE)=0, "", VLOOKUP(27,'Plate Planning'!$A$1:$T$35,14,FALSE))</f>
        <v/>
      </c>
      <c r="AH18" s="267" t="str">
        <f>IFERROR(VLOOKUP(27,'Plate Planning'!$A$1:$T$35,18,FALSE),"")</f>
        <v/>
      </c>
      <c r="AI18" s="269"/>
      <c r="AJ18" s="267" t="str">
        <f>IF(VLOOKUP(28,'Plate Planning'!$A$1:$T$35,13,FALSE)=0, "", VLOOKUP(28,'Plate Planning'!$A$1:$T$35,13,FALSE))</f>
        <v/>
      </c>
      <c r="AK18" s="267" t="str">
        <f>IF(VLOOKUP(28,'Plate Planning'!$A$1:$T$35,14,FALSE)=0, "", VLOOKUP(28,'Plate Planning'!$A$1:$T$35,14,FALSE))</f>
        <v/>
      </c>
      <c r="AL18" s="267" t="str">
        <f>IFERROR(VLOOKUP(28,'Plate Planning'!$A$1:$T$35,18,FALSE),"")</f>
        <v/>
      </c>
      <c r="AM18" s="269"/>
      <c r="AN18" s="267" t="str">
        <f>IF(VLOOKUP(29,'Plate Planning'!$A$1:$T$35,13,FALSE)=0, "", VLOOKUP(29,'Plate Planning'!$A$1:$T$35,13,FALSE))</f>
        <v/>
      </c>
      <c r="AO18" s="267" t="str">
        <f>IF(VLOOKUP(29,'Plate Planning'!$A$1:$T$35,14,FALSE)=0, "", VLOOKUP(29,'Plate Planning'!$A$1:$T$35,14,FALSE))</f>
        <v/>
      </c>
      <c r="AP18" s="267" t="str">
        <f>IFERROR(VLOOKUP(29,'Plate Planning'!$A$1:$T$35,18,FALSE),"")</f>
        <v/>
      </c>
      <c r="AQ18" s="269"/>
      <c r="AR18" s="358"/>
      <c r="AS18" s="476"/>
      <c r="AT18" s="471"/>
      <c r="AU18" s="479">
        <f t="shared" si="0"/>
        <v>0</v>
      </c>
      <c r="AX18" s="208"/>
      <c r="BI18" s="208"/>
    </row>
    <row r="19" spans="1:61">
      <c r="A19" s="211" t="s">
        <v>1188</v>
      </c>
      <c r="B19" s="436"/>
      <c r="C19" s="462"/>
      <c r="D19" s="463" t="str">
        <f>IF(VLOOKUP(20,'Plate Planning'!$A$1:$T$35,13,FALSE)=0, "", VLOOKUP(20,'Plate Planning'!$A$1:$T$35,13,FALSE))</f>
        <v/>
      </c>
      <c r="E19" s="436" t="str">
        <f>IF(VLOOKUP(20,'Plate Planning'!$A$1:$T$35,14,FALSE)=0, "", VLOOKUP(20,'Plate Planning'!$A$1:$T$35,14,FALSE))</f>
        <v/>
      </c>
      <c r="F19" s="436" t="str">
        <f>IFERROR(VLOOKUP(20,'Plate Planning'!$A$1:$T$35,18,FALSE),"")</f>
        <v/>
      </c>
      <c r="G19" s="467"/>
      <c r="H19" s="463" t="str">
        <f>IF(VLOOKUP(21,'Plate Planning'!$A$1:$T$35,13,FALSE)=0, "", VLOOKUP(21,'Plate Planning'!$A$1:$T$35,13,FALSE))</f>
        <v/>
      </c>
      <c r="I19" s="436" t="str">
        <f>IF(VLOOKUP(21,'Plate Planning'!$A$1:$T$35,14,FALSE)=0, "", VLOOKUP(21,'Plate Planning'!$A$1:$T$35,14,FALSE))</f>
        <v/>
      </c>
      <c r="J19" s="474" t="str">
        <f>IFERROR(VLOOKUP(21,'Plate Planning'!$A$1:$T$35,18,FALSE),"")</f>
        <v/>
      </c>
      <c r="K19" s="436"/>
      <c r="L19" s="436" t="str">
        <f>IF(VLOOKUP(22,'Plate Planning'!$A$1:$T$35,13,FALSE)=0, "", VLOOKUP(22,'Plate Planning'!$A$1:$T$35,13,FALSE))</f>
        <v/>
      </c>
      <c r="M19" s="436" t="str">
        <f>IF(VLOOKUP(22,'Plate Planning'!$A$1:$T$35,14,FALSE)=0, "", VLOOKUP(22,'Plate Planning'!$A$1:$T$35,14,FALSE))</f>
        <v/>
      </c>
      <c r="N19" s="436" t="str">
        <f>IFERROR(VLOOKUP(22,'Plate Planning'!$A$1:$T$35,18,FALSE),"")</f>
        <v/>
      </c>
      <c r="O19" s="436"/>
      <c r="P19" s="463" t="str">
        <f>IF(VLOOKUP(23,'Plate Planning'!$A$1:$T$35,13,FALSE)=0, "", VLOOKUP(23,'Plate Planning'!$A$1:$T$35,13,FALSE))</f>
        <v/>
      </c>
      <c r="Q19" s="436" t="str">
        <f>IF(VLOOKUP(23,'Plate Planning'!$A$1:$T$35,14,FALSE)=0, "", VLOOKUP(23,'Plate Planning'!$A$1:$T$35,14,FALSE))</f>
        <v/>
      </c>
      <c r="R19" s="463" t="str">
        <f>IFERROR(VLOOKUP(23,'Plate Planning'!$A$1:$T$35,18,FALSE),"")</f>
        <v/>
      </c>
      <c r="S19" s="436"/>
      <c r="T19" s="436" t="str">
        <f>IF(VLOOKUP(24,'Plate Planning'!$A$1:$T$35,13,FALSE)=0, "", VLOOKUP(24,'Plate Planning'!$A$1:$T$35,13,FALSE))</f>
        <v/>
      </c>
      <c r="U19" s="436" t="str">
        <f>IF(VLOOKUP(24,'Plate Planning'!$A$1:$T$35,14,FALSE)=0, "", VLOOKUP(24,'Plate Planning'!$A$1:$T$35,14,FALSE))</f>
        <v/>
      </c>
      <c r="V19" s="436" t="str">
        <f>IFERROR(VLOOKUP(24,'Plate Planning'!$A$1:$T$35,18,FALSE),"")</f>
        <v/>
      </c>
      <c r="W19" s="265"/>
      <c r="X19" s="267" t="str">
        <f>IF(VLOOKUP(25,'Plate Planning'!$A$1:$T$35,13,FALSE)=0, "", VLOOKUP(25,'Plate Planning'!$A$1:$T$35,13,FALSE))</f>
        <v/>
      </c>
      <c r="Y19" s="267" t="str">
        <f>IF(VLOOKUP(25,'Plate Planning'!$A$1:$T$35,14,FALSE)=0, "", VLOOKUP(25,'Plate Planning'!$A$1:$T$35,14,FALSE))</f>
        <v/>
      </c>
      <c r="Z19" s="267" t="str">
        <f>IFERROR(VLOOKUP(25,'Plate Planning'!$A$1:$T$35,18,FALSE),"")</f>
        <v/>
      </c>
      <c r="AA19" s="269"/>
      <c r="AB19" s="267" t="str">
        <f>IF(VLOOKUP(26,'Plate Planning'!$A$1:$T$35,13,FALSE)=0, "", VLOOKUP(26,'Plate Planning'!$A$1:$T$35,13,FALSE))</f>
        <v/>
      </c>
      <c r="AC19" s="267" t="str">
        <f>IF(VLOOKUP(26,'Plate Planning'!$A$1:$T$35,14,FALSE)=0, "", VLOOKUP(26,'Plate Planning'!$A$1:$T$35,14,FALSE))</f>
        <v/>
      </c>
      <c r="AD19" s="267" t="str">
        <f>IFERROR(VLOOKUP(26,'Plate Planning'!$A$1:$T$35,18,FALSE),"")</f>
        <v/>
      </c>
      <c r="AE19" s="269"/>
      <c r="AF19" s="267" t="str">
        <f>IF(VLOOKUP(27,'Plate Planning'!$A$1:$T$35,13,FALSE)=0, "", VLOOKUP(27,'Plate Planning'!$A$1:$T$35,13,FALSE))</f>
        <v/>
      </c>
      <c r="AG19" s="267" t="str">
        <f>IF(VLOOKUP(27,'Plate Planning'!$A$1:$T$35,14,FALSE)=0, "", VLOOKUP(27,'Plate Planning'!$A$1:$T$35,14,FALSE))</f>
        <v/>
      </c>
      <c r="AH19" s="267" t="str">
        <f>IFERROR(VLOOKUP(27,'Plate Planning'!$A$1:$T$35,18,FALSE),"")</f>
        <v/>
      </c>
      <c r="AI19" s="269"/>
      <c r="AJ19" s="267" t="str">
        <f>IF(VLOOKUP(28,'Plate Planning'!$A$1:$T$35,13,FALSE)=0, "", VLOOKUP(28,'Plate Planning'!$A$1:$T$35,13,FALSE))</f>
        <v/>
      </c>
      <c r="AK19" s="267" t="str">
        <f>IF(VLOOKUP(28,'Plate Planning'!$A$1:$T$35,14,FALSE)=0, "", VLOOKUP(28,'Plate Planning'!$A$1:$T$35,14,FALSE))</f>
        <v/>
      </c>
      <c r="AL19" s="267" t="str">
        <f>IFERROR(VLOOKUP(28,'Plate Planning'!$A$1:$T$35,18,FALSE),"")</f>
        <v/>
      </c>
      <c r="AM19" s="269"/>
      <c r="AN19" s="267" t="str">
        <f>IF(VLOOKUP(29,'Plate Planning'!$A$1:$T$35,13,FALSE)=0, "", VLOOKUP(29,'Plate Planning'!$A$1:$T$35,13,FALSE))</f>
        <v/>
      </c>
      <c r="AO19" s="267" t="str">
        <f>IF(VLOOKUP(29,'Plate Planning'!$A$1:$T$35,14,FALSE)=0, "", VLOOKUP(29,'Plate Planning'!$A$1:$T$35,14,FALSE))</f>
        <v/>
      </c>
      <c r="AP19" s="267" t="str">
        <f>IFERROR(VLOOKUP(29,'Plate Planning'!$A$1:$T$35,18,FALSE),"")</f>
        <v/>
      </c>
      <c r="AQ19" s="269"/>
      <c r="AR19" s="358"/>
      <c r="AS19" s="476"/>
      <c r="AT19" s="471"/>
      <c r="AU19" s="479">
        <f t="shared" si="0"/>
        <v>0</v>
      </c>
      <c r="AX19" s="208"/>
      <c r="BI19" s="208"/>
    </row>
    <row r="20" spans="1:61">
      <c r="A20" s="211" t="s">
        <v>1189</v>
      </c>
      <c r="B20" s="436"/>
      <c r="C20" s="462"/>
      <c r="D20" s="463" t="str">
        <f>IF(VLOOKUP(20,'Plate Planning'!$A$1:$T$35,13,FALSE)=0, "", VLOOKUP(20,'Plate Planning'!$A$1:$T$35,13,FALSE))</f>
        <v/>
      </c>
      <c r="E20" s="436" t="str">
        <f>IF(VLOOKUP(20,'Plate Planning'!$A$1:$T$35,14,FALSE)=0, "", VLOOKUP(20,'Plate Planning'!$A$1:$T$35,14,FALSE))</f>
        <v/>
      </c>
      <c r="F20" s="436" t="str">
        <f>IFERROR(VLOOKUP(20,'Plate Planning'!$A$1:$T$35,18,FALSE),"")</f>
        <v/>
      </c>
      <c r="G20" s="467"/>
      <c r="H20" s="463" t="str">
        <f>IF(VLOOKUP(21,'Plate Planning'!$A$1:$T$35,13,FALSE)=0, "", VLOOKUP(21,'Plate Planning'!$A$1:$T$35,13,FALSE))</f>
        <v/>
      </c>
      <c r="I20" s="436" t="str">
        <f>IF(VLOOKUP(21,'Plate Planning'!$A$1:$T$35,14,FALSE)=0, "", VLOOKUP(21,'Plate Planning'!$A$1:$T$35,14,FALSE))</f>
        <v/>
      </c>
      <c r="J20" s="474" t="str">
        <f>IFERROR(VLOOKUP(21,'Plate Planning'!$A$1:$T$35,18,FALSE),"")</f>
        <v/>
      </c>
      <c r="K20" s="436"/>
      <c r="L20" s="436" t="str">
        <f>IF(VLOOKUP(22,'Plate Planning'!$A$1:$T$35,13,FALSE)=0, "", VLOOKUP(22,'Plate Planning'!$A$1:$T$35,13,FALSE))</f>
        <v/>
      </c>
      <c r="M20" s="436" t="str">
        <f>IF(VLOOKUP(22,'Plate Planning'!$A$1:$T$35,14,FALSE)=0, "", VLOOKUP(22,'Plate Planning'!$A$1:$T$35,14,FALSE))</f>
        <v/>
      </c>
      <c r="N20" s="436" t="str">
        <f>IFERROR(VLOOKUP(22,'Plate Planning'!$A$1:$T$35,18,FALSE),"")</f>
        <v/>
      </c>
      <c r="O20" s="436"/>
      <c r="P20" s="463" t="str">
        <f>IF(VLOOKUP(23,'Plate Planning'!$A$1:$T$35,13,FALSE)=0, "", VLOOKUP(23,'Plate Planning'!$A$1:$T$35,13,FALSE))</f>
        <v/>
      </c>
      <c r="Q20" s="436" t="str">
        <f>IF(VLOOKUP(23,'Plate Planning'!$A$1:$T$35,14,FALSE)=0, "", VLOOKUP(23,'Plate Planning'!$A$1:$T$35,14,FALSE))</f>
        <v/>
      </c>
      <c r="R20" s="463" t="str">
        <f>IFERROR(VLOOKUP(23,'Plate Planning'!$A$1:$T$35,18,FALSE),"")</f>
        <v/>
      </c>
      <c r="S20" s="436"/>
      <c r="T20" s="436" t="str">
        <f>IF(VLOOKUP(24,'Plate Planning'!$A$1:$T$35,13,FALSE)=0, "", VLOOKUP(24,'Plate Planning'!$A$1:$T$35,13,FALSE))</f>
        <v/>
      </c>
      <c r="U20" s="436" t="str">
        <f>IF(VLOOKUP(24,'Plate Planning'!$A$1:$T$35,14,FALSE)=0, "", VLOOKUP(24,'Plate Planning'!$A$1:$T$35,14,FALSE))</f>
        <v/>
      </c>
      <c r="V20" s="436" t="str">
        <f>IFERROR(VLOOKUP(24,'Plate Planning'!$A$1:$T$35,18,FALSE),"")</f>
        <v/>
      </c>
      <c r="W20" s="265"/>
      <c r="X20" s="267" t="str">
        <f>IF(VLOOKUP(25,'Plate Planning'!$A$1:$T$35,13,FALSE)=0, "", VLOOKUP(25,'Plate Planning'!$A$1:$T$35,13,FALSE))</f>
        <v/>
      </c>
      <c r="Y20" s="267" t="str">
        <f>IF(VLOOKUP(25,'Plate Planning'!$A$1:$T$35,14,FALSE)=0, "", VLOOKUP(25,'Plate Planning'!$A$1:$T$35,14,FALSE))</f>
        <v/>
      </c>
      <c r="Z20" s="267" t="str">
        <f>IFERROR(VLOOKUP(25,'Plate Planning'!$A$1:$T$35,18,FALSE),"")</f>
        <v/>
      </c>
      <c r="AA20" s="269"/>
      <c r="AB20" s="267" t="str">
        <f>IF(VLOOKUP(26,'Plate Planning'!$A$1:$T$35,13,FALSE)=0, "", VLOOKUP(26,'Plate Planning'!$A$1:$T$35,13,FALSE))</f>
        <v/>
      </c>
      <c r="AC20" s="267" t="str">
        <f>IF(VLOOKUP(26,'Plate Planning'!$A$1:$T$35,14,FALSE)=0, "", VLOOKUP(26,'Plate Planning'!$A$1:$T$35,14,FALSE))</f>
        <v/>
      </c>
      <c r="AD20" s="267" t="str">
        <f>IFERROR(VLOOKUP(26,'Plate Planning'!$A$1:$T$35,18,FALSE),"")</f>
        <v/>
      </c>
      <c r="AE20" s="269"/>
      <c r="AF20" s="267" t="str">
        <f>IF(VLOOKUP(27,'Plate Planning'!$A$1:$T$35,13,FALSE)=0, "", VLOOKUP(27,'Plate Planning'!$A$1:$T$35,13,FALSE))</f>
        <v/>
      </c>
      <c r="AG20" s="267" t="str">
        <f>IF(VLOOKUP(27,'Plate Planning'!$A$1:$T$35,14,FALSE)=0, "", VLOOKUP(27,'Plate Planning'!$A$1:$T$35,14,FALSE))</f>
        <v/>
      </c>
      <c r="AH20" s="267" t="str">
        <f>IFERROR(VLOOKUP(27,'Plate Planning'!$A$1:$T$35,18,FALSE),"")</f>
        <v/>
      </c>
      <c r="AI20" s="269"/>
      <c r="AJ20" s="267" t="str">
        <f>IF(VLOOKUP(28,'Plate Planning'!$A$1:$T$35,13,FALSE)=0, "", VLOOKUP(28,'Plate Planning'!$A$1:$T$35,13,FALSE))</f>
        <v/>
      </c>
      <c r="AK20" s="267" t="str">
        <f>IF(VLOOKUP(28,'Plate Planning'!$A$1:$T$35,14,FALSE)=0, "", VLOOKUP(28,'Plate Planning'!$A$1:$T$35,14,FALSE))</f>
        <v/>
      </c>
      <c r="AL20" s="267" t="str">
        <f>IFERROR(VLOOKUP(28,'Plate Planning'!$A$1:$T$35,18,FALSE),"")</f>
        <v/>
      </c>
      <c r="AM20" s="269"/>
      <c r="AN20" s="267" t="str">
        <f>IF(VLOOKUP(29,'Plate Planning'!$A$1:$T$35,13,FALSE)=0, "", VLOOKUP(29,'Plate Planning'!$A$1:$T$35,13,FALSE))</f>
        <v/>
      </c>
      <c r="AO20" s="267" t="str">
        <f>IF(VLOOKUP(29,'Plate Planning'!$A$1:$T$35,14,FALSE)=0, "", VLOOKUP(29,'Plate Planning'!$A$1:$T$35,14,FALSE))</f>
        <v/>
      </c>
      <c r="AP20" s="267" t="str">
        <f>IFERROR(VLOOKUP(29,'Plate Planning'!$A$1:$T$35,18,FALSE),"")</f>
        <v/>
      </c>
      <c r="AQ20" s="269"/>
      <c r="AR20" s="358"/>
      <c r="AS20" s="476"/>
      <c r="AT20" s="471"/>
      <c r="AU20" s="479">
        <f t="shared" si="0"/>
        <v>0</v>
      </c>
      <c r="AX20" s="208"/>
      <c r="BI20" s="208"/>
    </row>
    <row r="21" spans="1:61">
      <c r="A21" s="211" t="s">
        <v>1190</v>
      </c>
      <c r="B21" s="436"/>
      <c r="C21" s="462"/>
      <c r="D21" s="463" t="str">
        <f>IF(VLOOKUP(20,'Plate Planning'!$A$1:$T$35,13,FALSE)=0, "", VLOOKUP(20,'Plate Planning'!$A$1:$T$35,13,FALSE))</f>
        <v/>
      </c>
      <c r="E21" s="436" t="str">
        <f>IF(VLOOKUP(20,'Plate Planning'!$A$1:$T$35,14,FALSE)=0, "", VLOOKUP(20,'Plate Planning'!$A$1:$T$35,14,FALSE))</f>
        <v/>
      </c>
      <c r="F21" s="436" t="str">
        <f>IFERROR(VLOOKUP(20,'Plate Planning'!$A$1:$T$35,18,FALSE),"")</f>
        <v/>
      </c>
      <c r="G21" s="467"/>
      <c r="H21" s="463" t="str">
        <f>IF(VLOOKUP(21,'Plate Planning'!$A$1:$T$35,13,FALSE)=0, "", VLOOKUP(21,'Plate Planning'!$A$1:$T$35,13,FALSE))</f>
        <v/>
      </c>
      <c r="I21" s="436" t="str">
        <f>IF(VLOOKUP(21,'Plate Planning'!$A$1:$T$35,14,FALSE)=0, "", VLOOKUP(21,'Plate Planning'!$A$1:$T$35,14,FALSE))</f>
        <v/>
      </c>
      <c r="J21" s="474" t="str">
        <f>IFERROR(VLOOKUP(21,'Plate Planning'!$A$1:$T$35,18,FALSE),"")</f>
        <v/>
      </c>
      <c r="K21" s="436"/>
      <c r="L21" s="436" t="str">
        <f>IF(VLOOKUP(22,'Plate Planning'!$A$1:$T$35,13,FALSE)=0, "", VLOOKUP(22,'Plate Planning'!$A$1:$T$35,13,FALSE))</f>
        <v/>
      </c>
      <c r="M21" s="436" t="str">
        <f>IF(VLOOKUP(22,'Plate Planning'!$A$1:$T$35,14,FALSE)=0, "", VLOOKUP(22,'Plate Planning'!$A$1:$T$35,14,FALSE))</f>
        <v/>
      </c>
      <c r="N21" s="436" t="str">
        <f>IFERROR(VLOOKUP(22,'Plate Planning'!$A$1:$T$35,18,FALSE),"")</f>
        <v/>
      </c>
      <c r="O21" s="436"/>
      <c r="P21" s="463" t="str">
        <f>IF(VLOOKUP(23,'Plate Planning'!$A$1:$T$35,13,FALSE)=0, "", VLOOKUP(23,'Plate Planning'!$A$1:$T$35,13,FALSE))</f>
        <v/>
      </c>
      <c r="Q21" s="436" t="str">
        <f>IF(VLOOKUP(23,'Plate Planning'!$A$1:$T$35,14,FALSE)=0, "", VLOOKUP(23,'Plate Planning'!$A$1:$T$35,14,FALSE))</f>
        <v/>
      </c>
      <c r="R21" s="463" t="str">
        <f>IFERROR(VLOOKUP(23,'Plate Planning'!$A$1:$T$35,18,FALSE),"")</f>
        <v/>
      </c>
      <c r="S21" s="436"/>
      <c r="T21" s="436" t="str">
        <f>IF(VLOOKUP(24,'Plate Planning'!$A$1:$T$35,13,FALSE)=0, "", VLOOKUP(24,'Plate Planning'!$A$1:$T$35,13,FALSE))</f>
        <v/>
      </c>
      <c r="U21" s="436" t="str">
        <f>IF(VLOOKUP(24,'Plate Planning'!$A$1:$T$35,14,FALSE)=0, "", VLOOKUP(24,'Plate Planning'!$A$1:$T$35,14,FALSE))</f>
        <v/>
      </c>
      <c r="V21" s="436" t="str">
        <f>IFERROR(VLOOKUP(24,'Plate Planning'!$A$1:$T$35,18,FALSE),"")</f>
        <v/>
      </c>
      <c r="W21" s="265"/>
      <c r="X21" s="267" t="str">
        <f>IF(VLOOKUP(25,'Plate Planning'!$A$1:$T$35,13,FALSE)=0, "", VLOOKUP(25,'Plate Planning'!$A$1:$T$35,13,FALSE))</f>
        <v/>
      </c>
      <c r="Y21" s="267" t="str">
        <f>IF(VLOOKUP(25,'Plate Planning'!$A$1:$T$35,14,FALSE)=0, "", VLOOKUP(25,'Plate Planning'!$A$1:$T$35,14,FALSE))</f>
        <v/>
      </c>
      <c r="Z21" s="267" t="str">
        <f>IFERROR(VLOOKUP(25,'Plate Planning'!$A$1:$T$35,18,FALSE),"")</f>
        <v/>
      </c>
      <c r="AA21" s="269"/>
      <c r="AB21" s="267" t="str">
        <f>IF(VLOOKUP(26,'Plate Planning'!$A$1:$T$35,13,FALSE)=0, "", VLOOKUP(26,'Plate Planning'!$A$1:$T$35,13,FALSE))</f>
        <v/>
      </c>
      <c r="AC21" s="267" t="str">
        <f>IF(VLOOKUP(26,'Plate Planning'!$A$1:$T$35,14,FALSE)=0, "", VLOOKUP(26,'Plate Planning'!$A$1:$T$35,14,FALSE))</f>
        <v/>
      </c>
      <c r="AD21" s="267" t="str">
        <f>IFERROR(VLOOKUP(26,'Plate Planning'!$A$1:$T$35,18,FALSE),"")</f>
        <v/>
      </c>
      <c r="AE21" s="269"/>
      <c r="AF21" s="267" t="str">
        <f>IF(VLOOKUP(27,'Plate Planning'!$A$1:$T$35,13,FALSE)=0, "", VLOOKUP(27,'Plate Planning'!$A$1:$T$35,13,FALSE))</f>
        <v/>
      </c>
      <c r="AG21" s="267" t="str">
        <f>IF(VLOOKUP(27,'Plate Planning'!$A$1:$T$35,14,FALSE)=0, "", VLOOKUP(27,'Plate Planning'!$A$1:$T$35,14,FALSE))</f>
        <v/>
      </c>
      <c r="AH21" s="267" t="str">
        <f>IFERROR(VLOOKUP(27,'Plate Planning'!$A$1:$T$35,18,FALSE),"")</f>
        <v/>
      </c>
      <c r="AI21" s="269"/>
      <c r="AJ21" s="267" t="str">
        <f>IF(VLOOKUP(28,'Plate Planning'!$A$1:$T$35,13,FALSE)=0, "", VLOOKUP(28,'Plate Planning'!$A$1:$T$35,13,FALSE))</f>
        <v/>
      </c>
      <c r="AK21" s="267" t="str">
        <f>IF(VLOOKUP(28,'Plate Planning'!$A$1:$T$35,14,FALSE)=0, "", VLOOKUP(28,'Plate Planning'!$A$1:$T$35,14,FALSE))</f>
        <v/>
      </c>
      <c r="AL21" s="267" t="str">
        <f>IFERROR(VLOOKUP(28,'Plate Planning'!$A$1:$T$35,18,FALSE),"")</f>
        <v/>
      </c>
      <c r="AM21" s="269"/>
      <c r="AN21" s="267" t="str">
        <f>IF(VLOOKUP(29,'Plate Planning'!$A$1:$T$35,13,FALSE)=0, "", VLOOKUP(29,'Plate Planning'!$A$1:$T$35,13,FALSE))</f>
        <v/>
      </c>
      <c r="AO21" s="267" t="str">
        <f>IF(VLOOKUP(29,'Plate Planning'!$A$1:$T$35,14,FALSE)=0, "", VLOOKUP(29,'Plate Planning'!$A$1:$T$35,14,FALSE))</f>
        <v/>
      </c>
      <c r="AP21" s="267" t="str">
        <f>IFERROR(VLOOKUP(29,'Plate Planning'!$A$1:$T$35,18,FALSE),"")</f>
        <v/>
      </c>
      <c r="AQ21" s="269"/>
      <c r="AR21" s="358"/>
      <c r="AS21" s="476"/>
      <c r="AT21" s="471"/>
      <c r="AU21" s="479">
        <f t="shared" si="0"/>
        <v>0</v>
      </c>
      <c r="AX21" s="208"/>
      <c r="BI21" s="208"/>
    </row>
    <row r="22" spans="1:61">
      <c r="A22" s="211" t="s">
        <v>1197</v>
      </c>
      <c r="B22" s="436"/>
      <c r="C22" s="462"/>
      <c r="D22" s="463" t="str">
        <f>IF(VLOOKUP(20,'Plate Planning'!$A$1:$T$35,13,FALSE)=0, "", VLOOKUP(20,'Plate Planning'!$A$1:$T$35,13,FALSE))</f>
        <v/>
      </c>
      <c r="E22" s="436" t="str">
        <f>IF(VLOOKUP(20,'Plate Planning'!$A$1:$T$35,14,FALSE)=0, "", VLOOKUP(20,'Plate Planning'!$A$1:$T$35,14,FALSE))</f>
        <v/>
      </c>
      <c r="F22" s="436" t="str">
        <f>IFERROR(VLOOKUP(20,'Plate Planning'!$A$1:$T$35,18,FALSE),"")</f>
        <v/>
      </c>
      <c r="G22" s="467"/>
      <c r="H22" s="463" t="str">
        <f>IF(VLOOKUP(21,'Plate Planning'!$A$1:$T$35,13,FALSE)=0, "", VLOOKUP(21,'Plate Planning'!$A$1:$T$35,13,FALSE))</f>
        <v/>
      </c>
      <c r="I22" s="436" t="str">
        <f>IF(VLOOKUP(21,'Plate Planning'!$A$1:$T$35,14,FALSE)=0, "", VLOOKUP(21,'Plate Planning'!$A$1:$T$35,14,FALSE))</f>
        <v/>
      </c>
      <c r="J22" s="474" t="str">
        <f>IFERROR(VLOOKUP(21,'Plate Planning'!$A$1:$T$35,18,FALSE),"")</f>
        <v/>
      </c>
      <c r="K22" s="436"/>
      <c r="L22" s="436" t="str">
        <f>IF(VLOOKUP(22,'Plate Planning'!$A$1:$T$35,13,FALSE)=0, "", VLOOKUP(22,'Plate Planning'!$A$1:$T$35,13,FALSE))</f>
        <v/>
      </c>
      <c r="M22" s="436" t="str">
        <f>IF(VLOOKUP(22,'Plate Planning'!$A$1:$T$35,14,FALSE)=0, "", VLOOKUP(22,'Plate Planning'!$A$1:$T$35,14,FALSE))</f>
        <v/>
      </c>
      <c r="N22" s="436" t="str">
        <f>IFERROR(VLOOKUP(22,'Plate Planning'!$A$1:$T$35,18,FALSE),"")</f>
        <v/>
      </c>
      <c r="O22" s="436"/>
      <c r="P22" s="463" t="str">
        <f>IF(VLOOKUP(23,'Plate Planning'!$A$1:$T$35,13,FALSE)=0, "", VLOOKUP(23,'Plate Planning'!$A$1:$T$35,13,FALSE))</f>
        <v/>
      </c>
      <c r="Q22" s="436" t="str">
        <f>IF(VLOOKUP(23,'Plate Planning'!$A$1:$T$35,14,FALSE)=0, "", VLOOKUP(23,'Plate Planning'!$A$1:$T$35,14,FALSE))</f>
        <v/>
      </c>
      <c r="R22" s="463" t="str">
        <f>IFERROR(VLOOKUP(23,'Plate Planning'!$A$1:$T$35,18,FALSE),"")</f>
        <v/>
      </c>
      <c r="S22" s="436"/>
      <c r="T22" s="436" t="str">
        <f>IF(VLOOKUP(24,'Plate Planning'!$A$1:$T$35,13,FALSE)=0, "", VLOOKUP(24,'Plate Planning'!$A$1:$T$35,13,FALSE))</f>
        <v/>
      </c>
      <c r="U22" s="436" t="str">
        <f>IF(VLOOKUP(24,'Plate Planning'!$A$1:$T$35,14,FALSE)=0, "", VLOOKUP(24,'Plate Planning'!$A$1:$T$35,14,FALSE))</f>
        <v/>
      </c>
      <c r="V22" s="436" t="str">
        <f>IFERROR(VLOOKUP(24,'Plate Planning'!$A$1:$T$35,18,FALSE),"")</f>
        <v/>
      </c>
      <c r="W22" s="265"/>
      <c r="X22" s="267" t="str">
        <f>IF(VLOOKUP(25,'Plate Planning'!$A$1:$T$35,13,FALSE)=0, "", VLOOKUP(25,'Plate Planning'!$A$1:$T$35,13,FALSE))</f>
        <v/>
      </c>
      <c r="Y22" s="267" t="str">
        <f>IF(VLOOKUP(25,'Plate Planning'!$A$1:$T$35,14,FALSE)=0, "", VLOOKUP(25,'Plate Planning'!$A$1:$T$35,14,FALSE))</f>
        <v/>
      </c>
      <c r="Z22" s="267" t="str">
        <f>IFERROR(VLOOKUP(25,'Plate Planning'!$A$1:$T$35,18,FALSE),"")</f>
        <v/>
      </c>
      <c r="AA22" s="269"/>
      <c r="AB22" s="267" t="str">
        <f>IF(VLOOKUP(26,'Plate Planning'!$A$1:$T$35,13,FALSE)=0, "", VLOOKUP(26,'Plate Planning'!$A$1:$T$35,13,FALSE))</f>
        <v/>
      </c>
      <c r="AC22" s="267" t="str">
        <f>IF(VLOOKUP(26,'Plate Planning'!$A$1:$T$35,14,FALSE)=0, "", VLOOKUP(26,'Plate Planning'!$A$1:$T$35,14,FALSE))</f>
        <v/>
      </c>
      <c r="AD22" s="267" t="str">
        <f>IFERROR(VLOOKUP(26,'Plate Planning'!$A$1:$T$35,18,FALSE),"")</f>
        <v/>
      </c>
      <c r="AE22" s="269"/>
      <c r="AF22" s="267" t="str">
        <f>IF(VLOOKUP(27,'Plate Planning'!$A$1:$T$35,13,FALSE)=0, "", VLOOKUP(27,'Plate Planning'!$A$1:$T$35,13,FALSE))</f>
        <v/>
      </c>
      <c r="AG22" s="267" t="str">
        <f>IF(VLOOKUP(27,'Plate Planning'!$A$1:$T$35,14,FALSE)=0, "", VLOOKUP(27,'Plate Planning'!$A$1:$T$35,14,FALSE))</f>
        <v/>
      </c>
      <c r="AH22" s="267" t="str">
        <f>IFERROR(VLOOKUP(27,'Plate Planning'!$A$1:$T$35,18,FALSE),"")</f>
        <v/>
      </c>
      <c r="AI22" s="269"/>
      <c r="AJ22" s="267" t="str">
        <f>IF(VLOOKUP(28,'Plate Planning'!$A$1:$T$35,13,FALSE)=0, "", VLOOKUP(28,'Plate Planning'!$A$1:$T$35,13,FALSE))</f>
        <v/>
      </c>
      <c r="AK22" s="267" t="str">
        <f>IF(VLOOKUP(28,'Plate Planning'!$A$1:$T$35,14,FALSE)=0, "", VLOOKUP(28,'Plate Planning'!$A$1:$T$35,14,FALSE))</f>
        <v/>
      </c>
      <c r="AL22" s="267" t="str">
        <f>IFERROR(VLOOKUP(28,'Plate Planning'!$A$1:$T$35,18,FALSE),"")</f>
        <v/>
      </c>
      <c r="AM22" s="269"/>
      <c r="AN22" s="267" t="str">
        <f>IF(VLOOKUP(29,'Plate Planning'!$A$1:$T$35,13,FALSE)=0, "", VLOOKUP(29,'Plate Planning'!$A$1:$T$35,13,FALSE))</f>
        <v/>
      </c>
      <c r="AO22" s="267" t="str">
        <f>IF(VLOOKUP(29,'Plate Planning'!$A$1:$T$35,14,FALSE)=0, "", VLOOKUP(29,'Plate Planning'!$A$1:$T$35,14,FALSE))</f>
        <v/>
      </c>
      <c r="AP22" s="267" t="str">
        <f>IFERROR(VLOOKUP(29,'Plate Planning'!$A$1:$T$35,18,FALSE),"")</f>
        <v/>
      </c>
      <c r="AQ22" s="269"/>
      <c r="AR22" s="358"/>
      <c r="AS22" s="476"/>
      <c r="AT22" s="471"/>
      <c r="AU22" s="479">
        <f t="shared" ref="AU22:AU27" si="1">B22-C22-AR22-AS22-AT22</f>
        <v>0</v>
      </c>
      <c r="AX22" s="208"/>
      <c r="BI22" s="208"/>
    </row>
    <row r="23" spans="1:61">
      <c r="A23" s="211" t="s">
        <v>1198</v>
      </c>
      <c r="B23" s="436"/>
      <c r="C23" s="462"/>
      <c r="D23" s="463" t="str">
        <f>IF(VLOOKUP(20,'Plate Planning'!$A$1:$T$35,13,FALSE)=0, "", VLOOKUP(20,'Plate Planning'!$A$1:$T$35,13,FALSE))</f>
        <v/>
      </c>
      <c r="E23" s="436" t="str">
        <f>IF(VLOOKUP(20,'Plate Planning'!$A$1:$T$35,14,FALSE)=0, "", VLOOKUP(20,'Plate Planning'!$A$1:$T$35,14,FALSE))</f>
        <v/>
      </c>
      <c r="F23" s="436" t="str">
        <f>IFERROR(VLOOKUP(20,'Plate Planning'!$A$1:$T$35,18,FALSE),"")</f>
        <v/>
      </c>
      <c r="G23" s="467"/>
      <c r="H23" s="463" t="str">
        <f>IF(VLOOKUP(21,'Plate Planning'!$A$1:$T$35,13,FALSE)=0, "", VLOOKUP(21,'Plate Planning'!$A$1:$T$35,13,FALSE))</f>
        <v/>
      </c>
      <c r="I23" s="436" t="str">
        <f>IF(VLOOKUP(21,'Plate Planning'!$A$1:$T$35,14,FALSE)=0, "", VLOOKUP(21,'Plate Planning'!$A$1:$T$35,14,FALSE))</f>
        <v/>
      </c>
      <c r="J23" s="474" t="str">
        <f>IFERROR(VLOOKUP(21,'Plate Planning'!$A$1:$T$35,18,FALSE),"")</f>
        <v/>
      </c>
      <c r="K23" s="436"/>
      <c r="L23" s="436" t="str">
        <f>IF(VLOOKUP(22,'Plate Planning'!$A$1:$T$35,13,FALSE)=0, "", VLOOKUP(22,'Plate Planning'!$A$1:$T$35,13,FALSE))</f>
        <v/>
      </c>
      <c r="M23" s="436" t="str">
        <f>IF(VLOOKUP(22,'Plate Planning'!$A$1:$T$35,14,FALSE)=0, "", VLOOKUP(22,'Plate Planning'!$A$1:$T$35,14,FALSE))</f>
        <v/>
      </c>
      <c r="N23" s="436" t="str">
        <f>IFERROR(VLOOKUP(22,'Plate Planning'!$A$1:$T$35,18,FALSE),"")</f>
        <v/>
      </c>
      <c r="O23" s="436"/>
      <c r="P23" s="463" t="str">
        <f>IF(VLOOKUP(23,'Plate Planning'!$A$1:$T$35,13,FALSE)=0, "", VLOOKUP(23,'Plate Planning'!$A$1:$T$35,13,FALSE))</f>
        <v/>
      </c>
      <c r="Q23" s="436" t="str">
        <f>IF(VLOOKUP(23,'Plate Planning'!$A$1:$T$35,14,FALSE)=0, "", VLOOKUP(23,'Plate Planning'!$A$1:$T$35,14,FALSE))</f>
        <v/>
      </c>
      <c r="R23" s="463" t="str">
        <f>IFERROR(VLOOKUP(23,'Plate Planning'!$A$1:$T$35,18,FALSE),"")</f>
        <v/>
      </c>
      <c r="S23" s="436"/>
      <c r="T23" s="436" t="str">
        <f>IF(VLOOKUP(24,'Plate Planning'!$A$1:$T$35,13,FALSE)=0, "", VLOOKUP(24,'Plate Planning'!$A$1:$T$35,13,FALSE))</f>
        <v/>
      </c>
      <c r="U23" s="436" t="str">
        <f>IF(VLOOKUP(24,'Plate Planning'!$A$1:$T$35,14,FALSE)=0, "", VLOOKUP(24,'Plate Planning'!$A$1:$T$35,14,FALSE))</f>
        <v/>
      </c>
      <c r="V23" s="436" t="str">
        <f>IFERROR(VLOOKUP(24,'Plate Planning'!$A$1:$T$35,18,FALSE),"")</f>
        <v/>
      </c>
      <c r="W23" s="265"/>
      <c r="X23" s="267" t="str">
        <f>IF(VLOOKUP(25,'Plate Planning'!$A$1:$T$35,13,FALSE)=0, "", VLOOKUP(25,'Plate Planning'!$A$1:$T$35,13,FALSE))</f>
        <v/>
      </c>
      <c r="Y23" s="267" t="str">
        <f>IF(VLOOKUP(25,'Plate Planning'!$A$1:$T$35,14,FALSE)=0, "", VLOOKUP(25,'Plate Planning'!$A$1:$T$35,14,FALSE))</f>
        <v/>
      </c>
      <c r="Z23" s="267" t="str">
        <f>IFERROR(VLOOKUP(25,'Plate Planning'!$A$1:$T$35,18,FALSE),"")</f>
        <v/>
      </c>
      <c r="AA23" s="269"/>
      <c r="AB23" s="267" t="str">
        <f>IF(VLOOKUP(26,'Plate Planning'!$A$1:$T$35,13,FALSE)=0, "", VLOOKUP(26,'Plate Planning'!$A$1:$T$35,13,FALSE))</f>
        <v/>
      </c>
      <c r="AC23" s="267" t="str">
        <f>IF(VLOOKUP(26,'Plate Planning'!$A$1:$T$35,14,FALSE)=0, "", VLOOKUP(26,'Plate Planning'!$A$1:$T$35,14,FALSE))</f>
        <v/>
      </c>
      <c r="AD23" s="267" t="str">
        <f>IFERROR(VLOOKUP(26,'Plate Planning'!$A$1:$T$35,18,FALSE),"")</f>
        <v/>
      </c>
      <c r="AE23" s="269"/>
      <c r="AF23" s="267" t="str">
        <f>IF(VLOOKUP(27,'Plate Planning'!$A$1:$T$35,13,FALSE)=0, "", VLOOKUP(27,'Plate Planning'!$A$1:$T$35,13,FALSE))</f>
        <v/>
      </c>
      <c r="AG23" s="267" t="str">
        <f>IF(VLOOKUP(27,'Plate Planning'!$A$1:$T$35,14,FALSE)=0, "", VLOOKUP(27,'Plate Planning'!$A$1:$T$35,14,FALSE))</f>
        <v/>
      </c>
      <c r="AH23" s="267" t="str">
        <f>IFERROR(VLOOKUP(27,'Plate Planning'!$A$1:$T$35,18,FALSE),"")</f>
        <v/>
      </c>
      <c r="AI23" s="269"/>
      <c r="AJ23" s="267" t="str">
        <f>IF(VLOOKUP(28,'Plate Planning'!$A$1:$T$35,13,FALSE)=0, "", VLOOKUP(28,'Plate Planning'!$A$1:$T$35,13,FALSE))</f>
        <v/>
      </c>
      <c r="AK23" s="267" t="str">
        <f>IF(VLOOKUP(28,'Plate Planning'!$A$1:$T$35,14,FALSE)=0, "", VLOOKUP(28,'Plate Planning'!$A$1:$T$35,14,FALSE))</f>
        <v/>
      </c>
      <c r="AL23" s="267" t="str">
        <f>IFERROR(VLOOKUP(28,'Plate Planning'!$A$1:$T$35,18,FALSE),"")</f>
        <v/>
      </c>
      <c r="AM23" s="269"/>
      <c r="AN23" s="267" t="str">
        <f>IF(VLOOKUP(29,'Plate Planning'!$A$1:$T$35,13,FALSE)=0, "", VLOOKUP(29,'Plate Planning'!$A$1:$T$35,13,FALSE))</f>
        <v/>
      </c>
      <c r="AO23" s="267" t="str">
        <f>IF(VLOOKUP(29,'Plate Planning'!$A$1:$T$35,14,FALSE)=0, "", VLOOKUP(29,'Plate Planning'!$A$1:$T$35,14,FALSE))</f>
        <v/>
      </c>
      <c r="AP23" s="267" t="str">
        <f>IFERROR(VLOOKUP(29,'Plate Planning'!$A$1:$T$35,18,FALSE),"")</f>
        <v/>
      </c>
      <c r="AQ23" s="269"/>
      <c r="AR23" s="358"/>
      <c r="AS23" s="476"/>
      <c r="AT23" s="471"/>
      <c r="AU23" s="479">
        <f t="shared" si="1"/>
        <v>0</v>
      </c>
      <c r="AX23" s="208"/>
      <c r="BI23" s="208"/>
    </row>
    <row r="24" spans="1:61">
      <c r="A24" s="211" t="s">
        <v>1199</v>
      </c>
      <c r="B24" s="436"/>
      <c r="C24" s="462"/>
      <c r="D24" s="463" t="str">
        <f>IF(VLOOKUP(20,'Plate Planning'!$A$1:$T$35,13,FALSE)=0, "", VLOOKUP(20,'Plate Planning'!$A$1:$T$35,13,FALSE))</f>
        <v/>
      </c>
      <c r="E24" s="436" t="str">
        <f>IF(VLOOKUP(20,'Plate Planning'!$A$1:$T$35,14,FALSE)=0, "", VLOOKUP(20,'Plate Planning'!$A$1:$T$35,14,FALSE))</f>
        <v/>
      </c>
      <c r="F24" s="436" t="str">
        <f>IFERROR(VLOOKUP(20,'Plate Planning'!$A$1:$T$35,18,FALSE),"")</f>
        <v/>
      </c>
      <c r="G24" s="467"/>
      <c r="H24" s="463" t="str">
        <f>IF(VLOOKUP(21,'Plate Planning'!$A$1:$T$35,13,FALSE)=0, "", VLOOKUP(21,'Plate Planning'!$A$1:$T$35,13,FALSE))</f>
        <v/>
      </c>
      <c r="I24" s="436" t="str">
        <f>IF(VLOOKUP(21,'Plate Planning'!$A$1:$T$35,14,FALSE)=0, "", VLOOKUP(21,'Plate Planning'!$A$1:$T$35,14,FALSE))</f>
        <v/>
      </c>
      <c r="J24" s="474" t="str">
        <f>IFERROR(VLOOKUP(21,'Plate Planning'!$A$1:$T$35,18,FALSE),"")</f>
        <v/>
      </c>
      <c r="K24" s="436"/>
      <c r="L24" s="436" t="str">
        <f>IF(VLOOKUP(22,'Plate Planning'!$A$1:$T$35,13,FALSE)=0, "", VLOOKUP(22,'Plate Planning'!$A$1:$T$35,13,FALSE))</f>
        <v/>
      </c>
      <c r="M24" s="436" t="str">
        <f>IF(VLOOKUP(22,'Plate Planning'!$A$1:$T$35,14,FALSE)=0, "", VLOOKUP(22,'Plate Planning'!$A$1:$T$35,14,FALSE))</f>
        <v/>
      </c>
      <c r="N24" s="436" t="str">
        <f>IFERROR(VLOOKUP(22,'Plate Planning'!$A$1:$T$35,18,FALSE),"")</f>
        <v/>
      </c>
      <c r="O24" s="436"/>
      <c r="P24" s="463" t="str">
        <f>IF(VLOOKUP(23,'Plate Planning'!$A$1:$T$35,13,FALSE)=0, "", VLOOKUP(23,'Plate Planning'!$A$1:$T$35,13,FALSE))</f>
        <v/>
      </c>
      <c r="Q24" s="436" t="str">
        <f>IF(VLOOKUP(23,'Plate Planning'!$A$1:$T$35,14,FALSE)=0, "", VLOOKUP(23,'Plate Planning'!$A$1:$T$35,14,FALSE))</f>
        <v/>
      </c>
      <c r="R24" s="463" t="str">
        <f>IFERROR(VLOOKUP(23,'Plate Planning'!$A$1:$T$35,18,FALSE),"")</f>
        <v/>
      </c>
      <c r="S24" s="436"/>
      <c r="T24" s="436" t="str">
        <f>IF(VLOOKUP(24,'Plate Planning'!$A$1:$T$35,13,FALSE)=0, "", VLOOKUP(24,'Plate Planning'!$A$1:$T$35,13,FALSE))</f>
        <v/>
      </c>
      <c r="U24" s="436" t="str">
        <f>IF(VLOOKUP(24,'Plate Planning'!$A$1:$T$35,14,FALSE)=0, "", VLOOKUP(24,'Plate Planning'!$A$1:$T$35,14,FALSE))</f>
        <v/>
      </c>
      <c r="V24" s="436" t="str">
        <f>IFERROR(VLOOKUP(24,'Plate Planning'!$A$1:$T$35,18,FALSE),"")</f>
        <v/>
      </c>
      <c r="W24" s="265"/>
      <c r="X24" s="267" t="str">
        <f>IF(VLOOKUP(25,'Plate Planning'!$A$1:$T$35,13,FALSE)=0, "", VLOOKUP(25,'Plate Planning'!$A$1:$T$35,13,FALSE))</f>
        <v/>
      </c>
      <c r="Y24" s="267" t="str">
        <f>IF(VLOOKUP(25,'Plate Planning'!$A$1:$T$35,14,FALSE)=0, "", VLOOKUP(25,'Plate Planning'!$A$1:$T$35,14,FALSE))</f>
        <v/>
      </c>
      <c r="Z24" s="267" t="str">
        <f>IFERROR(VLOOKUP(25,'Plate Planning'!$A$1:$T$35,18,FALSE),"")</f>
        <v/>
      </c>
      <c r="AA24" s="269"/>
      <c r="AB24" s="267" t="str">
        <f>IF(VLOOKUP(26,'Plate Planning'!$A$1:$T$35,13,FALSE)=0, "", VLOOKUP(26,'Plate Planning'!$A$1:$T$35,13,FALSE))</f>
        <v/>
      </c>
      <c r="AC24" s="267" t="str">
        <f>IF(VLOOKUP(26,'Plate Planning'!$A$1:$T$35,14,FALSE)=0, "", VLOOKUP(26,'Plate Planning'!$A$1:$T$35,14,FALSE))</f>
        <v/>
      </c>
      <c r="AD24" s="267" t="str">
        <f>IFERROR(VLOOKUP(26,'Plate Planning'!$A$1:$T$35,18,FALSE),"")</f>
        <v/>
      </c>
      <c r="AE24" s="269"/>
      <c r="AF24" s="267" t="str">
        <f>IF(VLOOKUP(27,'Plate Planning'!$A$1:$T$35,13,FALSE)=0, "", VLOOKUP(27,'Plate Planning'!$A$1:$T$35,13,FALSE))</f>
        <v/>
      </c>
      <c r="AG24" s="267" t="str">
        <f>IF(VLOOKUP(27,'Plate Planning'!$A$1:$T$35,14,FALSE)=0, "", VLOOKUP(27,'Plate Planning'!$A$1:$T$35,14,FALSE))</f>
        <v/>
      </c>
      <c r="AH24" s="267" t="str">
        <f>IFERROR(VLOOKUP(27,'Plate Planning'!$A$1:$T$35,18,FALSE),"")</f>
        <v/>
      </c>
      <c r="AI24" s="269"/>
      <c r="AJ24" s="267" t="str">
        <f>IF(VLOOKUP(28,'Plate Planning'!$A$1:$T$35,13,FALSE)=0, "", VLOOKUP(28,'Plate Planning'!$A$1:$T$35,13,FALSE))</f>
        <v/>
      </c>
      <c r="AK24" s="267" t="str">
        <f>IF(VLOOKUP(28,'Plate Planning'!$A$1:$T$35,14,FALSE)=0, "", VLOOKUP(28,'Plate Planning'!$A$1:$T$35,14,FALSE))</f>
        <v/>
      </c>
      <c r="AL24" s="267" t="str">
        <f>IFERROR(VLOOKUP(28,'Plate Planning'!$A$1:$T$35,18,FALSE),"")</f>
        <v/>
      </c>
      <c r="AM24" s="269"/>
      <c r="AN24" s="267" t="str">
        <f>IF(VLOOKUP(29,'Plate Planning'!$A$1:$T$35,13,FALSE)=0, "", VLOOKUP(29,'Plate Planning'!$A$1:$T$35,13,FALSE))</f>
        <v/>
      </c>
      <c r="AO24" s="267" t="str">
        <f>IF(VLOOKUP(29,'Plate Planning'!$A$1:$T$35,14,FALSE)=0, "", VLOOKUP(29,'Plate Planning'!$A$1:$T$35,14,FALSE))</f>
        <v/>
      </c>
      <c r="AP24" s="267" t="str">
        <f>IFERROR(VLOOKUP(29,'Plate Planning'!$A$1:$T$35,18,FALSE),"")</f>
        <v/>
      </c>
      <c r="AQ24" s="269"/>
      <c r="AR24" s="358"/>
      <c r="AS24" s="476"/>
      <c r="AT24" s="471"/>
      <c r="AU24" s="479">
        <f t="shared" si="1"/>
        <v>0</v>
      </c>
      <c r="AX24" s="208"/>
      <c r="BI24" s="208"/>
    </row>
    <row r="25" spans="1:61">
      <c r="A25" s="211" t="s">
        <v>1200</v>
      </c>
      <c r="B25" s="436"/>
      <c r="C25" s="462"/>
      <c r="D25" s="463" t="str">
        <f>IF(VLOOKUP(20,'Plate Planning'!$A$1:$T$35,13,FALSE)=0, "", VLOOKUP(20,'Plate Planning'!$A$1:$T$35,13,FALSE))</f>
        <v/>
      </c>
      <c r="E25" s="436" t="str">
        <f>IF(VLOOKUP(20,'Plate Planning'!$A$1:$T$35,14,FALSE)=0, "", VLOOKUP(20,'Plate Planning'!$A$1:$T$35,14,FALSE))</f>
        <v/>
      </c>
      <c r="F25" s="436" t="str">
        <f>IFERROR(VLOOKUP(20,'Plate Planning'!$A$1:$T$35,18,FALSE),"")</f>
        <v/>
      </c>
      <c r="G25" s="467"/>
      <c r="H25" s="463" t="str">
        <f>IF(VLOOKUP(21,'Plate Planning'!$A$1:$T$35,13,FALSE)=0, "", VLOOKUP(21,'Plate Planning'!$A$1:$T$35,13,FALSE))</f>
        <v/>
      </c>
      <c r="I25" s="436" t="str">
        <f>IF(VLOOKUP(21,'Plate Planning'!$A$1:$T$35,14,FALSE)=0, "", VLOOKUP(21,'Plate Planning'!$A$1:$T$35,14,FALSE))</f>
        <v/>
      </c>
      <c r="J25" s="474" t="str">
        <f>IFERROR(VLOOKUP(21,'Plate Planning'!$A$1:$T$35,18,FALSE),"")</f>
        <v/>
      </c>
      <c r="K25" s="436"/>
      <c r="L25" s="436" t="str">
        <f>IF(VLOOKUP(22,'Plate Planning'!$A$1:$T$35,13,FALSE)=0, "", VLOOKUP(22,'Plate Planning'!$A$1:$T$35,13,FALSE))</f>
        <v/>
      </c>
      <c r="M25" s="436" t="str">
        <f>IF(VLOOKUP(22,'Plate Planning'!$A$1:$T$35,14,FALSE)=0, "", VLOOKUP(22,'Plate Planning'!$A$1:$T$35,14,FALSE))</f>
        <v/>
      </c>
      <c r="N25" s="436" t="str">
        <f>IFERROR(VLOOKUP(22,'Plate Planning'!$A$1:$T$35,18,FALSE),"")</f>
        <v/>
      </c>
      <c r="O25" s="436"/>
      <c r="P25" s="463" t="str">
        <f>IF(VLOOKUP(23,'Plate Planning'!$A$1:$T$35,13,FALSE)=0, "", VLOOKUP(23,'Plate Planning'!$A$1:$T$35,13,FALSE))</f>
        <v/>
      </c>
      <c r="Q25" s="436" t="str">
        <f>IF(VLOOKUP(23,'Plate Planning'!$A$1:$T$35,14,FALSE)=0, "", VLOOKUP(23,'Plate Planning'!$A$1:$T$35,14,FALSE))</f>
        <v/>
      </c>
      <c r="R25" s="463" t="str">
        <f>IFERROR(VLOOKUP(23,'Plate Planning'!$A$1:$T$35,18,FALSE),"")</f>
        <v/>
      </c>
      <c r="S25" s="436"/>
      <c r="T25" s="436" t="str">
        <f>IF(VLOOKUP(24,'Plate Planning'!$A$1:$T$35,13,FALSE)=0, "", VLOOKUP(24,'Plate Planning'!$A$1:$T$35,13,FALSE))</f>
        <v/>
      </c>
      <c r="U25" s="436" t="str">
        <f>IF(VLOOKUP(24,'Plate Planning'!$A$1:$T$35,14,FALSE)=0, "", VLOOKUP(24,'Plate Planning'!$A$1:$T$35,14,FALSE))</f>
        <v/>
      </c>
      <c r="V25" s="436" t="str">
        <f>IFERROR(VLOOKUP(24,'Plate Planning'!$A$1:$T$35,18,FALSE),"")</f>
        <v/>
      </c>
      <c r="W25" s="265"/>
      <c r="X25" s="267" t="str">
        <f>IF(VLOOKUP(25,'Plate Planning'!$A$1:$T$35,13,FALSE)=0, "", VLOOKUP(25,'Plate Planning'!$A$1:$T$35,13,FALSE))</f>
        <v/>
      </c>
      <c r="Y25" s="267" t="str">
        <f>IF(VLOOKUP(25,'Plate Planning'!$A$1:$T$35,14,FALSE)=0, "", VLOOKUP(25,'Plate Planning'!$A$1:$T$35,14,FALSE))</f>
        <v/>
      </c>
      <c r="Z25" s="267" t="str">
        <f>IFERROR(VLOOKUP(25,'Plate Planning'!$A$1:$T$35,18,FALSE),"")</f>
        <v/>
      </c>
      <c r="AA25" s="269"/>
      <c r="AB25" s="267" t="str">
        <f>IF(VLOOKUP(26,'Plate Planning'!$A$1:$T$35,13,FALSE)=0, "", VLOOKUP(26,'Plate Planning'!$A$1:$T$35,13,FALSE))</f>
        <v/>
      </c>
      <c r="AC25" s="267" t="str">
        <f>IF(VLOOKUP(26,'Plate Planning'!$A$1:$T$35,14,FALSE)=0, "", VLOOKUP(26,'Plate Planning'!$A$1:$T$35,14,FALSE))</f>
        <v/>
      </c>
      <c r="AD25" s="267" t="str">
        <f>IFERROR(VLOOKUP(26,'Plate Planning'!$A$1:$T$35,18,FALSE),"")</f>
        <v/>
      </c>
      <c r="AE25" s="269"/>
      <c r="AF25" s="267" t="str">
        <f>IF(VLOOKUP(27,'Plate Planning'!$A$1:$T$35,13,FALSE)=0, "", VLOOKUP(27,'Plate Planning'!$A$1:$T$35,13,FALSE))</f>
        <v/>
      </c>
      <c r="AG25" s="267" t="str">
        <f>IF(VLOOKUP(27,'Plate Planning'!$A$1:$T$35,14,FALSE)=0, "", VLOOKUP(27,'Plate Planning'!$A$1:$T$35,14,FALSE))</f>
        <v/>
      </c>
      <c r="AH25" s="267" t="str">
        <f>IFERROR(VLOOKUP(27,'Plate Planning'!$A$1:$T$35,18,FALSE),"")</f>
        <v/>
      </c>
      <c r="AI25" s="269"/>
      <c r="AJ25" s="267" t="str">
        <f>IF(VLOOKUP(28,'Plate Planning'!$A$1:$T$35,13,FALSE)=0, "", VLOOKUP(28,'Plate Planning'!$A$1:$T$35,13,FALSE))</f>
        <v/>
      </c>
      <c r="AK25" s="267" t="str">
        <f>IF(VLOOKUP(28,'Plate Planning'!$A$1:$T$35,14,FALSE)=0, "", VLOOKUP(28,'Plate Planning'!$A$1:$T$35,14,FALSE))</f>
        <v/>
      </c>
      <c r="AL25" s="267" t="str">
        <f>IFERROR(VLOOKUP(28,'Plate Planning'!$A$1:$T$35,18,FALSE),"")</f>
        <v/>
      </c>
      <c r="AM25" s="269"/>
      <c r="AN25" s="267" t="str">
        <f>IF(VLOOKUP(29,'Plate Planning'!$A$1:$T$35,13,FALSE)=0, "", VLOOKUP(29,'Plate Planning'!$A$1:$T$35,13,FALSE))</f>
        <v/>
      </c>
      <c r="AO25" s="267" t="str">
        <f>IF(VLOOKUP(29,'Plate Planning'!$A$1:$T$35,14,FALSE)=0, "", VLOOKUP(29,'Plate Planning'!$A$1:$T$35,14,FALSE))</f>
        <v/>
      </c>
      <c r="AP25" s="267" t="str">
        <f>IFERROR(VLOOKUP(29,'Plate Planning'!$A$1:$T$35,18,FALSE),"")</f>
        <v/>
      </c>
      <c r="AQ25" s="269"/>
      <c r="AR25" s="358"/>
      <c r="AS25" s="476"/>
      <c r="AT25" s="471"/>
      <c r="AU25" s="479">
        <f t="shared" si="1"/>
        <v>0</v>
      </c>
      <c r="AX25" s="208"/>
      <c r="BI25" s="208"/>
    </row>
    <row r="26" spans="1:61">
      <c r="A26" s="211" t="s">
        <v>1201</v>
      </c>
      <c r="B26" s="436"/>
      <c r="C26" s="462"/>
      <c r="D26" s="463" t="str">
        <f>IF(VLOOKUP(20,'Plate Planning'!$A$1:$T$35,13,FALSE)=0, "", VLOOKUP(20,'Plate Planning'!$A$1:$T$35,13,FALSE))</f>
        <v/>
      </c>
      <c r="E26" s="436" t="str">
        <f>IF(VLOOKUP(20,'Plate Planning'!$A$1:$T$35,14,FALSE)=0, "", VLOOKUP(20,'Plate Planning'!$A$1:$T$35,14,FALSE))</f>
        <v/>
      </c>
      <c r="F26" s="436" t="str">
        <f>IFERROR(VLOOKUP(20,'Plate Planning'!$A$1:$T$35,18,FALSE),"")</f>
        <v/>
      </c>
      <c r="G26" s="467"/>
      <c r="H26" s="463" t="str">
        <f>IF(VLOOKUP(21,'Plate Planning'!$A$1:$T$35,13,FALSE)=0, "", VLOOKUP(21,'Plate Planning'!$A$1:$T$35,13,FALSE))</f>
        <v/>
      </c>
      <c r="I26" s="436" t="str">
        <f>IF(VLOOKUP(21,'Plate Planning'!$A$1:$T$35,14,FALSE)=0, "", VLOOKUP(21,'Plate Planning'!$A$1:$T$35,14,FALSE))</f>
        <v/>
      </c>
      <c r="J26" s="474" t="str">
        <f>IFERROR(VLOOKUP(21,'Plate Planning'!$A$1:$T$35,18,FALSE),"")</f>
        <v/>
      </c>
      <c r="K26" s="436"/>
      <c r="L26" s="436" t="str">
        <f>IF(VLOOKUP(22,'Plate Planning'!$A$1:$T$35,13,FALSE)=0, "", VLOOKUP(22,'Plate Planning'!$A$1:$T$35,13,FALSE))</f>
        <v/>
      </c>
      <c r="M26" s="436" t="str">
        <f>IF(VLOOKUP(22,'Plate Planning'!$A$1:$T$35,14,FALSE)=0, "", VLOOKUP(22,'Plate Planning'!$A$1:$T$35,14,FALSE))</f>
        <v/>
      </c>
      <c r="N26" s="436" t="str">
        <f>IFERROR(VLOOKUP(22,'Plate Planning'!$A$1:$T$35,18,FALSE),"")</f>
        <v/>
      </c>
      <c r="O26" s="436"/>
      <c r="P26" s="463" t="str">
        <f>IF(VLOOKUP(23,'Plate Planning'!$A$1:$T$35,13,FALSE)=0, "", VLOOKUP(23,'Plate Planning'!$A$1:$T$35,13,FALSE))</f>
        <v/>
      </c>
      <c r="Q26" s="436" t="str">
        <f>IF(VLOOKUP(23,'Plate Planning'!$A$1:$T$35,14,FALSE)=0, "", VLOOKUP(23,'Plate Planning'!$A$1:$T$35,14,FALSE))</f>
        <v/>
      </c>
      <c r="R26" s="463" t="str">
        <f>IFERROR(VLOOKUP(23,'Plate Planning'!$A$1:$T$35,18,FALSE),"")</f>
        <v/>
      </c>
      <c r="S26" s="436"/>
      <c r="T26" s="436" t="str">
        <f>IF(VLOOKUP(24,'Plate Planning'!$A$1:$T$35,13,FALSE)=0, "", VLOOKUP(24,'Plate Planning'!$A$1:$T$35,13,FALSE))</f>
        <v/>
      </c>
      <c r="U26" s="436" t="str">
        <f>IF(VLOOKUP(24,'Plate Planning'!$A$1:$T$35,14,FALSE)=0, "", VLOOKUP(24,'Plate Planning'!$A$1:$T$35,14,FALSE))</f>
        <v/>
      </c>
      <c r="V26" s="436" t="str">
        <f>IFERROR(VLOOKUP(24,'Plate Planning'!$A$1:$T$35,18,FALSE),"")</f>
        <v/>
      </c>
      <c r="W26" s="265"/>
      <c r="X26" s="267" t="str">
        <f>IF(VLOOKUP(25,'Plate Planning'!$A$1:$T$35,13,FALSE)=0, "", VLOOKUP(25,'Plate Planning'!$A$1:$T$35,13,FALSE))</f>
        <v/>
      </c>
      <c r="Y26" s="267" t="str">
        <f>IF(VLOOKUP(25,'Plate Planning'!$A$1:$T$35,14,FALSE)=0, "", VLOOKUP(25,'Plate Planning'!$A$1:$T$35,14,FALSE))</f>
        <v/>
      </c>
      <c r="Z26" s="267" t="str">
        <f>IFERROR(VLOOKUP(25,'Plate Planning'!$A$1:$T$35,18,FALSE),"")</f>
        <v/>
      </c>
      <c r="AA26" s="269"/>
      <c r="AB26" s="267" t="str">
        <f>IF(VLOOKUP(26,'Plate Planning'!$A$1:$T$35,13,FALSE)=0, "", VLOOKUP(26,'Plate Planning'!$A$1:$T$35,13,FALSE))</f>
        <v/>
      </c>
      <c r="AC26" s="267" t="str">
        <f>IF(VLOOKUP(26,'Plate Planning'!$A$1:$T$35,14,FALSE)=0, "", VLOOKUP(26,'Plate Planning'!$A$1:$T$35,14,FALSE))</f>
        <v/>
      </c>
      <c r="AD26" s="267" t="str">
        <f>IFERROR(VLOOKUP(26,'Plate Planning'!$A$1:$T$35,18,FALSE),"")</f>
        <v/>
      </c>
      <c r="AE26" s="269"/>
      <c r="AF26" s="267" t="str">
        <f>IF(VLOOKUP(27,'Plate Planning'!$A$1:$T$35,13,FALSE)=0, "", VLOOKUP(27,'Plate Planning'!$A$1:$T$35,13,FALSE))</f>
        <v/>
      </c>
      <c r="AG26" s="267" t="str">
        <f>IF(VLOOKUP(27,'Plate Planning'!$A$1:$T$35,14,FALSE)=0, "", VLOOKUP(27,'Plate Planning'!$A$1:$T$35,14,FALSE))</f>
        <v/>
      </c>
      <c r="AH26" s="267" t="str">
        <f>IFERROR(VLOOKUP(27,'Plate Planning'!$A$1:$T$35,18,FALSE),"")</f>
        <v/>
      </c>
      <c r="AI26" s="269"/>
      <c r="AJ26" s="267" t="str">
        <f>IF(VLOOKUP(28,'Plate Planning'!$A$1:$T$35,13,FALSE)=0, "", VLOOKUP(28,'Plate Planning'!$A$1:$T$35,13,FALSE))</f>
        <v/>
      </c>
      <c r="AK26" s="267" t="str">
        <f>IF(VLOOKUP(28,'Plate Planning'!$A$1:$T$35,14,FALSE)=0, "", VLOOKUP(28,'Plate Planning'!$A$1:$T$35,14,FALSE))</f>
        <v/>
      </c>
      <c r="AL26" s="267" t="str">
        <f>IFERROR(VLOOKUP(28,'Plate Planning'!$A$1:$T$35,18,FALSE),"")</f>
        <v/>
      </c>
      <c r="AM26" s="269"/>
      <c r="AN26" s="267" t="str">
        <f>IF(VLOOKUP(29,'Plate Planning'!$A$1:$T$35,13,FALSE)=0, "", VLOOKUP(29,'Plate Planning'!$A$1:$T$35,13,FALSE))</f>
        <v/>
      </c>
      <c r="AO26" s="267" t="str">
        <f>IF(VLOOKUP(29,'Plate Planning'!$A$1:$T$35,14,FALSE)=0, "", VLOOKUP(29,'Plate Planning'!$A$1:$T$35,14,FALSE))</f>
        <v/>
      </c>
      <c r="AP26" s="267" t="str">
        <f>IFERROR(VLOOKUP(29,'Plate Planning'!$A$1:$T$35,18,FALSE),"")</f>
        <v/>
      </c>
      <c r="AQ26" s="269"/>
      <c r="AR26" s="358"/>
      <c r="AS26" s="476"/>
      <c r="AT26" s="471"/>
      <c r="AU26" s="479">
        <f t="shared" si="1"/>
        <v>0</v>
      </c>
      <c r="AX26" s="208"/>
      <c r="BI26" s="208"/>
    </row>
    <row r="27" spans="1:61">
      <c r="A27" s="211" t="s">
        <v>1202</v>
      </c>
      <c r="B27" s="436"/>
      <c r="C27" s="462"/>
      <c r="D27" s="463" t="str">
        <f>IF(VLOOKUP(20,'Plate Planning'!$A$1:$T$35,13,FALSE)=0, "", VLOOKUP(20,'Plate Planning'!$A$1:$T$35,13,FALSE))</f>
        <v/>
      </c>
      <c r="E27" s="436" t="str">
        <f>IF(VLOOKUP(20,'Plate Planning'!$A$1:$T$35,14,FALSE)=0, "", VLOOKUP(20,'Plate Planning'!$A$1:$T$35,14,FALSE))</f>
        <v/>
      </c>
      <c r="F27" s="436" t="str">
        <f>IFERROR(VLOOKUP(20,'Plate Planning'!$A$1:$T$35,18,FALSE),"")</f>
        <v/>
      </c>
      <c r="G27" s="467"/>
      <c r="H27" s="463" t="str">
        <f>IF(VLOOKUP(21,'Plate Planning'!$A$1:$T$35,13,FALSE)=0, "", VLOOKUP(21,'Plate Planning'!$A$1:$T$35,13,FALSE))</f>
        <v/>
      </c>
      <c r="I27" s="436" t="str">
        <f>IF(VLOOKUP(21,'Plate Planning'!$A$1:$T$35,14,FALSE)=0, "", VLOOKUP(21,'Plate Planning'!$A$1:$T$35,14,FALSE))</f>
        <v/>
      </c>
      <c r="J27" s="474" t="str">
        <f>IFERROR(VLOOKUP(21,'Plate Planning'!$A$1:$T$35,18,FALSE),"")</f>
        <v/>
      </c>
      <c r="K27" s="436"/>
      <c r="L27" s="436" t="str">
        <f>IF(VLOOKUP(22,'Plate Planning'!$A$1:$T$35,13,FALSE)=0, "", VLOOKUP(22,'Plate Planning'!$A$1:$T$35,13,FALSE))</f>
        <v/>
      </c>
      <c r="M27" s="436" t="str">
        <f>IF(VLOOKUP(22,'Plate Planning'!$A$1:$T$35,14,FALSE)=0, "", VLOOKUP(22,'Plate Planning'!$A$1:$T$35,14,FALSE))</f>
        <v/>
      </c>
      <c r="N27" s="436" t="str">
        <f>IFERROR(VLOOKUP(22,'Plate Planning'!$A$1:$T$35,18,FALSE),"")</f>
        <v/>
      </c>
      <c r="O27" s="436"/>
      <c r="P27" s="463" t="str">
        <f>IF(VLOOKUP(23,'Plate Planning'!$A$1:$T$35,13,FALSE)=0, "", VLOOKUP(23,'Plate Planning'!$A$1:$T$35,13,FALSE))</f>
        <v/>
      </c>
      <c r="Q27" s="436" t="str">
        <f>IF(VLOOKUP(23,'Plate Planning'!$A$1:$T$35,14,FALSE)=0, "", VLOOKUP(23,'Plate Planning'!$A$1:$T$35,14,FALSE))</f>
        <v/>
      </c>
      <c r="R27" s="463" t="str">
        <f>IFERROR(VLOOKUP(23,'Plate Planning'!$A$1:$T$35,18,FALSE),"")</f>
        <v/>
      </c>
      <c r="S27" s="436"/>
      <c r="T27" s="436" t="str">
        <f>IF(VLOOKUP(24,'Plate Planning'!$A$1:$T$35,13,FALSE)=0, "", VLOOKUP(24,'Plate Planning'!$A$1:$T$35,13,FALSE))</f>
        <v/>
      </c>
      <c r="U27" s="436" t="str">
        <f>IF(VLOOKUP(24,'Plate Planning'!$A$1:$T$35,14,FALSE)=0, "", VLOOKUP(24,'Plate Planning'!$A$1:$T$35,14,FALSE))</f>
        <v/>
      </c>
      <c r="V27" s="436" t="str">
        <f>IFERROR(VLOOKUP(24,'Plate Planning'!$A$1:$T$35,18,FALSE),"")</f>
        <v/>
      </c>
      <c r="W27" s="265"/>
      <c r="X27" s="267" t="str">
        <f>IF(VLOOKUP(25,'Plate Planning'!$A$1:$T$35,13,FALSE)=0, "", VLOOKUP(25,'Plate Planning'!$A$1:$T$35,13,FALSE))</f>
        <v/>
      </c>
      <c r="Y27" s="267" t="str">
        <f>IF(VLOOKUP(25,'Plate Planning'!$A$1:$T$35,14,FALSE)=0, "", VLOOKUP(25,'Plate Planning'!$A$1:$T$35,14,FALSE))</f>
        <v/>
      </c>
      <c r="Z27" s="267" t="str">
        <f>IFERROR(VLOOKUP(25,'Plate Planning'!$A$1:$T$35,18,FALSE),"")</f>
        <v/>
      </c>
      <c r="AA27" s="269"/>
      <c r="AB27" s="267" t="str">
        <f>IF(VLOOKUP(26,'Plate Planning'!$A$1:$T$35,13,FALSE)=0, "", VLOOKUP(26,'Plate Planning'!$A$1:$T$35,13,FALSE))</f>
        <v/>
      </c>
      <c r="AC27" s="267" t="str">
        <f>IF(VLOOKUP(26,'Plate Planning'!$A$1:$T$35,14,FALSE)=0, "", VLOOKUP(26,'Plate Planning'!$A$1:$T$35,14,FALSE))</f>
        <v/>
      </c>
      <c r="AD27" s="267" t="str">
        <f>IFERROR(VLOOKUP(26,'Plate Planning'!$A$1:$T$35,18,FALSE),"")</f>
        <v/>
      </c>
      <c r="AE27" s="269"/>
      <c r="AF27" s="267" t="str">
        <f>IF(VLOOKUP(27,'Plate Planning'!$A$1:$T$35,13,FALSE)=0, "", VLOOKUP(27,'Plate Planning'!$A$1:$T$35,13,FALSE))</f>
        <v/>
      </c>
      <c r="AG27" s="267" t="str">
        <f>IF(VLOOKUP(27,'Plate Planning'!$A$1:$T$35,14,FALSE)=0, "", VLOOKUP(27,'Plate Planning'!$A$1:$T$35,14,FALSE))</f>
        <v/>
      </c>
      <c r="AH27" s="267" t="str">
        <f>IFERROR(VLOOKUP(27,'Plate Planning'!$A$1:$T$35,18,FALSE),"")</f>
        <v/>
      </c>
      <c r="AI27" s="269"/>
      <c r="AJ27" s="267" t="str">
        <f>IF(VLOOKUP(28,'Plate Planning'!$A$1:$T$35,13,FALSE)=0, "", VLOOKUP(28,'Plate Planning'!$A$1:$T$35,13,FALSE))</f>
        <v/>
      </c>
      <c r="AK27" s="267" t="str">
        <f>IF(VLOOKUP(28,'Plate Planning'!$A$1:$T$35,14,FALSE)=0, "", VLOOKUP(28,'Plate Planning'!$A$1:$T$35,14,FALSE))</f>
        <v/>
      </c>
      <c r="AL27" s="267" t="str">
        <f>IFERROR(VLOOKUP(28,'Plate Planning'!$A$1:$T$35,18,FALSE),"")</f>
        <v/>
      </c>
      <c r="AM27" s="269"/>
      <c r="AN27" s="267" t="str">
        <f>IF(VLOOKUP(29,'Plate Planning'!$A$1:$T$35,13,FALSE)=0, "", VLOOKUP(29,'Plate Planning'!$A$1:$T$35,13,FALSE))</f>
        <v/>
      </c>
      <c r="AO27" s="267" t="str">
        <f>IF(VLOOKUP(29,'Plate Planning'!$A$1:$T$35,14,FALSE)=0, "", VLOOKUP(29,'Plate Planning'!$A$1:$T$35,14,FALSE))</f>
        <v/>
      </c>
      <c r="AP27" s="267" t="str">
        <f>IFERROR(VLOOKUP(29,'Plate Planning'!$A$1:$T$35,18,FALSE),"")</f>
        <v/>
      </c>
      <c r="AQ27" s="269"/>
      <c r="AR27" s="358"/>
      <c r="AS27" s="476"/>
      <c r="AT27" s="471"/>
      <c r="AU27" s="479">
        <f t="shared" si="1"/>
        <v>0</v>
      </c>
      <c r="AX27" s="208"/>
      <c r="BI27" s="208"/>
    </row>
  </sheetData>
  <sheetProtection algorithmName="SHA-512" hashValue="J7+7yIZGj5v9YZcfv8LnXOxsVVxk6RtKj/FB/W/ii+H05eU/F3qlee3Q0piMhsqB1oba4WeuPqlBgEHf+K9hpg==" saltValue="v0+EHMprrX4IXgiZ8S2juQ==" spinCount="100000" sheet="1" objects="1" scenarios="1" formatColumns="0"/>
  <phoneticPr fontId="2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108</vt:i4>
      </vt:variant>
    </vt:vector>
  </HeadingPairs>
  <TitlesOfParts>
    <vt:vector size="121"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2024-06-28T11:24:31Z</dcterms:modified>
  <cp:category/>
</cp:coreProperties>
</file>