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tho\Desktop\NFC_script\"/>
    </mc:Choice>
  </mc:AlternateContent>
  <xr:revisionPtr revIDLastSave="0" documentId="13_ncr:1_{BD6253AF-248B-4D32-9B89-59F054BDE3D6}" xr6:coauthVersionLast="45" xr6:coauthVersionMax="45" xr10:uidLastSave="{00000000-0000-0000-0000-000000000000}"/>
  <bookViews>
    <workbookView xWindow="1833" yWindow="1833" windowWidth="19200" windowHeight="10074" tabRatio="500" activeTab="4" xr2:uid="{00000000-000D-0000-FFFF-FFFF00000000}"/>
  </bookViews>
  <sheets>
    <sheet name="Comp Fund Stats" sheetId="1" r:id="rId1"/>
    <sheet name="Fund I Overview" sheetId="2" r:id="rId2"/>
    <sheet name="Fund II Overview" sheetId="3" r:id="rId3"/>
    <sheet name="portCo" sheetId="5" r:id="rId4"/>
    <sheet name="transferData" sheetId="4" r:id="rId5"/>
  </sheets>
  <externalReferences>
    <externalReference r:id="rId6"/>
    <externalReference r:id="rId7"/>
  </externalReferences>
  <definedNames>
    <definedName name="_xlnm.Print_Area" localSheetId="0">'Comp Fund Stats'!$B$2:$E$27</definedName>
    <definedName name="_xlnm.Print_Area" localSheetId="4">transferData!$A$1:$D$56</definedName>
  </definedName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B33" i="4"/>
  <c r="E20" i="1"/>
  <c r="E38" i="1"/>
  <c r="C43" i="1"/>
  <c r="D43" i="1"/>
  <c r="E43" i="1"/>
  <c r="E41" i="1"/>
  <c r="E17" i="1"/>
  <c r="B34" i="4"/>
  <c r="C17" i="1"/>
  <c r="B32" i="4"/>
  <c r="E19" i="1"/>
  <c r="E30" i="1"/>
  <c r="C35" i="1"/>
  <c r="D35" i="1"/>
  <c r="E35" i="1"/>
  <c r="E33" i="1"/>
  <c r="E16" i="1"/>
  <c r="B31" i="4"/>
  <c r="D16" i="1"/>
  <c r="B30" i="4"/>
  <c r="C16" i="1"/>
  <c r="B29" i="4"/>
  <c r="E4" i="1"/>
  <c r="D4" i="1"/>
  <c r="C4" i="1"/>
  <c r="M19" i="5"/>
  <c r="J27" i="5"/>
  <c r="K27" i="5"/>
  <c r="J26" i="5"/>
  <c r="K26" i="5"/>
  <c r="B252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B227" i="4"/>
  <c r="A227" i="4"/>
  <c r="B202" i="4"/>
  <c r="A202" i="4"/>
  <c r="B177" i="4"/>
  <c r="A177" i="4"/>
  <c r="B152" i="4"/>
  <c r="A152" i="4"/>
  <c r="B127" i="4"/>
  <c r="A127" i="4"/>
  <c r="B102" i="4"/>
  <c r="A10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A203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178" i="4"/>
  <c r="G25" i="5"/>
  <c r="H25" i="5"/>
  <c r="I25" i="5"/>
  <c r="J25" i="5"/>
  <c r="G24" i="5"/>
  <c r="H24" i="5"/>
  <c r="I24" i="5"/>
  <c r="J24" i="5"/>
  <c r="G23" i="5"/>
  <c r="H23" i="5"/>
  <c r="I23" i="5"/>
  <c r="J23" i="5"/>
  <c r="G22" i="5"/>
  <c r="H22" i="5"/>
  <c r="I22" i="5"/>
  <c r="J22" i="5"/>
  <c r="G21" i="5"/>
  <c r="H21" i="5"/>
  <c r="I21" i="5"/>
  <c r="J21" i="5"/>
  <c r="G20" i="5"/>
  <c r="H20" i="5"/>
  <c r="I20" i="5"/>
  <c r="J20" i="5"/>
  <c r="G19" i="5"/>
  <c r="H19" i="5"/>
  <c r="I19" i="5"/>
  <c r="J19" i="5"/>
  <c r="G18" i="5"/>
  <c r="H18" i="5"/>
  <c r="I18" i="5"/>
  <c r="J18" i="5"/>
  <c r="G17" i="5"/>
  <c r="H17" i="5"/>
  <c r="I17" i="5"/>
  <c r="J17" i="5"/>
  <c r="G16" i="5"/>
  <c r="H16" i="5"/>
  <c r="I16" i="5"/>
  <c r="J16" i="5"/>
  <c r="G15" i="5"/>
  <c r="H15" i="5"/>
  <c r="I15" i="5"/>
  <c r="J15" i="5"/>
  <c r="G14" i="5"/>
  <c r="H14" i="5"/>
  <c r="I14" i="5"/>
  <c r="J14" i="5"/>
  <c r="G13" i="5"/>
  <c r="H13" i="5"/>
  <c r="I13" i="5"/>
  <c r="J13" i="5"/>
  <c r="G12" i="5"/>
  <c r="H12" i="5"/>
  <c r="I12" i="5"/>
  <c r="J12" i="5"/>
  <c r="G11" i="5"/>
  <c r="H11" i="5"/>
  <c r="I11" i="5"/>
  <c r="J11" i="5"/>
  <c r="G10" i="5"/>
  <c r="H10" i="5"/>
  <c r="I10" i="5"/>
  <c r="J10" i="5"/>
  <c r="G9" i="5"/>
  <c r="H9" i="5"/>
  <c r="I9" i="5"/>
  <c r="J9" i="5"/>
  <c r="G8" i="5"/>
  <c r="H8" i="5"/>
  <c r="I8" i="5"/>
  <c r="J8" i="5"/>
  <c r="G7" i="5"/>
  <c r="H7" i="5"/>
  <c r="I7" i="5"/>
  <c r="J7" i="5"/>
  <c r="G6" i="5"/>
  <c r="H6" i="5"/>
  <c r="I6" i="5"/>
  <c r="J6" i="5"/>
  <c r="G5" i="5"/>
  <c r="H5" i="5"/>
  <c r="I5" i="5"/>
  <c r="J5" i="5"/>
  <c r="G4" i="5"/>
  <c r="H4" i="5"/>
  <c r="I4" i="5"/>
  <c r="J4" i="5"/>
  <c r="B201" i="4"/>
  <c r="B200" i="4"/>
  <c r="L25" i="5"/>
  <c r="B199" i="4"/>
  <c r="L24" i="5"/>
  <c r="B198" i="4"/>
  <c r="L23" i="5"/>
  <c r="B197" i="4"/>
  <c r="L22" i="5"/>
  <c r="B196" i="4"/>
  <c r="L21" i="5"/>
  <c r="B195" i="4"/>
  <c r="L20" i="5"/>
  <c r="B194" i="4"/>
  <c r="L19" i="5"/>
  <c r="B193" i="4"/>
  <c r="L18" i="5"/>
  <c r="B192" i="4"/>
  <c r="L17" i="5"/>
  <c r="B191" i="4"/>
  <c r="L16" i="5"/>
  <c r="B190" i="4"/>
  <c r="L15" i="5"/>
  <c r="B189" i="4"/>
  <c r="L14" i="5"/>
  <c r="B188" i="4"/>
  <c r="L13" i="5"/>
  <c r="B187" i="4"/>
  <c r="L12" i="5"/>
  <c r="B186" i="4"/>
  <c r="L11" i="5"/>
  <c r="B185" i="4"/>
  <c r="L10" i="5"/>
  <c r="B184" i="4"/>
  <c r="L9" i="5"/>
  <c r="B183" i="4"/>
  <c r="L8" i="5"/>
  <c r="B182" i="4"/>
  <c r="L7" i="5"/>
  <c r="B181" i="4"/>
  <c r="L6" i="5"/>
  <c r="B180" i="4"/>
  <c r="L5" i="5"/>
  <c r="B179" i="4"/>
  <c r="L4" i="5"/>
  <c r="B178" i="4"/>
  <c r="F4" i="5"/>
  <c r="K4" i="5"/>
  <c r="B153" i="4"/>
  <c r="B176" i="4"/>
  <c r="B175" i="4"/>
  <c r="F25" i="5"/>
  <c r="K25" i="5"/>
  <c r="B174" i="4"/>
  <c r="F24" i="5"/>
  <c r="K24" i="5"/>
  <c r="B173" i="4"/>
  <c r="F23" i="5"/>
  <c r="K23" i="5"/>
  <c r="B172" i="4"/>
  <c r="F22" i="5"/>
  <c r="K22" i="5"/>
  <c r="B171" i="4"/>
  <c r="F21" i="5"/>
  <c r="K21" i="5"/>
  <c r="B170" i="4"/>
  <c r="F20" i="5"/>
  <c r="K20" i="5"/>
  <c r="B169" i="4"/>
  <c r="F19" i="5"/>
  <c r="K19" i="5"/>
  <c r="B168" i="4"/>
  <c r="F18" i="5"/>
  <c r="K18" i="5"/>
  <c r="B167" i="4"/>
  <c r="F17" i="5"/>
  <c r="K17" i="5"/>
  <c r="B166" i="4"/>
  <c r="F16" i="5"/>
  <c r="K16" i="5"/>
  <c r="B165" i="4"/>
  <c r="F15" i="5"/>
  <c r="K15" i="5"/>
  <c r="B164" i="4"/>
  <c r="F14" i="5"/>
  <c r="K14" i="5"/>
  <c r="B163" i="4"/>
  <c r="F13" i="5"/>
  <c r="K13" i="5"/>
  <c r="B162" i="4"/>
  <c r="F12" i="5"/>
  <c r="K12" i="5"/>
  <c r="B161" i="4"/>
  <c r="F11" i="5"/>
  <c r="K11" i="5"/>
  <c r="B160" i="4"/>
  <c r="F10" i="5"/>
  <c r="K10" i="5"/>
  <c r="B159" i="4"/>
  <c r="F9" i="5"/>
  <c r="K9" i="5"/>
  <c r="B158" i="4"/>
  <c r="F8" i="5"/>
  <c r="K8" i="5"/>
  <c r="B157" i="4"/>
  <c r="F7" i="5"/>
  <c r="K7" i="5"/>
  <c r="B156" i="4"/>
  <c r="F6" i="5"/>
  <c r="K6" i="5"/>
  <c r="B155" i="4"/>
  <c r="F5" i="5"/>
  <c r="K5" i="5"/>
  <c r="B154" i="4"/>
  <c r="B128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03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1" i="4"/>
  <c r="B100" i="4"/>
  <c r="D25" i="5"/>
  <c r="B99" i="4"/>
  <c r="D24" i="5"/>
  <c r="B98" i="4"/>
  <c r="D23" i="5"/>
  <c r="B97" i="4"/>
  <c r="D22" i="5"/>
  <c r="B96" i="4"/>
  <c r="D21" i="5"/>
  <c r="B95" i="4"/>
  <c r="D20" i="5"/>
  <c r="B94" i="4"/>
  <c r="D19" i="5"/>
  <c r="B93" i="4"/>
  <c r="D18" i="5"/>
  <c r="B92" i="4"/>
  <c r="D17" i="5"/>
  <c r="B91" i="4"/>
  <c r="D16" i="5"/>
  <c r="B90" i="4"/>
  <c r="D15" i="5"/>
  <c r="B89" i="4"/>
  <c r="D14" i="5"/>
  <c r="B88" i="4"/>
  <c r="D13" i="5"/>
  <c r="B87" i="4"/>
  <c r="D12" i="5"/>
  <c r="B86" i="4"/>
  <c r="D11" i="5"/>
  <c r="B85" i="4"/>
  <c r="D10" i="5"/>
  <c r="B84" i="4"/>
  <c r="D9" i="5"/>
  <c r="B83" i="4"/>
  <c r="D8" i="5"/>
  <c r="B82" i="4"/>
  <c r="D7" i="5"/>
  <c r="B81" i="4"/>
  <c r="D6" i="5"/>
  <c r="B80" i="4"/>
  <c r="D5" i="5"/>
  <c r="B79" i="4"/>
  <c r="D4" i="5"/>
  <c r="B78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53" i="4"/>
  <c r="A128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03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78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C35" i="2"/>
  <c r="C34" i="2"/>
  <c r="B35" i="2"/>
  <c r="B34" i="2"/>
  <c r="C33" i="2"/>
  <c r="B33" i="2"/>
  <c r="B32" i="2"/>
  <c r="B23" i="2"/>
  <c r="B22" i="2"/>
  <c r="B21" i="2"/>
  <c r="B20" i="2"/>
  <c r="C33" i="3"/>
  <c r="C34" i="3"/>
  <c r="C35" i="3"/>
  <c r="B35" i="3"/>
  <c r="B34" i="3"/>
  <c r="B33" i="3"/>
  <c r="B32" i="3"/>
  <c r="B23" i="3"/>
  <c r="B22" i="3"/>
  <c r="B21" i="3"/>
  <c r="B20" i="3"/>
  <c r="E26" i="1"/>
  <c r="D26" i="1"/>
  <c r="C26" i="1"/>
  <c r="B24" i="3"/>
  <c r="B77" i="4"/>
  <c r="B76" i="4"/>
  <c r="B75" i="4"/>
  <c r="B74" i="4"/>
  <c r="B73" i="4"/>
  <c r="C32" i="3"/>
  <c r="B19" i="3"/>
  <c r="B72" i="4"/>
  <c r="B17" i="3"/>
  <c r="B18" i="3"/>
  <c r="B71" i="4"/>
  <c r="B70" i="4"/>
  <c r="B24" i="2"/>
  <c r="B64" i="4"/>
  <c r="B63" i="4"/>
  <c r="B62" i="4"/>
  <c r="B61" i="4"/>
  <c r="B60" i="4"/>
  <c r="C32" i="2"/>
  <c r="B19" i="2"/>
  <c r="B59" i="4"/>
  <c r="B17" i="2"/>
  <c r="B18" i="2"/>
  <c r="B58" i="4"/>
  <c r="B57" i="4"/>
  <c r="B9" i="2"/>
  <c r="B8" i="2"/>
  <c r="B7" i="2"/>
  <c r="B3" i="2"/>
  <c r="B8" i="3"/>
  <c r="B3" i="3"/>
  <c r="B11" i="3"/>
  <c r="B69" i="4"/>
  <c r="B68" i="4"/>
  <c r="B67" i="4"/>
  <c r="B5" i="3"/>
  <c r="B66" i="4"/>
  <c r="B65" i="4"/>
  <c r="B14" i="3"/>
  <c r="B11" i="2"/>
  <c r="B14" i="2"/>
  <c r="B56" i="4"/>
  <c r="B5" i="2"/>
  <c r="B53" i="4"/>
  <c r="B52" i="4"/>
  <c r="H8" i="1"/>
  <c r="E7" i="1"/>
  <c r="E9" i="1"/>
  <c r="E13" i="1"/>
  <c r="J7" i="1"/>
  <c r="D7" i="1"/>
  <c r="D9" i="1"/>
  <c r="D13" i="1"/>
  <c r="J6" i="1"/>
  <c r="C7" i="1"/>
  <c r="C9" i="1"/>
  <c r="C13" i="1"/>
  <c r="E14" i="1"/>
  <c r="D14" i="1"/>
  <c r="C14" i="1"/>
  <c r="E47" i="1"/>
  <c r="L30" i="1"/>
  <c r="B55" i="4"/>
  <c r="B54" i="4"/>
  <c r="B4" i="4"/>
  <c r="B3" i="4"/>
  <c r="B51" i="4"/>
  <c r="B50" i="4"/>
  <c r="C27" i="1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28" i="4"/>
  <c r="B27" i="4"/>
  <c r="B26" i="4"/>
  <c r="B25" i="4"/>
  <c r="B24" i="4"/>
  <c r="B23" i="4"/>
  <c r="B22" i="4"/>
  <c r="B21" i="4"/>
  <c r="B20" i="4"/>
  <c r="B19" i="4"/>
  <c r="D10" i="1"/>
  <c r="B18" i="4"/>
  <c r="C10" i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2" i="4"/>
  <c r="I8" i="1"/>
  <c r="C40" i="1"/>
  <c r="D40" i="1"/>
  <c r="L39" i="1"/>
  <c r="L40" i="1"/>
  <c r="L41" i="1"/>
  <c r="L36" i="1"/>
  <c r="L42" i="1"/>
  <c r="K40" i="1"/>
  <c r="K39" i="1"/>
  <c r="K41" i="1"/>
  <c r="K28" i="1"/>
  <c r="K29" i="1"/>
  <c r="K30" i="1"/>
  <c r="K36" i="1"/>
  <c r="K42" i="1"/>
  <c r="J40" i="1"/>
  <c r="J39" i="1"/>
  <c r="J41" i="1"/>
  <c r="J28" i="1"/>
  <c r="J29" i="1"/>
  <c r="J30" i="1"/>
  <c r="J36" i="1"/>
  <c r="J42" i="1"/>
  <c r="C34" i="1"/>
  <c r="D34" i="1"/>
  <c r="E34" i="1"/>
  <c r="D42" i="1"/>
  <c r="C42" i="1"/>
  <c r="E42" i="1"/>
  <c r="L37" i="1"/>
  <c r="L29" i="1"/>
  <c r="L28" i="1"/>
  <c r="K37" i="1"/>
  <c r="J37" i="1"/>
  <c r="D32" i="1"/>
  <c r="C32" i="1"/>
  <c r="E48" i="1"/>
  <c r="D47" i="1"/>
  <c r="D49" i="1"/>
  <c r="C47" i="1"/>
  <c r="C49" i="1"/>
</calcChain>
</file>

<file path=xl/sharedStrings.xml><?xml version="1.0" encoding="utf-8"?>
<sst xmlns="http://schemas.openxmlformats.org/spreadsheetml/2006/main" count="1036" uniqueCount="316">
  <si>
    <t>Fund I</t>
  </si>
  <si>
    <t>Fund II</t>
  </si>
  <si>
    <t># Investments</t>
  </si>
  <si>
    <t>Avg Round Size (lead)</t>
  </si>
  <si>
    <t>Avg Round Size (follow)</t>
  </si>
  <si>
    <t>% Companies with Montana Presence</t>
  </si>
  <si>
    <t>% Companies in Rocky Mountains</t>
  </si>
  <si>
    <t>Follow-on Investment per 1$ of Initial Check</t>
  </si>
  <si>
    <t>Forecasts</t>
  </si>
  <si>
    <t>Fund III # investments</t>
  </si>
  <si>
    <t>Total $ Invested / Total $ Committed</t>
  </si>
  <si>
    <t>Total Invested</t>
  </si>
  <si>
    <t>Realizations Reinvested</t>
  </si>
  <si>
    <t>calculation only, do not show</t>
  </si>
  <si>
    <t>Avg Initial Ownership (lead)</t>
  </si>
  <si>
    <t>Avg initial post-money (lead)</t>
  </si>
  <si>
    <t>Avg initial post-money (follow)</t>
  </si>
  <si>
    <t>Avg Initial Ownership (follow)</t>
  </si>
  <si>
    <t>fund i</t>
  </si>
  <si>
    <t>fund ii</t>
  </si>
  <si>
    <t>fund iii</t>
  </si>
  <si>
    <t>total invest</t>
  </si>
  <si>
    <t>total initial</t>
  </si>
  <si>
    <t>initial</t>
  </si>
  <si>
    <t>follow-on</t>
  </si>
  <si>
    <t>total initial (leading)</t>
  </si>
  <si>
    <t>total initial (following)</t>
  </si>
  <si>
    <t>pre</t>
  </si>
  <si>
    <t>% of round</t>
  </si>
  <si>
    <t>round dilution</t>
  </si>
  <si>
    <t>total initial investment avail</t>
  </si>
  <si>
    <t>total follow-on invest avail</t>
  </si>
  <si>
    <t>Fund Size</t>
  </si>
  <si>
    <t>Logic Test Section</t>
  </si>
  <si>
    <t>defect (test)</t>
  </si>
  <si>
    <t>================================================================================================================================</t>
  </si>
  <si>
    <t>Fund III</t>
  </si>
  <si>
    <t>Fund Start</t>
  </si>
  <si>
    <t>End Invest</t>
  </si>
  <si>
    <t>Months</t>
  </si>
  <si>
    <t>Investment Period (months)</t>
  </si>
  <si>
    <t>Avg Initial Check Size (led deals)</t>
  </si>
  <si>
    <t>Avg  Initial Check Size (syndicate)</t>
  </si>
  <si>
    <t>Avg Ownership % (led deals)</t>
  </si>
  <si>
    <t>Avg Ownership % (syndicate)</t>
  </si>
  <si>
    <t>(Blackmore, Submittable, SiteOne, Quik, Phoenix)</t>
  </si>
  <si>
    <t>Net IRR</t>
  </si>
  <si>
    <t>remix = last investment</t>
  </si>
  <si>
    <t>E(board seats) per partner</t>
  </si>
  <si>
    <t>Comparative Fund Statistics</t>
  </si>
  <si>
    <t># Investments (led deals)</t>
  </si>
  <si>
    <t>NFC Partners</t>
  </si>
  <si>
    <t>Deal Leads Screened (per year)</t>
  </si>
  <si>
    <t>Deals Closed (per year)</t>
  </si>
  <si>
    <t>Invest Period</t>
  </si>
  <si>
    <t>Fund III Targets</t>
  </si>
  <si>
    <t>tagName</t>
  </si>
  <si>
    <t>Fund I - Gross ROIC</t>
  </si>
  <si>
    <t>Fund I - Net TVPI</t>
  </si>
  <si>
    <t>Fund I - DVPI</t>
  </si>
  <si>
    <t>Fund I - Net IRR</t>
  </si>
  <si>
    <t>Deals Closed per Partner (per year)</t>
  </si>
  <si>
    <t>value</t>
  </si>
  <si>
    <t>description</t>
  </si>
  <si>
    <t>Fund I -   # Investments</t>
  </si>
  <si>
    <t>Fund II -  # Investments</t>
  </si>
  <si>
    <t>Fund III - # Investments</t>
  </si>
  <si>
    <t>Fund I -   # Investments (led deals)</t>
  </si>
  <si>
    <t>Fund II -  # Investments (led deals)</t>
  </si>
  <si>
    <t>Fund III - # Investments (led deals)</t>
  </si>
  <si>
    <t>Fund I -   Investment Period (months)</t>
  </si>
  <si>
    <t>Fund II -  Investment Period (months)</t>
  </si>
  <si>
    <t>Fund III - Investment Period (months)</t>
  </si>
  <si>
    <t>Fund I -   Deals Closed (per year)</t>
  </si>
  <si>
    <t>Fund II -  Deals Closed (per year)</t>
  </si>
  <si>
    <t>Fund III - Deals Closed (per year)</t>
  </si>
  <si>
    <t>Fund I -   Deal Leads Screened (per year)</t>
  </si>
  <si>
    <t>Fund II -  Deal Leads Screened (per year)</t>
  </si>
  <si>
    <t>Fund III - Deal Leads Screened (per year)</t>
  </si>
  <si>
    <t>Fund I -   NFC Partners</t>
  </si>
  <si>
    <t>Fund II -  NFC Partners</t>
  </si>
  <si>
    <t>Fund III - NFC Partners</t>
  </si>
  <si>
    <t>Fund I -   Deals per Partner (per year)</t>
  </si>
  <si>
    <t>Fund II -  Deals per Partner (per year)</t>
  </si>
  <si>
    <t>Fund III - Deals per Partner (per year)</t>
  </si>
  <si>
    <t>Fund I -   E(board seats) per partner</t>
  </si>
  <si>
    <t>Fund II -  E(board seats) per partner</t>
  </si>
  <si>
    <t>Fund III - E(board seats) per partner</t>
  </si>
  <si>
    <t>Fund I -   Avg Initial Check Size (led deals)</t>
  </si>
  <si>
    <t>Fund II -  Avg Initial Check Size (led deals)</t>
  </si>
  <si>
    <t>Fund III - Avg Initial Check Size (led deals)</t>
  </si>
  <si>
    <t>Fund I -   Avg  Initial Check Size (syndicate)</t>
  </si>
  <si>
    <t>Fund II -  Avg  Initial Check Size (syndicate)</t>
  </si>
  <si>
    <t>Fund III - Avg  Initial Check Size (syndicate)</t>
  </si>
  <si>
    <t>Fund I -   Avg Ownership % (led deals)</t>
  </si>
  <si>
    <t>Fund II -  Avg Ownership % (led deals)</t>
  </si>
  <si>
    <t>Fund III - Avg Ownership % (led deals)</t>
  </si>
  <si>
    <t>Fund I -   Avg Ownership % (syndicate)</t>
  </si>
  <si>
    <t>Fund II -  Avg Ownership % (syndicate)</t>
  </si>
  <si>
    <t>Fund III - Avg Ownership % (syndicate)</t>
  </si>
  <si>
    <t>Fund I -   % Companies with Montana Presence</t>
  </si>
  <si>
    <t>Fund II -  % Companies with Montana Presence</t>
  </si>
  <si>
    <t>Fund I -   % Companies in Rocky Mountains</t>
  </si>
  <si>
    <t>Fund II -  % Companies in Rocky Mountains</t>
  </si>
  <si>
    <t>Fund III - % Companies in Rocky Mountains</t>
  </si>
  <si>
    <t>text</t>
  </si>
  <si>
    <t>number-1</t>
  </si>
  <si>
    <t>money-0</t>
  </si>
  <si>
    <t>number-0</t>
  </si>
  <si>
    <t>percent-1</t>
  </si>
  <si>
    <t>percent-0</t>
  </si>
  <si>
    <t>number-2</t>
  </si>
  <si>
    <t>format</t>
  </si>
  <si>
    <t>Net IRR (to LPs)</t>
  </si>
  <si>
    <t>LPs</t>
  </si>
  <si>
    <t>All Partners</t>
  </si>
  <si>
    <t>gross-roic (port value / invested capital)</t>
  </si>
  <si>
    <t>Net TVPI (Port Value to LPs / Capital contributed by LPs)</t>
  </si>
  <si>
    <t>DPI (Partner Distributions / Partner capital contributed)</t>
  </si>
  <si>
    <t>DPI - 2019.10.31 after 1st Blackmore Dist ($1.7m)</t>
  </si>
  <si>
    <t>(we will use this one :) )</t>
  </si>
  <si>
    <t>DPI - adds 2nd Blackmore Dist ($1m)</t>
  </si>
  <si>
    <t>DPI - adds Phoenix Dist return on convert plus initial cash proceeds ($4.335m)</t>
  </si>
  <si>
    <t>gross-roic (total value / invested capital)</t>
  </si>
  <si>
    <t>Fund II - Gross ROIC</t>
  </si>
  <si>
    <t>Fund II - Net TVPI</t>
  </si>
  <si>
    <t>Fund II - DVPI</t>
  </si>
  <si>
    <t>Fund II - Net IRR</t>
  </si>
  <si>
    <t>DPI - 2019.12.10</t>
  </si>
  <si>
    <t>DPI - adds planned 2019.12.17 Fund II $765k distribution</t>
  </si>
  <si>
    <t>These numbers linked to 2019-Q3 VMS Internals</t>
  </si>
  <si>
    <t>Blackmore ($3.597m) from internals, and adds Phoenix Labs ($4.335m expected)</t>
  </si>
  <si>
    <t>Ataata Initial Proceeds (2018.07.09) + Escrow Release (2019.10.17)</t>
  </si>
  <si>
    <t>Fund I Overview Slide (as of 2019-Q3 internals, except where noted)</t>
  </si>
  <si>
    <t>Fund II Overview Slide (as of 2019-Q3 internal, except where noted)</t>
  </si>
  <si>
    <t>add expected events in twinThread, HALP, OnX and Aumni to Grad rate</t>
  </si>
  <si>
    <t>Grad Rate (redefine this on the slide to mean 'from investment inception')</t>
  </si>
  <si>
    <t>Redefine this to mean any event that changes valuation - exits, follow-on financings- secondary (Ataata, onX, twinThread, meatEater, HALP, Aumni)</t>
  </si>
  <si>
    <t>Called Capital ($m)</t>
  </si>
  <si>
    <t>Invested Capital ($m)</t>
  </si>
  <si>
    <t>Initial Investments ($m)</t>
  </si>
  <si>
    <t>Follow-on Investments ($m)</t>
  </si>
  <si>
    <t>Total Fair Mkt Value ($m)</t>
  </si>
  <si>
    <t>Capital Contributed from partners ($m)</t>
  </si>
  <si>
    <t>Total Portfolio Value to partners ($m)</t>
  </si>
  <si>
    <t>Remaining Port Value + Proceeds Received + Proceeds Receivable</t>
  </si>
  <si>
    <t>Uncalled Capital ($m)</t>
  </si>
  <si>
    <t>Fund I - graduation rate</t>
  </si>
  <si>
    <t>Fund II - graduation rate</t>
  </si>
  <si>
    <t>money-1</t>
  </si>
  <si>
    <t xml:space="preserve">     - Realized FMV ($m)</t>
  </si>
  <si>
    <t xml:space="preserve">     - Residual FMV ($m)</t>
  </si>
  <si>
    <t>Fund I - Called Capital ($m)</t>
  </si>
  <si>
    <t>Fund I - Uncalled Capital ($m)</t>
  </si>
  <si>
    <t>Fund I - Invested Capital ($m)</t>
  </si>
  <si>
    <t>Fund I - Initial Investments ($m)</t>
  </si>
  <si>
    <t>Fund I - Follow-on Investments ($m)</t>
  </si>
  <si>
    <t>Fund I - Total Fair Mkt Value ($m)</t>
  </si>
  <si>
    <t>Fund I -      - Realized FMV ($m)</t>
  </si>
  <si>
    <t>Fund I -      - Residual FMV ($m)</t>
  </si>
  <si>
    <t>Fund II - Called Capital ($m)</t>
  </si>
  <si>
    <t>Fund II - Uncalled Capital ($m)</t>
  </si>
  <si>
    <t>Fund II - Invested Capital ($m)</t>
  </si>
  <si>
    <t>Fund II - Initial Investments ($m)</t>
  </si>
  <si>
    <t>Fund II - Follow-on Investments ($m)</t>
  </si>
  <si>
    <t>Fund II - Total Fair Mkt Value ($m)</t>
  </si>
  <si>
    <t>Fund II -      - Realized FMV ($m)</t>
  </si>
  <si>
    <t>Fund II -      - Residual FMV ($m)</t>
  </si>
  <si>
    <t># Companies with Montana Presence</t>
  </si>
  <si>
    <t>fundSize.1</t>
  </si>
  <si>
    <t>fundSize.2</t>
  </si>
  <si>
    <t>fundSize.3</t>
  </si>
  <si>
    <t>dealLeads.1</t>
  </si>
  <si>
    <t>dealLeads.2</t>
  </si>
  <si>
    <t>dealLeads.3</t>
  </si>
  <si>
    <t>boardSeats.1</t>
  </si>
  <si>
    <t>boardSeats.2</t>
  </si>
  <si>
    <t>boardSeats.3</t>
  </si>
  <si>
    <t>rockyPct.1</t>
  </si>
  <si>
    <t>rockyPct.2</t>
  </si>
  <si>
    <t>rockyPct.3</t>
  </si>
  <si>
    <t>netTVPI.1</t>
  </si>
  <si>
    <t>DVPI.1</t>
  </si>
  <si>
    <t>gradRate.1</t>
  </si>
  <si>
    <t>netIRR.1</t>
  </si>
  <si>
    <t>netTVPI.2</t>
  </si>
  <si>
    <t>DVPI.2</t>
  </si>
  <si>
    <t>gradRate.2</t>
  </si>
  <si>
    <t>netIRR.2</t>
  </si>
  <si>
    <t>Primary Slide Name</t>
  </si>
  <si>
    <t>Comp Fund Stats</t>
  </si>
  <si>
    <t>Fund I Overview</t>
  </si>
  <si>
    <t>Fund II Overview</t>
  </si>
  <si>
    <t>totRaised</t>
  </si>
  <si>
    <t>meatEater</t>
  </si>
  <si>
    <t>patientOne</t>
  </si>
  <si>
    <t>Ataata</t>
  </si>
  <si>
    <t>OnX</t>
  </si>
  <si>
    <t>twinThread</t>
  </si>
  <si>
    <t>section</t>
  </si>
  <si>
    <t>alpin</t>
  </si>
  <si>
    <t>optio</t>
  </si>
  <si>
    <t>S2</t>
  </si>
  <si>
    <t>HALP</t>
  </si>
  <si>
    <t>aumni</t>
  </si>
  <si>
    <t>lumenAd</t>
  </si>
  <si>
    <t>monday</t>
  </si>
  <si>
    <t>tripleTree</t>
  </si>
  <si>
    <t>siteOne</t>
  </si>
  <si>
    <t>clearas</t>
  </si>
  <si>
    <t>orbital</t>
  </si>
  <si>
    <t>quiq</t>
  </si>
  <si>
    <t>blackmore</t>
  </si>
  <si>
    <t>phoenix</t>
  </si>
  <si>
    <t>ironCore</t>
  </si>
  <si>
    <t>oppSource</t>
  </si>
  <si>
    <t>remix</t>
  </si>
  <si>
    <t>I</t>
  </si>
  <si>
    <t>II</t>
  </si>
  <si>
    <t>multiple</t>
  </si>
  <si>
    <t>IRR</t>
  </si>
  <si>
    <t>invest date</t>
  </si>
  <si>
    <t>status</t>
  </si>
  <si>
    <t>portCo</t>
  </si>
  <si>
    <t>writeDown 50%</t>
  </si>
  <si>
    <t>writeDown 100%</t>
  </si>
  <si>
    <t>acquired July 9, 2018</t>
  </si>
  <si>
    <t>acquired August 26, 2019</t>
  </si>
  <si>
    <t>writeDown 25%</t>
  </si>
  <si>
    <t>basisCost($m)</t>
  </si>
  <si>
    <t>proceeds($m)</t>
  </si>
  <si>
    <t>receivables($m)</t>
  </si>
  <si>
    <t>remaining($m)</t>
  </si>
  <si>
    <t>FMV($m)</t>
  </si>
  <si>
    <t>owned%</t>
  </si>
  <si>
    <t>submit</t>
  </si>
  <si>
    <t>NFC Ratio of FMV to Cost</t>
  </si>
  <si>
    <t>NFC Investment IRR</t>
  </si>
  <si>
    <t>Initial Investment Date</t>
  </si>
  <si>
    <t>NFC Investment Cost ($m)</t>
  </si>
  <si>
    <t>NFC Investment FMV ($m)</t>
  </si>
  <si>
    <t>portCo name</t>
  </si>
  <si>
    <t>fund</t>
  </si>
  <si>
    <t>Portfolio Company Data</t>
  </si>
  <si>
    <t>portCo total amount raised</t>
  </si>
  <si>
    <t>portCo % NFC ownership (from simulator)</t>
  </si>
  <si>
    <t>&gt; 95%</t>
  </si>
  <si>
    <t>XXXco</t>
  </si>
  <si>
    <t>Avg Round Size (led deals)</t>
  </si>
  <si>
    <t>Avg Round Size (syndicate)</t>
  </si>
  <si>
    <t>Fund I -   Fund Size ($m)</t>
  </si>
  <si>
    <t>Fund II -  Fund Size ($m)</t>
  </si>
  <si>
    <t>Fund III - Fund Size ($m)</t>
  </si>
  <si>
    <t>numInv.1</t>
  </si>
  <si>
    <t>numInv.2</t>
  </si>
  <si>
    <t>numInv.3</t>
  </si>
  <si>
    <t>numInvLed.1</t>
  </si>
  <si>
    <t>numInvLed.2</t>
  </si>
  <si>
    <t>numInvLed.3</t>
  </si>
  <si>
    <t>InvPeriod.1</t>
  </si>
  <si>
    <t>InvPeriod.2</t>
  </si>
  <si>
    <t>InvPeriod.3</t>
  </si>
  <si>
    <t>dealsClsd.1</t>
  </si>
  <si>
    <t>dealsClsd.2</t>
  </si>
  <si>
    <t>dealsClsd.3</t>
  </si>
  <si>
    <t>avgRndLed.1</t>
  </si>
  <si>
    <t>avgRndLed.2</t>
  </si>
  <si>
    <t>avgRndLed.3</t>
  </si>
  <si>
    <t>avgOwnLed.1</t>
  </si>
  <si>
    <t>avgOwnLed.2</t>
  </si>
  <si>
    <t>avgOwnLed.3</t>
  </si>
  <si>
    <t>avgRndSyn.1</t>
  </si>
  <si>
    <t>avgRndSyn.2</t>
  </si>
  <si>
    <t>avgRndSyn.3</t>
  </si>
  <si>
    <t>avgOwnSyn.1</t>
  </si>
  <si>
    <t>avgOwnSyn.2</t>
  </si>
  <si>
    <t>avgOwnSyn.3</t>
  </si>
  <si>
    <t>initChkLed.1</t>
  </si>
  <si>
    <t>initChkLed.2</t>
  </si>
  <si>
    <t>initChkLed.3</t>
  </si>
  <si>
    <t>initChkSyn.1</t>
  </si>
  <si>
    <t>initChkSyn.2</t>
  </si>
  <si>
    <t>initChkSyn.3</t>
  </si>
  <si>
    <t>MTpct.1</t>
  </si>
  <si>
    <t>MTpct.2</t>
  </si>
  <si>
    <t>grROIC.1</t>
  </si>
  <si>
    <t>calledCap.1</t>
  </si>
  <si>
    <t>uncalledCap.1</t>
  </si>
  <si>
    <t>investedCap.1</t>
  </si>
  <si>
    <t>initialInv.1</t>
  </si>
  <si>
    <t>followInv.1</t>
  </si>
  <si>
    <t>totFMV.1</t>
  </si>
  <si>
    <t>realFMV.1</t>
  </si>
  <si>
    <t>residFMV.1</t>
  </si>
  <si>
    <t>grROIC.2</t>
  </si>
  <si>
    <t>calledCap.2</t>
  </si>
  <si>
    <t>uncalledCap.2</t>
  </si>
  <si>
    <t>investedCap.2</t>
  </si>
  <si>
    <t>initialInv.2</t>
  </si>
  <si>
    <t>followInv.2</t>
  </si>
  <si>
    <t>totFMV.2</t>
  </si>
  <si>
    <t>realFMV.2</t>
  </si>
  <si>
    <t>residFMV.2</t>
  </si>
  <si>
    <t>NFCptner.1</t>
  </si>
  <si>
    <t>NFCptner.2</t>
  </si>
  <si>
    <t>NFCptner.3</t>
  </si>
  <si>
    <t>ptnerDeals.1</t>
  </si>
  <si>
    <t>ptnerDeals.2</t>
  </si>
  <si>
    <t>ptnerDeals.3</t>
  </si>
  <si>
    <t>Fund I -   Avg Round Size (led deals)</t>
  </si>
  <si>
    <t>Fund II -  Avg Round Size (led deals)</t>
  </si>
  <si>
    <t>Fund III - Avg Round Size (led deals)</t>
  </si>
  <si>
    <t>Fund I -   Avg Round Size (syndicate)</t>
  </si>
  <si>
    <t>Fund II -  Avg Round Size (syndicate)</t>
  </si>
  <si>
    <t>Fund III - Avg Round Size (syndicate)</t>
  </si>
  <si>
    <t>data entered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</si>
</sst>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"/>
    <numFmt numFmtId="168" formatCode="&quot;$&quot;#,##0.0"/>
    <numFmt numFmtId="169" formatCode="0.0000"/>
    <numFmt numFmtId="170" formatCode="_(* #,##0.0000_);_(* \(#,##0.0000\);_(* &quot;-&quot;??_);_(@_)"/>
    <numFmt numFmtId="171" formatCode="[$-409]d\-mmm\-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19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0" applyNumberFormat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9" fontId="0" fillId="0" borderId="0" xfId="1" applyNumberFormat="1" applyFont="1" applyAlignment="1">
      <alignment horizontal="center"/>
    </xf>
    <xf numFmtId="0" fontId="7" fillId="0" borderId="0" xfId="0" applyFont="1"/>
    <xf numFmtId="0" fontId="0" fillId="0" borderId="0" xfId="0" applyFill="1"/>
    <xf numFmtId="16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0" borderId="0" xfId="1" applyFont="1"/>
    <xf numFmtId="2" fontId="0" fillId="0" borderId="0" xfId="0" applyNumberFormat="1"/>
    <xf numFmtId="165" fontId="0" fillId="0" borderId="0" xfId="1" applyNumberFormat="1" applyFont="1"/>
    <xf numFmtId="9" fontId="0" fillId="2" borderId="0" xfId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0" fillId="2" borderId="0" xfId="0" applyNumberFormat="1" applyFill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10" fontId="0" fillId="0" borderId="0" xfId="0" applyNumberFormat="1"/>
    <xf numFmtId="169" fontId="0" fillId="0" borderId="0" xfId="0" applyNumberFormat="1"/>
    <xf numFmtId="170" fontId="0" fillId="0" borderId="0" xfId="304" applyNumberFormat="1" applyFont="1" applyAlignment="1">
      <alignment horizontal="right"/>
    </xf>
    <xf numFmtId="0" fontId="5" fillId="3" borderId="0" xfId="0" applyFont="1" applyFill="1"/>
    <xf numFmtId="10" fontId="0" fillId="3" borderId="0" xfId="0" applyNumberFormat="1" applyFill="1"/>
    <xf numFmtId="2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3" borderId="0" xfId="0" applyNumberFormat="1" applyFill="1" applyAlignment="1">
      <alignment horizontal="right"/>
    </xf>
    <xf numFmtId="166" fontId="0" fillId="3" borderId="0" xfId="0" applyNumberFormat="1" applyFill="1"/>
    <xf numFmtId="7" fontId="0" fillId="3" borderId="0" xfId="304" applyNumberFormat="1" applyFont="1" applyFill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7" xfId="0" applyBorder="1"/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0" fillId="0" borderId="7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8" xfId="0" applyFill="1" applyBorder="1"/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4" xfId="0" applyBorder="1" applyAlignment="1">
      <alignment horizontal="right"/>
    </xf>
    <xf numFmtId="9" fontId="0" fillId="0" borderId="5" xfId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/>
    <xf numFmtId="9" fontId="0" fillId="0" borderId="0" xfId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71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/>
    </xf>
    <xf numFmtId="171" fontId="0" fillId="0" borderId="2" xfId="0" applyNumberFormat="1" applyBorder="1"/>
    <xf numFmtId="0" fontId="0" fillId="2" borderId="2" xfId="0" applyFill="1" applyBorder="1"/>
    <xf numFmtId="2" fontId="0" fillId="0" borderId="2" xfId="0" applyNumberForma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0" borderId="7" xfId="0" applyBorder="1" applyAlignment="1">
      <alignment horizontal="center"/>
    </xf>
    <xf numFmtId="171" fontId="0" fillId="0" borderId="0" xfId="0" applyNumberFormat="1" applyBorder="1"/>
    <xf numFmtId="0" fontId="0" fillId="2" borderId="0" xfId="0" applyFill="1" applyBorder="1"/>
    <xf numFmtId="2" fontId="0" fillId="0" borderId="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2" borderId="8" xfId="0" applyFill="1" applyBorder="1"/>
    <xf numFmtId="2" fontId="0" fillId="4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71" fontId="0" fillId="0" borderId="5" xfId="0" applyNumberFormat="1" applyBorder="1"/>
    <xf numFmtId="0" fontId="0" fillId="2" borderId="5" xfId="0" applyFill="1" applyBorder="1"/>
    <xf numFmtId="2" fontId="0" fillId="0" borderId="5" xfId="0" applyNumberForma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0" fontId="0" fillId="2" borderId="6" xfId="0" applyFill="1" applyBorder="1"/>
    <xf numFmtId="2" fontId="0" fillId="0" borderId="2" xfId="0" applyNumberFormat="1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71" fontId="0" fillId="0" borderId="0" xfId="0" applyNumberFormat="1" applyFill="1" applyBorder="1"/>
    <xf numFmtId="167" fontId="0" fillId="0" borderId="0" xfId="0" applyNumberFormat="1" applyAlignment="1">
      <alignment horizontal="right"/>
    </xf>
    <xf numFmtId="2" fontId="0" fillId="2" borderId="0" xfId="0" applyNumberForma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left" indent="1"/>
    </xf>
    <xf numFmtId="0" fontId="0" fillId="2" borderId="0" xfId="0" applyFill="1" applyAlignment="1">
      <alignment horizontal="left"/>
    </xf>
    <xf numFmtId="171" fontId="0" fillId="0" borderId="0" xfId="0" applyNumberFormat="1" applyFill="1"/>
    <xf numFmtId="165" fontId="0" fillId="2" borderId="0" xfId="1" applyNumberFormat="1" applyFont="1" applyFill="1" applyBorder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619">
    <cellStyle name="Comma" xfId="30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arjes/Dropbox/Next%20Frontier%20Capital/Fund%20I/VMS%20Quarterly%20Internals/Next%20Frontier%20Capital%20Fund,%20LP%20-%203Q19%20Internals%20v2.rhhFund3de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arjes/Dropbox/Next%20Frontier%20Capital/Fund%20II/VMS%20Quarterly%20Internals/Next%20Frontier%20Venture%20Fund%20II,%20LP%20-%203Q19%20Internals.rhhFund3d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Check"/>
      <sheetName val="Review Checklist"/>
      <sheetName val="Bal Sht"/>
      <sheetName val="Operations"/>
      <sheetName val="Cash Flows"/>
      <sheetName val="Portfolio"/>
      <sheetName val="Investment Rollforward"/>
      <sheetName val="Treasury Status"/>
      <sheetName val="Cap Call Receivable"/>
      <sheetName val="Escrow Receivable"/>
      <sheetName val="Current Asset Detail"/>
      <sheetName val="2018-19 Insurance Amortization"/>
      <sheetName val="2019-20 Insurance Amortization"/>
      <sheetName val="Liability Detail"/>
      <sheetName val="Deferred Capital Calls"/>
      <sheetName val="LOC Activity"/>
      <sheetName val="Interest Accrual"/>
      <sheetName val="Income Detail"/>
      <sheetName val="Mgmt Fee Calc - 3Q19"/>
      <sheetName val="Mgmt Fee Summary"/>
      <sheetName val="Prof Fee RF"/>
      <sheetName val="Other Exp RF"/>
      <sheetName val="Investments by Period"/>
      <sheetName val="Conversions by Period"/>
      <sheetName val="Realized by Period"/>
      <sheetName val="Unrealized by Period"/>
      <sheetName val="Ptr Cap"/>
      <sheetName val="Cap AC"/>
      <sheetName val="IRR Summary"/>
      <sheetName val="Net IRR All Ptrs"/>
      <sheetName val="Net IRR LPs On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8">
          <cell r="F18">
            <v>42382</v>
          </cell>
          <cell r="G18">
            <v>2634.99874</v>
          </cell>
          <cell r="H18">
            <v>3439.0034799999999</v>
          </cell>
          <cell r="I18">
            <v>761.77343000000008</v>
          </cell>
          <cell r="J18">
            <v>11903.206609999999</v>
          </cell>
          <cell r="M18">
            <v>1.0289371848106383</v>
          </cell>
        </row>
        <row r="25">
          <cell r="F25">
            <v>42592</v>
          </cell>
          <cell r="G25">
            <v>2713.9389700000002</v>
          </cell>
          <cell r="H25">
            <v>0</v>
          </cell>
          <cell r="I25">
            <v>0</v>
          </cell>
          <cell r="J25">
            <v>3116.3912099999998</v>
          </cell>
          <cell r="M25">
            <v>9.7030931711196922E-2</v>
          </cell>
        </row>
        <row r="38">
          <cell r="F38">
            <v>42436</v>
          </cell>
          <cell r="G38">
            <v>849.99991</v>
          </cell>
          <cell r="H38">
            <v>157.75067000000001</v>
          </cell>
          <cell r="I38">
            <v>7.5178100000000008</v>
          </cell>
          <cell r="J38">
            <v>412.5</v>
          </cell>
          <cell r="M38">
            <v>-0.13732448406517506</v>
          </cell>
        </row>
        <row r="44">
          <cell r="F44">
            <v>42986</v>
          </cell>
          <cell r="G44">
            <v>999.99874</v>
          </cell>
          <cell r="H44">
            <v>0</v>
          </cell>
          <cell r="I44">
            <v>0</v>
          </cell>
          <cell r="J44">
            <v>999.99874</v>
          </cell>
          <cell r="M44">
            <v>-2.9802322387695314E-9</v>
          </cell>
        </row>
        <row r="52">
          <cell r="F52">
            <v>42386</v>
          </cell>
          <cell r="G52">
            <v>1449.9992299999999</v>
          </cell>
          <cell r="H52">
            <v>0</v>
          </cell>
          <cell r="I52">
            <v>0</v>
          </cell>
          <cell r="J52">
            <v>1769.6569</v>
          </cell>
          <cell r="M52">
            <v>0.11023567318916322</v>
          </cell>
        </row>
        <row r="62">
          <cell r="F62">
            <v>42857</v>
          </cell>
          <cell r="G62">
            <v>1000</v>
          </cell>
          <cell r="H62">
            <v>0</v>
          </cell>
          <cell r="I62">
            <v>0</v>
          </cell>
          <cell r="J62">
            <v>0</v>
          </cell>
          <cell r="M62" t="str">
            <v>NM</v>
          </cell>
        </row>
        <row r="69">
          <cell r="F69">
            <v>42669</v>
          </cell>
          <cell r="G69">
            <v>660</v>
          </cell>
          <cell r="H69">
            <v>0</v>
          </cell>
          <cell r="I69">
            <v>0</v>
          </cell>
          <cell r="J69">
            <v>330</v>
          </cell>
          <cell r="M69">
            <v>-0.24805803820490846</v>
          </cell>
        </row>
        <row r="77">
          <cell r="F77">
            <v>42689</v>
          </cell>
          <cell r="G77">
            <v>2322.2993900000001</v>
          </cell>
          <cell r="H77">
            <v>0</v>
          </cell>
          <cell r="I77">
            <v>0</v>
          </cell>
          <cell r="J77">
            <v>5583.9775099999997</v>
          </cell>
          <cell r="M77">
            <v>0.59246349930763242</v>
          </cell>
        </row>
        <row r="86">
          <cell r="F86">
            <v>42186</v>
          </cell>
          <cell r="G86">
            <v>2477.5537199999999</v>
          </cell>
          <cell r="H86">
            <v>0</v>
          </cell>
          <cell r="I86">
            <v>0</v>
          </cell>
          <cell r="J86">
            <v>3066.0472500000001</v>
          </cell>
          <cell r="M86">
            <v>8.2138767838478122E-2</v>
          </cell>
        </row>
        <row r="97">
          <cell r="F97">
            <v>42328</v>
          </cell>
          <cell r="G97">
            <v>2525.3580400000001</v>
          </cell>
          <cell r="H97">
            <v>0</v>
          </cell>
          <cell r="I97">
            <v>0</v>
          </cell>
          <cell r="J97">
            <v>4933.24694</v>
          </cell>
          <cell r="M97">
            <v>0.30478298068046572</v>
          </cell>
        </row>
        <row r="99">
          <cell r="G99">
            <v>17634.14674</v>
          </cell>
          <cell r="H99">
            <v>3596.7541499999998</v>
          </cell>
          <cell r="K99">
            <v>36481.070549999989</v>
          </cell>
          <cell r="T99">
            <v>7794.9983199999997</v>
          </cell>
          <cell r="U99">
            <v>9689.1487499999985</v>
          </cell>
        </row>
        <row r="153">
          <cell r="J153">
            <v>18201.566500000001</v>
          </cell>
          <cell r="K153">
            <v>18642.816500000001</v>
          </cell>
        </row>
        <row r="154">
          <cell r="J154">
            <v>30960.048719999999</v>
          </cell>
          <cell r="K154">
            <v>35002.322999999997</v>
          </cell>
        </row>
        <row r="156">
          <cell r="J156">
            <v>0.23607909083366396</v>
          </cell>
          <cell r="K156">
            <v>0.28357045054435726</v>
          </cell>
        </row>
      </sheetData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Check"/>
      <sheetName val="Review Checklist"/>
      <sheetName val="Bal Sht"/>
      <sheetName val="Operations"/>
      <sheetName val="Cash Flows"/>
      <sheetName val="Portfolio"/>
      <sheetName val="Investment Rollforward"/>
      <sheetName val="Treasury Status"/>
      <sheetName val="Cap Call Receivable"/>
      <sheetName val="Escrow Receivable"/>
      <sheetName val="Current Asset Detail"/>
      <sheetName val="2018-19 Insurance Amortization"/>
      <sheetName val="2019-20 Insurance Amortization"/>
      <sheetName val="Liability Detail"/>
      <sheetName val="Deferred Capital Calls"/>
      <sheetName val="Syn Cost RF"/>
      <sheetName val="Interest Accrual"/>
      <sheetName val="Income Detail"/>
      <sheetName val="Mgmt Fee Calc - 3Q19"/>
      <sheetName val="Mgmt Fee Summary"/>
      <sheetName val="Prof Fee RF"/>
      <sheetName val="Other Exp RF"/>
      <sheetName val="Investments by Period"/>
      <sheetName val="Unrealized by Period"/>
      <sheetName val="Ptr Cap"/>
      <sheetName val="Cap AC"/>
      <sheetName val="IRR Summary"/>
      <sheetName val="Net IRR All Ptrs"/>
      <sheetName val="Net IRR LPs On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F14">
            <v>43301</v>
          </cell>
          <cell r="G14">
            <v>250</v>
          </cell>
          <cell r="H14">
            <v>0</v>
          </cell>
          <cell r="I14">
            <v>0</v>
          </cell>
          <cell r="J14">
            <v>250</v>
          </cell>
          <cell r="M14">
            <v>-2.9802322387695314E-9</v>
          </cell>
        </row>
        <row r="20">
          <cell r="F20">
            <v>43073</v>
          </cell>
          <cell r="G20">
            <v>1800</v>
          </cell>
          <cell r="H20">
            <v>4900.6596500000005</v>
          </cell>
          <cell r="I20">
            <v>635.18783999999994</v>
          </cell>
          <cell r="J20">
            <v>0</v>
          </cell>
          <cell r="M20">
            <v>4.5354362964630139</v>
          </cell>
        </row>
        <row r="25">
          <cell r="F25">
            <v>43545</v>
          </cell>
          <cell r="G25">
            <v>999.99979000000008</v>
          </cell>
          <cell r="H25">
            <v>0</v>
          </cell>
          <cell r="I25">
            <v>0</v>
          </cell>
          <cell r="J25">
            <v>999.99979000000008</v>
          </cell>
          <cell r="M25">
            <v>-2.9802322387695314E-9</v>
          </cell>
        </row>
        <row r="30">
          <cell r="F30">
            <v>43544</v>
          </cell>
          <cell r="G30">
            <v>549.99992000000009</v>
          </cell>
          <cell r="H30">
            <v>0</v>
          </cell>
          <cell r="I30">
            <v>0</v>
          </cell>
          <cell r="J30">
            <v>549.99992000000009</v>
          </cell>
          <cell r="M30">
            <v>-2.9802322387695314E-9</v>
          </cell>
        </row>
        <row r="35">
          <cell r="F35">
            <v>43685</v>
          </cell>
          <cell r="G35">
            <v>1750</v>
          </cell>
          <cell r="H35">
            <v>0</v>
          </cell>
          <cell r="I35">
            <v>0</v>
          </cell>
          <cell r="J35">
            <v>1750</v>
          </cell>
          <cell r="M35">
            <v>-2.9802322387695314E-9</v>
          </cell>
        </row>
        <row r="40">
          <cell r="F40">
            <v>43314</v>
          </cell>
          <cell r="G40">
            <v>250</v>
          </cell>
          <cell r="H40">
            <v>0</v>
          </cell>
          <cell r="I40">
            <v>0</v>
          </cell>
          <cell r="J40">
            <v>432.5</v>
          </cell>
          <cell r="M40">
            <v>0.60295659899711618</v>
          </cell>
        </row>
        <row r="45">
          <cell r="F45">
            <v>43145</v>
          </cell>
          <cell r="G45">
            <v>605.19822999999997</v>
          </cell>
          <cell r="H45">
            <v>0</v>
          </cell>
          <cell r="I45">
            <v>0</v>
          </cell>
          <cell r="J45">
            <v>605.19822999999997</v>
          </cell>
          <cell r="M45">
            <v>-2.9802322387695314E-9</v>
          </cell>
        </row>
        <row r="50">
          <cell r="F50">
            <v>43455</v>
          </cell>
          <cell r="G50">
            <v>1500</v>
          </cell>
          <cell r="H50">
            <v>0</v>
          </cell>
          <cell r="I50">
            <v>0</v>
          </cell>
          <cell r="J50">
            <v>1500</v>
          </cell>
          <cell r="M50">
            <v>-2.9802322387695314E-9</v>
          </cell>
        </row>
        <row r="55">
          <cell r="F55">
            <v>43497</v>
          </cell>
          <cell r="G55">
            <v>100</v>
          </cell>
          <cell r="H55">
            <v>0</v>
          </cell>
          <cell r="I55">
            <v>0</v>
          </cell>
          <cell r="J55">
            <v>100</v>
          </cell>
          <cell r="M55">
            <v>-2.9802322387695314E-9</v>
          </cell>
        </row>
        <row r="60">
          <cell r="F60">
            <v>43642</v>
          </cell>
          <cell r="G60">
            <v>2000</v>
          </cell>
          <cell r="H60">
            <v>0</v>
          </cell>
          <cell r="I60">
            <v>0</v>
          </cell>
          <cell r="J60">
            <v>2000</v>
          </cell>
          <cell r="M60">
            <v>-2.9802322387695314E-9</v>
          </cell>
        </row>
        <row r="67">
          <cell r="F67">
            <v>43315</v>
          </cell>
          <cell r="G67">
            <v>849.75463999999999</v>
          </cell>
          <cell r="H67">
            <v>0</v>
          </cell>
          <cell r="I67">
            <v>0</v>
          </cell>
          <cell r="J67">
            <v>849.75463999999999</v>
          </cell>
          <cell r="M67">
            <v>-2.9802322387695314E-9</v>
          </cell>
        </row>
        <row r="72">
          <cell r="F72">
            <v>43325</v>
          </cell>
          <cell r="G72">
            <v>2499.9981299999999</v>
          </cell>
          <cell r="H72">
            <v>0</v>
          </cell>
          <cell r="I72">
            <v>0</v>
          </cell>
          <cell r="J72">
            <v>2499.9981299999999</v>
          </cell>
          <cell r="M72">
            <v>-2.9802322387695314E-9</v>
          </cell>
        </row>
        <row r="74">
          <cell r="G74">
            <v>13154.950709999999</v>
          </cell>
          <cell r="H74">
            <v>4900.6596500000005</v>
          </cell>
          <cell r="I74">
            <v>635.18783999999994</v>
          </cell>
          <cell r="K74">
            <v>17073.298199999997</v>
          </cell>
          <cell r="T74">
            <v>13154.950710000001</v>
          </cell>
          <cell r="U74">
            <v>0</v>
          </cell>
        </row>
        <row r="99">
          <cell r="J99">
            <v>10742.983</v>
          </cell>
          <cell r="K99">
            <v>11034.237999999999</v>
          </cell>
        </row>
        <row r="100">
          <cell r="J100">
            <v>12264.142</v>
          </cell>
          <cell r="K100">
            <v>12987.237999999999</v>
          </cell>
        </row>
        <row r="102">
          <cell r="J102">
            <v>0.14631531834602357</v>
          </cell>
          <cell r="K102">
            <v>0.18243784308433533</v>
          </cell>
        </row>
      </sheetData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56"/>
  <sheetViews>
    <sheetView workbookViewId="0">
      <selection activeCell="B45" sqref="B45"/>
    </sheetView>
  </sheetViews>
  <sheetFormatPr defaultColWidth="10.6640625" defaultRowHeight="15.7" x14ac:dyDescent="0.55000000000000004"/>
  <cols>
    <col min="1" max="1" width="2.33203125" customWidth="1"/>
    <col min="2" max="2" width="37.83203125" customWidth="1"/>
    <col min="3" max="4" width="22.33203125" style="1" customWidth="1"/>
    <col min="5" max="5" width="18.1640625" style="1" customWidth="1"/>
    <col min="6" max="6" width="17.83203125" customWidth="1"/>
    <col min="7" max="7" width="11.1640625" bestFit="1" customWidth="1"/>
    <col min="10" max="10" width="12" customWidth="1"/>
    <col min="11" max="11" width="12.83203125" customWidth="1"/>
    <col min="12" max="12" width="19.33203125" customWidth="1"/>
  </cols>
  <sheetData>
    <row r="1" spans="2:11" ht="16" thickBot="1" x14ac:dyDescent="0.6"/>
    <row r="2" spans="2:11" x14ac:dyDescent="0.55000000000000004">
      <c r="B2" s="60" t="s">
        <v>49</v>
      </c>
      <c r="C2" s="61"/>
      <c r="D2" s="61"/>
      <c r="E2" s="61"/>
      <c r="F2" s="62"/>
    </row>
    <row r="3" spans="2:11" x14ac:dyDescent="0.55000000000000004">
      <c r="B3" s="63"/>
      <c r="C3" s="64" t="s">
        <v>0</v>
      </c>
      <c r="D3" s="64" t="s">
        <v>1</v>
      </c>
      <c r="E3" s="64" t="s">
        <v>55</v>
      </c>
      <c r="F3" s="65"/>
    </row>
    <row r="4" spans="2:11" x14ac:dyDescent="0.55000000000000004">
      <c r="B4" s="66" t="s">
        <v>32</v>
      </c>
      <c r="C4" s="67">
        <f>21125000</f>
        <v>21125000</v>
      </c>
      <c r="D4" s="67">
        <f>37885000</f>
        <v>37885000</v>
      </c>
      <c r="E4" s="68">
        <f>75000000</f>
        <v>75000000</v>
      </c>
      <c r="F4" s="69"/>
      <c r="J4" s="31" t="s">
        <v>54</v>
      </c>
    </row>
    <row r="5" spans="2:11" x14ac:dyDescent="0.55000000000000004">
      <c r="B5" s="66" t="s">
        <v>2</v>
      </c>
      <c r="C5" s="70">
        <v>10</v>
      </c>
      <c r="D5" s="70">
        <v>14</v>
      </c>
      <c r="E5" s="71">
        <v>21</v>
      </c>
      <c r="F5" s="69"/>
      <c r="H5" s="7" t="s">
        <v>37</v>
      </c>
      <c r="I5" s="7" t="s">
        <v>38</v>
      </c>
      <c r="J5" s="7" t="s">
        <v>39</v>
      </c>
    </row>
    <row r="6" spans="2:11" x14ac:dyDescent="0.55000000000000004">
      <c r="B6" s="66" t="s">
        <v>50</v>
      </c>
      <c r="C6" s="70">
        <v>5</v>
      </c>
      <c r="D6" s="70">
        <v>7</v>
      </c>
      <c r="E6" s="71">
        <v>10</v>
      </c>
      <c r="F6" s="69"/>
      <c r="G6" s="21" t="s">
        <v>0</v>
      </c>
      <c r="H6" s="34">
        <v>42124</v>
      </c>
      <c r="I6" s="34">
        <v>42943</v>
      </c>
      <c r="J6" s="23">
        <f>ROUNDDOWN((I6-H6)/30,0)</f>
        <v>27</v>
      </c>
      <c r="K6" t="s">
        <v>47</v>
      </c>
    </row>
    <row r="7" spans="2:11" x14ac:dyDescent="0.55000000000000004">
      <c r="B7" s="66" t="s">
        <v>40</v>
      </c>
      <c r="C7" s="72">
        <f>J6</f>
        <v>27</v>
      </c>
      <c r="D7" s="72">
        <f>J7</f>
        <v>27</v>
      </c>
      <c r="E7" s="72">
        <f>J8</f>
        <v>30</v>
      </c>
      <c r="F7" s="69"/>
      <c r="G7" s="22" t="s">
        <v>1</v>
      </c>
      <c r="H7" s="34">
        <v>43048</v>
      </c>
      <c r="I7" s="34">
        <v>43861</v>
      </c>
      <c r="J7" s="23">
        <f>ROUNDDOWN((I7-H7)/30,0)</f>
        <v>27</v>
      </c>
    </row>
    <row r="8" spans="2:11" x14ac:dyDescent="0.55000000000000004">
      <c r="B8" s="63"/>
      <c r="C8" s="70"/>
      <c r="D8" s="70"/>
      <c r="E8" s="70"/>
      <c r="F8" s="69"/>
      <c r="G8" s="21" t="s">
        <v>36</v>
      </c>
      <c r="H8" s="6">
        <f>I7+1</f>
        <v>43862</v>
      </c>
      <c r="I8" s="6">
        <f>H8+J8*30.4</f>
        <v>44774</v>
      </c>
      <c r="J8" s="24">
        <v>30</v>
      </c>
    </row>
    <row r="9" spans="2:11" x14ac:dyDescent="0.55000000000000004">
      <c r="B9" s="66" t="s">
        <v>53</v>
      </c>
      <c r="C9" s="73">
        <f>C5/(C7/12)</f>
        <v>4.4444444444444446</v>
      </c>
      <c r="D9" s="73">
        <f>D5/(D7/12)</f>
        <v>6.2222222222222223</v>
      </c>
      <c r="E9" s="73">
        <f>E5/(E7/12)</f>
        <v>8.4</v>
      </c>
      <c r="F9" s="69"/>
      <c r="G9" s="21"/>
      <c r="H9" s="6"/>
      <c r="I9" s="6"/>
      <c r="J9" s="30"/>
    </row>
    <row r="10" spans="2:11" x14ac:dyDescent="0.55000000000000004">
      <c r="B10" s="66" t="s">
        <v>52</v>
      </c>
      <c r="C10" s="74">
        <f>180/(C7/12)</f>
        <v>80</v>
      </c>
      <c r="D10" s="75">
        <f>479/(D7/12)</f>
        <v>212.88888888888889</v>
      </c>
      <c r="E10" s="76">
        <v>200</v>
      </c>
      <c r="F10" s="69"/>
      <c r="G10" s="21"/>
      <c r="H10" s="6"/>
      <c r="I10" s="6"/>
      <c r="J10" s="30"/>
    </row>
    <row r="11" spans="2:11" x14ac:dyDescent="0.55000000000000004">
      <c r="B11" s="63"/>
      <c r="C11" s="70"/>
      <c r="D11" s="70"/>
      <c r="E11" s="70"/>
      <c r="F11" s="69"/>
      <c r="G11" s="21"/>
      <c r="H11" s="6"/>
      <c r="I11" s="6"/>
      <c r="J11" s="30"/>
    </row>
    <row r="12" spans="2:11" ht="16" thickBot="1" x14ac:dyDescent="0.6">
      <c r="B12" s="66" t="s">
        <v>51</v>
      </c>
      <c r="C12" s="72">
        <v>2</v>
      </c>
      <c r="D12" s="72">
        <v>3</v>
      </c>
      <c r="E12" s="77">
        <v>4</v>
      </c>
      <c r="F12" s="69"/>
      <c r="G12" s="21"/>
      <c r="H12" s="6"/>
      <c r="I12" s="6"/>
      <c r="J12" s="30"/>
    </row>
    <row r="13" spans="2:11" x14ac:dyDescent="0.55000000000000004">
      <c r="B13" s="66" t="s">
        <v>61</v>
      </c>
      <c r="C13" s="35">
        <f>C9/C12</f>
        <v>2.2222222222222223</v>
      </c>
      <c r="D13" s="36">
        <f>D9/D12</f>
        <v>2.074074074074074</v>
      </c>
      <c r="E13" s="37">
        <f>E9/E12</f>
        <v>2.1</v>
      </c>
      <c r="F13" s="69"/>
    </row>
    <row r="14" spans="2:11" s="14" customFormat="1" ht="16" thickBot="1" x14ac:dyDescent="0.6">
      <c r="B14" s="66" t="s">
        <v>48</v>
      </c>
      <c r="C14" s="38">
        <f>C6/C12</f>
        <v>2.5</v>
      </c>
      <c r="D14" s="39">
        <f>D6/D12</f>
        <v>2.3333333333333335</v>
      </c>
      <c r="E14" s="40">
        <f>E6/E12</f>
        <v>2.5</v>
      </c>
      <c r="F14" s="69"/>
    </row>
    <row r="15" spans="2:11" s="14" customFormat="1" x14ac:dyDescent="0.55000000000000004">
      <c r="B15" s="66"/>
      <c r="C15" s="73"/>
      <c r="D15" s="73"/>
      <c r="E15" s="73"/>
      <c r="F15" s="69"/>
    </row>
    <row r="16" spans="2:11" s="14" customFormat="1" x14ac:dyDescent="0.55000000000000004">
      <c r="B16" s="66" t="s">
        <v>248</v>
      </c>
      <c r="C16" s="4">
        <f>C33</f>
        <v>1808000</v>
      </c>
      <c r="D16" s="4">
        <f t="shared" ref="D16:E16" si="0">D33</f>
        <v>2891667</v>
      </c>
      <c r="E16" s="4">
        <f t="shared" si="0"/>
        <v>3502328.5282021039</v>
      </c>
      <c r="F16" s="69"/>
    </row>
    <row r="17" spans="2:12" s="14" customFormat="1" x14ac:dyDescent="0.55000000000000004">
      <c r="B17" s="66" t="s">
        <v>249</v>
      </c>
      <c r="C17" s="4">
        <f>C41</f>
        <v>4354800</v>
      </c>
      <c r="D17" s="4">
        <f t="shared" ref="D17:E17" si="1">D41</f>
        <v>5450000</v>
      </c>
      <c r="E17" s="4">
        <f t="shared" si="1"/>
        <v>5535695.2954474259</v>
      </c>
      <c r="F17" s="69"/>
    </row>
    <row r="18" spans="2:12" s="14" customFormat="1" x14ac:dyDescent="0.55000000000000004">
      <c r="B18" s="63"/>
      <c r="C18" s="70"/>
      <c r="D18" s="70"/>
      <c r="E18" s="70"/>
      <c r="F18" s="69"/>
    </row>
    <row r="19" spans="2:12" s="14" customFormat="1" x14ac:dyDescent="0.55000000000000004">
      <c r="B19" s="66" t="s">
        <v>41</v>
      </c>
      <c r="C19" s="4">
        <v>959000</v>
      </c>
      <c r="D19" s="4">
        <v>1841667</v>
      </c>
      <c r="E19" s="4">
        <f>E31*E32</f>
        <v>2430000</v>
      </c>
      <c r="F19" s="69"/>
    </row>
    <row r="20" spans="2:12" x14ac:dyDescent="0.55000000000000004">
      <c r="B20" s="66" t="s">
        <v>42</v>
      </c>
      <c r="C20" s="4">
        <v>600000</v>
      </c>
      <c r="D20" s="4">
        <v>416794</v>
      </c>
      <c r="E20" s="67">
        <f>E39*E40</f>
        <v>720000</v>
      </c>
      <c r="F20" s="69"/>
    </row>
    <row r="21" spans="2:12" x14ac:dyDescent="0.55000000000000004">
      <c r="B21" s="66"/>
      <c r="C21" s="4"/>
      <c r="D21" s="4"/>
      <c r="E21" s="78"/>
      <c r="F21" s="79"/>
    </row>
    <row r="22" spans="2:12" x14ac:dyDescent="0.55000000000000004">
      <c r="B22" s="66" t="s">
        <v>43</v>
      </c>
      <c r="C22" s="80">
        <v>0.13820342528337529</v>
      </c>
      <c r="D22" s="80">
        <v>0.14387692605396823</v>
      </c>
      <c r="E22" s="81">
        <v>0.15</v>
      </c>
      <c r="F22" s="69"/>
    </row>
    <row r="23" spans="2:12" x14ac:dyDescent="0.55000000000000004">
      <c r="B23" s="66" t="s">
        <v>44</v>
      </c>
      <c r="C23" s="80">
        <v>4.8275543278572364E-2</v>
      </c>
      <c r="D23" s="80">
        <v>4.1545251403563563E-2</v>
      </c>
      <c r="E23" s="81">
        <v>0.05</v>
      </c>
      <c r="F23" s="69"/>
    </row>
    <row r="24" spans="2:12" x14ac:dyDescent="0.55000000000000004">
      <c r="B24" s="63"/>
      <c r="C24" s="70"/>
      <c r="D24" s="70"/>
      <c r="E24" s="70"/>
      <c r="F24" s="69"/>
    </row>
    <row r="25" spans="2:12" x14ac:dyDescent="0.55000000000000004">
      <c r="B25" s="66" t="s">
        <v>168</v>
      </c>
      <c r="C25" s="70">
        <v>9</v>
      </c>
      <c r="D25" s="70">
        <v>8</v>
      </c>
      <c r="E25" s="71">
        <v>8</v>
      </c>
      <c r="F25" s="69"/>
    </row>
    <row r="26" spans="2:12" x14ac:dyDescent="0.55000000000000004">
      <c r="B26" s="66" t="s">
        <v>5</v>
      </c>
      <c r="C26" s="82">
        <f>C25/C5</f>
        <v>0.9</v>
      </c>
      <c r="D26" s="82">
        <f>D25/D5</f>
        <v>0.5714285714285714</v>
      </c>
      <c r="E26" s="87">
        <f>E25/E5</f>
        <v>0.38095238095238093</v>
      </c>
      <c r="F26" s="69"/>
    </row>
    <row r="27" spans="2:12" ht="16" thickBot="1" x14ac:dyDescent="0.6">
      <c r="B27" s="83" t="s">
        <v>6</v>
      </c>
      <c r="C27" s="84">
        <f>9/10</f>
        <v>0.9</v>
      </c>
      <c r="D27" s="84">
        <v>1</v>
      </c>
      <c r="E27" s="85" t="s">
        <v>246</v>
      </c>
      <c r="F27" s="86"/>
      <c r="J27" s="17" t="s">
        <v>18</v>
      </c>
      <c r="K27" s="17" t="s">
        <v>19</v>
      </c>
      <c r="L27" s="17" t="s">
        <v>20</v>
      </c>
    </row>
    <row r="28" spans="2:12" x14ac:dyDescent="0.55000000000000004">
      <c r="B28" s="20" t="s">
        <v>35</v>
      </c>
      <c r="C28" s="19"/>
      <c r="F28" s="1"/>
      <c r="G28" s="9"/>
      <c r="I28" t="s">
        <v>23</v>
      </c>
      <c r="J28" s="9">
        <f>C6*C19+(C5-C6)*C20</f>
        <v>7795000</v>
      </c>
      <c r="K28" s="9">
        <f>D6*D19+(D5-D6)*D20</f>
        <v>15809227</v>
      </c>
      <c r="L28" s="9">
        <f>L36</f>
        <v>32142857.142857142</v>
      </c>
    </row>
    <row r="29" spans="2:12" x14ac:dyDescent="0.55000000000000004">
      <c r="G29" s="9"/>
      <c r="I29" t="s">
        <v>24</v>
      </c>
      <c r="J29" s="9">
        <f>C50*J28</f>
        <v>8638000</v>
      </c>
      <c r="K29" s="9">
        <f>D50*K28</f>
        <v>17390149.700000003</v>
      </c>
      <c r="L29" s="9">
        <f>L37</f>
        <v>35357142.857142858</v>
      </c>
    </row>
    <row r="30" spans="2:12" x14ac:dyDescent="0.55000000000000004">
      <c r="B30" s="2" t="s">
        <v>27</v>
      </c>
      <c r="C30" s="16">
        <v>4900000</v>
      </c>
      <c r="D30" s="16">
        <v>10962388</v>
      </c>
      <c r="E30" s="3">
        <f>E32-E19</f>
        <v>11070000</v>
      </c>
      <c r="F30" s="9"/>
      <c r="G30" s="9"/>
      <c r="I30" t="s">
        <v>21</v>
      </c>
      <c r="J30" s="9">
        <f>J29+J28</f>
        <v>16433000</v>
      </c>
      <c r="K30" s="9">
        <f>K29+K28</f>
        <v>33199376.700000003</v>
      </c>
      <c r="L30" s="9">
        <f>E47</f>
        <v>67500000</v>
      </c>
    </row>
    <row r="31" spans="2:12" x14ac:dyDescent="0.55000000000000004">
      <c r="B31" s="2" t="s">
        <v>14</v>
      </c>
      <c r="C31" s="123">
        <v>0.15123566874616437</v>
      </c>
      <c r="D31" s="123">
        <v>0.13760588640955865</v>
      </c>
      <c r="E31" s="15">
        <v>0.18</v>
      </c>
      <c r="G31" s="9"/>
      <c r="J31" s="9"/>
      <c r="K31" s="9"/>
      <c r="L31" s="9"/>
    </row>
    <row r="32" spans="2:12" x14ac:dyDescent="0.55000000000000004">
      <c r="B32" s="2" t="s">
        <v>15</v>
      </c>
      <c r="C32" s="4">
        <f>C19/C31</f>
        <v>6341096.6999431616</v>
      </c>
      <c r="D32" s="4">
        <f>D19/D31</f>
        <v>13383635.308438888</v>
      </c>
      <c r="E32" s="16">
        <v>13500000</v>
      </c>
      <c r="F32" t="s">
        <v>13</v>
      </c>
      <c r="G32" s="9"/>
      <c r="J32" s="9"/>
      <c r="K32" s="9"/>
      <c r="L32" s="9"/>
    </row>
    <row r="33" spans="2:12" x14ac:dyDescent="0.55000000000000004">
      <c r="B33" s="2" t="s">
        <v>3</v>
      </c>
      <c r="C33" s="16">
        <v>1808000</v>
      </c>
      <c r="D33" s="16">
        <v>2891667</v>
      </c>
      <c r="E33" s="3">
        <f>E30*E35</f>
        <v>3502328.5282021039</v>
      </c>
      <c r="G33" s="9"/>
      <c r="J33" s="9"/>
      <c r="K33" s="9"/>
      <c r="L33" s="9"/>
    </row>
    <row r="34" spans="2:12" x14ac:dyDescent="0.55000000000000004">
      <c r="B34" s="2" t="s">
        <v>28</v>
      </c>
      <c r="C34" s="5">
        <f>C19/C33</f>
        <v>0.53042035398230092</v>
      </c>
      <c r="D34" s="5">
        <f>D19/D33</f>
        <v>0.63688764992649571</v>
      </c>
      <c r="E34" s="10">
        <f>AVERAGE(C34:D34)</f>
        <v>0.58365400195439832</v>
      </c>
      <c r="F34" t="s">
        <v>13</v>
      </c>
      <c r="G34" s="9"/>
      <c r="I34" s="18" t="s">
        <v>33</v>
      </c>
      <c r="J34" s="9"/>
      <c r="K34" s="9"/>
      <c r="L34" s="9"/>
    </row>
    <row r="35" spans="2:12" x14ac:dyDescent="0.55000000000000004">
      <c r="B35" s="2" t="s">
        <v>29</v>
      </c>
      <c r="C35" s="5">
        <f>C33/C30</f>
        <v>0.36897959183673468</v>
      </c>
      <c r="D35" s="5">
        <f>D33/D30</f>
        <v>0.26378075652859578</v>
      </c>
      <c r="E35" s="10">
        <f>AVERAGE(C35:D35)</f>
        <v>0.31638017418266523</v>
      </c>
      <c r="F35" t="s">
        <v>13</v>
      </c>
      <c r="G35" s="9"/>
      <c r="J35" s="9"/>
      <c r="K35" s="9"/>
    </row>
    <row r="36" spans="2:12" x14ac:dyDescent="0.55000000000000004">
      <c r="B36" s="2"/>
      <c r="C36" s="3"/>
      <c r="D36" s="3"/>
      <c r="I36" s="2" t="s">
        <v>30</v>
      </c>
      <c r="J36" s="9">
        <f>J30/(1+C50)</f>
        <v>7795000</v>
      </c>
      <c r="K36" s="9">
        <f>K30/(1+D50)</f>
        <v>15809227</v>
      </c>
      <c r="L36" s="9">
        <f>L30/(1+E50)</f>
        <v>32142857.142857142</v>
      </c>
    </row>
    <row r="37" spans="2:12" x14ac:dyDescent="0.55000000000000004">
      <c r="I37" s="2" t="s">
        <v>31</v>
      </c>
      <c r="J37" s="9">
        <f>J30-J36</f>
        <v>8638000</v>
      </c>
      <c r="K37" s="9">
        <f>K30-K36</f>
        <v>17390149.700000003</v>
      </c>
      <c r="L37" s="9">
        <f>L30-L36</f>
        <v>35357142.857142858</v>
      </c>
    </row>
    <row r="38" spans="2:12" x14ac:dyDescent="0.55000000000000004">
      <c r="B38" s="2" t="s">
        <v>27</v>
      </c>
      <c r="C38" s="16">
        <v>13712323</v>
      </c>
      <c r="D38" s="16">
        <v>16866667</v>
      </c>
      <c r="E38" s="4">
        <f>E40-E20</f>
        <v>17280000</v>
      </c>
    </row>
    <row r="39" spans="2:12" x14ac:dyDescent="0.55000000000000004">
      <c r="B39" s="2" t="s">
        <v>17</v>
      </c>
      <c r="C39" s="123">
        <v>3.7368284853159163E-2</v>
      </c>
      <c r="D39" s="15">
        <v>2.8953082071054768E-2</v>
      </c>
      <c r="E39" s="15">
        <v>0.04</v>
      </c>
      <c r="I39" s="2" t="s">
        <v>25</v>
      </c>
      <c r="J39" s="9">
        <f>C6*C19</f>
        <v>4795000</v>
      </c>
      <c r="K39" s="9">
        <f>D6*D19</f>
        <v>12891669</v>
      </c>
      <c r="L39" s="9">
        <f>E6*E19</f>
        <v>24300000</v>
      </c>
    </row>
    <row r="40" spans="2:12" x14ac:dyDescent="0.55000000000000004">
      <c r="B40" s="2" t="s">
        <v>16</v>
      </c>
      <c r="C40" s="3">
        <f>C41+C38</f>
        <v>18067123</v>
      </c>
      <c r="D40" s="3">
        <f>D41+D38</f>
        <v>22316667</v>
      </c>
      <c r="E40" s="16">
        <v>18000000</v>
      </c>
      <c r="F40" s="13" t="s">
        <v>13</v>
      </c>
      <c r="I40" s="2" t="s">
        <v>26</v>
      </c>
      <c r="J40" s="9">
        <f>(C5-C6)*C20</f>
        <v>3000000</v>
      </c>
      <c r="K40" s="9">
        <f>(D5-D6)*D20</f>
        <v>2917558</v>
      </c>
      <c r="L40" s="9">
        <f>(E5-E6)*E20</f>
        <v>7920000</v>
      </c>
    </row>
    <row r="41" spans="2:12" x14ac:dyDescent="0.55000000000000004">
      <c r="B41" s="2" t="s">
        <v>4</v>
      </c>
      <c r="C41" s="16">
        <v>4354800</v>
      </c>
      <c r="D41" s="16">
        <v>5450000</v>
      </c>
      <c r="E41" s="3">
        <f>E38*E43</f>
        <v>5535695.2954474259</v>
      </c>
      <c r="I41" t="s">
        <v>22</v>
      </c>
      <c r="J41" s="9">
        <f>J40+J39</f>
        <v>7795000</v>
      </c>
      <c r="K41" s="9">
        <f t="shared" ref="K41:L41" si="2">K40+K39</f>
        <v>15809227</v>
      </c>
      <c r="L41" s="9">
        <f t="shared" si="2"/>
        <v>32220000</v>
      </c>
    </row>
    <row r="42" spans="2:12" x14ac:dyDescent="0.55000000000000004">
      <c r="B42" s="2" t="s">
        <v>28</v>
      </c>
      <c r="C42" s="5">
        <f>C20/C41</f>
        <v>0.13777900248002203</v>
      </c>
      <c r="D42" s="5">
        <f>D20/D41</f>
        <v>7.6475963302752289E-2</v>
      </c>
      <c r="E42" s="10">
        <f>AVERAGE(C42:D42)</f>
        <v>0.10712748289138715</v>
      </c>
      <c r="F42" t="s">
        <v>13</v>
      </c>
      <c r="I42" t="s">
        <v>34</v>
      </c>
      <c r="J42" s="9">
        <f>J41-J36</f>
        <v>0</v>
      </c>
      <c r="K42" s="9">
        <f t="shared" ref="K42:L42" si="3">K41-K36</f>
        <v>0</v>
      </c>
      <c r="L42" s="9">
        <f t="shared" si="3"/>
        <v>77142.857142858207</v>
      </c>
    </row>
    <row r="43" spans="2:12" x14ac:dyDescent="0.55000000000000004">
      <c r="B43" s="2" t="s">
        <v>29</v>
      </c>
      <c r="C43" s="5">
        <f>C41/C38</f>
        <v>0.31758295075167059</v>
      </c>
      <c r="D43" s="5">
        <f>D41/D38</f>
        <v>0.32312252325844815</v>
      </c>
      <c r="E43" s="10">
        <f>AVERAGE(C43:D43)</f>
        <v>0.3203527370050594</v>
      </c>
      <c r="F43" t="s">
        <v>13</v>
      </c>
    </row>
    <row r="45" spans="2:12" x14ac:dyDescent="0.55000000000000004">
      <c r="B45" s="2"/>
      <c r="C45" s="3"/>
      <c r="D45" s="3"/>
    </row>
    <row r="46" spans="2:12" x14ac:dyDescent="0.55000000000000004">
      <c r="B46" s="2"/>
      <c r="C46" s="3"/>
      <c r="D46" s="3"/>
    </row>
    <row r="47" spans="2:12" x14ac:dyDescent="0.55000000000000004">
      <c r="B47" s="2" t="s">
        <v>11</v>
      </c>
      <c r="C47" s="68">
        <f>16433*1000</f>
        <v>16433000</v>
      </c>
      <c r="D47" s="124">
        <f>33885.80032125*1000</f>
        <v>33885800.321249999</v>
      </c>
      <c r="E47" s="3">
        <f>E49*E4</f>
        <v>67500000</v>
      </c>
      <c r="F47" s="13" t="s">
        <v>13</v>
      </c>
    </row>
    <row r="48" spans="2:12" x14ac:dyDescent="0.55000000000000004">
      <c r="B48" s="2" t="s">
        <v>12</v>
      </c>
      <c r="C48" s="68">
        <v>700000</v>
      </c>
      <c r="D48" s="124">
        <v>4900000</v>
      </c>
      <c r="E48" s="3">
        <f>ROUND((D48/D4)*E4,-3)</f>
        <v>9700000</v>
      </c>
      <c r="F48" t="s">
        <v>13</v>
      </c>
    </row>
    <row r="49" spans="2:6" x14ac:dyDescent="0.55000000000000004">
      <c r="B49" s="2" t="s">
        <v>10</v>
      </c>
      <c r="C49" s="12">
        <f>C47/C4</f>
        <v>0.77789349112426032</v>
      </c>
      <c r="D49" s="10">
        <f>D47/D4</f>
        <v>0.89443844057674537</v>
      </c>
      <c r="E49" s="28">
        <v>0.9</v>
      </c>
      <c r="F49" t="s">
        <v>13</v>
      </c>
    </row>
    <row r="50" spans="2:6" x14ac:dyDescent="0.55000000000000004">
      <c r="B50" s="2" t="s">
        <v>7</v>
      </c>
      <c r="C50" s="11">
        <v>1.108146247594612</v>
      </c>
      <c r="D50" s="29">
        <v>1.1000000000000001</v>
      </c>
      <c r="E50" s="29">
        <v>1.1000000000000001</v>
      </c>
      <c r="F50" t="s">
        <v>13</v>
      </c>
    </row>
    <row r="52" spans="2:6" x14ac:dyDescent="0.55000000000000004">
      <c r="C52" s="8"/>
    </row>
    <row r="55" spans="2:6" x14ac:dyDescent="0.55000000000000004">
      <c r="B55" s="2" t="s">
        <v>8</v>
      </c>
    </row>
    <row r="56" spans="2:6" x14ac:dyDescent="0.55000000000000004">
      <c r="B56" s="2" t="s">
        <v>9</v>
      </c>
    </row>
  </sheetData>
  <phoneticPr fontId="9" type="noConversion"/>
  <pageMargins left="0.75" right="0.75" top="1" bottom="1" header="0.5" footer="0.5"/>
  <pageSetup scale="8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activeCell="C33" sqref="C33"/>
    </sheetView>
  </sheetViews>
  <sheetFormatPr defaultColWidth="10.6640625" defaultRowHeight="15.7" x14ac:dyDescent="0.55000000000000004"/>
  <cols>
    <col min="1" max="1" width="48" customWidth="1"/>
  </cols>
  <sheetData>
    <row r="1" spans="1:10" x14ac:dyDescent="0.55000000000000004">
      <c r="A1" s="18" t="s">
        <v>133</v>
      </c>
    </row>
    <row r="3" spans="1:10" x14ac:dyDescent="0.55000000000000004">
      <c r="A3" t="s">
        <v>116</v>
      </c>
      <c r="B3" s="26">
        <f>B22/C32</f>
        <v>2.068774355112347</v>
      </c>
    </row>
    <row r="4" spans="1:10" x14ac:dyDescent="0.55000000000000004">
      <c r="B4" s="26"/>
    </row>
    <row r="5" spans="1:10" x14ac:dyDescent="0.55000000000000004">
      <c r="A5" t="s">
        <v>117</v>
      </c>
      <c r="B5" s="26">
        <f>B34/B33</f>
        <v>1.700955174380183</v>
      </c>
    </row>
    <row r="6" spans="1:10" x14ac:dyDescent="0.55000000000000004">
      <c r="B6" s="26"/>
    </row>
    <row r="7" spans="1:10" x14ac:dyDescent="0.55000000000000004">
      <c r="A7" t="s">
        <v>118</v>
      </c>
      <c r="B7" s="27">
        <f>1.7/C33</f>
        <v>9.1187938260294504E-2</v>
      </c>
      <c r="D7" t="s">
        <v>119</v>
      </c>
    </row>
    <row r="8" spans="1:10" x14ac:dyDescent="0.55000000000000004">
      <c r="A8" t="s">
        <v>118</v>
      </c>
      <c r="B8" s="27">
        <f>(1.7+1)/C33</f>
        <v>0.14482790194282069</v>
      </c>
      <c r="D8" t="s">
        <v>121</v>
      </c>
    </row>
    <row r="9" spans="1:10" x14ac:dyDescent="0.55000000000000004">
      <c r="A9" t="s">
        <v>118</v>
      </c>
      <c r="B9" s="27">
        <f>(1.7+1+0.5+3.835)/C33</f>
        <v>0.37735714450657171</v>
      </c>
      <c r="D9" t="s">
        <v>122</v>
      </c>
      <c r="J9" t="s">
        <v>120</v>
      </c>
    </row>
    <row r="11" spans="1:10" x14ac:dyDescent="0.55000000000000004">
      <c r="A11" t="s">
        <v>136</v>
      </c>
      <c r="B11" s="25">
        <f>5/10</f>
        <v>0.5</v>
      </c>
    </row>
    <row r="12" spans="1:10" x14ac:dyDescent="0.55000000000000004">
      <c r="A12" t="s">
        <v>45</v>
      </c>
    </row>
    <row r="14" spans="1:10" x14ac:dyDescent="0.55000000000000004">
      <c r="A14" t="s">
        <v>113</v>
      </c>
      <c r="B14" s="49">
        <f>B35</f>
        <v>0.23607909083366396</v>
      </c>
    </row>
    <row r="17" spans="1:4" x14ac:dyDescent="0.55000000000000004">
      <c r="A17" t="s">
        <v>138</v>
      </c>
      <c r="B17" s="56">
        <f>C33</f>
        <v>18.642816500000002</v>
      </c>
    </row>
    <row r="18" spans="1:4" x14ac:dyDescent="0.55000000000000004">
      <c r="A18" t="s">
        <v>146</v>
      </c>
      <c r="B18" s="56">
        <f>21.125-B17</f>
        <v>2.4821834999999979</v>
      </c>
    </row>
    <row r="19" spans="1:4" x14ac:dyDescent="0.55000000000000004">
      <c r="A19" t="s">
        <v>139</v>
      </c>
      <c r="B19" s="56">
        <f>C32</f>
        <v>17.634146739999998</v>
      </c>
    </row>
    <row r="20" spans="1:4" x14ac:dyDescent="0.55000000000000004">
      <c r="A20" t="s">
        <v>140</v>
      </c>
      <c r="B20" s="57">
        <f>'[1]IRR Summary'!$T$99/1000</f>
        <v>7.7949983199999995</v>
      </c>
    </row>
    <row r="21" spans="1:4" x14ac:dyDescent="0.55000000000000004">
      <c r="A21" t="s">
        <v>141</v>
      </c>
      <c r="B21" s="57">
        <f>'[1]IRR Summary'!$U$99/1000</f>
        <v>9.6891487499999993</v>
      </c>
    </row>
    <row r="22" spans="1:4" x14ac:dyDescent="0.55000000000000004">
      <c r="A22" t="s">
        <v>142</v>
      </c>
      <c r="B22" s="58">
        <f>'[1]IRR Summary'!$K$99/1000</f>
        <v>36.481070549999991</v>
      </c>
      <c r="D22" t="s">
        <v>145</v>
      </c>
    </row>
    <row r="23" spans="1:4" x14ac:dyDescent="0.55000000000000004">
      <c r="A23" t="s">
        <v>150</v>
      </c>
      <c r="B23" s="57">
        <f>'[1]IRR Summary'!$H$99/1000+4.335</f>
        <v>7.9317541499999997</v>
      </c>
      <c r="D23" t="s">
        <v>131</v>
      </c>
    </row>
    <row r="24" spans="1:4" x14ac:dyDescent="0.55000000000000004">
      <c r="A24" t="s">
        <v>151</v>
      </c>
      <c r="B24" s="56">
        <f>B22-B23</f>
        <v>28.549316399999991</v>
      </c>
    </row>
    <row r="25" spans="1:4" x14ac:dyDescent="0.55000000000000004">
      <c r="B25" s="50"/>
    </row>
    <row r="31" spans="1:4" x14ac:dyDescent="0.55000000000000004">
      <c r="A31" s="52" t="s">
        <v>130</v>
      </c>
      <c r="B31" s="7" t="s">
        <v>114</v>
      </c>
      <c r="C31" s="18" t="s">
        <v>115</v>
      </c>
    </row>
    <row r="32" spans="1:4" x14ac:dyDescent="0.55000000000000004">
      <c r="A32" t="s">
        <v>139</v>
      </c>
      <c r="B32" s="59">
        <f>'[1]IRR Summary'!$G$99/1000</f>
        <v>17.634146739999998</v>
      </c>
      <c r="C32" s="59">
        <f>B32</f>
        <v>17.634146739999998</v>
      </c>
    </row>
    <row r="33" spans="1:3" x14ac:dyDescent="0.55000000000000004">
      <c r="A33" t="s">
        <v>143</v>
      </c>
      <c r="B33" s="59">
        <f>'[1]IRR Summary'!$J$153/1000</f>
        <v>18.201566500000002</v>
      </c>
      <c r="C33" s="59">
        <f>'[1]IRR Summary'!$K$153/1000</f>
        <v>18.642816500000002</v>
      </c>
    </row>
    <row r="34" spans="1:3" x14ac:dyDescent="0.55000000000000004">
      <c r="A34" t="s">
        <v>144</v>
      </c>
      <c r="B34" s="59">
        <f>'[1]IRR Summary'!$J$154/1000</f>
        <v>30.96004872</v>
      </c>
      <c r="C34" s="59">
        <f>'[1]IRR Summary'!$K$154/1000</f>
        <v>35.002322999999997</v>
      </c>
    </row>
    <row r="35" spans="1:3" x14ac:dyDescent="0.55000000000000004">
      <c r="A35" t="s">
        <v>46</v>
      </c>
      <c r="B35" s="53">
        <f>'[1]IRR Summary'!$J$156</f>
        <v>0.23607909083366396</v>
      </c>
      <c r="C35" s="53">
        <f>'[1]IRR Summary'!$K$156</f>
        <v>0.28357045054435726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workbookViewId="0">
      <selection activeCell="A26" sqref="A26"/>
    </sheetView>
  </sheetViews>
  <sheetFormatPr defaultColWidth="10.6640625" defaultRowHeight="15.7" x14ac:dyDescent="0.55000000000000004"/>
  <cols>
    <col min="1" max="1" width="48" customWidth="1"/>
    <col min="3" max="3" width="10.83203125" customWidth="1"/>
  </cols>
  <sheetData>
    <row r="1" spans="1:4" x14ac:dyDescent="0.55000000000000004">
      <c r="A1" s="18" t="s">
        <v>134</v>
      </c>
    </row>
    <row r="3" spans="1:4" x14ac:dyDescent="0.55000000000000004">
      <c r="A3" t="s">
        <v>123</v>
      </c>
      <c r="B3" s="54">
        <f>B22/C32</f>
        <v>1.297861054471408</v>
      </c>
    </row>
    <row r="4" spans="1:4" x14ac:dyDescent="0.55000000000000004">
      <c r="B4" s="2"/>
    </row>
    <row r="5" spans="1:4" x14ac:dyDescent="0.55000000000000004">
      <c r="A5" t="s">
        <v>117</v>
      </c>
      <c r="B5" s="54">
        <f>B34/B33</f>
        <v>1.1415955884878528</v>
      </c>
    </row>
    <row r="6" spans="1:4" x14ac:dyDescent="0.55000000000000004">
      <c r="B6" s="2"/>
    </row>
    <row r="7" spans="1:4" x14ac:dyDescent="0.55000000000000004">
      <c r="A7" t="s">
        <v>118</v>
      </c>
      <c r="B7" s="46">
        <v>0</v>
      </c>
      <c r="D7" t="s">
        <v>128</v>
      </c>
    </row>
    <row r="8" spans="1:4" x14ac:dyDescent="0.55000000000000004">
      <c r="A8" t="s">
        <v>118</v>
      </c>
      <c r="B8" s="46">
        <f>0.765/C33</f>
        <v>6.9329662818583396E-2</v>
      </c>
      <c r="D8" t="s">
        <v>129</v>
      </c>
    </row>
    <row r="9" spans="1:4" x14ac:dyDescent="0.55000000000000004">
      <c r="B9" s="2"/>
    </row>
    <row r="10" spans="1:4" x14ac:dyDescent="0.55000000000000004">
      <c r="B10" s="2"/>
    </row>
    <row r="11" spans="1:4" x14ac:dyDescent="0.55000000000000004">
      <c r="A11" t="s">
        <v>136</v>
      </c>
      <c r="B11" s="46">
        <f>6/14</f>
        <v>0.42857142857142855</v>
      </c>
      <c r="D11" t="s">
        <v>135</v>
      </c>
    </row>
    <row r="12" spans="1:4" x14ac:dyDescent="0.55000000000000004">
      <c r="A12" t="s">
        <v>137</v>
      </c>
      <c r="B12" s="2"/>
    </row>
    <row r="13" spans="1:4" x14ac:dyDescent="0.55000000000000004">
      <c r="B13" s="2"/>
    </row>
    <row r="14" spans="1:4" x14ac:dyDescent="0.55000000000000004">
      <c r="A14" t="s">
        <v>113</v>
      </c>
      <c r="B14" s="55">
        <f>B35</f>
        <v>0.14631531834602357</v>
      </c>
    </row>
    <row r="15" spans="1:4" x14ac:dyDescent="0.55000000000000004">
      <c r="B15" s="2"/>
    </row>
    <row r="16" spans="1:4" x14ac:dyDescent="0.55000000000000004">
      <c r="B16" s="2"/>
    </row>
    <row r="17" spans="1:4" x14ac:dyDescent="0.55000000000000004">
      <c r="A17" t="s">
        <v>138</v>
      </c>
      <c r="B17" s="56">
        <f>C33</f>
        <v>11.034238</v>
      </c>
    </row>
    <row r="18" spans="1:4" x14ac:dyDescent="0.55000000000000004">
      <c r="A18" t="s">
        <v>146</v>
      </c>
      <c r="B18" s="56">
        <f>37.885-B17</f>
        <v>26.850761999999996</v>
      </c>
    </row>
    <row r="19" spans="1:4" x14ac:dyDescent="0.55000000000000004">
      <c r="A19" t="s">
        <v>139</v>
      </c>
      <c r="B19" s="56">
        <f>C32</f>
        <v>13.15495071</v>
      </c>
    </row>
    <row r="20" spans="1:4" x14ac:dyDescent="0.55000000000000004">
      <c r="A20" t="s">
        <v>140</v>
      </c>
      <c r="B20" s="57">
        <f>'[2]IRR Summary'!$T$74/1000</f>
        <v>13.154950710000001</v>
      </c>
    </row>
    <row r="21" spans="1:4" x14ac:dyDescent="0.55000000000000004">
      <c r="A21" t="s">
        <v>141</v>
      </c>
      <c r="B21" s="57">
        <f>'[2]IRR Summary'!$U$74/1000</f>
        <v>0</v>
      </c>
    </row>
    <row r="22" spans="1:4" x14ac:dyDescent="0.55000000000000004">
      <c r="A22" t="s">
        <v>142</v>
      </c>
      <c r="B22" s="58">
        <f>'[2]IRR Summary'!$K$74/1000</f>
        <v>17.073298199999996</v>
      </c>
      <c r="D22" t="s">
        <v>145</v>
      </c>
    </row>
    <row r="23" spans="1:4" x14ac:dyDescent="0.55000000000000004">
      <c r="A23" t="s">
        <v>150</v>
      </c>
      <c r="B23" s="57">
        <f>SUM('[2]IRR Summary'!$H$74:$I$74)/1000</f>
        <v>5.5358474900000001</v>
      </c>
      <c r="D23" t="s">
        <v>132</v>
      </c>
    </row>
    <row r="24" spans="1:4" x14ac:dyDescent="0.55000000000000004">
      <c r="A24" t="s">
        <v>151</v>
      </c>
      <c r="B24" s="56">
        <f>B22-B23</f>
        <v>11.537450709999996</v>
      </c>
    </row>
    <row r="25" spans="1:4" x14ac:dyDescent="0.55000000000000004">
      <c r="B25" s="2"/>
    </row>
    <row r="26" spans="1:4" x14ac:dyDescent="0.55000000000000004">
      <c r="B26" s="2"/>
    </row>
    <row r="27" spans="1:4" x14ac:dyDescent="0.55000000000000004">
      <c r="B27" s="2"/>
    </row>
    <row r="28" spans="1:4" x14ac:dyDescent="0.55000000000000004">
      <c r="B28" s="2"/>
    </row>
    <row r="29" spans="1:4" x14ac:dyDescent="0.55000000000000004">
      <c r="B29" s="2"/>
    </row>
    <row r="31" spans="1:4" x14ac:dyDescent="0.55000000000000004">
      <c r="A31" s="52" t="s">
        <v>130</v>
      </c>
      <c r="B31" s="7" t="s">
        <v>114</v>
      </c>
      <c r="C31" s="7" t="s">
        <v>115</v>
      </c>
    </row>
    <row r="32" spans="1:4" x14ac:dyDescent="0.55000000000000004">
      <c r="A32" t="s">
        <v>139</v>
      </c>
      <c r="B32" s="59">
        <f>'[2]IRR Summary'!$G$74/1000</f>
        <v>13.15495071</v>
      </c>
      <c r="C32" s="59">
        <f>B32</f>
        <v>13.15495071</v>
      </c>
    </row>
    <row r="33" spans="1:3" x14ac:dyDescent="0.55000000000000004">
      <c r="A33" t="s">
        <v>143</v>
      </c>
      <c r="B33" s="59">
        <f>'[2]IRR Summary'!$J$99/1000</f>
        <v>10.742983000000001</v>
      </c>
      <c r="C33" s="59">
        <f>'[2]IRR Summary'!$K$99/1000</f>
        <v>11.034238</v>
      </c>
    </row>
    <row r="34" spans="1:3" x14ac:dyDescent="0.55000000000000004">
      <c r="A34" t="s">
        <v>144</v>
      </c>
      <c r="B34" s="59">
        <f>'[2]IRR Summary'!$J$100/1000</f>
        <v>12.264142</v>
      </c>
      <c r="C34" s="59">
        <f>'[2]IRR Summary'!$K$100/1000</f>
        <v>12.987238</v>
      </c>
    </row>
    <row r="35" spans="1:3" x14ac:dyDescent="0.55000000000000004">
      <c r="A35" t="s">
        <v>46</v>
      </c>
      <c r="B35" s="53">
        <f>'[2]IRR Summary'!$J$102</f>
        <v>0.14631531834602357</v>
      </c>
      <c r="C35" s="53">
        <f>'[2]IRR Summary'!$K$102</f>
        <v>0.18243784308433533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workbookViewId="0">
      <selection activeCell="G35" sqref="G35"/>
    </sheetView>
  </sheetViews>
  <sheetFormatPr defaultColWidth="10.6640625" defaultRowHeight="15.7" x14ac:dyDescent="0.55000000000000004"/>
  <cols>
    <col min="1" max="1" width="5.33203125" customWidth="1"/>
    <col min="2" max="2" width="7.33203125" style="1" customWidth="1"/>
    <col min="3" max="3" width="14.5" customWidth="1"/>
    <col min="4" max="4" width="11.33203125" customWidth="1"/>
    <col min="6" max="7" width="13.33203125" customWidth="1"/>
    <col min="8" max="8" width="14.33203125" customWidth="1"/>
    <col min="9" max="10" width="13.33203125" customWidth="1"/>
    <col min="12" max="12" width="8.1640625" customWidth="1"/>
    <col min="14" max="14" width="24.83203125" customWidth="1"/>
  </cols>
  <sheetData>
    <row r="1" spans="1:16" x14ac:dyDescent="0.55000000000000004">
      <c r="A1" s="32" t="s">
        <v>243</v>
      </c>
    </row>
    <row r="3" spans="1:16" s="88" customFormat="1" ht="16" thickBot="1" x14ac:dyDescent="0.6">
      <c r="B3" s="7" t="s">
        <v>242</v>
      </c>
      <c r="C3" s="7" t="s">
        <v>241</v>
      </c>
      <c r="D3" s="7" t="s">
        <v>221</v>
      </c>
      <c r="E3" s="7" t="s">
        <v>193</v>
      </c>
      <c r="F3" s="7" t="s">
        <v>229</v>
      </c>
      <c r="G3" s="7" t="s">
        <v>230</v>
      </c>
      <c r="H3" s="7" t="s">
        <v>231</v>
      </c>
      <c r="I3" s="7" t="s">
        <v>232</v>
      </c>
      <c r="J3" s="7" t="s">
        <v>233</v>
      </c>
      <c r="K3" s="7" t="s">
        <v>219</v>
      </c>
      <c r="L3" s="7" t="s">
        <v>220</v>
      </c>
      <c r="M3" s="7" t="s">
        <v>234</v>
      </c>
      <c r="N3" s="7" t="s">
        <v>222</v>
      </c>
    </row>
    <row r="4" spans="1:16" x14ac:dyDescent="0.55000000000000004">
      <c r="B4" s="91" t="s">
        <v>217</v>
      </c>
      <c r="C4" s="93" t="s">
        <v>208</v>
      </c>
      <c r="D4" s="92">
        <f>'[1]IRR Summary'!F$86</f>
        <v>42186</v>
      </c>
      <c r="E4" s="93"/>
      <c r="F4" s="94">
        <f>'[1]IRR Summary'!G$86/1000</f>
        <v>2.47755372</v>
      </c>
      <c r="G4" s="94">
        <f>'[1]IRR Summary'!H$86/1000</f>
        <v>0</v>
      </c>
      <c r="H4" s="94">
        <f>'[1]IRR Summary'!I$86/1000</f>
        <v>0</v>
      </c>
      <c r="I4" s="94">
        <f>'[1]IRR Summary'!J$86/1000</f>
        <v>3.06604725</v>
      </c>
      <c r="J4" s="94">
        <f>SUM(G4:I4)</f>
        <v>3.06604725</v>
      </c>
      <c r="K4" s="94">
        <f>J4/F4</f>
        <v>1.2375300786616243</v>
      </c>
      <c r="L4" s="95">
        <f>'[1]IRR Summary'!M$86</f>
        <v>8.2138767838478122E-2</v>
      </c>
      <c r="M4" s="117">
        <v>7.0800000000000002E-2</v>
      </c>
      <c r="N4" s="96" t="s">
        <v>228</v>
      </c>
      <c r="P4" s="26"/>
    </row>
    <row r="5" spans="1:16" x14ac:dyDescent="0.55000000000000004">
      <c r="B5" s="97" t="s">
        <v>217</v>
      </c>
      <c r="C5" s="99" t="s">
        <v>235</v>
      </c>
      <c r="D5" s="98">
        <f>'[1]IRR Summary'!F$97</f>
        <v>42328</v>
      </c>
      <c r="E5" s="99"/>
      <c r="F5" s="100">
        <f>'[1]IRR Summary'!G$97/1000</f>
        <v>2.52535804</v>
      </c>
      <c r="G5" s="100">
        <f>'[1]IRR Summary'!H$97/1000</f>
        <v>0</v>
      </c>
      <c r="H5" s="100">
        <f>'[1]IRR Summary'!I$97/1000</f>
        <v>0</v>
      </c>
      <c r="I5" s="100">
        <f>'[1]IRR Summary'!J$97/1000</f>
        <v>4.9332469400000001</v>
      </c>
      <c r="J5" s="100">
        <f t="shared" ref="J5:J25" si="0">SUM(G5:I5)</f>
        <v>4.9332469400000001</v>
      </c>
      <c r="K5" s="100">
        <f t="shared" ref="K5:K25" si="1">J5/F5</f>
        <v>1.9534841641702418</v>
      </c>
      <c r="L5" s="101">
        <f>'[1]IRR Summary'!M$97</f>
        <v>0.30478298068046572</v>
      </c>
      <c r="M5" s="118">
        <v>8.5199999999999998E-2</v>
      </c>
      <c r="N5" s="102"/>
      <c r="P5" s="26"/>
    </row>
    <row r="6" spans="1:16" x14ac:dyDescent="0.55000000000000004">
      <c r="B6" s="97" t="s">
        <v>217</v>
      </c>
      <c r="C6" s="99" t="s">
        <v>209</v>
      </c>
      <c r="D6" s="98">
        <f>'[1]IRR Summary'!F$38</f>
        <v>42436</v>
      </c>
      <c r="E6" s="99"/>
      <c r="F6" s="100">
        <f>'[1]IRR Summary'!G$38/1000</f>
        <v>0.84999990999999997</v>
      </c>
      <c r="G6" s="103">
        <f>'[1]IRR Summary'!H$38/1000</f>
        <v>0.15775067000000001</v>
      </c>
      <c r="H6" s="103">
        <f>'[1]IRR Summary'!I$38/1000</f>
        <v>7.5178100000000006E-3</v>
      </c>
      <c r="I6" s="100">
        <f>'[1]IRR Summary'!J$38/1000</f>
        <v>0.41249999999999998</v>
      </c>
      <c r="J6" s="100">
        <f t="shared" si="0"/>
        <v>0.57776848000000003</v>
      </c>
      <c r="K6" s="100">
        <f t="shared" si="1"/>
        <v>0.67972769550057954</v>
      </c>
      <c r="L6" s="101">
        <f>'[1]IRR Summary'!M$38</f>
        <v>-0.13732448406517506</v>
      </c>
      <c r="M6" s="118">
        <v>5.1999999999999998E-2</v>
      </c>
      <c r="N6" s="102" t="s">
        <v>224</v>
      </c>
      <c r="P6" s="26"/>
    </row>
    <row r="7" spans="1:16" x14ac:dyDescent="0.55000000000000004">
      <c r="B7" s="97" t="s">
        <v>217</v>
      </c>
      <c r="C7" s="99" t="s">
        <v>210</v>
      </c>
      <c r="D7" s="98">
        <f>'[1]IRR Summary'!F$69</f>
        <v>42669</v>
      </c>
      <c r="E7" s="99"/>
      <c r="F7" s="100">
        <f>'[1]IRR Summary'!G$69/1000</f>
        <v>0.66</v>
      </c>
      <c r="G7" s="100">
        <f>'[1]IRR Summary'!H$69/1000</f>
        <v>0</v>
      </c>
      <c r="H7" s="100">
        <f>'[1]IRR Summary'!I$69/1000</f>
        <v>0</v>
      </c>
      <c r="I7" s="100">
        <f>'[1]IRR Summary'!J$69/1000</f>
        <v>0.33</v>
      </c>
      <c r="J7" s="100">
        <f t="shared" si="0"/>
        <v>0.33</v>
      </c>
      <c r="K7" s="100">
        <f t="shared" si="1"/>
        <v>0.5</v>
      </c>
      <c r="L7" s="101">
        <f>'[1]IRR Summary'!M$69</f>
        <v>-0.24805803820490846</v>
      </c>
      <c r="M7" s="118">
        <v>0.159</v>
      </c>
      <c r="N7" s="102" t="s">
        <v>224</v>
      </c>
      <c r="P7" s="26"/>
    </row>
    <row r="8" spans="1:16" x14ac:dyDescent="0.55000000000000004">
      <c r="B8" s="97" t="s">
        <v>217</v>
      </c>
      <c r="C8" s="99" t="s">
        <v>211</v>
      </c>
      <c r="D8" s="98">
        <f>'[1]IRR Summary'!F$25</f>
        <v>42592</v>
      </c>
      <c r="E8" s="99"/>
      <c r="F8" s="100">
        <f>'[1]IRR Summary'!G$25/1000</f>
        <v>2.7139389700000001</v>
      </c>
      <c r="G8" s="100">
        <f>'[1]IRR Summary'!H$25/1000</f>
        <v>0</v>
      </c>
      <c r="H8" s="100">
        <f>'[1]IRR Summary'!I$25/1000</f>
        <v>0</v>
      </c>
      <c r="I8" s="100">
        <f>'[1]IRR Summary'!J$25/1000</f>
        <v>3.1163912099999997</v>
      </c>
      <c r="J8" s="100">
        <f t="shared" si="0"/>
        <v>3.1163912099999997</v>
      </c>
      <c r="K8" s="100">
        <f t="shared" si="1"/>
        <v>1.1482908217350221</v>
      </c>
      <c r="L8" s="101">
        <f>'[1]IRR Summary'!M$25</f>
        <v>9.7030931711196922E-2</v>
      </c>
      <c r="M8" s="118">
        <v>6.6600000000000006E-2</v>
      </c>
      <c r="N8" s="102"/>
      <c r="P8" s="26"/>
    </row>
    <row r="9" spans="1:16" x14ac:dyDescent="0.55000000000000004">
      <c r="B9" s="97" t="s">
        <v>217</v>
      </c>
      <c r="C9" s="99" t="s">
        <v>212</v>
      </c>
      <c r="D9" s="98">
        <f>'[1]IRR Summary'!F$18</f>
        <v>42382</v>
      </c>
      <c r="E9" s="99"/>
      <c r="F9" s="100">
        <f>'[1]IRR Summary'!G$18/1000</f>
        <v>2.6349987399999999</v>
      </c>
      <c r="G9" s="100">
        <f>'[1]IRR Summary'!H$18/1000</f>
        <v>3.4390034799999998</v>
      </c>
      <c r="H9" s="100">
        <f>'[1]IRR Summary'!I$18/1000</f>
        <v>0.76177343000000008</v>
      </c>
      <c r="I9" s="100">
        <f>'[1]IRR Summary'!J$18/1000</f>
        <v>11.90320661</v>
      </c>
      <c r="J9" s="100">
        <f t="shared" si="0"/>
        <v>16.10398352</v>
      </c>
      <c r="K9" s="100">
        <f t="shared" si="1"/>
        <v>6.1115716207135646</v>
      </c>
      <c r="L9" s="101">
        <f>'[1]IRR Summary'!M$18</f>
        <v>1.0289371848106383</v>
      </c>
      <c r="M9" s="118">
        <v>0.14860000000000001</v>
      </c>
      <c r="N9" s="102" t="s">
        <v>227</v>
      </c>
      <c r="P9" s="26"/>
    </row>
    <row r="10" spans="1:16" x14ac:dyDescent="0.55000000000000004">
      <c r="B10" s="97" t="s">
        <v>217</v>
      </c>
      <c r="C10" s="99" t="s">
        <v>213</v>
      </c>
      <c r="D10" s="98">
        <f>'[1]IRR Summary'!F$77</f>
        <v>42689</v>
      </c>
      <c r="E10" s="99"/>
      <c r="F10" s="100">
        <f>'[1]IRR Summary'!G$77/1000</f>
        <v>2.32229939</v>
      </c>
      <c r="G10" s="100">
        <f>'[1]IRR Summary'!H$77/1000</f>
        <v>0</v>
      </c>
      <c r="H10" s="100">
        <f>'[1]IRR Summary'!I$77/1000</f>
        <v>0</v>
      </c>
      <c r="I10" s="100">
        <f>'[1]IRR Summary'!J$77/1000</f>
        <v>5.5839775099999995</v>
      </c>
      <c r="J10" s="100">
        <f t="shared" si="0"/>
        <v>5.5839775099999995</v>
      </c>
      <c r="K10" s="100">
        <f t="shared" si="1"/>
        <v>2.4045037147428263</v>
      </c>
      <c r="L10" s="101">
        <f>'[1]IRR Summary'!M$77</f>
        <v>0.59246349930763242</v>
      </c>
      <c r="M10" s="118">
        <v>2.835E-2</v>
      </c>
      <c r="N10" s="102"/>
      <c r="P10" s="26"/>
    </row>
    <row r="11" spans="1:16" x14ac:dyDescent="0.55000000000000004">
      <c r="B11" s="97" t="s">
        <v>217</v>
      </c>
      <c r="C11" s="99" t="s">
        <v>214</v>
      </c>
      <c r="D11" s="98">
        <f>'[1]IRR Summary'!F$52</f>
        <v>42386</v>
      </c>
      <c r="E11" s="99"/>
      <c r="F11" s="100">
        <f>'[1]IRR Summary'!G$52/1000</f>
        <v>1.44999923</v>
      </c>
      <c r="G11" s="100">
        <f>'[1]IRR Summary'!H$52/1000</f>
        <v>0</v>
      </c>
      <c r="H11" s="100">
        <f>'[1]IRR Summary'!I$52/1000</f>
        <v>0</v>
      </c>
      <c r="I11" s="100">
        <f>'[1]IRR Summary'!J$52/1000</f>
        <v>1.7696569</v>
      </c>
      <c r="J11" s="100">
        <f t="shared" si="0"/>
        <v>1.7696569</v>
      </c>
      <c r="K11" s="100">
        <f t="shared" si="1"/>
        <v>1.2204536825857486</v>
      </c>
      <c r="L11" s="101">
        <f>'[1]IRR Summary'!M$52</f>
        <v>0.11023567318916322</v>
      </c>
      <c r="M11" s="118">
        <v>0.18629999999999999</v>
      </c>
      <c r="N11" s="102"/>
      <c r="P11" s="26"/>
    </row>
    <row r="12" spans="1:16" x14ac:dyDescent="0.55000000000000004">
      <c r="B12" s="97" t="s">
        <v>217</v>
      </c>
      <c r="C12" s="99" t="s">
        <v>215</v>
      </c>
      <c r="D12" s="98">
        <f>'[1]IRR Summary'!F$62</f>
        <v>42857</v>
      </c>
      <c r="E12" s="99"/>
      <c r="F12" s="100">
        <f>'[1]IRR Summary'!G$62/1000</f>
        <v>1</v>
      </c>
      <c r="G12" s="100">
        <f>'[1]IRR Summary'!H$62/1000</f>
        <v>0</v>
      </c>
      <c r="H12" s="100">
        <f>'[1]IRR Summary'!I$62/1000</f>
        <v>0</v>
      </c>
      <c r="I12" s="100">
        <f>'[1]IRR Summary'!J$62/1000</f>
        <v>0</v>
      </c>
      <c r="J12" s="100">
        <f t="shared" si="0"/>
        <v>0</v>
      </c>
      <c r="K12" s="100">
        <f t="shared" si="1"/>
        <v>0</v>
      </c>
      <c r="L12" s="101" t="str">
        <f>'[1]IRR Summary'!M$62</f>
        <v>NM</v>
      </c>
      <c r="M12" s="118">
        <v>0.112</v>
      </c>
      <c r="N12" s="102" t="s">
        <v>225</v>
      </c>
      <c r="P12" s="26"/>
    </row>
    <row r="13" spans="1:16" ht="16" thickBot="1" x14ac:dyDescent="0.6">
      <c r="B13" s="104" t="s">
        <v>217</v>
      </c>
      <c r="C13" s="106" t="s">
        <v>216</v>
      </c>
      <c r="D13" s="105">
        <f>'[1]IRR Summary'!F$44</f>
        <v>42986</v>
      </c>
      <c r="E13" s="106"/>
      <c r="F13" s="107">
        <f>'[1]IRR Summary'!G$44/1000</f>
        <v>0.99999874</v>
      </c>
      <c r="G13" s="107">
        <f>'[1]IRR Summary'!H$44/1000</f>
        <v>0</v>
      </c>
      <c r="H13" s="107">
        <f>'[1]IRR Summary'!I$44/1000</f>
        <v>0</v>
      </c>
      <c r="I13" s="107">
        <f>'[1]IRR Summary'!J$44/1000</f>
        <v>0.99999874</v>
      </c>
      <c r="J13" s="107">
        <f t="shared" si="0"/>
        <v>0.99999874</v>
      </c>
      <c r="K13" s="107">
        <f t="shared" si="1"/>
        <v>1</v>
      </c>
      <c r="L13" s="108">
        <f>'[1]IRR Summary'!M$44</f>
        <v>-2.9802322387695314E-9</v>
      </c>
      <c r="M13" s="119">
        <v>3.5999999999999997E-2</v>
      </c>
      <c r="N13" s="109"/>
      <c r="P13" s="26"/>
    </row>
    <row r="14" spans="1:16" x14ac:dyDescent="0.55000000000000004">
      <c r="B14" s="91" t="s">
        <v>218</v>
      </c>
      <c r="C14" s="93" t="s">
        <v>196</v>
      </c>
      <c r="D14" s="92">
        <f>'[2]IRR Summary'!F$20</f>
        <v>43073</v>
      </c>
      <c r="E14" s="93"/>
      <c r="F14" s="110">
        <f>'[2]IRR Summary'!G$20/1000</f>
        <v>1.8</v>
      </c>
      <c r="G14" s="110">
        <f>'[2]IRR Summary'!H$20/1000</f>
        <v>4.9006596500000006</v>
      </c>
      <c r="H14" s="110">
        <f>'[2]IRR Summary'!I$20/1000</f>
        <v>0.63518783999999995</v>
      </c>
      <c r="I14" s="110">
        <f>'[2]IRR Summary'!J$20/1000</f>
        <v>0</v>
      </c>
      <c r="J14" s="110">
        <f t="shared" si="0"/>
        <v>5.5358474900000001</v>
      </c>
      <c r="K14" s="94">
        <f t="shared" si="1"/>
        <v>3.0754708277777776</v>
      </c>
      <c r="L14" s="111">
        <f>'[2]IRR Summary'!M$20</f>
        <v>4.5354362964630139</v>
      </c>
      <c r="M14" s="117">
        <v>0.22059999999999999</v>
      </c>
      <c r="N14" s="96" t="s">
        <v>226</v>
      </c>
      <c r="O14" s="14"/>
      <c r="P14" s="26"/>
    </row>
    <row r="15" spans="1:16" x14ac:dyDescent="0.55000000000000004">
      <c r="B15" s="97" t="s">
        <v>218</v>
      </c>
      <c r="C15" s="99" t="s">
        <v>197</v>
      </c>
      <c r="D15" s="98">
        <f>'[2]IRR Summary'!F$45</f>
        <v>43145</v>
      </c>
      <c r="E15" s="99"/>
      <c r="F15" s="112">
        <f>'[2]IRR Summary'!G$45/1000</f>
        <v>0.60519822999999995</v>
      </c>
      <c r="G15" s="112">
        <f>'[2]IRR Summary'!H$45/1000</f>
        <v>0</v>
      </c>
      <c r="H15" s="112">
        <f>'[2]IRR Summary'!I$45/1000</f>
        <v>0</v>
      </c>
      <c r="I15" s="112">
        <f>'[2]IRR Summary'!J$45/1000</f>
        <v>0.60519822999999995</v>
      </c>
      <c r="J15" s="112">
        <f t="shared" si="0"/>
        <v>0.60519822999999995</v>
      </c>
      <c r="K15" s="100">
        <f t="shared" si="1"/>
        <v>1</v>
      </c>
      <c r="L15" s="82">
        <f>'[2]IRR Summary'!M$45</f>
        <v>-2.9802322387695314E-9</v>
      </c>
      <c r="M15" s="118">
        <v>8.0000000000000002E-3</v>
      </c>
      <c r="N15" s="102"/>
      <c r="O15" s="14"/>
      <c r="P15" s="26"/>
    </row>
    <row r="16" spans="1:16" x14ac:dyDescent="0.55000000000000004">
      <c r="B16" s="97" t="s">
        <v>218</v>
      </c>
      <c r="C16" s="99" t="s">
        <v>198</v>
      </c>
      <c r="D16" s="98">
        <f>'[2]IRR Summary'!F$72</f>
        <v>43325</v>
      </c>
      <c r="E16" s="99"/>
      <c r="F16" s="112">
        <f>'[2]IRR Summary'!G$72/1000</f>
        <v>2.4999981299999998</v>
      </c>
      <c r="G16" s="112">
        <f>'[2]IRR Summary'!H$72/1000</f>
        <v>0</v>
      </c>
      <c r="H16" s="112">
        <f>'[2]IRR Summary'!I$72/1000</f>
        <v>0</v>
      </c>
      <c r="I16" s="112">
        <f>'[2]IRR Summary'!J$72/1000</f>
        <v>2.4999981299999998</v>
      </c>
      <c r="J16" s="112">
        <f t="shared" si="0"/>
        <v>2.4999981299999998</v>
      </c>
      <c r="K16" s="100">
        <f t="shared" si="1"/>
        <v>1</v>
      </c>
      <c r="L16" s="82">
        <f>'[2]IRR Summary'!M$72</f>
        <v>-2.9802322387695314E-9</v>
      </c>
      <c r="M16" s="118">
        <v>0.13300000000000001</v>
      </c>
      <c r="N16" s="102"/>
      <c r="O16" s="14"/>
      <c r="P16" s="26"/>
    </row>
    <row r="17" spans="2:16" x14ac:dyDescent="0.55000000000000004">
      <c r="B17" s="97" t="s">
        <v>218</v>
      </c>
      <c r="C17" s="99" t="s">
        <v>199</v>
      </c>
      <c r="D17" s="98">
        <f>'[2]IRR Summary'!F$67</f>
        <v>43315</v>
      </c>
      <c r="E17" s="99"/>
      <c r="F17" s="112">
        <f>'[2]IRR Summary'!G$67/1000</f>
        <v>0.84975464000000001</v>
      </c>
      <c r="G17" s="112">
        <f>'[2]IRR Summary'!H$67/1000</f>
        <v>0</v>
      </c>
      <c r="H17" s="112">
        <f>'[2]IRR Summary'!I$67/1000</f>
        <v>0</v>
      </c>
      <c r="I17" s="112">
        <f>'[2]IRR Summary'!J$67/1000</f>
        <v>0.84975464000000001</v>
      </c>
      <c r="J17" s="112">
        <f t="shared" si="0"/>
        <v>0.84975464000000001</v>
      </c>
      <c r="K17" s="100">
        <f t="shared" si="1"/>
        <v>1</v>
      </c>
      <c r="L17" s="82">
        <f>'[2]IRR Summary'!M$67</f>
        <v>-2.9802322387695314E-9</v>
      </c>
      <c r="M17" s="118">
        <v>4.53E-2</v>
      </c>
      <c r="N17" s="102"/>
      <c r="O17" s="14"/>
      <c r="P17" s="26"/>
    </row>
    <row r="18" spans="2:16" x14ac:dyDescent="0.55000000000000004">
      <c r="B18" s="97" t="s">
        <v>218</v>
      </c>
      <c r="C18" s="99" t="s">
        <v>194</v>
      </c>
      <c r="D18" s="98">
        <f>'[2]IRR Summary'!F$40</f>
        <v>43314</v>
      </c>
      <c r="E18" s="99"/>
      <c r="F18" s="112">
        <f>'[2]IRR Summary'!G$40/1000</f>
        <v>0.25</v>
      </c>
      <c r="G18" s="112">
        <f>'[2]IRR Summary'!H$40/1000</f>
        <v>0</v>
      </c>
      <c r="H18" s="112">
        <f>'[2]IRR Summary'!I$40/1000</f>
        <v>0</v>
      </c>
      <c r="I18" s="112">
        <f>'[2]IRR Summary'!J$40/1000</f>
        <v>0.4325</v>
      </c>
      <c r="J18" s="112">
        <f t="shared" si="0"/>
        <v>0.4325</v>
      </c>
      <c r="K18" s="100">
        <f t="shared" si="1"/>
        <v>1.73</v>
      </c>
      <c r="L18" s="82">
        <f>'[2]IRR Summary'!M$40</f>
        <v>0.60295659899711618</v>
      </c>
      <c r="M18" s="118">
        <v>5.1000000000000004E-3</v>
      </c>
      <c r="N18" s="102"/>
      <c r="O18" s="14"/>
      <c r="P18" s="26"/>
    </row>
    <row r="19" spans="2:16" x14ac:dyDescent="0.55000000000000004">
      <c r="B19" s="97" t="s">
        <v>218</v>
      </c>
      <c r="C19" s="99" t="s">
        <v>200</v>
      </c>
      <c r="D19" s="98">
        <f>'[2]IRR Summary'!F$14</f>
        <v>43301</v>
      </c>
      <c r="E19" s="99"/>
      <c r="F19" s="112">
        <f>'[2]IRR Summary'!G$14/1000</f>
        <v>0.25</v>
      </c>
      <c r="G19" s="112">
        <f>'[2]IRR Summary'!H$14/1000</f>
        <v>0</v>
      </c>
      <c r="H19" s="112">
        <f>'[2]IRR Summary'!I$14/1000</f>
        <v>0</v>
      </c>
      <c r="I19" s="112">
        <f>'[2]IRR Summary'!J$14/1000</f>
        <v>0.25</v>
      </c>
      <c r="J19" s="112">
        <f t="shared" si="0"/>
        <v>0.25</v>
      </c>
      <c r="K19" s="100">
        <f t="shared" si="1"/>
        <v>1</v>
      </c>
      <c r="L19" s="82">
        <f>'[2]IRR Summary'!M$14</f>
        <v>-2.9802322387695314E-9</v>
      </c>
      <c r="M19" s="118">
        <f>0.25/8</f>
        <v>3.125E-2</v>
      </c>
      <c r="N19" s="102"/>
      <c r="O19" s="14"/>
      <c r="P19" s="26"/>
    </row>
    <row r="20" spans="2:16" x14ac:dyDescent="0.55000000000000004">
      <c r="B20" s="97" t="s">
        <v>218</v>
      </c>
      <c r="C20" s="99" t="s">
        <v>201</v>
      </c>
      <c r="D20" s="98">
        <f>'[2]IRR Summary'!F$50</f>
        <v>43455</v>
      </c>
      <c r="E20" s="99"/>
      <c r="F20" s="112">
        <f>'[2]IRR Summary'!G$50/1000</f>
        <v>1.5</v>
      </c>
      <c r="G20" s="112">
        <f>'[2]IRR Summary'!H$50/1000</f>
        <v>0</v>
      </c>
      <c r="H20" s="112">
        <f>'[2]IRR Summary'!I$50/1000</f>
        <v>0</v>
      </c>
      <c r="I20" s="112">
        <f>'[2]IRR Summary'!J$50/1000</f>
        <v>1.5</v>
      </c>
      <c r="J20" s="112">
        <f t="shared" si="0"/>
        <v>1.5</v>
      </c>
      <c r="K20" s="100">
        <f t="shared" si="1"/>
        <v>1</v>
      </c>
      <c r="L20" s="82">
        <f>'[2]IRR Summary'!M$50</f>
        <v>-2.9802322387695314E-9</v>
      </c>
      <c r="M20" s="118">
        <v>0.15790000000000001</v>
      </c>
      <c r="N20" s="102"/>
      <c r="O20" s="14"/>
      <c r="P20" s="26"/>
    </row>
    <row r="21" spans="2:16" x14ac:dyDescent="0.55000000000000004">
      <c r="B21" s="97" t="s">
        <v>218</v>
      </c>
      <c r="C21" s="99" t="s">
        <v>202</v>
      </c>
      <c r="D21" s="98">
        <f>'[2]IRR Summary'!F$60</f>
        <v>43642</v>
      </c>
      <c r="E21" s="99"/>
      <c r="F21" s="112">
        <f>'[2]IRR Summary'!G$60/1000</f>
        <v>2</v>
      </c>
      <c r="G21" s="112">
        <f>'[2]IRR Summary'!H$60/1000</f>
        <v>0</v>
      </c>
      <c r="H21" s="112">
        <f>'[2]IRR Summary'!I$60/1000</f>
        <v>0</v>
      </c>
      <c r="I21" s="112">
        <f>'[2]IRR Summary'!J$60/1000</f>
        <v>2</v>
      </c>
      <c r="J21" s="112">
        <f t="shared" si="0"/>
        <v>2</v>
      </c>
      <c r="K21" s="100">
        <f t="shared" si="1"/>
        <v>1</v>
      </c>
      <c r="L21" s="82">
        <f>'[2]IRR Summary'!M$60</f>
        <v>-2.9802322387695314E-9</v>
      </c>
      <c r="M21" s="118">
        <v>0.1</v>
      </c>
      <c r="N21" s="102"/>
      <c r="O21" s="14"/>
      <c r="P21" s="26"/>
    </row>
    <row r="22" spans="2:16" x14ac:dyDescent="0.55000000000000004">
      <c r="B22" s="97" t="s">
        <v>218</v>
      </c>
      <c r="C22" s="99" t="s">
        <v>203</v>
      </c>
      <c r="D22" s="98">
        <f>'[2]IRR Summary'!F$30</f>
        <v>43544</v>
      </c>
      <c r="E22" s="99"/>
      <c r="F22" s="112">
        <f>'[2]IRR Summary'!G$30/1000</f>
        <v>0.54999992000000009</v>
      </c>
      <c r="G22" s="112">
        <f>'[2]IRR Summary'!H$30/1000</f>
        <v>0</v>
      </c>
      <c r="H22" s="112">
        <f>'[2]IRR Summary'!I$30/1000</f>
        <v>0</v>
      </c>
      <c r="I22" s="112">
        <f>'[2]IRR Summary'!J$30/1000</f>
        <v>0.54999992000000009</v>
      </c>
      <c r="J22" s="112">
        <f t="shared" si="0"/>
        <v>0.54999992000000009</v>
      </c>
      <c r="K22" s="100">
        <f t="shared" si="1"/>
        <v>1</v>
      </c>
      <c r="L22" s="82">
        <f>'[2]IRR Summary'!M$30</f>
        <v>-2.9802322387695314E-9</v>
      </c>
      <c r="M22" s="118">
        <v>5.8500000000000003E-2</v>
      </c>
      <c r="N22" s="102"/>
      <c r="O22" s="14"/>
      <c r="P22" s="26"/>
    </row>
    <row r="23" spans="2:16" x14ac:dyDescent="0.55000000000000004">
      <c r="B23" s="97" t="s">
        <v>218</v>
      </c>
      <c r="C23" s="99" t="s">
        <v>195</v>
      </c>
      <c r="D23" s="98">
        <f>'[2]IRR Summary'!F$55</f>
        <v>43497</v>
      </c>
      <c r="E23" s="99"/>
      <c r="F23" s="112">
        <f>'[2]IRR Summary'!G$55/1000</f>
        <v>0.1</v>
      </c>
      <c r="G23" s="112">
        <f>'[2]IRR Summary'!H$55/1000</f>
        <v>0</v>
      </c>
      <c r="H23" s="112">
        <f>'[2]IRR Summary'!I$55/1000</f>
        <v>0</v>
      </c>
      <c r="I23" s="112">
        <f>'[2]IRR Summary'!J$55/1000</f>
        <v>0.1</v>
      </c>
      <c r="J23" s="112">
        <f t="shared" si="0"/>
        <v>0.1</v>
      </c>
      <c r="K23" s="100">
        <f t="shared" si="1"/>
        <v>1</v>
      </c>
      <c r="L23" s="82">
        <f>'[2]IRR Summary'!M$55</f>
        <v>-2.9802322387695314E-9</v>
      </c>
      <c r="M23" s="118">
        <v>2.5600000000000001E-2</v>
      </c>
      <c r="N23" s="102"/>
      <c r="O23" s="14"/>
      <c r="P23" s="26"/>
    </row>
    <row r="24" spans="2:16" x14ac:dyDescent="0.55000000000000004">
      <c r="B24" s="97" t="s">
        <v>218</v>
      </c>
      <c r="C24" s="99" t="s">
        <v>204</v>
      </c>
      <c r="D24" s="98">
        <f>'[2]IRR Summary'!F$25</f>
        <v>43545</v>
      </c>
      <c r="E24" s="99"/>
      <c r="F24" s="112">
        <f>'[2]IRR Summary'!G$25/1000</f>
        <v>0.99999979000000006</v>
      </c>
      <c r="G24" s="112">
        <f>'[2]IRR Summary'!H$25/1000</f>
        <v>0</v>
      </c>
      <c r="H24" s="112">
        <f>'[2]IRR Summary'!I$25/1000</f>
        <v>0</v>
      </c>
      <c r="I24" s="112">
        <f>'[2]IRR Summary'!J$25/1000</f>
        <v>0.99999979000000006</v>
      </c>
      <c r="J24" s="112">
        <f t="shared" si="0"/>
        <v>0.99999979000000006</v>
      </c>
      <c r="K24" s="100">
        <f t="shared" si="1"/>
        <v>1</v>
      </c>
      <c r="L24" s="82">
        <f>'[2]IRR Summary'!M$25</f>
        <v>-2.9802322387695314E-9</v>
      </c>
      <c r="M24" s="118">
        <v>9.6299999999999997E-2</v>
      </c>
      <c r="N24" s="102"/>
      <c r="O24" s="14"/>
      <c r="P24" s="26"/>
    </row>
    <row r="25" spans="2:16" x14ac:dyDescent="0.55000000000000004">
      <c r="B25" s="97" t="s">
        <v>218</v>
      </c>
      <c r="C25" s="99" t="s">
        <v>205</v>
      </c>
      <c r="D25" s="98">
        <f>'[2]IRR Summary'!F$35</f>
        <v>43685</v>
      </c>
      <c r="E25" s="99"/>
      <c r="F25" s="112">
        <f>'[2]IRR Summary'!G$35/1000</f>
        <v>1.75</v>
      </c>
      <c r="G25" s="112">
        <f>'[2]IRR Summary'!H$35/1000</f>
        <v>0</v>
      </c>
      <c r="H25" s="112">
        <f>'[2]IRR Summary'!I$35/1000</f>
        <v>0</v>
      </c>
      <c r="I25" s="112">
        <f>'[2]IRR Summary'!J$35/1000</f>
        <v>1.75</v>
      </c>
      <c r="J25" s="112">
        <f t="shared" si="0"/>
        <v>1.75</v>
      </c>
      <c r="K25" s="100">
        <f t="shared" si="1"/>
        <v>1</v>
      </c>
      <c r="L25" s="82">
        <f>'[2]IRR Summary'!M$35</f>
        <v>-2.9802322387695314E-9</v>
      </c>
      <c r="M25" s="118">
        <v>0.1129</v>
      </c>
      <c r="N25" s="102"/>
      <c r="O25" s="14"/>
      <c r="P25" s="26"/>
    </row>
    <row r="26" spans="2:16" x14ac:dyDescent="0.55000000000000004">
      <c r="B26" s="97" t="s">
        <v>218</v>
      </c>
      <c r="C26" s="99" t="s">
        <v>206</v>
      </c>
      <c r="D26" s="113">
        <v>43784</v>
      </c>
      <c r="E26" s="99"/>
      <c r="F26" s="115">
        <v>0.5</v>
      </c>
      <c r="G26" s="115">
        <v>0</v>
      </c>
      <c r="H26" s="115">
        <v>0</v>
      </c>
      <c r="I26" s="115">
        <v>0.5</v>
      </c>
      <c r="J26" s="112">
        <f t="shared" ref="J26:J27" si="2">SUM(G26:I26)</f>
        <v>0.5</v>
      </c>
      <c r="K26" s="100">
        <f t="shared" ref="K26:K27" si="3">J26/F26</f>
        <v>1</v>
      </c>
      <c r="L26" s="116">
        <v>0</v>
      </c>
      <c r="M26" s="118">
        <v>6.6400000000000001E-2</v>
      </c>
      <c r="N26" s="102"/>
      <c r="O26" s="14"/>
      <c r="P26" s="26"/>
    </row>
    <row r="27" spans="2:16" x14ac:dyDescent="0.55000000000000004">
      <c r="B27" s="97" t="s">
        <v>218</v>
      </c>
      <c r="C27" s="99" t="s">
        <v>207</v>
      </c>
      <c r="D27" s="98">
        <v>43876</v>
      </c>
      <c r="E27" s="99"/>
      <c r="F27" s="115">
        <v>1.4</v>
      </c>
      <c r="G27" s="115">
        <v>0</v>
      </c>
      <c r="H27" s="115">
        <v>0</v>
      </c>
      <c r="I27" s="115">
        <v>1.4</v>
      </c>
      <c r="J27" s="112">
        <f t="shared" si="2"/>
        <v>1.4</v>
      </c>
      <c r="K27" s="100">
        <f t="shared" si="3"/>
        <v>1</v>
      </c>
      <c r="L27" s="116">
        <v>0</v>
      </c>
      <c r="M27" s="118">
        <v>0.23330000000000001</v>
      </c>
      <c r="N27" s="102"/>
      <c r="O27" s="14"/>
      <c r="P27" s="26"/>
    </row>
    <row r="28" spans="2:16" ht="16" thickBot="1" x14ac:dyDescent="0.6">
      <c r="B28" s="104" t="s">
        <v>218</v>
      </c>
      <c r="C28" s="106" t="s">
        <v>247</v>
      </c>
      <c r="D28" s="105">
        <v>43876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9"/>
      <c r="O28" s="14"/>
    </row>
    <row r="29" spans="2:16" x14ac:dyDescent="0.55000000000000004">
      <c r="D29" s="89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2:16" x14ac:dyDescent="0.55000000000000004">
      <c r="B30" s="121" t="s">
        <v>315</v>
      </c>
      <c r="C30" s="90"/>
      <c r="D30" s="12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2:16" x14ac:dyDescent="0.55000000000000004">
      <c r="D31" s="89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2"/>
  <sheetViews>
    <sheetView tabSelected="1" topLeftCell="A38" workbookViewId="0">
      <selection activeCell="A49" sqref="A49:XFD49"/>
    </sheetView>
  </sheetViews>
  <sheetFormatPr defaultColWidth="10.6640625" defaultRowHeight="15.7" x14ac:dyDescent="0.55000000000000004"/>
  <cols>
    <col min="1" max="1" width="25" style="2" customWidth="1"/>
    <col min="2" max="2" width="12.1640625" style="2" customWidth="1"/>
    <col min="3" max="3" width="12" style="47" customWidth="1"/>
    <col min="4" max="4" width="50.83203125" customWidth="1"/>
    <col min="5" max="5" width="20.1640625" customWidth="1"/>
  </cols>
  <sheetData>
    <row r="1" spans="1:5" x14ac:dyDescent="0.55000000000000004">
      <c r="A1" s="17" t="s">
        <v>56</v>
      </c>
      <c r="B1" s="17" t="s">
        <v>62</v>
      </c>
      <c r="C1" s="32" t="s">
        <v>112</v>
      </c>
      <c r="D1" s="32" t="s">
        <v>63</v>
      </c>
      <c r="E1" s="18" t="s">
        <v>189</v>
      </c>
    </row>
    <row r="2" spans="1:5" x14ac:dyDescent="0.55000000000000004">
      <c r="A2" s="2" t="s">
        <v>169</v>
      </c>
      <c r="B2" s="41">
        <f>'Comp Fund Stats'!C4</f>
        <v>21125000</v>
      </c>
      <c r="C2" s="47" t="s">
        <v>107</v>
      </c>
      <c r="D2" s="33" t="s">
        <v>250</v>
      </c>
      <c r="E2" t="s">
        <v>190</v>
      </c>
    </row>
    <row r="3" spans="1:5" x14ac:dyDescent="0.55000000000000004">
      <c r="A3" s="2" t="s">
        <v>170</v>
      </c>
      <c r="B3" s="41">
        <f>'Comp Fund Stats'!D4</f>
        <v>37885000</v>
      </c>
      <c r="C3" s="47" t="s">
        <v>107</v>
      </c>
      <c r="D3" s="33" t="s">
        <v>251</v>
      </c>
      <c r="E3" t="s">
        <v>190</v>
      </c>
    </row>
    <row r="4" spans="1:5" x14ac:dyDescent="0.55000000000000004">
      <c r="A4" s="2" t="s">
        <v>171</v>
      </c>
      <c r="B4" s="41">
        <f>'Comp Fund Stats'!E4</f>
        <v>75000000</v>
      </c>
      <c r="C4" s="47" t="s">
        <v>107</v>
      </c>
      <c r="D4" s="33" t="s">
        <v>252</v>
      </c>
      <c r="E4" t="s">
        <v>190</v>
      </c>
    </row>
    <row r="5" spans="1:5" x14ac:dyDescent="0.55000000000000004">
      <c r="A5" s="2" t="s">
        <v>253</v>
      </c>
      <c r="B5" s="42">
        <f>'Comp Fund Stats'!C5</f>
        <v>10</v>
      </c>
      <c r="C5" s="47" t="s">
        <v>108</v>
      </c>
      <c r="D5" s="33" t="s">
        <v>64</v>
      </c>
      <c r="E5" t="s">
        <v>190</v>
      </c>
    </row>
    <row r="6" spans="1:5" x14ac:dyDescent="0.55000000000000004">
      <c r="A6" s="2" t="s">
        <v>254</v>
      </c>
      <c r="B6" s="42">
        <f>'Comp Fund Stats'!D5</f>
        <v>14</v>
      </c>
      <c r="C6" s="47" t="s">
        <v>108</v>
      </c>
      <c r="D6" s="33" t="s">
        <v>65</v>
      </c>
      <c r="E6" t="s">
        <v>190</v>
      </c>
    </row>
    <row r="7" spans="1:5" x14ac:dyDescent="0.55000000000000004">
      <c r="A7" s="2" t="s">
        <v>255</v>
      </c>
      <c r="B7" s="42">
        <f>'Comp Fund Stats'!E5</f>
        <v>21</v>
      </c>
      <c r="C7" s="47" t="s">
        <v>108</v>
      </c>
      <c r="D7" s="33" t="s">
        <v>66</v>
      </c>
      <c r="E7" t="s">
        <v>190</v>
      </c>
    </row>
    <row r="8" spans="1:5" x14ac:dyDescent="0.55000000000000004">
      <c r="A8" s="2" t="s">
        <v>256</v>
      </c>
      <c r="B8" s="42">
        <f>'Comp Fund Stats'!C6</f>
        <v>5</v>
      </c>
      <c r="C8" s="47" t="s">
        <v>108</v>
      </c>
      <c r="D8" s="33" t="s">
        <v>67</v>
      </c>
      <c r="E8" t="s">
        <v>190</v>
      </c>
    </row>
    <row r="9" spans="1:5" x14ac:dyDescent="0.55000000000000004">
      <c r="A9" s="2" t="s">
        <v>257</v>
      </c>
      <c r="B9" s="42">
        <f>'Comp Fund Stats'!D6</f>
        <v>7</v>
      </c>
      <c r="C9" s="47" t="s">
        <v>108</v>
      </c>
      <c r="D9" s="33" t="s">
        <v>68</v>
      </c>
      <c r="E9" t="s">
        <v>190</v>
      </c>
    </row>
    <row r="10" spans="1:5" x14ac:dyDescent="0.55000000000000004">
      <c r="A10" s="2" t="s">
        <v>258</v>
      </c>
      <c r="B10" s="42">
        <f>'Comp Fund Stats'!E6</f>
        <v>10</v>
      </c>
      <c r="C10" s="47" t="s">
        <v>108</v>
      </c>
      <c r="D10" s="33" t="s">
        <v>69</v>
      </c>
      <c r="E10" t="s">
        <v>190</v>
      </c>
    </row>
    <row r="11" spans="1:5" x14ac:dyDescent="0.55000000000000004">
      <c r="A11" s="2" t="s">
        <v>259</v>
      </c>
      <c r="B11" s="42">
        <f>'Comp Fund Stats'!C7</f>
        <v>27</v>
      </c>
      <c r="C11" s="47" t="s">
        <v>108</v>
      </c>
      <c r="D11" s="33" t="s">
        <v>70</v>
      </c>
      <c r="E11" t="s">
        <v>190</v>
      </c>
    </row>
    <row r="12" spans="1:5" x14ac:dyDescent="0.55000000000000004">
      <c r="A12" s="2" t="s">
        <v>260</v>
      </c>
      <c r="B12" s="42">
        <f>'Comp Fund Stats'!D7</f>
        <v>27</v>
      </c>
      <c r="C12" s="47" t="s">
        <v>108</v>
      </c>
      <c r="D12" s="33" t="s">
        <v>71</v>
      </c>
      <c r="E12" t="s">
        <v>190</v>
      </c>
    </row>
    <row r="13" spans="1:5" x14ac:dyDescent="0.55000000000000004">
      <c r="A13" s="2" t="s">
        <v>261</v>
      </c>
      <c r="B13" s="42">
        <f>'Comp Fund Stats'!E7</f>
        <v>30</v>
      </c>
      <c r="C13" s="47" t="s">
        <v>108</v>
      </c>
      <c r="D13" s="33" t="s">
        <v>72</v>
      </c>
      <c r="E13" t="s">
        <v>190</v>
      </c>
    </row>
    <row r="14" spans="1:5" x14ac:dyDescent="0.55000000000000004">
      <c r="A14" s="2" t="s">
        <v>262</v>
      </c>
      <c r="B14" s="43">
        <f>'Comp Fund Stats'!C9</f>
        <v>4.4444444444444446</v>
      </c>
      <c r="C14" s="47" t="s">
        <v>106</v>
      </c>
      <c r="D14" s="33" t="s">
        <v>73</v>
      </c>
      <c r="E14" t="s">
        <v>190</v>
      </c>
    </row>
    <row r="15" spans="1:5" x14ac:dyDescent="0.55000000000000004">
      <c r="A15" s="2" t="s">
        <v>263</v>
      </c>
      <c r="B15" s="43">
        <f>'Comp Fund Stats'!D9</f>
        <v>6.2222222222222223</v>
      </c>
      <c r="C15" s="47" t="s">
        <v>106</v>
      </c>
      <c r="D15" s="33" t="s">
        <v>74</v>
      </c>
      <c r="E15" t="s">
        <v>190</v>
      </c>
    </row>
    <row r="16" spans="1:5" x14ac:dyDescent="0.55000000000000004">
      <c r="A16" s="2" t="s">
        <v>264</v>
      </c>
      <c r="B16" s="43">
        <f>'Comp Fund Stats'!E9</f>
        <v>8.4</v>
      </c>
      <c r="C16" s="47" t="s">
        <v>106</v>
      </c>
      <c r="D16" s="33" t="s">
        <v>75</v>
      </c>
      <c r="E16" t="s">
        <v>190</v>
      </c>
    </row>
    <row r="17" spans="1:5" x14ac:dyDescent="0.55000000000000004">
      <c r="A17" s="2" t="s">
        <v>172</v>
      </c>
      <c r="B17" s="42">
        <f>'Comp Fund Stats'!C10</f>
        <v>80</v>
      </c>
      <c r="C17" s="47" t="s">
        <v>108</v>
      </c>
      <c r="D17" s="33" t="s">
        <v>76</v>
      </c>
      <c r="E17" t="s">
        <v>190</v>
      </c>
    </row>
    <row r="18" spans="1:5" x14ac:dyDescent="0.55000000000000004">
      <c r="A18" s="2" t="s">
        <v>173</v>
      </c>
      <c r="B18" s="42">
        <f>'Comp Fund Stats'!D10</f>
        <v>212.88888888888889</v>
      </c>
      <c r="C18" s="47" t="s">
        <v>108</v>
      </c>
      <c r="D18" s="33" t="s">
        <v>77</v>
      </c>
      <c r="E18" t="s">
        <v>190</v>
      </c>
    </row>
    <row r="19" spans="1:5" x14ac:dyDescent="0.55000000000000004">
      <c r="A19" s="2" t="s">
        <v>174</v>
      </c>
      <c r="B19" s="42">
        <f>'Comp Fund Stats'!E10</f>
        <v>200</v>
      </c>
      <c r="C19" s="47" t="s">
        <v>108</v>
      </c>
      <c r="D19" s="33" t="s">
        <v>78</v>
      </c>
      <c r="E19" t="s">
        <v>190</v>
      </c>
    </row>
    <row r="20" spans="1:5" x14ac:dyDescent="0.55000000000000004">
      <c r="A20" s="2" t="s">
        <v>303</v>
      </c>
      <c r="B20" s="42">
        <f>'Comp Fund Stats'!C12</f>
        <v>2</v>
      </c>
      <c r="C20" s="47" t="s">
        <v>108</v>
      </c>
      <c r="D20" s="33" t="s">
        <v>79</v>
      </c>
      <c r="E20" t="s">
        <v>190</v>
      </c>
    </row>
    <row r="21" spans="1:5" x14ac:dyDescent="0.55000000000000004">
      <c r="A21" s="2" t="s">
        <v>304</v>
      </c>
      <c r="B21" s="42">
        <f>'Comp Fund Stats'!D12</f>
        <v>3</v>
      </c>
      <c r="C21" s="47" t="s">
        <v>108</v>
      </c>
      <c r="D21" s="33" t="s">
        <v>80</v>
      </c>
      <c r="E21" t="s">
        <v>190</v>
      </c>
    </row>
    <row r="22" spans="1:5" x14ac:dyDescent="0.55000000000000004">
      <c r="A22" s="2" t="s">
        <v>305</v>
      </c>
      <c r="B22" s="42">
        <f>'Comp Fund Stats'!E12</f>
        <v>4</v>
      </c>
      <c r="C22" s="47" t="s">
        <v>108</v>
      </c>
      <c r="D22" s="33" t="s">
        <v>81</v>
      </c>
      <c r="E22" t="s">
        <v>190</v>
      </c>
    </row>
    <row r="23" spans="1:5" x14ac:dyDescent="0.55000000000000004">
      <c r="A23" s="2" t="s">
        <v>306</v>
      </c>
      <c r="B23" s="43">
        <f>'Comp Fund Stats'!C13</f>
        <v>2.2222222222222223</v>
      </c>
      <c r="C23" s="47" t="s">
        <v>106</v>
      </c>
      <c r="D23" s="33" t="s">
        <v>82</v>
      </c>
      <c r="E23" t="s">
        <v>190</v>
      </c>
    </row>
    <row r="24" spans="1:5" x14ac:dyDescent="0.55000000000000004">
      <c r="A24" s="2" t="s">
        <v>307</v>
      </c>
      <c r="B24" s="43">
        <f>'Comp Fund Stats'!D13</f>
        <v>2.074074074074074</v>
      </c>
      <c r="C24" s="47" t="s">
        <v>106</v>
      </c>
      <c r="D24" s="33" t="s">
        <v>83</v>
      </c>
      <c r="E24" t="s">
        <v>190</v>
      </c>
    </row>
    <row r="25" spans="1:5" x14ac:dyDescent="0.55000000000000004">
      <c r="A25" s="2" t="s">
        <v>308</v>
      </c>
      <c r="B25" s="43">
        <f>'Comp Fund Stats'!E13</f>
        <v>2.1</v>
      </c>
      <c r="C25" s="47" t="s">
        <v>106</v>
      </c>
      <c r="D25" s="33" t="s">
        <v>84</v>
      </c>
      <c r="E25" t="s">
        <v>190</v>
      </c>
    </row>
    <row r="26" spans="1:5" x14ac:dyDescent="0.55000000000000004">
      <c r="A26" s="2" t="s">
        <v>175</v>
      </c>
      <c r="B26" s="43">
        <f>'Comp Fund Stats'!C14</f>
        <v>2.5</v>
      </c>
      <c r="C26" s="47" t="s">
        <v>106</v>
      </c>
      <c r="D26" s="33" t="s">
        <v>85</v>
      </c>
      <c r="E26" t="s">
        <v>190</v>
      </c>
    </row>
    <row r="27" spans="1:5" x14ac:dyDescent="0.55000000000000004">
      <c r="A27" s="2" t="s">
        <v>176</v>
      </c>
      <c r="B27" s="43">
        <f>'Comp Fund Stats'!D14</f>
        <v>2.3333333333333335</v>
      </c>
      <c r="C27" s="47" t="s">
        <v>106</v>
      </c>
      <c r="D27" s="33" t="s">
        <v>86</v>
      </c>
      <c r="E27" t="s">
        <v>190</v>
      </c>
    </row>
    <row r="28" spans="1:5" x14ac:dyDescent="0.55000000000000004">
      <c r="A28" s="2" t="s">
        <v>177</v>
      </c>
      <c r="B28" s="43">
        <f>'Comp Fund Stats'!E14</f>
        <v>2.5</v>
      </c>
      <c r="C28" s="47" t="s">
        <v>106</v>
      </c>
      <c r="D28" s="33" t="s">
        <v>87</v>
      </c>
      <c r="E28" t="s">
        <v>190</v>
      </c>
    </row>
    <row r="29" spans="1:5" x14ac:dyDescent="0.55000000000000004">
      <c r="A29" s="2" t="s">
        <v>265</v>
      </c>
      <c r="B29" s="41">
        <f>'Comp Fund Stats'!C16</f>
        <v>1808000</v>
      </c>
      <c r="C29" s="47" t="s">
        <v>107</v>
      </c>
      <c r="D29" s="33" t="s">
        <v>309</v>
      </c>
      <c r="E29" t="s">
        <v>190</v>
      </c>
    </row>
    <row r="30" spans="1:5" x14ac:dyDescent="0.55000000000000004">
      <c r="A30" s="2" t="s">
        <v>266</v>
      </c>
      <c r="B30" s="41">
        <f>'Comp Fund Stats'!D16</f>
        <v>2891667</v>
      </c>
      <c r="C30" s="47" t="s">
        <v>107</v>
      </c>
      <c r="D30" s="33" t="s">
        <v>310</v>
      </c>
      <c r="E30" t="s">
        <v>190</v>
      </c>
    </row>
    <row r="31" spans="1:5" x14ac:dyDescent="0.55000000000000004">
      <c r="A31" s="2" t="s">
        <v>267</v>
      </c>
      <c r="B31" s="120">
        <f>'Comp Fund Stats'!E16</f>
        <v>3502328.5282021039</v>
      </c>
      <c r="C31" s="47" t="s">
        <v>107</v>
      </c>
      <c r="D31" s="33" t="s">
        <v>311</v>
      </c>
      <c r="E31" t="s">
        <v>190</v>
      </c>
    </row>
    <row r="32" spans="1:5" x14ac:dyDescent="0.55000000000000004">
      <c r="A32" s="2" t="s">
        <v>271</v>
      </c>
      <c r="B32" s="41">
        <f>'Comp Fund Stats'!C17</f>
        <v>4354800</v>
      </c>
      <c r="C32" s="47" t="s">
        <v>107</v>
      </c>
      <c r="D32" s="33" t="s">
        <v>312</v>
      </c>
      <c r="E32" t="s">
        <v>190</v>
      </c>
    </row>
    <row r="33" spans="1:5" x14ac:dyDescent="0.55000000000000004">
      <c r="A33" s="2" t="s">
        <v>272</v>
      </c>
      <c r="B33" s="41">
        <f>'Comp Fund Stats'!D17</f>
        <v>5450000</v>
      </c>
      <c r="C33" s="47" t="s">
        <v>107</v>
      </c>
      <c r="D33" s="33" t="s">
        <v>313</v>
      </c>
      <c r="E33" t="s">
        <v>190</v>
      </c>
    </row>
    <row r="34" spans="1:5" x14ac:dyDescent="0.55000000000000004">
      <c r="A34" s="2" t="s">
        <v>273</v>
      </c>
      <c r="B34" s="41">
        <f>'Comp Fund Stats'!E17</f>
        <v>5535695.2954474259</v>
      </c>
      <c r="C34" s="47" t="s">
        <v>107</v>
      </c>
      <c r="D34" s="33" t="s">
        <v>314</v>
      </c>
      <c r="E34" t="s">
        <v>190</v>
      </c>
    </row>
    <row r="35" spans="1:5" x14ac:dyDescent="0.55000000000000004">
      <c r="A35" s="2" t="s">
        <v>277</v>
      </c>
      <c r="B35" s="41">
        <f>'Comp Fund Stats'!C19</f>
        <v>959000</v>
      </c>
      <c r="C35" s="47" t="s">
        <v>107</v>
      </c>
      <c r="D35" s="33" t="s">
        <v>88</v>
      </c>
      <c r="E35" t="s">
        <v>190</v>
      </c>
    </row>
    <row r="36" spans="1:5" x14ac:dyDescent="0.55000000000000004">
      <c r="A36" s="2" t="s">
        <v>278</v>
      </c>
      <c r="B36" s="41">
        <f>'Comp Fund Stats'!D19</f>
        <v>1841667</v>
      </c>
      <c r="C36" s="47" t="s">
        <v>107</v>
      </c>
      <c r="D36" s="33" t="s">
        <v>89</v>
      </c>
      <c r="E36" t="s">
        <v>190</v>
      </c>
    </row>
    <row r="37" spans="1:5" x14ac:dyDescent="0.55000000000000004">
      <c r="A37" s="2" t="s">
        <v>279</v>
      </c>
      <c r="B37" s="41">
        <f>'Comp Fund Stats'!E19</f>
        <v>2430000</v>
      </c>
      <c r="C37" s="47" t="s">
        <v>107</v>
      </c>
      <c r="D37" s="33" t="s">
        <v>90</v>
      </c>
      <c r="E37" t="s">
        <v>190</v>
      </c>
    </row>
    <row r="38" spans="1:5" x14ac:dyDescent="0.55000000000000004">
      <c r="A38" s="2" t="s">
        <v>280</v>
      </c>
      <c r="B38" s="41">
        <f>'Comp Fund Stats'!C20</f>
        <v>600000</v>
      </c>
      <c r="C38" s="47" t="s">
        <v>107</v>
      </c>
      <c r="D38" s="33" t="s">
        <v>91</v>
      </c>
      <c r="E38" t="s">
        <v>190</v>
      </c>
    </row>
    <row r="39" spans="1:5" x14ac:dyDescent="0.55000000000000004">
      <c r="A39" s="2" t="s">
        <v>281</v>
      </c>
      <c r="B39" s="41">
        <f>'Comp Fund Stats'!D20</f>
        <v>416794</v>
      </c>
      <c r="C39" s="47" t="s">
        <v>107</v>
      </c>
      <c r="D39" s="33" t="s">
        <v>92</v>
      </c>
      <c r="E39" t="s">
        <v>190</v>
      </c>
    </row>
    <row r="40" spans="1:5" x14ac:dyDescent="0.55000000000000004">
      <c r="A40" s="2" t="s">
        <v>282</v>
      </c>
      <c r="B40" s="41">
        <f>'Comp Fund Stats'!E20</f>
        <v>720000</v>
      </c>
      <c r="C40" s="47" t="s">
        <v>107</v>
      </c>
      <c r="D40" s="33" t="s">
        <v>93</v>
      </c>
      <c r="E40" t="s">
        <v>190</v>
      </c>
    </row>
    <row r="41" spans="1:5" x14ac:dyDescent="0.55000000000000004">
      <c r="A41" s="2" t="s">
        <v>268</v>
      </c>
      <c r="B41" s="44">
        <f>'Comp Fund Stats'!C22</f>
        <v>0.13820342528337529</v>
      </c>
      <c r="C41" s="47" t="s">
        <v>109</v>
      </c>
      <c r="D41" s="33" t="s">
        <v>94</v>
      </c>
      <c r="E41" t="s">
        <v>190</v>
      </c>
    </row>
    <row r="42" spans="1:5" x14ac:dyDescent="0.55000000000000004">
      <c r="A42" s="2" t="s">
        <v>269</v>
      </c>
      <c r="B42" s="44">
        <f>'Comp Fund Stats'!D22</f>
        <v>0.14387692605396823</v>
      </c>
      <c r="C42" s="47" t="s">
        <v>109</v>
      </c>
      <c r="D42" s="33" t="s">
        <v>95</v>
      </c>
      <c r="E42" t="s">
        <v>190</v>
      </c>
    </row>
    <row r="43" spans="1:5" x14ac:dyDescent="0.55000000000000004">
      <c r="A43" s="2" t="s">
        <v>270</v>
      </c>
      <c r="B43" s="44">
        <f>'Comp Fund Stats'!E22</f>
        <v>0.15</v>
      </c>
      <c r="C43" s="47" t="s">
        <v>109</v>
      </c>
      <c r="D43" s="33" t="s">
        <v>96</v>
      </c>
      <c r="E43" t="s">
        <v>190</v>
      </c>
    </row>
    <row r="44" spans="1:5" x14ac:dyDescent="0.55000000000000004">
      <c r="A44" s="2" t="s">
        <v>274</v>
      </c>
      <c r="B44" s="44">
        <f>'Comp Fund Stats'!C23</f>
        <v>4.8275543278572364E-2</v>
      </c>
      <c r="C44" s="47" t="s">
        <v>109</v>
      </c>
      <c r="D44" s="33" t="s">
        <v>97</v>
      </c>
      <c r="E44" t="s">
        <v>190</v>
      </c>
    </row>
    <row r="45" spans="1:5" x14ac:dyDescent="0.55000000000000004">
      <c r="A45" s="2" t="s">
        <v>275</v>
      </c>
      <c r="B45" s="44">
        <f>'Comp Fund Stats'!D23</f>
        <v>4.1545251403563563E-2</v>
      </c>
      <c r="C45" s="47" t="s">
        <v>109</v>
      </c>
      <c r="D45" s="33" t="s">
        <v>98</v>
      </c>
      <c r="E45" t="s">
        <v>190</v>
      </c>
    </row>
    <row r="46" spans="1:5" x14ac:dyDescent="0.55000000000000004">
      <c r="A46" s="2" t="s">
        <v>276</v>
      </c>
      <c r="B46" s="44">
        <f>'Comp Fund Stats'!E23</f>
        <v>0.05</v>
      </c>
      <c r="C46" s="47" t="s">
        <v>109</v>
      </c>
      <c r="D46" s="33" t="s">
        <v>99</v>
      </c>
      <c r="E46" t="s">
        <v>190</v>
      </c>
    </row>
    <row r="47" spans="1:5" x14ac:dyDescent="0.55000000000000004">
      <c r="A47" s="2" t="s">
        <v>283</v>
      </c>
      <c r="B47" s="44">
        <f>'Comp Fund Stats'!C26</f>
        <v>0.9</v>
      </c>
      <c r="C47" s="47" t="s">
        <v>110</v>
      </c>
      <c r="D47" s="33" t="s">
        <v>100</v>
      </c>
      <c r="E47" t="s">
        <v>190</v>
      </c>
    </row>
    <row r="48" spans="1:5" x14ac:dyDescent="0.55000000000000004">
      <c r="A48" s="2" t="s">
        <v>284</v>
      </c>
      <c r="B48" s="44">
        <f>'Comp Fund Stats'!D26</f>
        <v>0.5714285714285714</v>
      </c>
      <c r="C48" s="47" t="s">
        <v>110</v>
      </c>
      <c r="D48" s="33" t="s">
        <v>101</v>
      </c>
      <c r="E48" t="s">
        <v>190</v>
      </c>
    </row>
    <row r="49" spans="1:5" x14ac:dyDescent="0.55000000000000004">
      <c r="A49" s="2" t="s">
        <v>178</v>
      </c>
      <c r="B49" s="45">
        <f>'Comp Fund Stats'!C27</f>
        <v>0.9</v>
      </c>
      <c r="C49" s="47" t="s">
        <v>110</v>
      </c>
      <c r="D49" s="33" t="s">
        <v>102</v>
      </c>
      <c r="E49" t="s">
        <v>190</v>
      </c>
    </row>
    <row r="50" spans="1:5" x14ac:dyDescent="0.55000000000000004">
      <c r="A50" s="2" t="s">
        <v>179</v>
      </c>
      <c r="B50" s="45">
        <f>'Comp Fund Stats'!D27</f>
        <v>1</v>
      </c>
      <c r="C50" s="47" t="s">
        <v>110</v>
      </c>
      <c r="D50" s="33" t="s">
        <v>103</v>
      </c>
      <c r="E50" t="s">
        <v>190</v>
      </c>
    </row>
    <row r="51" spans="1:5" x14ac:dyDescent="0.55000000000000004">
      <c r="A51" s="2" t="s">
        <v>180</v>
      </c>
      <c r="B51" s="41" t="str">
        <f>'Comp Fund Stats'!E27</f>
        <v>&gt; 95%</v>
      </c>
      <c r="C51" s="48" t="s">
        <v>105</v>
      </c>
      <c r="D51" s="33" t="s">
        <v>104</v>
      </c>
      <c r="E51" t="s">
        <v>190</v>
      </c>
    </row>
    <row r="52" spans="1:5" x14ac:dyDescent="0.55000000000000004">
      <c r="A52" s="2" t="s">
        <v>285</v>
      </c>
      <c r="B52" s="43">
        <f>'Fund I Overview'!B3</f>
        <v>2.068774355112347</v>
      </c>
      <c r="C52" s="47" t="s">
        <v>111</v>
      </c>
      <c r="D52" s="33" t="s">
        <v>57</v>
      </c>
      <c r="E52" t="s">
        <v>191</v>
      </c>
    </row>
    <row r="53" spans="1:5" x14ac:dyDescent="0.55000000000000004">
      <c r="A53" s="2" t="s">
        <v>181</v>
      </c>
      <c r="B53" s="43">
        <f>'Fund I Overview'!B5</f>
        <v>1.700955174380183</v>
      </c>
      <c r="C53" s="47" t="s">
        <v>111</v>
      </c>
      <c r="D53" s="33" t="s">
        <v>58</v>
      </c>
      <c r="E53" t="s">
        <v>191</v>
      </c>
    </row>
    <row r="54" spans="1:5" x14ac:dyDescent="0.55000000000000004">
      <c r="A54" s="2" t="s">
        <v>182</v>
      </c>
      <c r="B54" s="44">
        <f>'Fund I Overview'!B9</f>
        <v>0.37735714450657171</v>
      </c>
      <c r="C54" s="47" t="s">
        <v>109</v>
      </c>
      <c r="D54" s="33" t="s">
        <v>59</v>
      </c>
      <c r="E54" t="s">
        <v>191</v>
      </c>
    </row>
    <row r="55" spans="1:5" x14ac:dyDescent="0.55000000000000004">
      <c r="A55" s="2" t="s">
        <v>183</v>
      </c>
      <c r="B55" s="46">
        <f>'Fund I Overview'!B11</f>
        <v>0.5</v>
      </c>
      <c r="C55" s="47" t="s">
        <v>110</v>
      </c>
      <c r="D55" s="33" t="s">
        <v>147</v>
      </c>
      <c r="E55" t="s">
        <v>191</v>
      </c>
    </row>
    <row r="56" spans="1:5" x14ac:dyDescent="0.55000000000000004">
      <c r="A56" s="2" t="s">
        <v>184</v>
      </c>
      <c r="B56" s="44">
        <f>'Fund I Overview'!B14</f>
        <v>0.23607909083366396</v>
      </c>
      <c r="C56" s="47" t="s">
        <v>109</v>
      </c>
      <c r="D56" s="33" t="s">
        <v>60</v>
      </c>
      <c r="E56" t="s">
        <v>191</v>
      </c>
    </row>
    <row r="57" spans="1:5" x14ac:dyDescent="0.55000000000000004">
      <c r="A57" s="2" t="s">
        <v>286</v>
      </c>
      <c r="B57" s="43">
        <f>'Fund I Overview'!B17</f>
        <v>18.642816500000002</v>
      </c>
      <c r="C57" s="47" t="s">
        <v>149</v>
      </c>
      <c r="D57" t="s">
        <v>152</v>
      </c>
      <c r="E57" t="s">
        <v>191</v>
      </c>
    </row>
    <row r="58" spans="1:5" x14ac:dyDescent="0.55000000000000004">
      <c r="A58" s="2" t="s">
        <v>287</v>
      </c>
      <c r="B58" s="43">
        <f>'Fund I Overview'!B18</f>
        <v>2.4821834999999979</v>
      </c>
      <c r="C58" s="47" t="s">
        <v>149</v>
      </c>
      <c r="D58" t="s">
        <v>153</v>
      </c>
      <c r="E58" t="s">
        <v>191</v>
      </c>
    </row>
    <row r="59" spans="1:5" x14ac:dyDescent="0.55000000000000004">
      <c r="A59" s="2" t="s">
        <v>288</v>
      </c>
      <c r="B59" s="43">
        <f>'Fund I Overview'!B19</f>
        <v>17.634146739999998</v>
      </c>
      <c r="C59" s="47" t="s">
        <v>149</v>
      </c>
      <c r="D59" t="s">
        <v>154</v>
      </c>
      <c r="E59" t="s">
        <v>191</v>
      </c>
    </row>
    <row r="60" spans="1:5" x14ac:dyDescent="0.55000000000000004">
      <c r="A60" s="2" t="s">
        <v>289</v>
      </c>
      <c r="B60" s="43">
        <f>'Fund I Overview'!B20</f>
        <v>7.7949983199999995</v>
      </c>
      <c r="C60" s="47" t="s">
        <v>149</v>
      </c>
      <c r="D60" t="s">
        <v>155</v>
      </c>
      <c r="E60" t="s">
        <v>191</v>
      </c>
    </row>
    <row r="61" spans="1:5" x14ac:dyDescent="0.55000000000000004">
      <c r="A61" s="2" t="s">
        <v>290</v>
      </c>
      <c r="B61" s="43">
        <f>'Fund I Overview'!B21</f>
        <v>9.6891487499999993</v>
      </c>
      <c r="C61" s="47" t="s">
        <v>149</v>
      </c>
      <c r="D61" t="s">
        <v>156</v>
      </c>
      <c r="E61" t="s">
        <v>191</v>
      </c>
    </row>
    <row r="62" spans="1:5" x14ac:dyDescent="0.55000000000000004">
      <c r="A62" s="2" t="s">
        <v>291</v>
      </c>
      <c r="B62" s="43">
        <f>'Fund I Overview'!B22</f>
        <v>36.481070549999991</v>
      </c>
      <c r="C62" s="47" t="s">
        <v>149</v>
      </c>
      <c r="D62" t="s">
        <v>157</v>
      </c>
      <c r="E62" t="s">
        <v>191</v>
      </c>
    </row>
    <row r="63" spans="1:5" x14ac:dyDescent="0.55000000000000004">
      <c r="A63" s="2" t="s">
        <v>292</v>
      </c>
      <c r="B63" s="43">
        <f>'Fund I Overview'!B23</f>
        <v>7.9317541499999997</v>
      </c>
      <c r="C63" s="47" t="s">
        <v>149</v>
      </c>
      <c r="D63" t="s">
        <v>158</v>
      </c>
      <c r="E63" t="s">
        <v>191</v>
      </c>
    </row>
    <row r="64" spans="1:5" x14ac:dyDescent="0.55000000000000004">
      <c r="A64" s="2" t="s">
        <v>293</v>
      </c>
      <c r="B64" s="43">
        <f>'Fund I Overview'!B24</f>
        <v>28.549316399999991</v>
      </c>
      <c r="C64" s="47" t="s">
        <v>149</v>
      </c>
      <c r="D64" t="s">
        <v>159</v>
      </c>
      <c r="E64" t="s">
        <v>191</v>
      </c>
    </row>
    <row r="65" spans="1:5" x14ac:dyDescent="0.55000000000000004">
      <c r="A65" s="2" t="s">
        <v>294</v>
      </c>
      <c r="B65" s="51">
        <f>'Fund II Overview'!B3</f>
        <v>1.297861054471408</v>
      </c>
      <c r="C65" s="47" t="s">
        <v>111</v>
      </c>
      <c r="D65" s="33" t="s">
        <v>124</v>
      </c>
      <c r="E65" t="s">
        <v>192</v>
      </c>
    </row>
    <row r="66" spans="1:5" x14ac:dyDescent="0.55000000000000004">
      <c r="A66" s="2" t="s">
        <v>185</v>
      </c>
      <c r="B66" s="51">
        <f>'Fund II Overview'!B5</f>
        <v>1.1415955884878528</v>
      </c>
      <c r="C66" s="47" t="s">
        <v>111</v>
      </c>
      <c r="D66" s="33" t="s">
        <v>125</v>
      </c>
      <c r="E66" t="s">
        <v>192</v>
      </c>
    </row>
    <row r="67" spans="1:5" x14ac:dyDescent="0.55000000000000004">
      <c r="A67" s="2" t="s">
        <v>186</v>
      </c>
      <c r="B67" s="46">
        <f>'Fund II Overview'!B7</f>
        <v>0</v>
      </c>
      <c r="C67" s="47" t="s">
        <v>109</v>
      </c>
      <c r="D67" s="33" t="s">
        <v>126</v>
      </c>
      <c r="E67" t="s">
        <v>192</v>
      </c>
    </row>
    <row r="68" spans="1:5" x14ac:dyDescent="0.55000000000000004">
      <c r="A68" s="2" t="s">
        <v>187</v>
      </c>
      <c r="B68" s="46">
        <f>'Fund II Overview'!B11</f>
        <v>0.42857142857142855</v>
      </c>
      <c r="C68" s="47" t="s">
        <v>110</v>
      </c>
      <c r="D68" s="33" t="s">
        <v>148</v>
      </c>
      <c r="E68" t="s">
        <v>192</v>
      </c>
    </row>
    <row r="69" spans="1:5" x14ac:dyDescent="0.55000000000000004">
      <c r="A69" s="2" t="s">
        <v>188</v>
      </c>
      <c r="B69" s="46">
        <f>'Fund II Overview'!B35</f>
        <v>0.14631531834602357</v>
      </c>
      <c r="C69" s="47" t="s">
        <v>109</v>
      </c>
      <c r="D69" s="33" t="s">
        <v>127</v>
      </c>
      <c r="E69" t="s">
        <v>192</v>
      </c>
    </row>
    <row r="70" spans="1:5" x14ac:dyDescent="0.55000000000000004">
      <c r="A70" s="2" t="s">
        <v>295</v>
      </c>
      <c r="B70" s="43">
        <f>'Fund II Overview'!B17</f>
        <v>11.034238</v>
      </c>
      <c r="C70" s="47" t="s">
        <v>149</v>
      </c>
      <c r="D70" t="s">
        <v>160</v>
      </c>
      <c r="E70" t="s">
        <v>192</v>
      </c>
    </row>
    <row r="71" spans="1:5" x14ac:dyDescent="0.55000000000000004">
      <c r="A71" s="2" t="s">
        <v>296</v>
      </c>
      <c r="B71" s="43">
        <f>'Fund II Overview'!B18</f>
        <v>26.850761999999996</v>
      </c>
      <c r="C71" s="47" t="s">
        <v>149</v>
      </c>
      <c r="D71" t="s">
        <v>161</v>
      </c>
      <c r="E71" t="s">
        <v>192</v>
      </c>
    </row>
    <row r="72" spans="1:5" x14ac:dyDescent="0.55000000000000004">
      <c r="A72" s="2" t="s">
        <v>297</v>
      </c>
      <c r="B72" s="43">
        <f>'Fund II Overview'!B19</f>
        <v>13.15495071</v>
      </c>
      <c r="C72" s="47" t="s">
        <v>149</v>
      </c>
      <c r="D72" t="s">
        <v>162</v>
      </c>
      <c r="E72" t="s">
        <v>192</v>
      </c>
    </row>
    <row r="73" spans="1:5" x14ac:dyDescent="0.55000000000000004">
      <c r="A73" s="2" t="s">
        <v>298</v>
      </c>
      <c r="B73" s="43">
        <f>'Fund II Overview'!B20</f>
        <v>13.154950710000001</v>
      </c>
      <c r="C73" s="47" t="s">
        <v>149</v>
      </c>
      <c r="D73" t="s">
        <v>163</v>
      </c>
      <c r="E73" t="s">
        <v>192</v>
      </c>
    </row>
    <row r="74" spans="1:5" x14ac:dyDescent="0.55000000000000004">
      <c r="A74" s="2" t="s">
        <v>299</v>
      </c>
      <c r="B74" s="43">
        <f>'Fund II Overview'!B21</f>
        <v>0</v>
      </c>
      <c r="C74" s="47" t="s">
        <v>149</v>
      </c>
      <c r="D74" t="s">
        <v>164</v>
      </c>
      <c r="E74" t="s">
        <v>192</v>
      </c>
    </row>
    <row r="75" spans="1:5" x14ac:dyDescent="0.55000000000000004">
      <c r="A75" s="2" t="s">
        <v>300</v>
      </c>
      <c r="B75" s="43">
        <f>'Fund II Overview'!B22</f>
        <v>17.073298199999996</v>
      </c>
      <c r="C75" s="47" t="s">
        <v>149</v>
      </c>
      <c r="D75" t="s">
        <v>165</v>
      </c>
      <c r="E75" t="s">
        <v>192</v>
      </c>
    </row>
    <row r="76" spans="1:5" x14ac:dyDescent="0.55000000000000004">
      <c r="A76" s="2" t="s">
        <v>301</v>
      </c>
      <c r="B76" s="43">
        <f>'Fund II Overview'!B23</f>
        <v>5.5358474900000001</v>
      </c>
      <c r="C76" s="47" t="s">
        <v>149</v>
      </c>
      <c r="D76" t="s">
        <v>166</v>
      </c>
      <c r="E76" t="s">
        <v>192</v>
      </c>
    </row>
    <row r="77" spans="1:5" x14ac:dyDescent="0.55000000000000004">
      <c r="A77" s="2" t="s">
        <v>302</v>
      </c>
      <c r="B77" s="43">
        <f>'Fund II Overview'!B24</f>
        <v>11.537450709999996</v>
      </c>
      <c r="C77" s="47" t="s">
        <v>149</v>
      </c>
      <c r="D77" t="s">
        <v>167</v>
      </c>
      <c r="E77" t="s">
        <v>192</v>
      </c>
    </row>
    <row r="78" spans="1:5" x14ac:dyDescent="0.55000000000000004">
      <c r="A78" s="2" t="str">
        <f>CONCATENATE(portCo!C4,".date")</f>
        <v>siteOne.date</v>
      </c>
      <c r="B78" s="89">
        <f>portCo!D4</f>
        <v>42186</v>
      </c>
      <c r="C78" s="47" t="s">
        <v>105</v>
      </c>
      <c r="D78" t="s">
        <v>238</v>
      </c>
      <c r="E78" t="s">
        <v>223</v>
      </c>
    </row>
    <row r="79" spans="1:5" x14ac:dyDescent="0.55000000000000004">
      <c r="A79" s="2" t="str">
        <f>CONCATENATE(portCo!C5,".date")</f>
        <v>submit.date</v>
      </c>
      <c r="B79" s="89">
        <f>portCo!D5</f>
        <v>42328</v>
      </c>
      <c r="C79" s="47" t="s">
        <v>105</v>
      </c>
      <c r="D79" t="s">
        <v>238</v>
      </c>
      <c r="E79" t="s">
        <v>223</v>
      </c>
    </row>
    <row r="80" spans="1:5" x14ac:dyDescent="0.55000000000000004">
      <c r="A80" s="2" t="str">
        <f>CONCATENATE(portCo!C6,".date")</f>
        <v>clearas.date</v>
      </c>
      <c r="B80" s="89">
        <f>portCo!D6</f>
        <v>42436</v>
      </c>
      <c r="C80" s="47" t="s">
        <v>105</v>
      </c>
      <c r="D80" t="s">
        <v>238</v>
      </c>
      <c r="E80" t="s">
        <v>223</v>
      </c>
    </row>
    <row r="81" spans="1:5" x14ac:dyDescent="0.55000000000000004">
      <c r="A81" s="2" t="str">
        <f>CONCATENATE(portCo!C7,".date")</f>
        <v>orbital.date</v>
      </c>
      <c r="B81" s="89">
        <f>portCo!D7</f>
        <v>42669</v>
      </c>
      <c r="C81" s="47" t="s">
        <v>105</v>
      </c>
      <c r="D81" t="s">
        <v>238</v>
      </c>
      <c r="E81" t="s">
        <v>223</v>
      </c>
    </row>
    <row r="82" spans="1:5" x14ac:dyDescent="0.55000000000000004">
      <c r="A82" s="2" t="str">
        <f>CONCATENATE(portCo!C8,".date")</f>
        <v>quiq.date</v>
      </c>
      <c r="B82" s="89">
        <f>portCo!D8</f>
        <v>42592</v>
      </c>
      <c r="C82" s="47" t="s">
        <v>105</v>
      </c>
      <c r="D82" t="s">
        <v>238</v>
      </c>
      <c r="E82" t="s">
        <v>223</v>
      </c>
    </row>
    <row r="83" spans="1:5" x14ac:dyDescent="0.55000000000000004">
      <c r="A83" s="2" t="str">
        <f>CONCATENATE(portCo!C9,".date")</f>
        <v>blackmore.date</v>
      </c>
      <c r="B83" s="89">
        <f>portCo!D9</f>
        <v>42382</v>
      </c>
      <c r="C83" s="47" t="s">
        <v>105</v>
      </c>
      <c r="D83" t="s">
        <v>238</v>
      </c>
      <c r="E83" t="s">
        <v>223</v>
      </c>
    </row>
    <row r="84" spans="1:5" x14ac:dyDescent="0.55000000000000004">
      <c r="A84" s="2" t="str">
        <f>CONCATENATE(portCo!C10,".date")</f>
        <v>phoenix.date</v>
      </c>
      <c r="B84" s="89">
        <f>portCo!D10</f>
        <v>42689</v>
      </c>
      <c r="C84" s="47" t="s">
        <v>105</v>
      </c>
      <c r="D84" t="s">
        <v>238</v>
      </c>
      <c r="E84" t="s">
        <v>223</v>
      </c>
    </row>
    <row r="85" spans="1:5" x14ac:dyDescent="0.55000000000000004">
      <c r="A85" s="2" t="str">
        <f>CONCATENATE(portCo!C11,".date")</f>
        <v>ironCore.date</v>
      </c>
      <c r="B85" s="89">
        <f>portCo!D11</f>
        <v>42386</v>
      </c>
      <c r="C85" s="47" t="s">
        <v>105</v>
      </c>
      <c r="D85" t="s">
        <v>238</v>
      </c>
      <c r="E85" t="s">
        <v>223</v>
      </c>
    </row>
    <row r="86" spans="1:5" x14ac:dyDescent="0.55000000000000004">
      <c r="A86" s="2" t="str">
        <f>CONCATENATE(portCo!C12,".date")</f>
        <v>oppSource.date</v>
      </c>
      <c r="B86" s="89">
        <f>portCo!D12</f>
        <v>42857</v>
      </c>
      <c r="C86" s="47" t="s">
        <v>105</v>
      </c>
      <c r="D86" t="s">
        <v>238</v>
      </c>
      <c r="E86" t="s">
        <v>223</v>
      </c>
    </row>
    <row r="87" spans="1:5" x14ac:dyDescent="0.55000000000000004">
      <c r="A87" s="2" t="str">
        <f>CONCATENATE(portCo!C13,".date")</f>
        <v>remix.date</v>
      </c>
      <c r="B87" s="89">
        <f>portCo!D13</f>
        <v>42986</v>
      </c>
      <c r="C87" s="47" t="s">
        <v>105</v>
      </c>
      <c r="D87" t="s">
        <v>238</v>
      </c>
      <c r="E87" t="s">
        <v>223</v>
      </c>
    </row>
    <row r="88" spans="1:5" x14ac:dyDescent="0.55000000000000004">
      <c r="A88" s="2" t="str">
        <f>CONCATENATE(portCo!C14,".date")</f>
        <v>Ataata.date</v>
      </c>
      <c r="B88" s="89">
        <f>portCo!D14</f>
        <v>43073</v>
      </c>
      <c r="C88" s="47" t="s">
        <v>105</v>
      </c>
      <c r="D88" t="s">
        <v>238</v>
      </c>
      <c r="E88" t="s">
        <v>223</v>
      </c>
    </row>
    <row r="89" spans="1:5" x14ac:dyDescent="0.55000000000000004">
      <c r="A89" s="2" t="str">
        <f>CONCATENATE(portCo!C15,".date")</f>
        <v>OnX.date</v>
      </c>
      <c r="B89" s="89">
        <f>portCo!D15</f>
        <v>43145</v>
      </c>
      <c r="C89" s="47" t="s">
        <v>105</v>
      </c>
      <c r="D89" t="s">
        <v>238</v>
      </c>
      <c r="E89" t="s">
        <v>223</v>
      </c>
    </row>
    <row r="90" spans="1:5" x14ac:dyDescent="0.55000000000000004">
      <c r="A90" s="2" t="str">
        <f>CONCATENATE(portCo!C16,".date")</f>
        <v>twinThread.date</v>
      </c>
      <c r="B90" s="89">
        <f>portCo!D16</f>
        <v>43325</v>
      </c>
      <c r="C90" s="47" t="s">
        <v>105</v>
      </c>
      <c r="D90" t="s">
        <v>238</v>
      </c>
      <c r="E90" t="s">
        <v>223</v>
      </c>
    </row>
    <row r="91" spans="1:5" x14ac:dyDescent="0.55000000000000004">
      <c r="A91" s="2" t="str">
        <f>CONCATENATE(portCo!C17,".date")</f>
        <v>section.date</v>
      </c>
      <c r="B91" s="89">
        <f>portCo!D17</f>
        <v>43315</v>
      </c>
      <c r="C91" s="47" t="s">
        <v>105</v>
      </c>
      <c r="D91" t="s">
        <v>238</v>
      </c>
      <c r="E91" t="s">
        <v>223</v>
      </c>
    </row>
    <row r="92" spans="1:5" x14ac:dyDescent="0.55000000000000004">
      <c r="A92" s="2" t="str">
        <f>CONCATENATE(portCo!C18,".date")</f>
        <v>meatEater.date</v>
      </c>
      <c r="B92" s="89">
        <f>portCo!D18</f>
        <v>43314</v>
      </c>
      <c r="C92" s="47" t="s">
        <v>105</v>
      </c>
      <c r="D92" t="s">
        <v>238</v>
      </c>
      <c r="E92" t="s">
        <v>223</v>
      </c>
    </row>
    <row r="93" spans="1:5" x14ac:dyDescent="0.55000000000000004">
      <c r="A93" s="2" t="str">
        <f>CONCATENATE(portCo!C19,".date")</f>
        <v>alpin.date</v>
      </c>
      <c r="B93" s="89">
        <f>portCo!D19</f>
        <v>43301</v>
      </c>
      <c r="C93" s="47" t="s">
        <v>105</v>
      </c>
      <c r="D93" t="s">
        <v>238</v>
      </c>
      <c r="E93" t="s">
        <v>223</v>
      </c>
    </row>
    <row r="94" spans="1:5" x14ac:dyDescent="0.55000000000000004">
      <c r="A94" s="2" t="str">
        <f>CONCATENATE(portCo!C20,".date")</f>
        <v>optio.date</v>
      </c>
      <c r="B94" s="89">
        <f>portCo!D20</f>
        <v>43455</v>
      </c>
      <c r="C94" s="47" t="s">
        <v>105</v>
      </c>
      <c r="D94" t="s">
        <v>238</v>
      </c>
      <c r="E94" t="s">
        <v>223</v>
      </c>
    </row>
    <row r="95" spans="1:5" x14ac:dyDescent="0.55000000000000004">
      <c r="A95" s="2" t="str">
        <f>CONCATENATE(portCo!C21,".date")</f>
        <v>S2.date</v>
      </c>
      <c r="B95" s="89">
        <f>portCo!D21</f>
        <v>43642</v>
      </c>
      <c r="C95" s="47" t="s">
        <v>105</v>
      </c>
      <c r="D95" t="s">
        <v>238</v>
      </c>
      <c r="E95" t="s">
        <v>223</v>
      </c>
    </row>
    <row r="96" spans="1:5" x14ac:dyDescent="0.55000000000000004">
      <c r="A96" s="2" t="str">
        <f>CONCATENATE(portCo!C22,".date")</f>
        <v>HALP.date</v>
      </c>
      <c r="B96" s="89">
        <f>portCo!D22</f>
        <v>43544</v>
      </c>
      <c r="C96" s="47" t="s">
        <v>105</v>
      </c>
      <c r="D96" t="s">
        <v>238</v>
      </c>
      <c r="E96" t="s">
        <v>223</v>
      </c>
    </row>
    <row r="97" spans="1:5" x14ac:dyDescent="0.55000000000000004">
      <c r="A97" s="2" t="str">
        <f>CONCATENATE(portCo!C23,".date")</f>
        <v>patientOne.date</v>
      </c>
      <c r="B97" s="89">
        <f>portCo!D23</f>
        <v>43497</v>
      </c>
      <c r="C97" s="47" t="s">
        <v>105</v>
      </c>
      <c r="D97" t="s">
        <v>238</v>
      </c>
      <c r="E97" t="s">
        <v>223</v>
      </c>
    </row>
    <row r="98" spans="1:5" x14ac:dyDescent="0.55000000000000004">
      <c r="A98" s="2" t="str">
        <f>CONCATENATE(portCo!C24,".date")</f>
        <v>aumni.date</v>
      </c>
      <c r="B98" s="89">
        <f>portCo!D24</f>
        <v>43545</v>
      </c>
      <c r="C98" s="47" t="s">
        <v>105</v>
      </c>
      <c r="D98" t="s">
        <v>238</v>
      </c>
      <c r="E98" t="s">
        <v>223</v>
      </c>
    </row>
    <row r="99" spans="1:5" x14ac:dyDescent="0.55000000000000004">
      <c r="A99" s="2" t="str">
        <f>CONCATENATE(portCo!C25,".date")</f>
        <v>lumenAd.date</v>
      </c>
      <c r="B99" s="89">
        <f>portCo!D25</f>
        <v>43685</v>
      </c>
      <c r="C99" s="47" t="s">
        <v>105</v>
      </c>
      <c r="D99" t="s">
        <v>238</v>
      </c>
      <c r="E99" t="s">
        <v>223</v>
      </c>
    </row>
    <row r="100" spans="1:5" x14ac:dyDescent="0.55000000000000004">
      <c r="A100" s="2" t="str">
        <f>CONCATENATE(portCo!C26,".date")</f>
        <v>monday.date</v>
      </c>
      <c r="B100" s="89">
        <f>portCo!D26</f>
        <v>43784</v>
      </c>
      <c r="C100" s="47" t="s">
        <v>105</v>
      </c>
      <c r="D100" t="s">
        <v>238</v>
      </c>
      <c r="E100" t="s">
        <v>223</v>
      </c>
    </row>
    <row r="101" spans="1:5" x14ac:dyDescent="0.55000000000000004">
      <c r="A101" s="2" t="str">
        <f>CONCATENATE(portCo!C27,".date")</f>
        <v>tripleTree.date</v>
      </c>
      <c r="B101" s="89">
        <f>portCo!D27</f>
        <v>43876</v>
      </c>
      <c r="C101" s="47" t="s">
        <v>105</v>
      </c>
      <c r="D101" t="s">
        <v>238</v>
      </c>
      <c r="E101" t="s">
        <v>223</v>
      </c>
    </row>
    <row r="102" spans="1:5" x14ac:dyDescent="0.55000000000000004">
      <c r="A102" s="2" t="str">
        <f>CONCATENATE(portCo!C28,".date")</f>
        <v>XXXco.date</v>
      </c>
      <c r="B102" s="89">
        <f>portCo!D28</f>
        <v>43876</v>
      </c>
      <c r="C102" s="47" t="s">
        <v>105</v>
      </c>
      <c r="D102" t="s">
        <v>238</v>
      </c>
      <c r="E102" t="s">
        <v>223</v>
      </c>
    </row>
    <row r="103" spans="1:5" x14ac:dyDescent="0.55000000000000004">
      <c r="A103" s="2" t="str">
        <f>CONCATENATE(portCo!C4,".cost")</f>
        <v>siteOne.cost</v>
      </c>
      <c r="B103" s="54">
        <f>portCo!F4</f>
        <v>2.47755372</v>
      </c>
      <c r="C103" s="47" t="s">
        <v>111</v>
      </c>
      <c r="D103" t="s">
        <v>239</v>
      </c>
      <c r="E103" t="s">
        <v>223</v>
      </c>
    </row>
    <row r="104" spans="1:5" x14ac:dyDescent="0.55000000000000004">
      <c r="A104" s="2" t="str">
        <f>CONCATENATE(portCo!C5,".cost")</f>
        <v>submit.cost</v>
      </c>
      <c r="B104" s="54">
        <f>portCo!F5</f>
        <v>2.52535804</v>
      </c>
      <c r="C104" s="47" t="s">
        <v>111</v>
      </c>
      <c r="D104" t="s">
        <v>239</v>
      </c>
      <c r="E104" t="s">
        <v>223</v>
      </c>
    </row>
    <row r="105" spans="1:5" x14ac:dyDescent="0.55000000000000004">
      <c r="A105" s="2" t="str">
        <f>CONCATENATE(portCo!C6,".cost")</f>
        <v>clearas.cost</v>
      </c>
      <c r="B105" s="54">
        <f>portCo!F6</f>
        <v>0.84999990999999997</v>
      </c>
      <c r="C105" s="47" t="s">
        <v>111</v>
      </c>
      <c r="D105" t="s">
        <v>239</v>
      </c>
      <c r="E105" t="s">
        <v>223</v>
      </c>
    </row>
    <row r="106" spans="1:5" x14ac:dyDescent="0.55000000000000004">
      <c r="A106" s="2" t="str">
        <f>CONCATENATE(portCo!C7,".cost")</f>
        <v>orbital.cost</v>
      </c>
      <c r="B106" s="54">
        <f>portCo!F7</f>
        <v>0.66</v>
      </c>
      <c r="C106" s="47" t="s">
        <v>111</v>
      </c>
      <c r="D106" t="s">
        <v>239</v>
      </c>
      <c r="E106" t="s">
        <v>223</v>
      </c>
    </row>
    <row r="107" spans="1:5" x14ac:dyDescent="0.55000000000000004">
      <c r="A107" s="2" t="str">
        <f>CONCATENATE(portCo!C8,".cost")</f>
        <v>quiq.cost</v>
      </c>
      <c r="B107" s="54">
        <f>portCo!F8</f>
        <v>2.7139389700000001</v>
      </c>
      <c r="C107" s="47" t="s">
        <v>111</v>
      </c>
      <c r="D107" t="s">
        <v>239</v>
      </c>
      <c r="E107" t="s">
        <v>223</v>
      </c>
    </row>
    <row r="108" spans="1:5" x14ac:dyDescent="0.55000000000000004">
      <c r="A108" s="2" t="str">
        <f>CONCATENATE(portCo!C9,".cost")</f>
        <v>blackmore.cost</v>
      </c>
      <c r="B108" s="54">
        <f>portCo!F9</f>
        <v>2.6349987399999999</v>
      </c>
      <c r="C108" s="47" t="s">
        <v>111</v>
      </c>
      <c r="D108" t="s">
        <v>239</v>
      </c>
      <c r="E108" t="s">
        <v>223</v>
      </c>
    </row>
    <row r="109" spans="1:5" x14ac:dyDescent="0.55000000000000004">
      <c r="A109" s="2" t="str">
        <f>CONCATENATE(portCo!C10,".cost")</f>
        <v>phoenix.cost</v>
      </c>
      <c r="B109" s="54">
        <f>portCo!F10</f>
        <v>2.32229939</v>
      </c>
      <c r="C109" s="47" t="s">
        <v>111</v>
      </c>
      <c r="D109" t="s">
        <v>239</v>
      </c>
      <c r="E109" t="s">
        <v>223</v>
      </c>
    </row>
    <row r="110" spans="1:5" x14ac:dyDescent="0.55000000000000004">
      <c r="A110" s="2" t="str">
        <f>CONCATENATE(portCo!C11,".cost")</f>
        <v>ironCore.cost</v>
      </c>
      <c r="B110" s="54">
        <f>portCo!F11</f>
        <v>1.44999923</v>
      </c>
      <c r="C110" s="47" t="s">
        <v>111</v>
      </c>
      <c r="D110" t="s">
        <v>239</v>
      </c>
      <c r="E110" t="s">
        <v>223</v>
      </c>
    </row>
    <row r="111" spans="1:5" x14ac:dyDescent="0.55000000000000004">
      <c r="A111" s="2" t="str">
        <f>CONCATENATE(portCo!C12,".cost")</f>
        <v>oppSource.cost</v>
      </c>
      <c r="B111" s="54">
        <f>portCo!F12</f>
        <v>1</v>
      </c>
      <c r="C111" s="47" t="s">
        <v>111</v>
      </c>
      <c r="D111" t="s">
        <v>239</v>
      </c>
      <c r="E111" t="s">
        <v>223</v>
      </c>
    </row>
    <row r="112" spans="1:5" x14ac:dyDescent="0.55000000000000004">
      <c r="A112" s="2" t="str">
        <f>CONCATENATE(portCo!C13,".cost")</f>
        <v>remix.cost</v>
      </c>
      <c r="B112" s="54">
        <f>portCo!F13</f>
        <v>0.99999874</v>
      </c>
      <c r="C112" s="47" t="s">
        <v>111</v>
      </c>
      <c r="D112" t="s">
        <v>239</v>
      </c>
      <c r="E112" t="s">
        <v>223</v>
      </c>
    </row>
    <row r="113" spans="1:5" x14ac:dyDescent="0.55000000000000004">
      <c r="A113" s="2" t="str">
        <f>CONCATENATE(portCo!C14,".cost")</f>
        <v>Ataata.cost</v>
      </c>
      <c r="B113" s="54">
        <f>portCo!F14</f>
        <v>1.8</v>
      </c>
      <c r="C113" s="47" t="s">
        <v>111</v>
      </c>
      <c r="D113" t="s">
        <v>239</v>
      </c>
      <c r="E113" t="s">
        <v>223</v>
      </c>
    </row>
    <row r="114" spans="1:5" x14ac:dyDescent="0.55000000000000004">
      <c r="A114" s="2" t="str">
        <f>CONCATENATE(portCo!C15,".cost")</f>
        <v>OnX.cost</v>
      </c>
      <c r="B114" s="54">
        <f>portCo!F15</f>
        <v>0.60519822999999995</v>
      </c>
      <c r="C114" s="47" t="s">
        <v>111</v>
      </c>
      <c r="D114" t="s">
        <v>239</v>
      </c>
      <c r="E114" t="s">
        <v>223</v>
      </c>
    </row>
    <row r="115" spans="1:5" x14ac:dyDescent="0.55000000000000004">
      <c r="A115" s="2" t="str">
        <f>CONCATENATE(portCo!C16,".cost")</f>
        <v>twinThread.cost</v>
      </c>
      <c r="B115" s="54">
        <f>portCo!F16</f>
        <v>2.4999981299999998</v>
      </c>
      <c r="C115" s="47" t="s">
        <v>111</v>
      </c>
      <c r="D115" t="s">
        <v>239</v>
      </c>
      <c r="E115" t="s">
        <v>223</v>
      </c>
    </row>
    <row r="116" spans="1:5" x14ac:dyDescent="0.55000000000000004">
      <c r="A116" s="2" t="str">
        <f>CONCATENATE(portCo!C17,".cost")</f>
        <v>section.cost</v>
      </c>
      <c r="B116" s="54">
        <f>portCo!F17</f>
        <v>0.84975464000000001</v>
      </c>
      <c r="C116" s="47" t="s">
        <v>111</v>
      </c>
      <c r="D116" t="s">
        <v>239</v>
      </c>
      <c r="E116" t="s">
        <v>223</v>
      </c>
    </row>
    <row r="117" spans="1:5" x14ac:dyDescent="0.55000000000000004">
      <c r="A117" s="2" t="str">
        <f>CONCATENATE(portCo!C18,".cost")</f>
        <v>meatEater.cost</v>
      </c>
      <c r="B117" s="54">
        <f>portCo!F18</f>
        <v>0.25</v>
      </c>
      <c r="C117" s="47" t="s">
        <v>111</v>
      </c>
      <c r="D117" t="s">
        <v>239</v>
      </c>
      <c r="E117" t="s">
        <v>223</v>
      </c>
    </row>
    <row r="118" spans="1:5" x14ac:dyDescent="0.55000000000000004">
      <c r="A118" s="2" t="str">
        <f>CONCATENATE(portCo!C19,".cost")</f>
        <v>alpin.cost</v>
      </c>
      <c r="B118" s="54">
        <f>portCo!F19</f>
        <v>0.25</v>
      </c>
      <c r="C118" s="47" t="s">
        <v>111</v>
      </c>
      <c r="D118" t="s">
        <v>239</v>
      </c>
      <c r="E118" t="s">
        <v>223</v>
      </c>
    </row>
    <row r="119" spans="1:5" x14ac:dyDescent="0.55000000000000004">
      <c r="A119" s="2" t="str">
        <f>CONCATENATE(portCo!C20,".cost")</f>
        <v>optio.cost</v>
      </c>
      <c r="B119" s="54">
        <f>portCo!F20</f>
        <v>1.5</v>
      </c>
      <c r="C119" s="47" t="s">
        <v>111</v>
      </c>
      <c r="D119" t="s">
        <v>239</v>
      </c>
      <c r="E119" t="s">
        <v>223</v>
      </c>
    </row>
    <row r="120" spans="1:5" x14ac:dyDescent="0.55000000000000004">
      <c r="A120" s="2" t="str">
        <f>CONCATENATE(portCo!C21,".cost")</f>
        <v>S2.cost</v>
      </c>
      <c r="B120" s="54">
        <f>portCo!F21</f>
        <v>2</v>
      </c>
      <c r="C120" s="47" t="s">
        <v>111</v>
      </c>
      <c r="D120" t="s">
        <v>239</v>
      </c>
      <c r="E120" t="s">
        <v>223</v>
      </c>
    </row>
    <row r="121" spans="1:5" x14ac:dyDescent="0.55000000000000004">
      <c r="A121" s="2" t="str">
        <f>CONCATENATE(portCo!C22,".cost")</f>
        <v>HALP.cost</v>
      </c>
      <c r="B121" s="54">
        <f>portCo!F22</f>
        <v>0.54999992000000009</v>
      </c>
      <c r="C121" s="47" t="s">
        <v>111</v>
      </c>
      <c r="D121" t="s">
        <v>239</v>
      </c>
      <c r="E121" t="s">
        <v>223</v>
      </c>
    </row>
    <row r="122" spans="1:5" x14ac:dyDescent="0.55000000000000004">
      <c r="A122" s="2" t="str">
        <f>CONCATENATE(portCo!C23,".cost")</f>
        <v>patientOne.cost</v>
      </c>
      <c r="B122" s="54">
        <f>portCo!F23</f>
        <v>0.1</v>
      </c>
      <c r="C122" s="47" t="s">
        <v>111</v>
      </c>
      <c r="D122" t="s">
        <v>239</v>
      </c>
      <c r="E122" t="s">
        <v>223</v>
      </c>
    </row>
    <row r="123" spans="1:5" x14ac:dyDescent="0.55000000000000004">
      <c r="A123" s="2" t="str">
        <f>CONCATENATE(portCo!C24,".cost")</f>
        <v>aumni.cost</v>
      </c>
      <c r="B123" s="54">
        <f>portCo!F24</f>
        <v>0.99999979000000006</v>
      </c>
      <c r="C123" s="47" t="s">
        <v>111</v>
      </c>
      <c r="D123" t="s">
        <v>239</v>
      </c>
      <c r="E123" t="s">
        <v>223</v>
      </c>
    </row>
    <row r="124" spans="1:5" x14ac:dyDescent="0.55000000000000004">
      <c r="A124" s="2" t="str">
        <f>CONCATENATE(portCo!C25,".cost")</f>
        <v>lumenAd.cost</v>
      </c>
      <c r="B124" s="54">
        <f>portCo!F25</f>
        <v>1.75</v>
      </c>
      <c r="C124" s="47" t="s">
        <v>111</v>
      </c>
      <c r="D124" t="s">
        <v>239</v>
      </c>
      <c r="E124" t="s">
        <v>223</v>
      </c>
    </row>
    <row r="125" spans="1:5" x14ac:dyDescent="0.55000000000000004">
      <c r="A125" s="2" t="str">
        <f>CONCATENATE(portCo!C26,".cost")</f>
        <v>monday.cost</v>
      </c>
      <c r="B125" s="54">
        <f>portCo!F26</f>
        <v>0.5</v>
      </c>
      <c r="C125" s="47" t="s">
        <v>111</v>
      </c>
      <c r="D125" t="s">
        <v>239</v>
      </c>
      <c r="E125" t="s">
        <v>223</v>
      </c>
    </row>
    <row r="126" spans="1:5" x14ac:dyDescent="0.55000000000000004">
      <c r="A126" s="2" t="str">
        <f>CONCATENATE(portCo!C27,".cost")</f>
        <v>tripleTree.cost</v>
      </c>
      <c r="B126" s="54">
        <f>portCo!F27</f>
        <v>1.4</v>
      </c>
      <c r="C126" s="47" t="s">
        <v>111</v>
      </c>
      <c r="D126" t="s">
        <v>239</v>
      </c>
      <c r="E126" t="s">
        <v>223</v>
      </c>
    </row>
    <row r="127" spans="1:5" x14ac:dyDescent="0.55000000000000004">
      <c r="A127" s="2" t="str">
        <f>CONCATENATE(portCo!C28,".cost")</f>
        <v>XXXco.cost</v>
      </c>
      <c r="B127" s="54">
        <f>portCo!F28</f>
        <v>0</v>
      </c>
      <c r="C127" s="47" t="s">
        <v>111</v>
      </c>
      <c r="D127" t="s">
        <v>239</v>
      </c>
      <c r="E127" t="s">
        <v>223</v>
      </c>
    </row>
    <row r="128" spans="1:5" x14ac:dyDescent="0.55000000000000004">
      <c r="A128" s="2" t="str">
        <f>CONCATENATE(portCo!C4,".FMV")</f>
        <v>siteOne.FMV</v>
      </c>
      <c r="B128" s="54">
        <f>portCo!J4</f>
        <v>3.06604725</v>
      </c>
      <c r="C128" s="47" t="s">
        <v>111</v>
      </c>
      <c r="D128" t="s">
        <v>240</v>
      </c>
      <c r="E128" t="s">
        <v>223</v>
      </c>
    </row>
    <row r="129" spans="1:5" x14ac:dyDescent="0.55000000000000004">
      <c r="A129" s="2" t="str">
        <f>CONCATENATE(portCo!C5,".FMV")</f>
        <v>submit.FMV</v>
      </c>
      <c r="B129" s="54">
        <f>portCo!J5</f>
        <v>4.9332469400000001</v>
      </c>
      <c r="C129" s="47" t="s">
        <v>111</v>
      </c>
      <c r="D129" t="s">
        <v>240</v>
      </c>
      <c r="E129" t="s">
        <v>223</v>
      </c>
    </row>
    <row r="130" spans="1:5" x14ac:dyDescent="0.55000000000000004">
      <c r="A130" s="2" t="str">
        <f>CONCATENATE(portCo!C6,".FMV")</f>
        <v>clearas.FMV</v>
      </c>
      <c r="B130" s="54">
        <f>portCo!J6</f>
        <v>0.57776848000000003</v>
      </c>
      <c r="C130" s="47" t="s">
        <v>111</v>
      </c>
      <c r="D130" t="s">
        <v>240</v>
      </c>
      <c r="E130" t="s">
        <v>223</v>
      </c>
    </row>
    <row r="131" spans="1:5" x14ac:dyDescent="0.55000000000000004">
      <c r="A131" s="2" t="str">
        <f>CONCATENATE(portCo!C7,".FMV")</f>
        <v>orbital.FMV</v>
      </c>
      <c r="B131" s="54">
        <f>portCo!J7</f>
        <v>0.33</v>
      </c>
      <c r="C131" s="47" t="s">
        <v>111</v>
      </c>
      <c r="D131" t="s">
        <v>240</v>
      </c>
      <c r="E131" t="s">
        <v>223</v>
      </c>
    </row>
    <row r="132" spans="1:5" x14ac:dyDescent="0.55000000000000004">
      <c r="A132" s="2" t="str">
        <f>CONCATENATE(portCo!C8,".FMV")</f>
        <v>quiq.FMV</v>
      </c>
      <c r="B132" s="54">
        <f>portCo!J8</f>
        <v>3.1163912099999997</v>
      </c>
      <c r="C132" s="47" t="s">
        <v>111</v>
      </c>
      <c r="D132" t="s">
        <v>240</v>
      </c>
      <c r="E132" t="s">
        <v>223</v>
      </c>
    </row>
    <row r="133" spans="1:5" x14ac:dyDescent="0.55000000000000004">
      <c r="A133" s="2" t="str">
        <f>CONCATENATE(portCo!C9,".FMV")</f>
        <v>blackmore.FMV</v>
      </c>
      <c r="B133" s="54">
        <f>portCo!J9</f>
        <v>16.10398352</v>
      </c>
      <c r="C133" s="47" t="s">
        <v>111</v>
      </c>
      <c r="D133" t="s">
        <v>240</v>
      </c>
      <c r="E133" t="s">
        <v>223</v>
      </c>
    </row>
    <row r="134" spans="1:5" x14ac:dyDescent="0.55000000000000004">
      <c r="A134" s="2" t="str">
        <f>CONCATENATE(portCo!C10,".FMV")</f>
        <v>phoenix.FMV</v>
      </c>
      <c r="B134" s="54">
        <f>portCo!J10</f>
        <v>5.5839775099999995</v>
      </c>
      <c r="C134" s="47" t="s">
        <v>111</v>
      </c>
      <c r="D134" t="s">
        <v>240</v>
      </c>
      <c r="E134" t="s">
        <v>223</v>
      </c>
    </row>
    <row r="135" spans="1:5" x14ac:dyDescent="0.55000000000000004">
      <c r="A135" s="2" t="str">
        <f>CONCATENATE(portCo!C11,".FMV")</f>
        <v>ironCore.FMV</v>
      </c>
      <c r="B135" s="54">
        <f>portCo!J11</f>
        <v>1.7696569</v>
      </c>
      <c r="C135" s="47" t="s">
        <v>111</v>
      </c>
      <c r="D135" t="s">
        <v>240</v>
      </c>
      <c r="E135" t="s">
        <v>223</v>
      </c>
    </row>
    <row r="136" spans="1:5" x14ac:dyDescent="0.55000000000000004">
      <c r="A136" s="2" t="str">
        <f>CONCATENATE(portCo!C12,".FMV")</f>
        <v>oppSource.FMV</v>
      </c>
      <c r="B136" s="54">
        <f>portCo!J12</f>
        <v>0</v>
      </c>
      <c r="C136" s="47" t="s">
        <v>111</v>
      </c>
      <c r="D136" t="s">
        <v>240</v>
      </c>
      <c r="E136" t="s">
        <v>223</v>
      </c>
    </row>
    <row r="137" spans="1:5" x14ac:dyDescent="0.55000000000000004">
      <c r="A137" s="2" t="str">
        <f>CONCATENATE(portCo!C13,".FMV")</f>
        <v>remix.FMV</v>
      </c>
      <c r="B137" s="54">
        <f>portCo!J13</f>
        <v>0.99999874</v>
      </c>
      <c r="C137" s="47" t="s">
        <v>111</v>
      </c>
      <c r="D137" t="s">
        <v>240</v>
      </c>
      <c r="E137" t="s">
        <v>223</v>
      </c>
    </row>
    <row r="138" spans="1:5" x14ac:dyDescent="0.55000000000000004">
      <c r="A138" s="2" t="str">
        <f>CONCATENATE(portCo!C14,".FMV")</f>
        <v>Ataata.FMV</v>
      </c>
      <c r="B138" s="54">
        <f>portCo!J14</f>
        <v>5.5358474900000001</v>
      </c>
      <c r="C138" s="47" t="s">
        <v>111</v>
      </c>
      <c r="D138" t="s">
        <v>240</v>
      </c>
      <c r="E138" t="s">
        <v>223</v>
      </c>
    </row>
    <row r="139" spans="1:5" x14ac:dyDescent="0.55000000000000004">
      <c r="A139" s="2" t="str">
        <f>CONCATENATE(portCo!C15,".FMV")</f>
        <v>OnX.FMV</v>
      </c>
      <c r="B139" s="54">
        <f>portCo!J15</f>
        <v>0.60519822999999995</v>
      </c>
      <c r="C139" s="47" t="s">
        <v>111</v>
      </c>
      <c r="D139" t="s">
        <v>240</v>
      </c>
      <c r="E139" t="s">
        <v>223</v>
      </c>
    </row>
    <row r="140" spans="1:5" x14ac:dyDescent="0.55000000000000004">
      <c r="A140" s="2" t="str">
        <f>CONCATENATE(portCo!C16,".FMV")</f>
        <v>twinThread.FMV</v>
      </c>
      <c r="B140" s="54">
        <f>portCo!J16</f>
        <v>2.4999981299999998</v>
      </c>
      <c r="C140" s="47" t="s">
        <v>111</v>
      </c>
      <c r="D140" t="s">
        <v>240</v>
      </c>
      <c r="E140" t="s">
        <v>223</v>
      </c>
    </row>
    <row r="141" spans="1:5" x14ac:dyDescent="0.55000000000000004">
      <c r="A141" s="2" t="str">
        <f>CONCATENATE(portCo!C17,".FMV")</f>
        <v>section.FMV</v>
      </c>
      <c r="B141" s="54">
        <f>portCo!J17</f>
        <v>0.84975464000000001</v>
      </c>
      <c r="C141" s="47" t="s">
        <v>111</v>
      </c>
      <c r="D141" t="s">
        <v>240</v>
      </c>
      <c r="E141" t="s">
        <v>223</v>
      </c>
    </row>
    <row r="142" spans="1:5" x14ac:dyDescent="0.55000000000000004">
      <c r="A142" s="2" t="str">
        <f>CONCATENATE(portCo!C18,".FMV")</f>
        <v>meatEater.FMV</v>
      </c>
      <c r="B142" s="54">
        <f>portCo!J18</f>
        <v>0.4325</v>
      </c>
      <c r="C142" s="47" t="s">
        <v>111</v>
      </c>
      <c r="D142" t="s">
        <v>240</v>
      </c>
      <c r="E142" t="s">
        <v>223</v>
      </c>
    </row>
    <row r="143" spans="1:5" x14ac:dyDescent="0.55000000000000004">
      <c r="A143" s="2" t="str">
        <f>CONCATENATE(portCo!C19,".FMV")</f>
        <v>alpin.FMV</v>
      </c>
      <c r="B143" s="54">
        <f>portCo!J19</f>
        <v>0.25</v>
      </c>
      <c r="C143" s="47" t="s">
        <v>111</v>
      </c>
      <c r="D143" t="s">
        <v>240</v>
      </c>
      <c r="E143" t="s">
        <v>223</v>
      </c>
    </row>
    <row r="144" spans="1:5" x14ac:dyDescent="0.55000000000000004">
      <c r="A144" s="2" t="str">
        <f>CONCATENATE(portCo!C20,".FMV")</f>
        <v>optio.FMV</v>
      </c>
      <c r="B144" s="54">
        <f>portCo!J20</f>
        <v>1.5</v>
      </c>
      <c r="C144" s="47" t="s">
        <v>111</v>
      </c>
      <c r="D144" t="s">
        <v>240</v>
      </c>
      <c r="E144" t="s">
        <v>223</v>
      </c>
    </row>
    <row r="145" spans="1:5" x14ac:dyDescent="0.55000000000000004">
      <c r="A145" s="2" t="str">
        <f>CONCATENATE(portCo!C21,".FMV")</f>
        <v>S2.FMV</v>
      </c>
      <c r="B145" s="54">
        <f>portCo!J21</f>
        <v>2</v>
      </c>
      <c r="C145" s="47" t="s">
        <v>111</v>
      </c>
      <c r="D145" t="s">
        <v>240</v>
      </c>
      <c r="E145" t="s">
        <v>223</v>
      </c>
    </row>
    <row r="146" spans="1:5" x14ac:dyDescent="0.55000000000000004">
      <c r="A146" s="2" t="str">
        <f>CONCATENATE(portCo!C22,".FMV")</f>
        <v>HALP.FMV</v>
      </c>
      <c r="B146" s="54">
        <f>portCo!J22</f>
        <v>0.54999992000000009</v>
      </c>
      <c r="C146" s="47" t="s">
        <v>111</v>
      </c>
      <c r="D146" t="s">
        <v>240</v>
      </c>
      <c r="E146" t="s">
        <v>223</v>
      </c>
    </row>
    <row r="147" spans="1:5" x14ac:dyDescent="0.55000000000000004">
      <c r="A147" s="2" t="str">
        <f>CONCATENATE(portCo!C23,".FMV")</f>
        <v>patientOne.FMV</v>
      </c>
      <c r="B147" s="54">
        <f>portCo!J23</f>
        <v>0.1</v>
      </c>
      <c r="C147" s="47" t="s">
        <v>111</v>
      </c>
      <c r="D147" t="s">
        <v>240</v>
      </c>
      <c r="E147" t="s">
        <v>223</v>
      </c>
    </row>
    <row r="148" spans="1:5" x14ac:dyDescent="0.55000000000000004">
      <c r="A148" s="2" t="str">
        <f>CONCATENATE(portCo!C24,".FMV")</f>
        <v>aumni.FMV</v>
      </c>
      <c r="B148" s="54">
        <f>portCo!J24</f>
        <v>0.99999979000000006</v>
      </c>
      <c r="C148" s="47" t="s">
        <v>111</v>
      </c>
      <c r="D148" t="s">
        <v>240</v>
      </c>
      <c r="E148" t="s">
        <v>223</v>
      </c>
    </row>
    <row r="149" spans="1:5" x14ac:dyDescent="0.55000000000000004">
      <c r="A149" s="2" t="str">
        <f>CONCATENATE(portCo!C25,".FMV")</f>
        <v>lumenAd.FMV</v>
      </c>
      <c r="B149" s="54">
        <f>portCo!J25</f>
        <v>1.75</v>
      </c>
      <c r="C149" s="47" t="s">
        <v>111</v>
      </c>
      <c r="D149" t="s">
        <v>240</v>
      </c>
      <c r="E149" t="s">
        <v>223</v>
      </c>
    </row>
    <row r="150" spans="1:5" x14ac:dyDescent="0.55000000000000004">
      <c r="A150" s="2" t="str">
        <f>CONCATENATE(portCo!C26,".FMV")</f>
        <v>monday.FMV</v>
      </c>
      <c r="B150" s="54">
        <f>portCo!J26</f>
        <v>0.5</v>
      </c>
      <c r="C150" s="47" t="s">
        <v>111</v>
      </c>
      <c r="D150" t="s">
        <v>240</v>
      </c>
      <c r="E150" t="s">
        <v>223</v>
      </c>
    </row>
    <row r="151" spans="1:5" x14ac:dyDescent="0.55000000000000004">
      <c r="A151" s="2" t="str">
        <f>CONCATENATE(portCo!C27,".FMV")</f>
        <v>tripleTree.FMV</v>
      </c>
      <c r="B151" s="54">
        <f>portCo!J27</f>
        <v>1.4</v>
      </c>
      <c r="C151" s="47" t="s">
        <v>111</v>
      </c>
      <c r="D151" t="s">
        <v>240</v>
      </c>
      <c r="E151" t="s">
        <v>223</v>
      </c>
    </row>
    <row r="152" spans="1:5" x14ac:dyDescent="0.55000000000000004">
      <c r="A152" s="2" t="str">
        <f>CONCATENATE(portCo!C28,".FMV")</f>
        <v>XXXco.FMV</v>
      </c>
      <c r="B152" s="54">
        <f>portCo!J28</f>
        <v>0</v>
      </c>
      <c r="C152" s="47" t="s">
        <v>111</v>
      </c>
      <c r="D152" t="s">
        <v>240</v>
      </c>
      <c r="E152" t="s">
        <v>223</v>
      </c>
    </row>
    <row r="153" spans="1:5" x14ac:dyDescent="0.55000000000000004">
      <c r="A153" s="2" t="str">
        <f>CONCATENATE(portCo!C4,".mult")</f>
        <v>siteOne.mult</v>
      </c>
      <c r="B153" s="54">
        <f>portCo!K4</f>
        <v>1.2375300786616243</v>
      </c>
      <c r="C153" s="47" t="s">
        <v>111</v>
      </c>
      <c r="D153" t="s">
        <v>236</v>
      </c>
      <c r="E153" t="s">
        <v>223</v>
      </c>
    </row>
    <row r="154" spans="1:5" x14ac:dyDescent="0.55000000000000004">
      <c r="A154" s="2" t="str">
        <f>CONCATENATE(portCo!C5,".mult")</f>
        <v>submit.mult</v>
      </c>
      <c r="B154" s="54">
        <f>portCo!K5</f>
        <v>1.9534841641702418</v>
      </c>
      <c r="C154" s="47" t="s">
        <v>111</v>
      </c>
      <c r="D154" t="s">
        <v>236</v>
      </c>
      <c r="E154" t="s">
        <v>223</v>
      </c>
    </row>
    <row r="155" spans="1:5" x14ac:dyDescent="0.55000000000000004">
      <c r="A155" s="2" t="str">
        <f>CONCATENATE(portCo!C6,".mult")</f>
        <v>clearas.mult</v>
      </c>
      <c r="B155" s="54">
        <f>portCo!K6</f>
        <v>0.67972769550057954</v>
      </c>
      <c r="C155" s="47" t="s">
        <v>111</v>
      </c>
      <c r="D155" t="s">
        <v>236</v>
      </c>
      <c r="E155" t="s">
        <v>223</v>
      </c>
    </row>
    <row r="156" spans="1:5" x14ac:dyDescent="0.55000000000000004">
      <c r="A156" s="2" t="str">
        <f>CONCATENATE(portCo!C7,".mult")</f>
        <v>orbital.mult</v>
      </c>
      <c r="B156" s="54">
        <f>portCo!K7</f>
        <v>0.5</v>
      </c>
      <c r="C156" s="47" t="s">
        <v>111</v>
      </c>
      <c r="D156" t="s">
        <v>236</v>
      </c>
      <c r="E156" t="s">
        <v>223</v>
      </c>
    </row>
    <row r="157" spans="1:5" x14ac:dyDescent="0.55000000000000004">
      <c r="A157" s="2" t="str">
        <f>CONCATENATE(portCo!C8,".mult")</f>
        <v>quiq.mult</v>
      </c>
      <c r="B157" s="54">
        <f>portCo!K8</f>
        <v>1.1482908217350221</v>
      </c>
      <c r="C157" s="47" t="s">
        <v>111</v>
      </c>
      <c r="D157" t="s">
        <v>236</v>
      </c>
      <c r="E157" t="s">
        <v>223</v>
      </c>
    </row>
    <row r="158" spans="1:5" x14ac:dyDescent="0.55000000000000004">
      <c r="A158" s="2" t="str">
        <f>CONCATENATE(portCo!C9,".mult")</f>
        <v>blackmore.mult</v>
      </c>
      <c r="B158" s="54">
        <f>portCo!K9</f>
        <v>6.1115716207135646</v>
      </c>
      <c r="C158" s="47" t="s">
        <v>111</v>
      </c>
      <c r="D158" t="s">
        <v>236</v>
      </c>
      <c r="E158" t="s">
        <v>223</v>
      </c>
    </row>
    <row r="159" spans="1:5" x14ac:dyDescent="0.55000000000000004">
      <c r="A159" s="2" t="str">
        <f>CONCATENATE(portCo!C10,".mult")</f>
        <v>phoenix.mult</v>
      </c>
      <c r="B159" s="54">
        <f>portCo!K10</f>
        <v>2.4045037147428263</v>
      </c>
      <c r="C159" s="47" t="s">
        <v>111</v>
      </c>
      <c r="D159" t="s">
        <v>236</v>
      </c>
      <c r="E159" t="s">
        <v>223</v>
      </c>
    </row>
    <row r="160" spans="1:5" x14ac:dyDescent="0.55000000000000004">
      <c r="A160" s="2" t="str">
        <f>CONCATENATE(portCo!C11,".mult")</f>
        <v>ironCore.mult</v>
      </c>
      <c r="B160" s="54">
        <f>portCo!K11</f>
        <v>1.2204536825857486</v>
      </c>
      <c r="C160" s="47" t="s">
        <v>111</v>
      </c>
      <c r="D160" t="s">
        <v>236</v>
      </c>
      <c r="E160" t="s">
        <v>223</v>
      </c>
    </row>
    <row r="161" spans="1:5" x14ac:dyDescent="0.55000000000000004">
      <c r="A161" s="2" t="str">
        <f>CONCATENATE(portCo!C12,".mult")</f>
        <v>oppSource.mult</v>
      </c>
      <c r="B161" s="54">
        <f>portCo!K12</f>
        <v>0</v>
      </c>
      <c r="C161" s="47" t="s">
        <v>111</v>
      </c>
      <c r="D161" t="s">
        <v>236</v>
      </c>
      <c r="E161" t="s">
        <v>223</v>
      </c>
    </row>
    <row r="162" spans="1:5" x14ac:dyDescent="0.55000000000000004">
      <c r="A162" s="2" t="str">
        <f>CONCATENATE(portCo!C13,".mult")</f>
        <v>remix.mult</v>
      </c>
      <c r="B162" s="54">
        <f>portCo!K13</f>
        <v>1</v>
      </c>
      <c r="C162" s="47" t="s">
        <v>111</v>
      </c>
      <c r="D162" t="s">
        <v>236</v>
      </c>
      <c r="E162" t="s">
        <v>223</v>
      </c>
    </row>
    <row r="163" spans="1:5" x14ac:dyDescent="0.55000000000000004">
      <c r="A163" s="2" t="str">
        <f>CONCATENATE(portCo!C14,".mult")</f>
        <v>Ataata.mult</v>
      </c>
      <c r="B163" s="54">
        <f>portCo!K14</f>
        <v>3.0754708277777776</v>
      </c>
      <c r="C163" s="47" t="s">
        <v>111</v>
      </c>
      <c r="D163" t="s">
        <v>236</v>
      </c>
      <c r="E163" t="s">
        <v>223</v>
      </c>
    </row>
    <row r="164" spans="1:5" x14ac:dyDescent="0.55000000000000004">
      <c r="A164" s="2" t="str">
        <f>CONCATENATE(portCo!C15,".mult")</f>
        <v>OnX.mult</v>
      </c>
      <c r="B164" s="54">
        <f>portCo!K15</f>
        <v>1</v>
      </c>
      <c r="C164" s="47" t="s">
        <v>111</v>
      </c>
      <c r="D164" t="s">
        <v>236</v>
      </c>
      <c r="E164" t="s">
        <v>223</v>
      </c>
    </row>
    <row r="165" spans="1:5" x14ac:dyDescent="0.55000000000000004">
      <c r="A165" s="2" t="str">
        <f>CONCATENATE(portCo!C16,".mult")</f>
        <v>twinThread.mult</v>
      </c>
      <c r="B165" s="54">
        <f>portCo!K16</f>
        <v>1</v>
      </c>
      <c r="C165" s="47" t="s">
        <v>111</v>
      </c>
      <c r="D165" t="s">
        <v>236</v>
      </c>
      <c r="E165" t="s">
        <v>223</v>
      </c>
    </row>
    <row r="166" spans="1:5" x14ac:dyDescent="0.55000000000000004">
      <c r="A166" s="2" t="str">
        <f>CONCATENATE(portCo!C17,".mult")</f>
        <v>section.mult</v>
      </c>
      <c r="B166" s="54">
        <f>portCo!K17</f>
        <v>1</v>
      </c>
      <c r="C166" s="47" t="s">
        <v>111</v>
      </c>
      <c r="D166" t="s">
        <v>236</v>
      </c>
      <c r="E166" t="s">
        <v>223</v>
      </c>
    </row>
    <row r="167" spans="1:5" x14ac:dyDescent="0.55000000000000004">
      <c r="A167" s="2" t="str">
        <f>CONCATENATE(portCo!C18,".mult")</f>
        <v>meatEater.mult</v>
      </c>
      <c r="B167" s="54">
        <f>portCo!K18</f>
        <v>1.73</v>
      </c>
      <c r="C167" s="47" t="s">
        <v>111</v>
      </c>
      <c r="D167" t="s">
        <v>236</v>
      </c>
      <c r="E167" t="s">
        <v>223</v>
      </c>
    </row>
    <row r="168" spans="1:5" x14ac:dyDescent="0.55000000000000004">
      <c r="A168" s="2" t="str">
        <f>CONCATENATE(portCo!C19,".mult")</f>
        <v>alpin.mult</v>
      </c>
      <c r="B168" s="54">
        <f>portCo!K19</f>
        <v>1</v>
      </c>
      <c r="C168" s="47" t="s">
        <v>111</v>
      </c>
      <c r="D168" t="s">
        <v>236</v>
      </c>
      <c r="E168" t="s">
        <v>223</v>
      </c>
    </row>
    <row r="169" spans="1:5" x14ac:dyDescent="0.55000000000000004">
      <c r="A169" s="2" t="str">
        <f>CONCATENATE(portCo!C20,".mult")</f>
        <v>optio.mult</v>
      </c>
      <c r="B169" s="54">
        <f>portCo!K20</f>
        <v>1</v>
      </c>
      <c r="C169" s="47" t="s">
        <v>111</v>
      </c>
      <c r="D169" t="s">
        <v>236</v>
      </c>
      <c r="E169" t="s">
        <v>223</v>
      </c>
    </row>
    <row r="170" spans="1:5" x14ac:dyDescent="0.55000000000000004">
      <c r="A170" s="2" t="str">
        <f>CONCATENATE(portCo!C21,".mult")</f>
        <v>S2.mult</v>
      </c>
      <c r="B170" s="54">
        <f>portCo!K21</f>
        <v>1</v>
      </c>
      <c r="C170" s="47" t="s">
        <v>111</v>
      </c>
      <c r="D170" t="s">
        <v>236</v>
      </c>
      <c r="E170" t="s">
        <v>223</v>
      </c>
    </row>
    <row r="171" spans="1:5" x14ac:dyDescent="0.55000000000000004">
      <c r="A171" s="2" t="str">
        <f>CONCATENATE(portCo!C22,".mult")</f>
        <v>HALP.mult</v>
      </c>
      <c r="B171" s="54">
        <f>portCo!K22</f>
        <v>1</v>
      </c>
      <c r="C171" s="47" t="s">
        <v>111</v>
      </c>
      <c r="D171" t="s">
        <v>236</v>
      </c>
      <c r="E171" t="s">
        <v>223</v>
      </c>
    </row>
    <row r="172" spans="1:5" x14ac:dyDescent="0.55000000000000004">
      <c r="A172" s="2" t="str">
        <f>CONCATENATE(portCo!C23,".mult")</f>
        <v>patientOne.mult</v>
      </c>
      <c r="B172" s="54">
        <f>portCo!K23</f>
        <v>1</v>
      </c>
      <c r="C172" s="47" t="s">
        <v>111</v>
      </c>
      <c r="D172" t="s">
        <v>236</v>
      </c>
      <c r="E172" t="s">
        <v>223</v>
      </c>
    </row>
    <row r="173" spans="1:5" x14ac:dyDescent="0.55000000000000004">
      <c r="A173" s="2" t="str">
        <f>CONCATENATE(portCo!C24,".mult")</f>
        <v>aumni.mult</v>
      </c>
      <c r="B173" s="54">
        <f>portCo!K24</f>
        <v>1</v>
      </c>
      <c r="C173" s="47" t="s">
        <v>111</v>
      </c>
      <c r="D173" t="s">
        <v>236</v>
      </c>
      <c r="E173" t="s">
        <v>223</v>
      </c>
    </row>
    <row r="174" spans="1:5" x14ac:dyDescent="0.55000000000000004">
      <c r="A174" s="2" t="str">
        <f>CONCATENATE(portCo!C25,".mult")</f>
        <v>lumenAd.mult</v>
      </c>
      <c r="B174" s="54">
        <f>portCo!K25</f>
        <v>1</v>
      </c>
      <c r="C174" s="47" t="s">
        <v>111</v>
      </c>
      <c r="D174" t="s">
        <v>236</v>
      </c>
      <c r="E174" t="s">
        <v>223</v>
      </c>
    </row>
    <row r="175" spans="1:5" x14ac:dyDescent="0.55000000000000004">
      <c r="A175" s="2" t="str">
        <f>CONCATENATE(portCo!C26,".mult")</f>
        <v>monday.mult</v>
      </c>
      <c r="B175" s="54">
        <f>portCo!K26</f>
        <v>1</v>
      </c>
      <c r="C175" s="47" t="s">
        <v>111</v>
      </c>
      <c r="D175" t="s">
        <v>236</v>
      </c>
      <c r="E175" t="s">
        <v>223</v>
      </c>
    </row>
    <row r="176" spans="1:5" x14ac:dyDescent="0.55000000000000004">
      <c r="A176" s="2" t="str">
        <f>CONCATENATE(portCo!C27,".mult")</f>
        <v>tripleTree.mult</v>
      </c>
      <c r="B176" s="54">
        <f>portCo!K27</f>
        <v>1</v>
      </c>
      <c r="C176" s="47" t="s">
        <v>111</v>
      </c>
      <c r="D176" t="s">
        <v>236</v>
      </c>
      <c r="E176" t="s">
        <v>223</v>
      </c>
    </row>
    <row r="177" spans="1:5" x14ac:dyDescent="0.55000000000000004">
      <c r="A177" s="2" t="str">
        <f>CONCATENATE(portCo!C28,".mult")</f>
        <v>XXXco.mult</v>
      </c>
      <c r="B177" s="54">
        <f>portCo!K28</f>
        <v>0</v>
      </c>
      <c r="C177" s="47" t="s">
        <v>111</v>
      </c>
      <c r="D177" t="s">
        <v>236</v>
      </c>
      <c r="E177" t="s">
        <v>223</v>
      </c>
    </row>
    <row r="178" spans="1:5" x14ac:dyDescent="0.55000000000000004">
      <c r="A178" s="2" t="str">
        <f>CONCATENATE(portCo!C4,".IRR")</f>
        <v>siteOne.IRR</v>
      </c>
      <c r="B178" s="46">
        <f>portCo!L4</f>
        <v>8.2138767838478122E-2</v>
      </c>
      <c r="C178" s="47" t="s">
        <v>109</v>
      </c>
      <c r="D178" t="s">
        <v>237</v>
      </c>
      <c r="E178" t="s">
        <v>223</v>
      </c>
    </row>
    <row r="179" spans="1:5" x14ac:dyDescent="0.55000000000000004">
      <c r="A179" s="2" t="str">
        <f>CONCATENATE(portCo!C5,".IRR")</f>
        <v>submit.IRR</v>
      </c>
      <c r="B179" s="46">
        <f>portCo!L5</f>
        <v>0.30478298068046572</v>
      </c>
      <c r="C179" s="47" t="s">
        <v>109</v>
      </c>
      <c r="D179" t="s">
        <v>237</v>
      </c>
      <c r="E179" t="s">
        <v>223</v>
      </c>
    </row>
    <row r="180" spans="1:5" x14ac:dyDescent="0.55000000000000004">
      <c r="A180" s="2" t="str">
        <f>CONCATENATE(portCo!C6,".IRR")</f>
        <v>clearas.IRR</v>
      </c>
      <c r="B180" s="46">
        <f>portCo!L6</f>
        <v>-0.13732448406517506</v>
      </c>
      <c r="C180" s="47" t="s">
        <v>109</v>
      </c>
      <c r="D180" t="s">
        <v>237</v>
      </c>
      <c r="E180" t="s">
        <v>223</v>
      </c>
    </row>
    <row r="181" spans="1:5" x14ac:dyDescent="0.55000000000000004">
      <c r="A181" s="2" t="str">
        <f>CONCATENATE(portCo!C7,".IRR")</f>
        <v>orbital.IRR</v>
      </c>
      <c r="B181" s="46">
        <f>portCo!L7</f>
        <v>-0.24805803820490846</v>
      </c>
      <c r="C181" s="47" t="s">
        <v>109</v>
      </c>
      <c r="D181" t="s">
        <v>237</v>
      </c>
      <c r="E181" t="s">
        <v>223</v>
      </c>
    </row>
    <row r="182" spans="1:5" x14ac:dyDescent="0.55000000000000004">
      <c r="A182" s="2" t="str">
        <f>CONCATENATE(portCo!C8,".IRR")</f>
        <v>quiq.IRR</v>
      </c>
      <c r="B182" s="46">
        <f>portCo!L8</f>
        <v>9.7030931711196922E-2</v>
      </c>
      <c r="C182" s="47" t="s">
        <v>109</v>
      </c>
      <c r="D182" t="s">
        <v>237</v>
      </c>
      <c r="E182" t="s">
        <v>223</v>
      </c>
    </row>
    <row r="183" spans="1:5" x14ac:dyDescent="0.55000000000000004">
      <c r="A183" s="2" t="str">
        <f>CONCATENATE(portCo!C9,".IRR")</f>
        <v>blackmore.IRR</v>
      </c>
      <c r="B183" s="46">
        <f>portCo!L9</f>
        <v>1.0289371848106383</v>
      </c>
      <c r="C183" s="47" t="s">
        <v>109</v>
      </c>
      <c r="D183" t="s">
        <v>237</v>
      </c>
      <c r="E183" t="s">
        <v>223</v>
      </c>
    </row>
    <row r="184" spans="1:5" x14ac:dyDescent="0.55000000000000004">
      <c r="A184" s="2" t="str">
        <f>CONCATENATE(portCo!C10,".IRR")</f>
        <v>phoenix.IRR</v>
      </c>
      <c r="B184" s="46">
        <f>portCo!L10</f>
        <v>0.59246349930763242</v>
      </c>
      <c r="C184" s="47" t="s">
        <v>109</v>
      </c>
      <c r="D184" t="s">
        <v>237</v>
      </c>
      <c r="E184" t="s">
        <v>223</v>
      </c>
    </row>
    <row r="185" spans="1:5" x14ac:dyDescent="0.55000000000000004">
      <c r="A185" s="2" t="str">
        <f>CONCATENATE(portCo!C11,".IRR")</f>
        <v>ironCore.IRR</v>
      </c>
      <c r="B185" s="46">
        <f>portCo!L11</f>
        <v>0.11023567318916322</v>
      </c>
      <c r="C185" s="47" t="s">
        <v>109</v>
      </c>
      <c r="D185" t="s">
        <v>237</v>
      </c>
      <c r="E185" t="s">
        <v>223</v>
      </c>
    </row>
    <row r="186" spans="1:5" x14ac:dyDescent="0.55000000000000004">
      <c r="A186" s="2" t="str">
        <f>CONCATENATE(portCo!C12,".IRR")</f>
        <v>oppSource.IRR</v>
      </c>
      <c r="B186" s="46" t="str">
        <f>portCo!L12</f>
        <v>NM</v>
      </c>
      <c r="C186" s="47" t="s">
        <v>109</v>
      </c>
      <c r="D186" t="s">
        <v>237</v>
      </c>
      <c r="E186" t="s">
        <v>223</v>
      </c>
    </row>
    <row r="187" spans="1:5" x14ac:dyDescent="0.55000000000000004">
      <c r="A187" s="2" t="str">
        <f>CONCATENATE(portCo!C13,".IRR")</f>
        <v>remix.IRR</v>
      </c>
      <c r="B187" s="46">
        <f>portCo!L13</f>
        <v>-2.9802322387695314E-9</v>
      </c>
      <c r="C187" s="47" t="s">
        <v>109</v>
      </c>
      <c r="D187" t="s">
        <v>237</v>
      </c>
      <c r="E187" t="s">
        <v>223</v>
      </c>
    </row>
    <row r="188" spans="1:5" x14ac:dyDescent="0.55000000000000004">
      <c r="A188" s="2" t="str">
        <f>CONCATENATE(portCo!C14,".IRR")</f>
        <v>Ataata.IRR</v>
      </c>
      <c r="B188" s="46">
        <f>portCo!L14</f>
        <v>4.5354362964630139</v>
      </c>
      <c r="C188" s="47" t="s">
        <v>109</v>
      </c>
      <c r="D188" t="s">
        <v>237</v>
      </c>
      <c r="E188" t="s">
        <v>223</v>
      </c>
    </row>
    <row r="189" spans="1:5" x14ac:dyDescent="0.55000000000000004">
      <c r="A189" s="2" t="str">
        <f>CONCATENATE(portCo!C15,".IRR")</f>
        <v>OnX.IRR</v>
      </c>
      <c r="B189" s="46">
        <f>portCo!L15</f>
        <v>-2.9802322387695314E-9</v>
      </c>
      <c r="C189" s="47" t="s">
        <v>109</v>
      </c>
      <c r="D189" t="s">
        <v>237</v>
      </c>
      <c r="E189" t="s">
        <v>223</v>
      </c>
    </row>
    <row r="190" spans="1:5" x14ac:dyDescent="0.55000000000000004">
      <c r="A190" s="2" t="str">
        <f>CONCATENATE(portCo!C16,".IRR")</f>
        <v>twinThread.IRR</v>
      </c>
      <c r="B190" s="46">
        <f>portCo!L16</f>
        <v>-2.9802322387695314E-9</v>
      </c>
      <c r="C190" s="47" t="s">
        <v>109</v>
      </c>
      <c r="D190" t="s">
        <v>237</v>
      </c>
      <c r="E190" t="s">
        <v>223</v>
      </c>
    </row>
    <row r="191" spans="1:5" x14ac:dyDescent="0.55000000000000004">
      <c r="A191" s="2" t="str">
        <f>CONCATENATE(portCo!C17,".IRR")</f>
        <v>section.IRR</v>
      </c>
      <c r="B191" s="46">
        <f>portCo!L17</f>
        <v>-2.9802322387695314E-9</v>
      </c>
      <c r="C191" s="47" t="s">
        <v>109</v>
      </c>
      <c r="D191" t="s">
        <v>237</v>
      </c>
      <c r="E191" t="s">
        <v>223</v>
      </c>
    </row>
    <row r="192" spans="1:5" x14ac:dyDescent="0.55000000000000004">
      <c r="A192" s="2" t="str">
        <f>CONCATENATE(portCo!C18,".IRR")</f>
        <v>meatEater.IRR</v>
      </c>
      <c r="B192" s="46">
        <f>portCo!L18</f>
        <v>0.60295659899711618</v>
      </c>
      <c r="C192" s="47" t="s">
        <v>109</v>
      </c>
      <c r="D192" t="s">
        <v>237</v>
      </c>
      <c r="E192" t="s">
        <v>223</v>
      </c>
    </row>
    <row r="193" spans="1:5" x14ac:dyDescent="0.55000000000000004">
      <c r="A193" s="2" t="str">
        <f>CONCATENATE(portCo!C19,".IRR")</f>
        <v>alpin.IRR</v>
      </c>
      <c r="B193" s="46">
        <f>portCo!L19</f>
        <v>-2.9802322387695314E-9</v>
      </c>
      <c r="C193" s="47" t="s">
        <v>109</v>
      </c>
      <c r="D193" t="s">
        <v>237</v>
      </c>
      <c r="E193" t="s">
        <v>223</v>
      </c>
    </row>
    <row r="194" spans="1:5" x14ac:dyDescent="0.55000000000000004">
      <c r="A194" s="2" t="str">
        <f>CONCATENATE(portCo!C20,".IRR")</f>
        <v>optio.IRR</v>
      </c>
      <c r="B194" s="46">
        <f>portCo!L20</f>
        <v>-2.9802322387695314E-9</v>
      </c>
      <c r="C194" s="47" t="s">
        <v>109</v>
      </c>
      <c r="D194" t="s">
        <v>237</v>
      </c>
      <c r="E194" t="s">
        <v>223</v>
      </c>
    </row>
    <row r="195" spans="1:5" x14ac:dyDescent="0.55000000000000004">
      <c r="A195" s="2" t="str">
        <f>CONCATENATE(portCo!C21,".IRR")</f>
        <v>S2.IRR</v>
      </c>
      <c r="B195" s="46">
        <f>portCo!L21</f>
        <v>-2.9802322387695314E-9</v>
      </c>
      <c r="C195" s="47" t="s">
        <v>109</v>
      </c>
      <c r="D195" t="s">
        <v>237</v>
      </c>
      <c r="E195" t="s">
        <v>223</v>
      </c>
    </row>
    <row r="196" spans="1:5" x14ac:dyDescent="0.55000000000000004">
      <c r="A196" s="2" t="str">
        <f>CONCATENATE(portCo!C22,".IRR")</f>
        <v>HALP.IRR</v>
      </c>
      <c r="B196" s="46">
        <f>portCo!L22</f>
        <v>-2.9802322387695314E-9</v>
      </c>
      <c r="C196" s="47" t="s">
        <v>109</v>
      </c>
      <c r="D196" t="s">
        <v>237</v>
      </c>
      <c r="E196" t="s">
        <v>223</v>
      </c>
    </row>
    <row r="197" spans="1:5" x14ac:dyDescent="0.55000000000000004">
      <c r="A197" s="2" t="str">
        <f>CONCATENATE(portCo!C23,".IRR")</f>
        <v>patientOne.IRR</v>
      </c>
      <c r="B197" s="46">
        <f>portCo!L23</f>
        <v>-2.9802322387695314E-9</v>
      </c>
      <c r="C197" s="47" t="s">
        <v>109</v>
      </c>
      <c r="D197" t="s">
        <v>237</v>
      </c>
      <c r="E197" t="s">
        <v>223</v>
      </c>
    </row>
    <row r="198" spans="1:5" x14ac:dyDescent="0.55000000000000004">
      <c r="A198" s="2" t="str">
        <f>CONCATENATE(portCo!C24,".IRR")</f>
        <v>aumni.IRR</v>
      </c>
      <c r="B198" s="46">
        <f>portCo!L24</f>
        <v>-2.9802322387695314E-9</v>
      </c>
      <c r="C198" s="47" t="s">
        <v>109</v>
      </c>
      <c r="D198" t="s">
        <v>237</v>
      </c>
      <c r="E198" t="s">
        <v>223</v>
      </c>
    </row>
    <row r="199" spans="1:5" x14ac:dyDescent="0.55000000000000004">
      <c r="A199" s="2" t="str">
        <f>CONCATENATE(portCo!C25,".IRR")</f>
        <v>lumenAd.IRR</v>
      </c>
      <c r="B199" s="46">
        <f>portCo!L25</f>
        <v>-2.9802322387695314E-9</v>
      </c>
      <c r="C199" s="47" t="s">
        <v>109</v>
      </c>
      <c r="D199" t="s">
        <v>237</v>
      </c>
      <c r="E199" t="s">
        <v>223</v>
      </c>
    </row>
    <row r="200" spans="1:5" x14ac:dyDescent="0.55000000000000004">
      <c r="A200" s="2" t="str">
        <f>CONCATENATE(portCo!C26,".IRR")</f>
        <v>monday.IRR</v>
      </c>
      <c r="B200" s="46">
        <f>portCo!L26</f>
        <v>0</v>
      </c>
      <c r="C200" s="47" t="s">
        <v>109</v>
      </c>
      <c r="D200" t="s">
        <v>237</v>
      </c>
      <c r="E200" t="s">
        <v>223</v>
      </c>
    </row>
    <row r="201" spans="1:5" x14ac:dyDescent="0.55000000000000004">
      <c r="A201" s="2" t="str">
        <f>CONCATENATE(portCo!C27,".IRR")</f>
        <v>tripleTree.IRR</v>
      </c>
      <c r="B201" s="46">
        <f>portCo!L27</f>
        <v>0</v>
      </c>
      <c r="C201" s="47" t="s">
        <v>109</v>
      </c>
      <c r="D201" t="s">
        <v>237</v>
      </c>
      <c r="E201" t="s">
        <v>223</v>
      </c>
    </row>
    <row r="202" spans="1:5" x14ac:dyDescent="0.55000000000000004">
      <c r="A202" s="2" t="str">
        <f>CONCATENATE(portCo!C28,".IRR")</f>
        <v>XXXco.IRR</v>
      </c>
      <c r="B202" s="46">
        <f>portCo!L28</f>
        <v>0</v>
      </c>
      <c r="C202" s="47" t="s">
        <v>109</v>
      </c>
      <c r="D202" t="s">
        <v>237</v>
      </c>
      <c r="E202" t="s">
        <v>223</v>
      </c>
    </row>
    <row r="203" spans="1:5" x14ac:dyDescent="0.55000000000000004">
      <c r="A203" s="2" t="str">
        <f>CONCATENATE(portCo!C4,".raised")</f>
        <v>siteOne.raised</v>
      </c>
      <c r="B203" s="114">
        <f>portCo!E4</f>
        <v>0</v>
      </c>
      <c r="C203" s="47" t="s">
        <v>106</v>
      </c>
      <c r="D203" t="s">
        <v>244</v>
      </c>
      <c r="E203" t="s">
        <v>223</v>
      </c>
    </row>
    <row r="204" spans="1:5" x14ac:dyDescent="0.55000000000000004">
      <c r="A204" s="2" t="str">
        <f>CONCATENATE(portCo!C5,".raised")</f>
        <v>submit.raised</v>
      </c>
      <c r="B204" s="114">
        <f>portCo!E5</f>
        <v>0</v>
      </c>
      <c r="C204" s="47" t="s">
        <v>106</v>
      </c>
      <c r="D204" t="s">
        <v>244</v>
      </c>
      <c r="E204" t="s">
        <v>223</v>
      </c>
    </row>
    <row r="205" spans="1:5" x14ac:dyDescent="0.55000000000000004">
      <c r="A205" s="2" t="str">
        <f>CONCATENATE(portCo!C6,".raised")</f>
        <v>clearas.raised</v>
      </c>
      <c r="B205" s="114">
        <f>portCo!E6</f>
        <v>0</v>
      </c>
      <c r="C205" s="47" t="s">
        <v>106</v>
      </c>
      <c r="D205" t="s">
        <v>244</v>
      </c>
      <c r="E205" t="s">
        <v>223</v>
      </c>
    </row>
    <row r="206" spans="1:5" x14ac:dyDescent="0.55000000000000004">
      <c r="A206" s="2" t="str">
        <f>CONCATENATE(portCo!C7,".raised")</f>
        <v>orbital.raised</v>
      </c>
      <c r="B206" s="114">
        <f>portCo!E7</f>
        <v>0</v>
      </c>
      <c r="C206" s="47" t="s">
        <v>106</v>
      </c>
      <c r="D206" t="s">
        <v>244</v>
      </c>
      <c r="E206" t="s">
        <v>223</v>
      </c>
    </row>
    <row r="207" spans="1:5" x14ac:dyDescent="0.55000000000000004">
      <c r="A207" s="2" t="str">
        <f>CONCATENATE(portCo!C8,".raised")</f>
        <v>quiq.raised</v>
      </c>
      <c r="B207" s="114">
        <f>portCo!E8</f>
        <v>0</v>
      </c>
      <c r="C207" s="47" t="s">
        <v>106</v>
      </c>
      <c r="D207" t="s">
        <v>244</v>
      </c>
      <c r="E207" t="s">
        <v>223</v>
      </c>
    </row>
    <row r="208" spans="1:5" x14ac:dyDescent="0.55000000000000004">
      <c r="A208" s="2" t="str">
        <f>CONCATENATE(portCo!C9,".raised")</f>
        <v>blackmore.raised</v>
      </c>
      <c r="B208" s="114">
        <f>portCo!E9</f>
        <v>0</v>
      </c>
      <c r="C208" s="47" t="s">
        <v>106</v>
      </c>
      <c r="D208" t="s">
        <v>244</v>
      </c>
      <c r="E208" t="s">
        <v>223</v>
      </c>
    </row>
    <row r="209" spans="1:5" x14ac:dyDescent="0.55000000000000004">
      <c r="A209" s="2" t="str">
        <f>CONCATENATE(portCo!C10,".raised")</f>
        <v>phoenix.raised</v>
      </c>
      <c r="B209" s="114">
        <f>portCo!E10</f>
        <v>0</v>
      </c>
      <c r="C209" s="47" t="s">
        <v>106</v>
      </c>
      <c r="D209" t="s">
        <v>244</v>
      </c>
      <c r="E209" t="s">
        <v>223</v>
      </c>
    </row>
    <row r="210" spans="1:5" x14ac:dyDescent="0.55000000000000004">
      <c r="A210" s="2" t="str">
        <f>CONCATENATE(portCo!C11,".raised")</f>
        <v>ironCore.raised</v>
      </c>
      <c r="B210" s="114">
        <f>portCo!E11</f>
        <v>0</v>
      </c>
      <c r="C210" s="47" t="s">
        <v>106</v>
      </c>
      <c r="D210" t="s">
        <v>244</v>
      </c>
      <c r="E210" t="s">
        <v>223</v>
      </c>
    </row>
    <row r="211" spans="1:5" x14ac:dyDescent="0.55000000000000004">
      <c r="A211" s="2" t="str">
        <f>CONCATENATE(portCo!C12,".raised")</f>
        <v>oppSource.raised</v>
      </c>
      <c r="B211" s="114">
        <f>portCo!E12</f>
        <v>0</v>
      </c>
      <c r="C211" s="47" t="s">
        <v>106</v>
      </c>
      <c r="D211" t="s">
        <v>244</v>
      </c>
      <c r="E211" t="s">
        <v>223</v>
      </c>
    </row>
    <row r="212" spans="1:5" x14ac:dyDescent="0.55000000000000004">
      <c r="A212" s="2" t="str">
        <f>CONCATENATE(portCo!C13,".raised")</f>
        <v>remix.raised</v>
      </c>
      <c r="B212" s="114">
        <f>portCo!E13</f>
        <v>0</v>
      </c>
      <c r="C212" s="47" t="s">
        <v>106</v>
      </c>
      <c r="D212" t="s">
        <v>244</v>
      </c>
      <c r="E212" t="s">
        <v>223</v>
      </c>
    </row>
    <row r="213" spans="1:5" x14ac:dyDescent="0.55000000000000004">
      <c r="A213" s="2" t="str">
        <f>CONCATENATE(portCo!C14,".raised")</f>
        <v>Ataata.raised</v>
      </c>
      <c r="B213" s="114">
        <f>portCo!E14</f>
        <v>0</v>
      </c>
      <c r="C213" s="47" t="s">
        <v>106</v>
      </c>
      <c r="D213" t="s">
        <v>244</v>
      </c>
      <c r="E213" t="s">
        <v>223</v>
      </c>
    </row>
    <row r="214" spans="1:5" x14ac:dyDescent="0.55000000000000004">
      <c r="A214" s="2" t="str">
        <f>CONCATENATE(portCo!C15,".raised")</f>
        <v>OnX.raised</v>
      </c>
      <c r="B214" s="114">
        <f>portCo!E15</f>
        <v>0</v>
      </c>
      <c r="C214" s="47" t="s">
        <v>106</v>
      </c>
      <c r="D214" t="s">
        <v>244</v>
      </c>
      <c r="E214" t="s">
        <v>223</v>
      </c>
    </row>
    <row r="215" spans="1:5" x14ac:dyDescent="0.55000000000000004">
      <c r="A215" s="2" t="str">
        <f>CONCATENATE(portCo!C16,".raised")</f>
        <v>twinThread.raised</v>
      </c>
      <c r="B215" s="114">
        <f>portCo!E16</f>
        <v>0</v>
      </c>
      <c r="C215" s="47" t="s">
        <v>106</v>
      </c>
      <c r="D215" t="s">
        <v>244</v>
      </c>
      <c r="E215" t="s">
        <v>223</v>
      </c>
    </row>
    <row r="216" spans="1:5" x14ac:dyDescent="0.55000000000000004">
      <c r="A216" s="2" t="str">
        <f>CONCATENATE(portCo!C17,".raised")</f>
        <v>section.raised</v>
      </c>
      <c r="B216" s="114">
        <f>portCo!E17</f>
        <v>0</v>
      </c>
      <c r="C216" s="47" t="s">
        <v>106</v>
      </c>
      <c r="D216" t="s">
        <v>244</v>
      </c>
      <c r="E216" t="s">
        <v>223</v>
      </c>
    </row>
    <row r="217" spans="1:5" x14ac:dyDescent="0.55000000000000004">
      <c r="A217" s="2" t="str">
        <f>CONCATENATE(portCo!C18,".raised")</f>
        <v>meatEater.raised</v>
      </c>
      <c r="B217" s="114">
        <f>portCo!E18</f>
        <v>0</v>
      </c>
      <c r="C217" s="47" t="s">
        <v>106</v>
      </c>
      <c r="D217" t="s">
        <v>244</v>
      </c>
      <c r="E217" t="s">
        <v>223</v>
      </c>
    </row>
    <row r="218" spans="1:5" x14ac:dyDescent="0.55000000000000004">
      <c r="A218" s="2" t="str">
        <f>CONCATENATE(portCo!C19,".raised")</f>
        <v>alpin.raised</v>
      </c>
      <c r="B218" s="114">
        <f>portCo!E19</f>
        <v>0</v>
      </c>
      <c r="C218" s="47" t="s">
        <v>106</v>
      </c>
      <c r="D218" t="s">
        <v>244</v>
      </c>
      <c r="E218" t="s">
        <v>223</v>
      </c>
    </row>
    <row r="219" spans="1:5" x14ac:dyDescent="0.55000000000000004">
      <c r="A219" s="2" t="str">
        <f>CONCATENATE(portCo!C20,".raised")</f>
        <v>optio.raised</v>
      </c>
      <c r="B219" s="114">
        <f>portCo!E20</f>
        <v>0</v>
      </c>
      <c r="C219" s="47" t="s">
        <v>106</v>
      </c>
      <c r="D219" t="s">
        <v>244</v>
      </c>
      <c r="E219" t="s">
        <v>223</v>
      </c>
    </row>
    <row r="220" spans="1:5" x14ac:dyDescent="0.55000000000000004">
      <c r="A220" s="2" t="str">
        <f>CONCATENATE(portCo!C21,".raised")</f>
        <v>S2.raised</v>
      </c>
      <c r="B220" s="114">
        <f>portCo!E21</f>
        <v>0</v>
      </c>
      <c r="C220" s="47" t="s">
        <v>106</v>
      </c>
      <c r="D220" t="s">
        <v>244</v>
      </c>
      <c r="E220" t="s">
        <v>223</v>
      </c>
    </row>
    <row r="221" spans="1:5" x14ac:dyDescent="0.55000000000000004">
      <c r="A221" s="2" t="str">
        <f>CONCATENATE(portCo!C22,".raised")</f>
        <v>HALP.raised</v>
      </c>
      <c r="B221" s="114">
        <f>portCo!E22</f>
        <v>0</v>
      </c>
      <c r="C221" s="47" t="s">
        <v>106</v>
      </c>
      <c r="D221" t="s">
        <v>244</v>
      </c>
      <c r="E221" t="s">
        <v>223</v>
      </c>
    </row>
    <row r="222" spans="1:5" x14ac:dyDescent="0.55000000000000004">
      <c r="A222" s="2" t="str">
        <f>CONCATENATE(portCo!C23,".raised")</f>
        <v>patientOne.raised</v>
      </c>
      <c r="B222" s="114">
        <f>portCo!E23</f>
        <v>0</v>
      </c>
      <c r="C222" s="47" t="s">
        <v>106</v>
      </c>
      <c r="D222" t="s">
        <v>244</v>
      </c>
      <c r="E222" t="s">
        <v>223</v>
      </c>
    </row>
    <row r="223" spans="1:5" x14ac:dyDescent="0.55000000000000004">
      <c r="A223" s="2" t="str">
        <f>CONCATENATE(portCo!C24,".raised")</f>
        <v>aumni.raised</v>
      </c>
      <c r="B223" s="114">
        <f>portCo!E24</f>
        <v>0</v>
      </c>
      <c r="C223" s="47" t="s">
        <v>106</v>
      </c>
      <c r="D223" t="s">
        <v>244</v>
      </c>
      <c r="E223" t="s">
        <v>223</v>
      </c>
    </row>
    <row r="224" spans="1:5" x14ac:dyDescent="0.55000000000000004">
      <c r="A224" s="2" t="str">
        <f>CONCATENATE(portCo!C25,".raised")</f>
        <v>lumenAd.raised</v>
      </c>
      <c r="B224" s="114">
        <f>portCo!E25</f>
        <v>0</v>
      </c>
      <c r="C224" s="47" t="s">
        <v>106</v>
      </c>
      <c r="D224" t="s">
        <v>244</v>
      </c>
      <c r="E224" t="s">
        <v>223</v>
      </c>
    </row>
    <row r="225" spans="1:5" x14ac:dyDescent="0.55000000000000004">
      <c r="A225" s="2" t="str">
        <f>CONCATENATE(portCo!C26,".raised")</f>
        <v>monday.raised</v>
      </c>
      <c r="B225" s="114">
        <f>portCo!E26</f>
        <v>0</v>
      </c>
      <c r="C225" s="47" t="s">
        <v>106</v>
      </c>
      <c r="D225" t="s">
        <v>244</v>
      </c>
      <c r="E225" t="s">
        <v>223</v>
      </c>
    </row>
    <row r="226" spans="1:5" x14ac:dyDescent="0.55000000000000004">
      <c r="A226" s="2" t="str">
        <f>CONCATENATE(portCo!C27,".raised")</f>
        <v>tripleTree.raised</v>
      </c>
      <c r="B226" s="114">
        <f>portCo!E27</f>
        <v>0</v>
      </c>
      <c r="C226" s="47" t="s">
        <v>106</v>
      </c>
      <c r="D226" t="s">
        <v>244</v>
      </c>
      <c r="E226" t="s">
        <v>223</v>
      </c>
    </row>
    <row r="227" spans="1:5" x14ac:dyDescent="0.55000000000000004">
      <c r="A227" s="2" t="str">
        <f>CONCATENATE(portCo!C28,".raised")</f>
        <v>XXXco.raised</v>
      </c>
      <c r="B227" s="114">
        <f>portCo!E28</f>
        <v>0</v>
      </c>
      <c r="C227" s="47" t="s">
        <v>106</v>
      </c>
      <c r="D227" t="s">
        <v>244</v>
      </c>
      <c r="E227" t="s">
        <v>223</v>
      </c>
    </row>
    <row r="228" spans="1:5" x14ac:dyDescent="0.55000000000000004">
      <c r="A228" s="2" t="str">
        <f>CONCATENATE(portCo!C4,".owned")</f>
        <v>siteOne.owned</v>
      </c>
      <c r="B228" s="46">
        <f>portCo!M4</f>
        <v>7.0800000000000002E-2</v>
      </c>
      <c r="C228" s="47" t="s">
        <v>109</v>
      </c>
      <c r="D228" t="s">
        <v>245</v>
      </c>
      <c r="E228" t="s">
        <v>223</v>
      </c>
    </row>
    <row r="229" spans="1:5" x14ac:dyDescent="0.55000000000000004">
      <c r="A229" s="2" t="str">
        <f>CONCATENATE(portCo!C5,".owned")</f>
        <v>submit.owned</v>
      </c>
      <c r="B229" s="46">
        <f>portCo!M5</f>
        <v>8.5199999999999998E-2</v>
      </c>
      <c r="C229" s="47" t="s">
        <v>109</v>
      </c>
      <c r="D229" t="s">
        <v>245</v>
      </c>
      <c r="E229" t="s">
        <v>223</v>
      </c>
    </row>
    <row r="230" spans="1:5" x14ac:dyDescent="0.55000000000000004">
      <c r="A230" s="2" t="str">
        <f>CONCATENATE(portCo!C6,".owned")</f>
        <v>clearas.owned</v>
      </c>
      <c r="B230" s="46">
        <f>portCo!M6</f>
        <v>5.1999999999999998E-2</v>
      </c>
      <c r="C230" s="47" t="s">
        <v>109</v>
      </c>
      <c r="D230" t="s">
        <v>245</v>
      </c>
      <c r="E230" t="s">
        <v>223</v>
      </c>
    </row>
    <row r="231" spans="1:5" x14ac:dyDescent="0.55000000000000004">
      <c r="A231" s="2" t="str">
        <f>CONCATENATE(portCo!C7,".owned")</f>
        <v>orbital.owned</v>
      </c>
      <c r="B231" s="46">
        <f>portCo!M7</f>
        <v>0.159</v>
      </c>
      <c r="C231" s="47" t="s">
        <v>109</v>
      </c>
      <c r="D231" t="s">
        <v>245</v>
      </c>
      <c r="E231" t="s">
        <v>223</v>
      </c>
    </row>
    <row r="232" spans="1:5" x14ac:dyDescent="0.55000000000000004">
      <c r="A232" s="2" t="str">
        <f>CONCATENATE(portCo!C8,".owned")</f>
        <v>quiq.owned</v>
      </c>
      <c r="B232" s="46">
        <f>portCo!M8</f>
        <v>6.6600000000000006E-2</v>
      </c>
      <c r="C232" s="47" t="s">
        <v>109</v>
      </c>
      <c r="D232" t="s">
        <v>245</v>
      </c>
      <c r="E232" t="s">
        <v>223</v>
      </c>
    </row>
    <row r="233" spans="1:5" x14ac:dyDescent="0.55000000000000004">
      <c r="A233" s="2" t="str">
        <f>CONCATENATE(portCo!C9,".owned")</f>
        <v>blackmore.owned</v>
      </c>
      <c r="B233" s="46">
        <f>portCo!M9</f>
        <v>0.14860000000000001</v>
      </c>
      <c r="C233" s="47" t="s">
        <v>109</v>
      </c>
      <c r="D233" t="s">
        <v>245</v>
      </c>
      <c r="E233" t="s">
        <v>223</v>
      </c>
    </row>
    <row r="234" spans="1:5" x14ac:dyDescent="0.55000000000000004">
      <c r="A234" s="2" t="str">
        <f>CONCATENATE(portCo!C10,".owned")</f>
        <v>phoenix.owned</v>
      </c>
      <c r="B234" s="46">
        <f>portCo!M10</f>
        <v>2.835E-2</v>
      </c>
      <c r="C234" s="47" t="s">
        <v>109</v>
      </c>
      <c r="D234" t="s">
        <v>245</v>
      </c>
      <c r="E234" t="s">
        <v>223</v>
      </c>
    </row>
    <row r="235" spans="1:5" x14ac:dyDescent="0.55000000000000004">
      <c r="A235" s="2" t="str">
        <f>CONCATENATE(portCo!C11,".owned")</f>
        <v>ironCore.owned</v>
      </c>
      <c r="B235" s="46">
        <f>portCo!M11</f>
        <v>0.18629999999999999</v>
      </c>
      <c r="C235" s="47" t="s">
        <v>109</v>
      </c>
      <c r="D235" t="s">
        <v>245</v>
      </c>
      <c r="E235" t="s">
        <v>223</v>
      </c>
    </row>
    <row r="236" spans="1:5" x14ac:dyDescent="0.55000000000000004">
      <c r="A236" s="2" t="str">
        <f>CONCATENATE(portCo!C12,".owned")</f>
        <v>oppSource.owned</v>
      </c>
      <c r="B236" s="46">
        <f>portCo!M12</f>
        <v>0.112</v>
      </c>
      <c r="C236" s="47" t="s">
        <v>109</v>
      </c>
      <c r="D236" t="s">
        <v>245</v>
      </c>
      <c r="E236" t="s">
        <v>223</v>
      </c>
    </row>
    <row r="237" spans="1:5" x14ac:dyDescent="0.55000000000000004">
      <c r="A237" s="2" t="str">
        <f>CONCATENATE(portCo!C13,".owned")</f>
        <v>remix.owned</v>
      </c>
      <c r="B237" s="46">
        <f>portCo!M13</f>
        <v>3.5999999999999997E-2</v>
      </c>
      <c r="C237" s="47" t="s">
        <v>109</v>
      </c>
      <c r="D237" t="s">
        <v>245</v>
      </c>
      <c r="E237" t="s">
        <v>223</v>
      </c>
    </row>
    <row r="238" spans="1:5" x14ac:dyDescent="0.55000000000000004">
      <c r="A238" s="2" t="str">
        <f>CONCATENATE(portCo!C14,".owned")</f>
        <v>Ataata.owned</v>
      </c>
      <c r="B238" s="46">
        <f>portCo!M14</f>
        <v>0.22059999999999999</v>
      </c>
      <c r="C238" s="47" t="s">
        <v>109</v>
      </c>
      <c r="D238" t="s">
        <v>245</v>
      </c>
      <c r="E238" t="s">
        <v>223</v>
      </c>
    </row>
    <row r="239" spans="1:5" x14ac:dyDescent="0.55000000000000004">
      <c r="A239" s="2" t="str">
        <f>CONCATENATE(portCo!C15,".owned")</f>
        <v>OnX.owned</v>
      </c>
      <c r="B239" s="46">
        <f>portCo!M15</f>
        <v>8.0000000000000002E-3</v>
      </c>
      <c r="C239" s="47" t="s">
        <v>109</v>
      </c>
      <c r="D239" t="s">
        <v>245</v>
      </c>
      <c r="E239" t="s">
        <v>223</v>
      </c>
    </row>
    <row r="240" spans="1:5" x14ac:dyDescent="0.55000000000000004">
      <c r="A240" s="2" t="str">
        <f>CONCATENATE(portCo!C16,".owned")</f>
        <v>twinThread.owned</v>
      </c>
      <c r="B240" s="46">
        <f>portCo!M16</f>
        <v>0.13300000000000001</v>
      </c>
      <c r="C240" s="47" t="s">
        <v>109</v>
      </c>
      <c r="D240" t="s">
        <v>245</v>
      </c>
      <c r="E240" t="s">
        <v>223</v>
      </c>
    </row>
    <row r="241" spans="1:5" x14ac:dyDescent="0.55000000000000004">
      <c r="A241" s="2" t="str">
        <f>CONCATENATE(portCo!C17,".owned")</f>
        <v>section.owned</v>
      </c>
      <c r="B241" s="46">
        <f>portCo!M17</f>
        <v>4.53E-2</v>
      </c>
      <c r="C241" s="47" t="s">
        <v>109</v>
      </c>
      <c r="D241" t="s">
        <v>245</v>
      </c>
      <c r="E241" t="s">
        <v>223</v>
      </c>
    </row>
    <row r="242" spans="1:5" x14ac:dyDescent="0.55000000000000004">
      <c r="A242" s="2" t="str">
        <f>CONCATENATE(portCo!C18,".owned")</f>
        <v>meatEater.owned</v>
      </c>
      <c r="B242" s="46">
        <f>portCo!M18</f>
        <v>5.1000000000000004E-3</v>
      </c>
      <c r="C242" s="47" t="s">
        <v>109</v>
      </c>
      <c r="D242" t="s">
        <v>245</v>
      </c>
      <c r="E242" t="s">
        <v>223</v>
      </c>
    </row>
    <row r="243" spans="1:5" x14ac:dyDescent="0.55000000000000004">
      <c r="A243" s="2" t="str">
        <f>CONCATENATE(portCo!C19,".owned")</f>
        <v>alpin.owned</v>
      </c>
      <c r="B243" s="46">
        <f>portCo!M19</f>
        <v>3.125E-2</v>
      </c>
      <c r="C243" s="47" t="s">
        <v>109</v>
      </c>
      <c r="D243" t="s">
        <v>245</v>
      </c>
      <c r="E243" t="s">
        <v>223</v>
      </c>
    </row>
    <row r="244" spans="1:5" x14ac:dyDescent="0.55000000000000004">
      <c r="A244" s="2" t="str">
        <f>CONCATENATE(portCo!C20,".owned")</f>
        <v>optio.owned</v>
      </c>
      <c r="B244" s="46">
        <f>portCo!M20</f>
        <v>0.15790000000000001</v>
      </c>
      <c r="C244" s="47" t="s">
        <v>109</v>
      </c>
      <c r="D244" t="s">
        <v>245</v>
      </c>
      <c r="E244" t="s">
        <v>223</v>
      </c>
    </row>
    <row r="245" spans="1:5" x14ac:dyDescent="0.55000000000000004">
      <c r="A245" s="2" t="str">
        <f>CONCATENATE(portCo!C21,".owned")</f>
        <v>S2.owned</v>
      </c>
      <c r="B245" s="46">
        <f>portCo!M21</f>
        <v>0.1</v>
      </c>
      <c r="C245" s="47" t="s">
        <v>109</v>
      </c>
      <c r="D245" t="s">
        <v>245</v>
      </c>
      <c r="E245" t="s">
        <v>223</v>
      </c>
    </row>
    <row r="246" spans="1:5" x14ac:dyDescent="0.55000000000000004">
      <c r="A246" s="2" t="str">
        <f>CONCATENATE(portCo!C22,".owned")</f>
        <v>HALP.owned</v>
      </c>
      <c r="B246" s="46">
        <f>portCo!M22</f>
        <v>5.8500000000000003E-2</v>
      </c>
      <c r="C246" s="47" t="s">
        <v>109</v>
      </c>
      <c r="D246" t="s">
        <v>245</v>
      </c>
      <c r="E246" t="s">
        <v>223</v>
      </c>
    </row>
    <row r="247" spans="1:5" x14ac:dyDescent="0.55000000000000004">
      <c r="A247" s="2" t="str">
        <f>CONCATENATE(portCo!C23,".owned")</f>
        <v>patientOne.owned</v>
      </c>
      <c r="B247" s="46">
        <f>portCo!M23</f>
        <v>2.5600000000000001E-2</v>
      </c>
      <c r="C247" s="47" t="s">
        <v>109</v>
      </c>
      <c r="D247" t="s">
        <v>245</v>
      </c>
      <c r="E247" t="s">
        <v>223</v>
      </c>
    </row>
    <row r="248" spans="1:5" x14ac:dyDescent="0.55000000000000004">
      <c r="A248" s="2" t="str">
        <f>CONCATENATE(portCo!C24,".owned")</f>
        <v>aumni.owned</v>
      </c>
      <c r="B248" s="46">
        <f>portCo!M24</f>
        <v>9.6299999999999997E-2</v>
      </c>
      <c r="C248" s="47" t="s">
        <v>109</v>
      </c>
      <c r="D248" t="s">
        <v>245</v>
      </c>
      <c r="E248" t="s">
        <v>223</v>
      </c>
    </row>
    <row r="249" spans="1:5" x14ac:dyDescent="0.55000000000000004">
      <c r="A249" s="2" t="str">
        <f>CONCATENATE(portCo!C25,".owned")</f>
        <v>lumenAd.owned</v>
      </c>
      <c r="B249" s="46">
        <f>portCo!M25</f>
        <v>0.1129</v>
      </c>
      <c r="C249" s="47" t="s">
        <v>109</v>
      </c>
      <c r="D249" t="s">
        <v>245</v>
      </c>
      <c r="E249" t="s">
        <v>223</v>
      </c>
    </row>
    <row r="250" spans="1:5" x14ac:dyDescent="0.55000000000000004">
      <c r="A250" s="2" t="str">
        <f>CONCATENATE(portCo!C26,".owned")</f>
        <v>monday.owned</v>
      </c>
      <c r="B250" s="46">
        <f>portCo!M26</f>
        <v>6.6400000000000001E-2</v>
      </c>
      <c r="C250" s="47" t="s">
        <v>109</v>
      </c>
      <c r="D250" t="s">
        <v>245</v>
      </c>
      <c r="E250" t="s">
        <v>223</v>
      </c>
    </row>
    <row r="251" spans="1:5" x14ac:dyDescent="0.55000000000000004">
      <c r="A251" s="2" t="str">
        <f>CONCATENATE(portCo!C27,".owned")</f>
        <v>tripleTree.owned</v>
      </c>
      <c r="B251" s="46">
        <f>portCo!M27</f>
        <v>0.23330000000000001</v>
      </c>
      <c r="C251" s="47" t="s">
        <v>109</v>
      </c>
      <c r="D251" t="s">
        <v>245</v>
      </c>
      <c r="E251" t="s">
        <v>223</v>
      </c>
    </row>
    <row r="252" spans="1:5" x14ac:dyDescent="0.55000000000000004">
      <c r="A252" s="2" t="str">
        <f>CONCATENATE(portCo!C28,".owned")</f>
        <v>XXXco.owned</v>
      </c>
      <c r="B252" s="46">
        <f>portCo!M28</f>
        <v>0</v>
      </c>
      <c r="C252" s="47" t="s">
        <v>109</v>
      </c>
      <c r="D252" t="s">
        <v>245</v>
      </c>
      <c r="E252" t="s">
        <v>223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 Fund Stats</vt:lpstr>
      <vt:lpstr>Fund I Overview</vt:lpstr>
      <vt:lpstr>Fund II Overview</vt:lpstr>
      <vt:lpstr>portCo</vt:lpstr>
      <vt:lpstr>transferData</vt:lpstr>
      <vt:lpstr>'Comp Fund Stats'!Print_Area</vt:lpstr>
      <vt:lpstr>transferData!Print_Area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Harjes</dc:creator>
  <cp:lastModifiedBy>jatho</cp:lastModifiedBy>
  <cp:lastPrinted>2019-12-02T18:57:38Z</cp:lastPrinted>
  <dcterms:created xsi:type="dcterms:W3CDTF">2019-10-03T14:49:31Z</dcterms:created>
  <dcterms:modified xsi:type="dcterms:W3CDTF">2020-01-06T20:39:06Z</dcterms:modified>
</cp:coreProperties>
</file>