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80" yWindow="800" windowWidth="30500" windowHeight="18460" tabRatio="500" activeTab="2"/>
  </bookViews>
  <sheets>
    <sheet name="Comp Fund Stats" sheetId="1" r:id="rId1"/>
    <sheet name="Fund I Overview" sheetId="2" r:id="rId2"/>
    <sheet name="Fund II Overview" sheetId="3" r:id="rId3"/>
  </sheets>
  <externalReferences>
    <externalReference r:id="rId4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C8" i="1"/>
  <c r="B8" i="1"/>
  <c r="B6" i="1"/>
  <c r="D6" i="1"/>
  <c r="D7" i="1"/>
  <c r="I6" i="1"/>
  <c r="C6" i="1"/>
  <c r="C7" i="1"/>
  <c r="I5" i="1"/>
  <c r="B7" i="1"/>
  <c r="D11" i="1"/>
  <c r="C11" i="1"/>
  <c r="B11" i="1"/>
  <c r="D10" i="1"/>
  <c r="C10" i="1"/>
  <c r="B10" i="1"/>
  <c r="A14" i="2"/>
  <c r="A9" i="2"/>
  <c r="A8" i="2"/>
  <c r="A7" i="2"/>
  <c r="A5" i="2"/>
  <c r="A3" i="2"/>
  <c r="B33" i="1"/>
  <c r="C33" i="1"/>
  <c r="D13" i="1"/>
  <c r="K34" i="1"/>
  <c r="D14" i="1"/>
  <c r="K35" i="1"/>
  <c r="K36" i="1"/>
  <c r="D40" i="1"/>
  <c r="K25" i="1"/>
  <c r="K31" i="1"/>
  <c r="K37" i="1"/>
  <c r="J35" i="1"/>
  <c r="J34" i="1"/>
  <c r="J36" i="1"/>
  <c r="J23" i="1"/>
  <c r="J24" i="1"/>
  <c r="J25" i="1"/>
  <c r="J31" i="1"/>
  <c r="J37" i="1"/>
  <c r="I35" i="1"/>
  <c r="I34" i="1"/>
  <c r="I36" i="1"/>
  <c r="I23" i="1"/>
  <c r="I24" i="1"/>
  <c r="I25" i="1"/>
  <c r="I31" i="1"/>
  <c r="I37" i="1"/>
  <c r="C28" i="1"/>
  <c r="B28" i="1"/>
  <c r="D28" i="1"/>
  <c r="B27" i="1"/>
  <c r="C27" i="1"/>
  <c r="D27" i="1"/>
  <c r="C36" i="1"/>
  <c r="D31" i="1"/>
  <c r="D23" i="1"/>
  <c r="D26" i="1"/>
  <c r="C35" i="1"/>
  <c r="B35" i="1"/>
  <c r="D35" i="1"/>
  <c r="K32" i="1"/>
  <c r="K24" i="1"/>
  <c r="K23" i="1"/>
  <c r="J32" i="1"/>
  <c r="I32" i="1"/>
  <c r="C25" i="1"/>
  <c r="B25" i="1"/>
  <c r="D41" i="1"/>
  <c r="C40" i="1"/>
  <c r="C42" i="1"/>
  <c r="B40" i="1"/>
  <c r="B42" i="1"/>
  <c r="C19" i="1"/>
  <c r="B20" i="1"/>
  <c r="B19" i="1"/>
  <c r="B36" i="1"/>
  <c r="D36" i="1"/>
  <c r="D34" i="1"/>
</calcChain>
</file>

<file path=xl/sharedStrings.xml><?xml version="1.0" encoding="utf-8"?>
<sst xmlns="http://schemas.openxmlformats.org/spreadsheetml/2006/main" count="80" uniqueCount="66">
  <si>
    <t>Fund I</t>
  </si>
  <si>
    <t>Fund II</t>
  </si>
  <si>
    <t># Investments</t>
  </si>
  <si>
    <t>Avg Round Size (lead)</t>
  </si>
  <si>
    <t>Avg Round Size (follow)</t>
  </si>
  <si>
    <t>% Companies with Montana Presence</t>
  </si>
  <si>
    <t>% Companies in Rocky Mountains</t>
  </si>
  <si>
    <t xml:space="preserve"> &gt; 50%</t>
  </si>
  <si>
    <t>&gt; 90%</t>
  </si>
  <si>
    <t>Follow-on Investment per 1$ of Initial Check</t>
  </si>
  <si>
    <t>Forecasts</t>
  </si>
  <si>
    <t>Fund III # investments</t>
  </si>
  <si>
    <t>Total $ Invested / Total $ Committed</t>
  </si>
  <si>
    <t>Total Invested</t>
  </si>
  <si>
    <t>Realizations Reinvested</t>
  </si>
  <si>
    <t>calculation only, do not show</t>
  </si>
  <si>
    <t>Avg Initial Ownership (lead)</t>
  </si>
  <si>
    <t>Avg initial post-money (lead)</t>
  </si>
  <si>
    <t>Avg initial post-money (follow)</t>
  </si>
  <si>
    <t>Avg Initial Ownership (follow)</t>
  </si>
  <si>
    <t>fund i</t>
  </si>
  <si>
    <t>fund ii</t>
  </si>
  <si>
    <t>fund iii</t>
  </si>
  <si>
    <t>total invest</t>
  </si>
  <si>
    <t>total initial</t>
  </si>
  <si>
    <t>initial</t>
  </si>
  <si>
    <t>follow-on</t>
  </si>
  <si>
    <t>total initial (leading)</t>
  </si>
  <si>
    <t>total initial (following)</t>
  </si>
  <si>
    <t>pre</t>
  </si>
  <si>
    <t>% of round</t>
  </si>
  <si>
    <t>round dilution</t>
  </si>
  <si>
    <t>total initial investment avail</t>
  </si>
  <si>
    <t>total follow-on invest avail</t>
  </si>
  <si>
    <t>Fund Size</t>
  </si>
  <si>
    <t>Logic Test Section</t>
  </si>
  <si>
    <t>defect (test)</t>
  </si>
  <si>
    <t>================================================================================================================================</t>
  </si>
  <si>
    <t>Fund III</t>
  </si>
  <si>
    <t>Fund Start</t>
  </si>
  <si>
    <t>End Invest</t>
  </si>
  <si>
    <t>Months</t>
  </si>
  <si>
    <t>Investment Period (months)</t>
  </si>
  <si>
    <t>Avg Initial Check Size (led deals)</t>
  </si>
  <si>
    <t>Avg  Initial Check Size (syndicate)</t>
  </si>
  <si>
    <t>Avg Ownership % (led deals)</t>
  </si>
  <si>
    <t>Avg Ownership % (syndicate)</t>
  </si>
  <si>
    <t xml:space="preserve">Fund </t>
  </si>
  <si>
    <t>Gross ROIC</t>
  </si>
  <si>
    <t>Net TVPI</t>
  </si>
  <si>
    <t>DPI - 2019.10.31</t>
  </si>
  <si>
    <t>DPI (+ 2nd Blackmore Dist)</t>
  </si>
  <si>
    <t>DPI (+ Phoenix Dist)</t>
  </si>
  <si>
    <t>Seed to Series A Grad Rate</t>
  </si>
  <si>
    <t>(Blackmore, Submittable, SiteOne, Quik, Phoenix)</t>
  </si>
  <si>
    <t>Net IRR</t>
  </si>
  <si>
    <t>remix = last investment</t>
  </si>
  <si>
    <t>E(board seats) per partner</t>
  </si>
  <si>
    <t>Comparative Fund Statistics</t>
  </si>
  <si>
    <t># Investments (led deals)</t>
  </si>
  <si>
    <t>NFC Partners</t>
  </si>
  <si>
    <t>Deal Leads Screened (per year)</t>
  </si>
  <si>
    <t>Deals Closed (per year)</t>
  </si>
  <si>
    <t>Deals per Partner (per year)</t>
  </si>
  <si>
    <t>Invest Period</t>
  </si>
  <si>
    <t>Fund III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</si>
</sst>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"/>
    <numFmt numFmtId="165" formatCode="0.0%"/>
    <numFmt numFmtId="166" formatCode="&quot;$&quot;#,##0.00"/>
    <numFmt numFmtId="167" formatCode="0.0"/>
    <numFmt numFmtId="168" formatCode="&quot;$&quot;#,##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2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9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/>
    <xf numFmtId="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0" fontId="6" fillId="0" borderId="0" xfId="0" applyFont="1"/>
    <xf numFmtId="165" fontId="0" fillId="0" borderId="0" xfId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Fill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9" fontId="0" fillId="0" borderId="0" xfId="1" applyFont="1"/>
    <xf numFmtId="2" fontId="0" fillId="0" borderId="0" xfId="0" applyNumberFormat="1"/>
    <xf numFmtId="165" fontId="0" fillId="0" borderId="0" xfId="1" applyNumberFormat="1" applyFont="1"/>
    <xf numFmtId="9" fontId="0" fillId="2" borderId="0" xfId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7" fillId="0" borderId="0" xfId="0" applyFont="1"/>
    <xf numFmtId="1" fontId="5" fillId="0" borderId="0" xfId="0" applyNumberFormat="1" applyFont="1" applyFill="1" applyAlignment="1">
      <alignment horizontal="center"/>
    </xf>
  </cellXfs>
  <cellStyles count="1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xt%20Frontier%20Capital%20Fund,%20LP%20-%201Q19%20Internals.RHH.v3.fund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rossCheck"/>
      <sheetName val="Review Checklist"/>
      <sheetName val="Bal Sht"/>
      <sheetName val="Operations"/>
      <sheetName val="Cash Flows"/>
      <sheetName val="Portfolio"/>
      <sheetName val="Investment Rollforward"/>
      <sheetName val="Treasury Status"/>
      <sheetName val="Cap Call Receivable"/>
      <sheetName val="Current Asset Detail"/>
      <sheetName val="2018-19 Insurance Amortization"/>
      <sheetName val="Liability Detail"/>
      <sheetName val="Deferred Capital Calls"/>
      <sheetName val="Interest Accrual"/>
      <sheetName val="Income Detail"/>
      <sheetName val="Mgmt Fee Calc - 1Q19"/>
      <sheetName val="Mgmt Fee Summary"/>
      <sheetName val="Prof Fee RF"/>
      <sheetName val="Other Exp RF"/>
      <sheetName val="Conversions by Period"/>
      <sheetName val="Unrealized by Period"/>
      <sheetName val="Ptr Cap"/>
      <sheetName val="Cap AC"/>
      <sheetName val="IRR Summary"/>
      <sheetName val="Net IRR All Ptrs"/>
      <sheetName val="Net IRR LPs Only"/>
      <sheetName val="RHH 331"/>
      <sheetName val="RHH proforma.fund3"/>
      <sheetName val="RHH proforma.2"/>
      <sheetName val="RHH proForma"/>
      <sheetName val="RHH Portfol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30">
          <cell r="L30">
            <v>1.8172048184318332</v>
          </cell>
        </row>
        <row r="32">
          <cell r="K32">
            <v>2.1632160030750875</v>
          </cell>
        </row>
        <row r="34">
          <cell r="L34">
            <v>0.26734196543693545</v>
          </cell>
        </row>
      </sheetData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D1" sqref="D1"/>
    </sheetView>
  </sheetViews>
  <sheetFormatPr baseColWidth="10" defaultRowHeight="15" x14ac:dyDescent="0"/>
  <cols>
    <col min="1" max="1" width="37.83203125" customWidth="1"/>
    <col min="2" max="4" width="22.33203125" style="1" customWidth="1"/>
    <col min="5" max="5" width="29.83203125" customWidth="1"/>
    <col min="6" max="6" width="11.1640625" bestFit="1" customWidth="1"/>
    <col min="9" max="9" width="12" customWidth="1"/>
  </cols>
  <sheetData>
    <row r="1" spans="1:10">
      <c r="A1" s="25" t="s">
        <v>58</v>
      </c>
    </row>
    <row r="2" spans="1:10">
      <c r="B2" s="8" t="s">
        <v>0</v>
      </c>
      <c r="C2" s="8" t="s">
        <v>1</v>
      </c>
      <c r="D2" s="8" t="s">
        <v>65</v>
      </c>
    </row>
    <row r="3" spans="1:10">
      <c r="A3" s="2" t="s">
        <v>34</v>
      </c>
      <c r="B3" s="3">
        <v>21125000</v>
      </c>
      <c r="C3" s="3">
        <v>37885000</v>
      </c>
      <c r="D3" s="3">
        <v>75000000</v>
      </c>
      <c r="I3" s="38" t="s">
        <v>64</v>
      </c>
    </row>
    <row r="4" spans="1:10">
      <c r="A4" s="2" t="s">
        <v>2</v>
      </c>
      <c r="B4" s="1">
        <v>10</v>
      </c>
      <c r="C4" s="1">
        <v>14</v>
      </c>
      <c r="D4" s="1">
        <v>21</v>
      </c>
      <c r="G4" s="8" t="s">
        <v>39</v>
      </c>
      <c r="H4" s="8" t="s">
        <v>40</v>
      </c>
      <c r="I4" s="8" t="s">
        <v>41</v>
      </c>
    </row>
    <row r="5" spans="1:10">
      <c r="A5" s="2" t="s">
        <v>59</v>
      </c>
      <c r="B5" s="1">
        <v>5</v>
      </c>
      <c r="C5" s="1">
        <v>7</v>
      </c>
      <c r="D5" s="1">
        <v>11</v>
      </c>
      <c r="F5" s="28" t="s">
        <v>0</v>
      </c>
      <c r="G5" s="7">
        <v>42124</v>
      </c>
      <c r="H5" s="7">
        <v>42943</v>
      </c>
      <c r="I5" s="30">
        <f>ROUNDDOWN((H5-G5)/30,0)</f>
        <v>27</v>
      </c>
      <c r="J5" t="s">
        <v>56</v>
      </c>
    </row>
    <row r="6" spans="1:10">
      <c r="A6" s="2" t="s">
        <v>42</v>
      </c>
      <c r="B6" s="30">
        <f>I5</f>
        <v>27</v>
      </c>
      <c r="C6" s="30">
        <f>I6</f>
        <v>29</v>
      </c>
      <c r="D6" s="30">
        <f>I7</f>
        <v>36</v>
      </c>
      <c r="F6" s="29" t="s">
        <v>1</v>
      </c>
      <c r="G6" s="7">
        <v>43048</v>
      </c>
      <c r="H6" s="7">
        <v>43921</v>
      </c>
      <c r="I6" s="30">
        <f>ROUNDDOWN((H6-G6)/30,0)</f>
        <v>29</v>
      </c>
    </row>
    <row r="7" spans="1:10">
      <c r="A7" s="2" t="s">
        <v>62</v>
      </c>
      <c r="B7" s="12">
        <f>B4/(B6/12)</f>
        <v>4.4444444444444446</v>
      </c>
      <c r="C7" s="12">
        <f>C4/(C6/12)</f>
        <v>5.7931034482758621</v>
      </c>
      <c r="D7" s="12">
        <f>D4/(D6/12)</f>
        <v>7</v>
      </c>
      <c r="F7" s="28" t="s">
        <v>38</v>
      </c>
      <c r="G7" s="7">
        <v>43922</v>
      </c>
      <c r="H7" s="7">
        <f>G7+I7*30.4</f>
        <v>45016.4</v>
      </c>
      <c r="I7" s="31">
        <v>36</v>
      </c>
    </row>
    <row r="8" spans="1:10">
      <c r="A8" s="2" t="s">
        <v>61</v>
      </c>
      <c r="B8" s="19">
        <f>180/(B6/12)</f>
        <v>80</v>
      </c>
      <c r="C8" s="39">
        <f>479/(C6/12)</f>
        <v>198.20689655172416</v>
      </c>
      <c r="D8" s="19">
        <v>200</v>
      </c>
      <c r="F8" s="28"/>
      <c r="G8" s="7"/>
      <c r="H8" s="7"/>
      <c r="I8" s="31"/>
    </row>
    <row r="9" spans="1:10">
      <c r="A9" s="2" t="s">
        <v>60</v>
      </c>
      <c r="B9" s="30">
        <v>2</v>
      </c>
      <c r="C9" s="30">
        <v>3</v>
      </c>
      <c r="D9" s="30">
        <v>4</v>
      </c>
      <c r="F9" s="28"/>
      <c r="G9" s="7"/>
      <c r="H9" s="7"/>
      <c r="I9" s="31"/>
    </row>
    <row r="10" spans="1:10">
      <c r="A10" s="2" t="s">
        <v>63</v>
      </c>
      <c r="B10" s="12">
        <f>B7/2</f>
        <v>2.2222222222222223</v>
      </c>
      <c r="C10" s="12">
        <f>C7/3</f>
        <v>1.9310344827586208</v>
      </c>
      <c r="D10" s="12">
        <f>D7/4</f>
        <v>1.75</v>
      </c>
      <c r="F10" s="28"/>
      <c r="G10" s="7"/>
      <c r="H10" s="7"/>
      <c r="I10" s="37"/>
    </row>
    <row r="11" spans="1:10">
      <c r="A11" s="2" t="s">
        <v>57</v>
      </c>
      <c r="B11" s="12">
        <f>B5/2</f>
        <v>2.5</v>
      </c>
      <c r="C11" s="12">
        <f>C5/3</f>
        <v>2.3333333333333335</v>
      </c>
      <c r="D11" s="12">
        <f>D5/4</f>
        <v>2.75</v>
      </c>
      <c r="F11" s="28"/>
      <c r="G11" s="7"/>
      <c r="H11" s="7"/>
      <c r="I11" s="37"/>
    </row>
    <row r="13" spans="1:10" s="20" customFormat="1">
      <c r="A13" s="2" t="s">
        <v>43</v>
      </c>
      <c r="B13" s="5">
        <v>959</v>
      </c>
      <c r="C13" s="24">
        <v>1841.6666666666667</v>
      </c>
      <c r="D13" s="24">
        <f>D24*D25</f>
        <v>2268</v>
      </c>
      <c r="E13"/>
    </row>
    <row r="14" spans="1:10" s="20" customFormat="1">
      <c r="A14" s="2" t="s">
        <v>44</v>
      </c>
      <c r="B14" s="5">
        <v>600</v>
      </c>
      <c r="C14" s="24">
        <v>416.79383333333334</v>
      </c>
      <c r="D14" s="3">
        <f>D32*D33</f>
        <v>720</v>
      </c>
      <c r="E14"/>
    </row>
    <row r="15" spans="1:10" s="20" customFormat="1">
      <c r="A15" s="2"/>
      <c r="B15" s="5"/>
      <c r="C15" s="24"/>
      <c r="D15" s="15"/>
    </row>
    <row r="16" spans="1:10">
      <c r="A16" s="2" t="s">
        <v>45</v>
      </c>
      <c r="B16" s="4">
        <v>0.13820342528337529</v>
      </c>
      <c r="C16" s="4">
        <v>0.14387692605396823</v>
      </c>
      <c r="D16" s="4">
        <v>0.15</v>
      </c>
    </row>
    <row r="17" spans="1:11">
      <c r="A17" s="2" t="s">
        <v>46</v>
      </c>
      <c r="B17" s="4">
        <v>4.8275543278572364E-2</v>
      </c>
      <c r="C17" s="4">
        <v>4.1545251403563563E-2</v>
      </c>
      <c r="D17" s="4">
        <v>0.05</v>
      </c>
    </row>
    <row r="19" spans="1:11">
      <c r="A19" s="2" t="s">
        <v>5</v>
      </c>
      <c r="B19" s="6">
        <f>9/10</f>
        <v>0.9</v>
      </c>
      <c r="C19" s="6">
        <f>7/12</f>
        <v>0.58333333333333337</v>
      </c>
      <c r="D19" s="1" t="s">
        <v>7</v>
      </c>
    </row>
    <row r="20" spans="1:11">
      <c r="A20" s="2" t="s">
        <v>6</v>
      </c>
      <c r="B20" s="6">
        <f>9/10</f>
        <v>0.9</v>
      </c>
      <c r="C20" s="6">
        <v>1</v>
      </c>
      <c r="D20" s="1" t="s">
        <v>8</v>
      </c>
    </row>
    <row r="21" spans="1:11">
      <c r="A21" s="27" t="s">
        <v>37</v>
      </c>
      <c r="B21" s="26"/>
      <c r="E21" s="1"/>
    </row>
    <row r="22" spans="1:11">
      <c r="I22" s="23" t="s">
        <v>20</v>
      </c>
      <c r="J22" s="23" t="s">
        <v>21</v>
      </c>
      <c r="K22" s="23" t="s">
        <v>22</v>
      </c>
    </row>
    <row r="23" spans="1:11">
      <c r="A23" s="2" t="s">
        <v>29</v>
      </c>
      <c r="B23" s="22">
        <v>4900</v>
      </c>
      <c r="C23" s="22">
        <v>10962.387499999999</v>
      </c>
      <c r="D23" s="3">
        <f>D25-D13</f>
        <v>10332</v>
      </c>
      <c r="F23" s="10"/>
      <c r="H23" t="s">
        <v>25</v>
      </c>
      <c r="I23" s="10">
        <f>B5*B13+(B4-B5)*B14</f>
        <v>7795</v>
      </c>
      <c r="J23" s="10">
        <f>C5*C13+(C4-C5)*C14</f>
        <v>15809.223500000002</v>
      </c>
      <c r="K23" s="10">
        <f>K31</f>
        <v>32142.857142857141</v>
      </c>
    </row>
    <row r="24" spans="1:11">
      <c r="A24" s="2" t="s">
        <v>16</v>
      </c>
      <c r="B24" s="18">
        <v>0.15123566874616437</v>
      </c>
      <c r="C24" s="18">
        <v>0.13760588640955865</v>
      </c>
      <c r="D24" s="21">
        <v>0.18</v>
      </c>
      <c r="F24" s="10"/>
      <c r="H24" t="s">
        <v>26</v>
      </c>
      <c r="I24" s="10">
        <f>B43*I23</f>
        <v>8638</v>
      </c>
      <c r="J24" s="10">
        <f>C43*J23</f>
        <v>17390.145850000004</v>
      </c>
      <c r="K24" s="10">
        <f>K32</f>
        <v>35357.142857142855</v>
      </c>
    </row>
    <row r="25" spans="1:11">
      <c r="A25" s="2" t="s">
        <v>17</v>
      </c>
      <c r="B25" s="5">
        <f>B13/B24</f>
        <v>6341.0966999431612</v>
      </c>
      <c r="C25" s="5">
        <f>C13/C24</f>
        <v>13383.632886061896</v>
      </c>
      <c r="D25" s="22">
        <v>12600</v>
      </c>
      <c r="E25" t="s">
        <v>15</v>
      </c>
      <c r="F25" s="10"/>
      <c r="H25" t="s">
        <v>23</v>
      </c>
      <c r="I25" s="10">
        <f>I24+I23</f>
        <v>16433</v>
      </c>
      <c r="J25" s="10">
        <f>J24+J23</f>
        <v>33199.369350000008</v>
      </c>
      <c r="K25" s="10">
        <f>D40/1000</f>
        <v>67500</v>
      </c>
    </row>
    <row r="26" spans="1:11">
      <c r="A26" s="2" t="s">
        <v>3</v>
      </c>
      <c r="B26" s="22">
        <v>1808</v>
      </c>
      <c r="C26" s="22">
        <v>2891.6666666666702</v>
      </c>
      <c r="D26" s="3">
        <f>D23*D28</f>
        <v>3268.8398647257682</v>
      </c>
      <c r="F26" s="10"/>
      <c r="I26" s="10"/>
      <c r="J26" s="10"/>
      <c r="K26" s="10"/>
    </row>
    <row r="27" spans="1:11">
      <c r="A27" s="2" t="s">
        <v>30</v>
      </c>
      <c r="B27" s="6">
        <f>B13/B26</f>
        <v>0.53042035398230092</v>
      </c>
      <c r="C27" s="6">
        <f>C13/C26</f>
        <v>0.63688760806916356</v>
      </c>
      <c r="D27" s="11">
        <f>AVERAGE(B27:C27)</f>
        <v>0.58365398102573218</v>
      </c>
      <c r="E27" t="s">
        <v>15</v>
      </c>
      <c r="F27" s="10"/>
      <c r="I27" s="10"/>
      <c r="J27" s="10"/>
      <c r="K27" s="10"/>
    </row>
    <row r="28" spans="1:11">
      <c r="A28" s="2" t="s">
        <v>31</v>
      </c>
      <c r="B28" s="6">
        <f>B26/B23</f>
        <v>0.36897959183673468</v>
      </c>
      <c r="C28" s="6">
        <f>C26/C23</f>
        <v>0.26378073815276742</v>
      </c>
      <c r="D28" s="11">
        <f>AVERAGE(B28:C28)</f>
        <v>0.31638016499475108</v>
      </c>
      <c r="E28" t="s">
        <v>15</v>
      </c>
      <c r="F28" s="10"/>
      <c r="I28" s="10"/>
      <c r="J28" s="10"/>
      <c r="K28" s="10"/>
    </row>
    <row r="29" spans="1:11">
      <c r="A29" s="2"/>
      <c r="B29" s="3"/>
      <c r="C29" s="3"/>
      <c r="F29" s="10"/>
      <c r="H29" s="25" t="s">
        <v>35</v>
      </c>
      <c r="I29" s="10"/>
      <c r="J29" s="10"/>
      <c r="K29" s="10"/>
    </row>
    <row r="30" spans="1:11">
      <c r="F30" s="10"/>
      <c r="I30" s="10"/>
      <c r="J30" s="10"/>
    </row>
    <row r="31" spans="1:11">
      <c r="A31" s="2" t="s">
        <v>29</v>
      </c>
      <c r="B31" s="22">
        <v>13712.322999999999</v>
      </c>
      <c r="C31" s="22">
        <v>16866.666666666668</v>
      </c>
      <c r="D31" s="5">
        <f>D33-D14</f>
        <v>17280</v>
      </c>
      <c r="H31" s="2" t="s">
        <v>32</v>
      </c>
      <c r="I31" s="10">
        <f>I25/(1+B43)</f>
        <v>7795</v>
      </c>
      <c r="J31" s="10">
        <f>J25/(1+C43)</f>
        <v>15809.223500000004</v>
      </c>
      <c r="K31" s="10">
        <f>K25/(1+D43)</f>
        <v>32142.857142857141</v>
      </c>
    </row>
    <row r="32" spans="1:11">
      <c r="A32" s="2" t="s">
        <v>19</v>
      </c>
      <c r="B32" s="18">
        <v>3.7368284853159163E-2</v>
      </c>
      <c r="C32" s="4">
        <v>2.8953082071054768E-2</v>
      </c>
      <c r="D32" s="21">
        <v>0.04</v>
      </c>
      <c r="H32" s="2" t="s">
        <v>33</v>
      </c>
      <c r="I32" s="10">
        <f>I25-I31</f>
        <v>8638</v>
      </c>
      <c r="J32" s="10">
        <f>J25-J31</f>
        <v>17390.145850000004</v>
      </c>
      <c r="K32" s="10">
        <f>K25-K31</f>
        <v>35357.142857142855</v>
      </c>
    </row>
    <row r="33" spans="1:11">
      <c r="A33" s="2" t="s">
        <v>18</v>
      </c>
      <c r="B33" s="3">
        <f>B34+B31</f>
        <v>18067.123</v>
      </c>
      <c r="C33" s="3">
        <f>C34+C31</f>
        <v>22316.666666666668</v>
      </c>
      <c r="D33" s="22">
        <v>18000</v>
      </c>
      <c r="E33" s="17" t="s">
        <v>15</v>
      </c>
    </row>
    <row r="34" spans="1:11">
      <c r="A34" s="2" t="s">
        <v>4</v>
      </c>
      <c r="B34" s="22">
        <v>4354.8</v>
      </c>
      <c r="C34" s="22">
        <v>5450</v>
      </c>
      <c r="D34" s="3">
        <f>D31*D36</f>
        <v>5535.6953506209156</v>
      </c>
      <c r="H34" s="2" t="s">
        <v>27</v>
      </c>
      <c r="I34" s="10">
        <f>B5*B13</f>
        <v>4795</v>
      </c>
      <c r="J34" s="10">
        <f>C5*C13</f>
        <v>12891.666666666668</v>
      </c>
      <c r="K34" s="10">
        <f>D5*D13</f>
        <v>24948</v>
      </c>
    </row>
    <row r="35" spans="1:11">
      <c r="A35" s="2" t="s">
        <v>30</v>
      </c>
      <c r="B35" s="6">
        <f>B14/B34</f>
        <v>0.13777900248002203</v>
      </c>
      <c r="C35" s="6">
        <f>C14/C34</f>
        <v>7.6475932721712533E-2</v>
      </c>
      <c r="D35" s="11">
        <f>AVERAGE(B35:C35)</f>
        <v>0.10712746760086728</v>
      </c>
      <c r="E35" t="s">
        <v>15</v>
      </c>
      <c r="H35" s="2" t="s">
        <v>28</v>
      </c>
      <c r="I35" s="10">
        <f>(B4-B5)*B14</f>
        <v>3000</v>
      </c>
      <c r="J35" s="10">
        <f>(C4-C5)*C14</f>
        <v>2917.5568333333335</v>
      </c>
      <c r="K35" s="10">
        <f>(D4-D5)*D14</f>
        <v>7200</v>
      </c>
    </row>
    <row r="36" spans="1:11">
      <c r="A36" s="2" t="s">
        <v>31</v>
      </c>
      <c r="B36" s="6">
        <f>B34/B31</f>
        <v>0.31758295075167065</v>
      </c>
      <c r="C36" s="6">
        <f>C34/C31</f>
        <v>0.32312252964426874</v>
      </c>
      <c r="D36" s="11">
        <f>AVERAGE(B36:C36)</f>
        <v>0.32035274019796967</v>
      </c>
      <c r="E36" t="s">
        <v>15</v>
      </c>
      <c r="H36" t="s">
        <v>24</v>
      </c>
      <c r="I36" s="10">
        <f>I35+I34</f>
        <v>7795</v>
      </c>
      <c r="J36" s="10">
        <f t="shared" ref="J36:K36" si="0">J35+J34</f>
        <v>15809.223500000002</v>
      </c>
      <c r="K36" s="10">
        <f t="shared" si="0"/>
        <v>32148</v>
      </c>
    </row>
    <row r="37" spans="1:11">
      <c r="H37" t="s">
        <v>36</v>
      </c>
      <c r="I37" s="10">
        <f>I36-I31</f>
        <v>0</v>
      </c>
      <c r="J37" s="10">
        <f t="shared" ref="J37:K37" si="1">J36-J31</f>
        <v>0</v>
      </c>
      <c r="K37" s="10">
        <f t="shared" si="1"/>
        <v>5.142857142858702</v>
      </c>
    </row>
    <row r="38" spans="1:11">
      <c r="A38" s="2"/>
      <c r="B38" s="3"/>
      <c r="C38" s="3"/>
    </row>
    <row r="39" spans="1:11">
      <c r="A39" s="2"/>
      <c r="B39" s="3"/>
      <c r="C39" s="3"/>
    </row>
    <row r="40" spans="1:11">
      <c r="A40" s="2" t="s">
        <v>13</v>
      </c>
      <c r="B40" s="5">
        <f>16433*1000</f>
        <v>16433000</v>
      </c>
      <c r="C40" s="14">
        <f>33885.80032125*1000</f>
        <v>33885800.321249999</v>
      </c>
      <c r="D40" s="3">
        <f>D42*D3</f>
        <v>67500000</v>
      </c>
      <c r="E40" s="17" t="s">
        <v>15</v>
      </c>
    </row>
    <row r="41" spans="1:11">
      <c r="A41" s="2" t="s">
        <v>14</v>
      </c>
      <c r="B41" s="5">
        <v>700000</v>
      </c>
      <c r="C41" s="14">
        <v>4900000</v>
      </c>
      <c r="D41" s="3">
        <f>ROUND((C41/C3)*D3,-3)</f>
        <v>9700000</v>
      </c>
      <c r="E41" t="s">
        <v>15</v>
      </c>
    </row>
    <row r="42" spans="1:11">
      <c r="A42" s="2" t="s">
        <v>12</v>
      </c>
      <c r="B42" s="16">
        <f>B40/B3</f>
        <v>0.77789349112426032</v>
      </c>
      <c r="C42" s="11">
        <f>C40/C3</f>
        <v>0.89443844057674537</v>
      </c>
      <c r="D42" s="35">
        <v>0.9</v>
      </c>
      <c r="E42" t="s">
        <v>15</v>
      </c>
    </row>
    <row r="43" spans="1:11">
      <c r="A43" s="2" t="s">
        <v>9</v>
      </c>
      <c r="B43" s="13">
        <v>1.108146247594612</v>
      </c>
      <c r="C43" s="36">
        <v>1.1000000000000001</v>
      </c>
      <c r="D43" s="36">
        <v>1.1000000000000001</v>
      </c>
      <c r="E43" t="s">
        <v>15</v>
      </c>
    </row>
    <row r="45" spans="1:11">
      <c r="B45" s="9"/>
    </row>
    <row r="46" spans="1:11">
      <c r="B46" s="7"/>
      <c r="C46" s="7"/>
    </row>
    <row r="50" spans="1:1">
      <c r="A50" s="2" t="s">
        <v>10</v>
      </c>
    </row>
    <row r="51" spans="1:1">
      <c r="A51" s="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8" sqref="B18"/>
    </sheetView>
  </sheetViews>
  <sheetFormatPr baseColWidth="10" defaultRowHeight="15" x14ac:dyDescent="0"/>
  <cols>
    <col min="1" max="1" width="24.1640625" customWidth="1"/>
    <col min="2" max="2" width="22.83203125" customWidth="1"/>
  </cols>
  <sheetData>
    <row r="3" spans="1:2">
      <c r="A3" s="33">
        <f>'[1]RHH proforma.fund3'!$K$32</f>
        <v>2.1632160030750875</v>
      </c>
      <c r="B3" t="s">
        <v>48</v>
      </c>
    </row>
    <row r="4" spans="1:2">
      <c r="A4" s="33"/>
    </row>
    <row r="5" spans="1:2">
      <c r="A5" s="33">
        <f>'[1]RHH proforma.fund3'!$L$30</f>
        <v>1.8172048184318332</v>
      </c>
      <c r="B5" t="s">
        <v>49</v>
      </c>
    </row>
    <row r="6" spans="1:2">
      <c r="A6" s="33"/>
    </row>
    <row r="7" spans="1:2">
      <c r="A7" s="33">
        <f>(1.7)/(21.125*0.8825)</f>
        <v>9.1187957825569516E-2</v>
      </c>
      <c r="B7" t="s">
        <v>50</v>
      </c>
    </row>
    <row r="8" spans="1:2">
      <c r="A8" s="33">
        <f>(1.7+1.55)/(21.125*0.8825)</f>
        <v>0.1743299193724123</v>
      </c>
      <c r="B8" t="s">
        <v>51</v>
      </c>
    </row>
    <row r="9" spans="1:2">
      <c r="A9" s="33">
        <f>(1.7+1.55 +7.4)/(21.125*0.8825)</f>
        <v>0.57126573578959727</v>
      </c>
      <c r="B9" t="s">
        <v>52</v>
      </c>
    </row>
    <row r="11" spans="1:2">
      <c r="A11" s="32">
        <v>0.5</v>
      </c>
      <c r="B11" t="s">
        <v>53</v>
      </c>
    </row>
    <row r="12" spans="1:2">
      <c r="B12" t="s">
        <v>54</v>
      </c>
    </row>
    <row r="14" spans="1:2">
      <c r="A14" s="34">
        <f>'[1]RHH proforma.fund3'!$L$34</f>
        <v>0.26734196543693545</v>
      </c>
      <c r="B14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4" sqref="F44"/>
    </sheetView>
  </sheetViews>
  <sheetFormatPr baseColWidth="10" defaultRowHeight="15" x14ac:dyDescent="0"/>
  <sheetData>
    <row r="1" spans="1:1">
      <c r="A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 Fund Stats</vt:lpstr>
      <vt:lpstr>Fund I Overview</vt:lpstr>
      <vt:lpstr>Fund II 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Harjes</dc:creator>
  <cp:lastModifiedBy>Richard Harjes</cp:lastModifiedBy>
  <dcterms:created xsi:type="dcterms:W3CDTF">2019-10-03T14:49:31Z</dcterms:created>
  <dcterms:modified xsi:type="dcterms:W3CDTF">2019-10-23T17:50:24Z</dcterms:modified>
</cp:coreProperties>
</file>