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<sst xmlns="http://schemas.openxmlformats.org/spreadsheetml/2006/main" count="45" uniqueCount="45">
  <si>
    <t xml:space="preserve">AvgExecTime (s)</t>
  </si>
  <si>
    <t xml:space="preserve">Cache-references (avg)</t>
  </si>
  <si>
    <t xml:space="preserve">Cache-Hits</t>
  </si>
  <si>
    <t xml:space="preserve">Cache-misses (avg)</t>
  </si>
  <si>
    <t xml:space="preserve">cycles (avg)</t>
  </si>
  <si>
    <t xml:space="preserve">instructions</t>
  </si>
  <si>
    <t xml:space="preserve">CPI (avg)</t>
  </si>
  <si>
    <t xml:space="preserve">Hit Rate</t>
  </si>
  <si>
    <t xml:space="preserve">Miss Rate</t>
  </si>
  <si>
    <t xml:space="preserve">Clock Rate</t>
  </si>
  <si>
    <t xml:space="preserve">Performance</t>
  </si>
  <si>
    <t xml:space="preserve">Speedup from CPU to GPU</t>
  </si>
  <si>
    <t xml:space="preserve">GradeChecker (10000 data set)</t>
  </si>
  <si>
    <t xml:space="preserve">GradeCheckerCuda (10000 data set)</t>
  </si>
  <si>
    <t xml:space="preserve">VectorAdd (10000 data set)</t>
  </si>
  <si>
    <t xml:space="preserve">VectorAddCuda (10000 data set)</t>
  </si>
  <si>
    <t xml:space="preserve">Knapsack (1000 data set) (Only 1 thread,  purely sequential comparison) </t>
  </si>
  <si>
    <t xml:space="preserve">KnapsackCuda (1000 data set) (Only 1 thread,  purely sequential comparison)</t>
  </si>
  <si>
    <t xml:space="preserve">MatrixMultiply (10000 data set)</t>
  </si>
  <si>
    <t xml:space="preserve">MatrixMultiplyCuda (10000 data set)</t>
  </si>
  <si>
    <t xml:space="preserve">Optimizations Levels</t>
  </si>
  <si>
    <t xml:space="preserve">gradeChecker(O1)</t>
  </si>
  <si>
    <t xml:space="preserve">gradeChecker(O2)</t>
  </si>
  <si>
    <t xml:space="preserve">gradeChecker(O3)</t>
  </si>
  <si>
    <t xml:space="preserve">gradeCheckerCuda(O1)</t>
  </si>
  <si>
    <t xml:space="preserve">gradeCheckerCuda(O2)</t>
  </si>
  <si>
    <t xml:space="preserve">gradeCheckerCuda(O3)</t>
  </si>
  <si>
    <t xml:space="preserve">VectorAdd(O1)</t>
  </si>
  <si>
    <t xml:space="preserve">VectorAdd(O2)</t>
  </si>
  <si>
    <t xml:space="preserve">VectorAdd(O3)</t>
  </si>
  <si>
    <t xml:space="preserve">VectorAddCuda(O1)</t>
  </si>
  <si>
    <t xml:space="preserve">VectorAddCuda(O2)</t>
  </si>
  <si>
    <t xml:space="preserve">VectorAddCuda(O3)</t>
  </si>
  <si>
    <t xml:space="preserve">Knapsack(O1)</t>
  </si>
  <si>
    <t xml:space="preserve">Knapsack(O2)</t>
  </si>
  <si>
    <t xml:space="preserve">Knapsack(O3)</t>
  </si>
  <si>
    <t xml:space="preserve">KnapsackCuda(O1)</t>
  </si>
  <si>
    <t xml:space="preserve">KnapsackCuda(O2)</t>
  </si>
  <si>
    <t xml:space="preserve">KnapsackCuda(O3)</t>
  </si>
  <si>
    <t xml:space="preserve">MatrixMultiply(O1)</t>
  </si>
  <si>
    <t xml:space="preserve">MatrixMultiply(O2)</t>
  </si>
  <si>
    <t xml:space="preserve">MatrixMultiply(O3)</t>
  </si>
  <si>
    <t xml:space="preserve">MatrixMultiplyCuda(O1)</t>
  </si>
  <si>
    <t xml:space="preserve">MatrixMultiplyCuda(O2)</t>
  </si>
  <si>
    <t xml:space="preserve">MatrixMultiplyCuda(O3)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</si>
</sst>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#,##0.000"/>
    <numFmt numFmtId="167" formatCode="0.00E+00"/>
    <numFmt numFmtId="168" formatCode="#,##0.00000000"/>
    <numFmt numFmtId="169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9" activeCellId="0" sqref="C39"/>
    </sheetView>
  </sheetViews>
  <sheetFormatPr defaultColWidth="11.70703125" defaultRowHeight="12.8" zeroHeight="false" outlineLevelRow="0" outlineLevelCol="0"/>
  <cols>
    <col collapsed="false" customWidth="true" hidden="false" outlineLevel="0" max="1" min="1" style="0" width="63.1"/>
    <col collapsed="false" customWidth="true" hidden="false" outlineLevel="0" max="2" min="2" style="0" width="17.64"/>
    <col collapsed="false" customWidth="true" hidden="false" outlineLevel="0" max="3" min="3" style="1" width="20.01"/>
    <col collapsed="false" customWidth="true" hidden="false" outlineLevel="0" max="5" min="4" style="1" width="17.52"/>
    <col collapsed="false" customWidth="true" hidden="false" outlineLevel="0" max="6" min="6" style="1" width="23.2"/>
    <col collapsed="false" customWidth="true" hidden="false" outlineLevel="0" max="7" min="7" style="1" width="20.01"/>
    <col collapsed="false" customWidth="false" hidden="false" outlineLevel="0" max="8" min="8" style="2" width="11.69"/>
    <col collapsed="false" customWidth="false" hidden="false" outlineLevel="0" max="11" min="11" style="3" width="11.69"/>
    <col collapsed="false" customWidth="false" hidden="false" outlineLevel="0" max="12" min="12" style="1" width="11.69"/>
    <col collapsed="false" customWidth="true" hidden="false" outlineLevel="0" max="13" min="13" style="2" width="23.08"/>
  </cols>
  <sheetData>
    <row r="1" customFormat="false" ht="12.8" hidden="false" customHeight="false" outlineLevel="0" collapsed="false">
      <c r="B1" s="0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0" t="s">
        <v>7</v>
      </c>
      <c r="J1" s="0" t="s">
        <v>8</v>
      </c>
      <c r="K1" s="5" t="s">
        <v>9</v>
      </c>
      <c r="L1" s="6" t="s">
        <v>10</v>
      </c>
      <c r="M1" s="2" t="s">
        <v>11</v>
      </c>
    </row>
    <row r="2" customFormat="false" ht="12.8" hidden="false" customHeight="false" outlineLevel="0" collapsed="false">
      <c r="A2" s="0" t="s">
        <v>12</v>
      </c>
      <c r="B2" s="7" t="n">
        <f aca="false">(0.49931277+0.479983076+0.485362798+0.585238134+0.472385938+0.494537349+0.494999398)/7</f>
        <v>0.501688494714286</v>
      </c>
      <c r="C2" s="1" t="n">
        <f aca="false">(147906548+145215012+147542042+148124117+145271762+151234991+144822180)/7</f>
        <v>147159521.714286</v>
      </c>
      <c r="D2" s="1" t="n">
        <f aca="false">I2*C2</f>
        <v>125214510.857143</v>
      </c>
      <c r="E2" s="1" t="n">
        <f aca="false">(22232545+21198451+22098940+22043106+22832778+21542698+21666558)/7</f>
        <v>21945010.8571429</v>
      </c>
      <c r="F2" s="1" t="n">
        <f aca="false">(2575337724+2185788721+2516806202+2605476358+2191248443+2569515819+2323846805)/7</f>
        <v>2424002867.42857</v>
      </c>
      <c r="G2" s="1" t="n">
        <f aca="false">(1484424503+1240313899+1432582065+1501718330+1252633239+1465000443+1316989828)/7</f>
        <v>1384808901</v>
      </c>
      <c r="H2" s="4" t="n">
        <f aca="false">F2/G2</f>
        <v>1.75042409510666</v>
      </c>
      <c r="I2" s="8" t="n">
        <f aca="false">1-J2</f>
        <v>0.85087603845472</v>
      </c>
      <c r="J2" s="8" t="n">
        <f aca="false">E2/C2</f>
        <v>0.149123961545279</v>
      </c>
      <c r="K2" s="5" t="n">
        <f aca="false">(G2*H2)/B2</f>
        <v>4831689171.6025</v>
      </c>
      <c r="L2" s="6" t="n">
        <f aca="false">1/B2</f>
        <v>1.99326875249452</v>
      </c>
      <c r="M2" s="2" t="n">
        <f aca="false">(G2*H2*B2)/(G3*H3*B3)</f>
        <v>228797.684835751</v>
      </c>
    </row>
    <row r="3" customFormat="false" ht="12.8" hidden="false" customHeight="false" outlineLevel="0" collapsed="false">
      <c r="A3" s="0" t="s">
        <v>13</v>
      </c>
      <c r="B3" s="7" t="n">
        <f aca="false">((1.91 * 10^-3)+(1.86 *10^-3))/2</f>
        <v>0.001885</v>
      </c>
      <c r="C3" s="1" t="n">
        <f aca="false">(157376000+158258912)</f>
        <v>315634912</v>
      </c>
      <c r="D3" s="1" t="n">
        <f aca="false">I3*C3</f>
        <v>314877388.2112</v>
      </c>
      <c r="E3" s="1" t="n">
        <f aca="false">C3-D3</f>
        <v>757523.788800001</v>
      </c>
      <c r="F3" s="1" t="n">
        <f aca="false">2819709</f>
        <v>2819709</v>
      </c>
      <c r="G3" s="1" t="n">
        <f aca="false">47368224</f>
        <v>47368224</v>
      </c>
      <c r="H3" s="4" t="n">
        <f aca="false">F3/G3</f>
        <v>0.0595274376341406</v>
      </c>
      <c r="I3" s="8" t="n">
        <f aca="false">((99.55+99.97)/2)/100</f>
        <v>0.9976</v>
      </c>
      <c r="J3" s="8" t="n">
        <f aca="false">E3/C3</f>
        <v>0.0024</v>
      </c>
      <c r="K3" s="5" t="n">
        <f aca="false">(G3*H3)/B3</f>
        <v>1495866843.50133</v>
      </c>
      <c r="L3" s="6" t="n">
        <f aca="false">1/B3</f>
        <v>530.503978779841</v>
      </c>
    </row>
    <row r="4" customFormat="false" ht="12.8" hidden="false" customHeight="false" outlineLevel="0" collapsed="false">
      <c r="A4" s="0" t="s">
        <v>14</v>
      </c>
      <c r="B4" s="7" t="n">
        <f aca="false">(0.350687796+0.367376182+0.361628503+0.358932383+0.349622678+0.358932383+0.349622678+0.344905957+0.349522016+0.363903816)/10</f>
        <v>0.3555134392</v>
      </c>
      <c r="C4" s="1" t="n">
        <f aca="false">(128162118+128995948+130460688+127939388+127861346+127939388+127861346+128808629+129239342+129220192)/10</f>
        <v>128648838.5</v>
      </c>
      <c r="D4" s="1" t="n">
        <f aca="false">I4*C4</f>
        <v>109790761.1</v>
      </c>
      <c r="E4" s="1" t="n">
        <f aca="false">(18975477+18777051+18907143+18586874+19028077+18586874+19028077+18361557+19287864+19041780)/10</f>
        <v>18858077.4</v>
      </c>
      <c r="F4" s="9" t="n">
        <f aca="false">(2354270136+2344557320+2424511047+2337861416+2339362193+2337861416+2339362193+2218469472+2343360671+2295716362)/10</f>
        <v>2333533222.6</v>
      </c>
      <c r="G4" s="1" t="n">
        <f aca="false">(1441269482+1405776174+1409863098+1367512541+1367822523+1367512541+1367822523+1325713215+1374475330+1346160719)/10</f>
        <v>1377392814.6</v>
      </c>
      <c r="H4" s="4" t="n">
        <f aca="false">F4/G4</f>
        <v>1.69416683306691</v>
      </c>
      <c r="I4" s="8" t="n">
        <f aca="false">1-J4</f>
        <v>0.853414320565358</v>
      </c>
      <c r="J4" s="8" t="n">
        <f aca="false">E4/C4</f>
        <v>0.146585679434642</v>
      </c>
      <c r="K4" s="5" t="n">
        <f aca="false">(G4*H4)/B4</f>
        <v>6563839690.14244</v>
      </c>
      <c r="L4" s="6" t="n">
        <f aca="false">1/B4</f>
        <v>2.81283318641981</v>
      </c>
      <c r="M4" s="2" t="n">
        <f aca="false">(G4*H4*B4)/(G5*H5*B5)</f>
        <v>296438.702963393</v>
      </c>
    </row>
    <row r="5" customFormat="false" ht="12.8" hidden="false" customHeight="false" outlineLevel="0" collapsed="false">
      <c r="A5" s="0" t="s">
        <v>15</v>
      </c>
      <c r="B5" s="7" t="n">
        <f aca="false">(1.36 * 10^-3)</f>
        <v>0.00136</v>
      </c>
      <c r="C5" s="1" t="n">
        <f aca="false">3840000+139616</f>
        <v>3979616</v>
      </c>
      <c r="D5" s="1" t="n">
        <f aca="false">I5*C5</f>
        <v>2767822.928</v>
      </c>
      <c r="E5" s="1" t="n">
        <f aca="false">C5-D5</f>
        <v>1211793.072</v>
      </c>
      <c r="F5" s="1" t="n">
        <f aca="false">2057767</f>
        <v>2057767</v>
      </c>
      <c r="G5" s="1" t="n">
        <f aca="false">40578332</f>
        <v>40578332</v>
      </c>
      <c r="H5" s="4" t="n">
        <f aca="false">F5/G5</f>
        <v>0.0507109804316254</v>
      </c>
      <c r="I5" s="8" t="n">
        <f aca="false">((96.88+42.22)/2)/100</f>
        <v>0.6955</v>
      </c>
      <c r="J5" s="8" t="n">
        <f aca="false">E5/C5</f>
        <v>0.3045</v>
      </c>
      <c r="K5" s="5" t="n">
        <f aca="false">(G5*H5)/B5</f>
        <v>1513063970.58824</v>
      </c>
      <c r="L5" s="6" t="n">
        <f aca="false">1/B5</f>
        <v>735.294117647059</v>
      </c>
    </row>
    <row r="6" customFormat="false" ht="12.8" hidden="false" customHeight="false" outlineLevel="0" collapsed="false">
      <c r="A6" s="0" t="s">
        <v>16</v>
      </c>
      <c r="B6" s="7" t="n">
        <f aca="false">(0.001631475+0.001311989+0.000991812+0.001029994+0.001766382+0.00180237+0.002528447+0.002011045+0.00177089)/9</f>
        <v>0.00164937822222222</v>
      </c>
      <c r="C6" s="1" t="n">
        <f aca="false">(138441+135512+133341+132103+134305+137156+133809+147551+139224)/9</f>
        <v>136826.888888889</v>
      </c>
      <c r="D6" s="1" t="n">
        <f aca="false">I6*C6</f>
        <v>107912.666666667</v>
      </c>
      <c r="E6" s="1" t="n">
        <f aca="false">(31382+30214+25045+25005+30172+30889+25129+31618+30774)/9</f>
        <v>28914.2222222222</v>
      </c>
      <c r="F6" s="1" t="n">
        <f aca="false">(2066806+1934745+2315864+2348013+1921531+1927039+2180284+2809108+2022068)/9</f>
        <v>2169495.33333333</v>
      </c>
      <c r="G6" s="1" t="n">
        <f aca="false">(3873281+3864997+3888658+3879838+3877680+3881779+3890325+3901704+3874278)/9</f>
        <v>3881393.33333333</v>
      </c>
      <c r="H6" s="4" t="n">
        <f aca="false">F6/G6</f>
        <v>0.558947560068635</v>
      </c>
      <c r="I6" s="8" t="n">
        <f aca="false">1-J6</f>
        <v>0.788680262651428</v>
      </c>
      <c r="J6" s="8" t="n">
        <f aca="false">E6/C6</f>
        <v>0.211319737348572</v>
      </c>
      <c r="K6" s="5" t="n">
        <f aca="false">(G6*H6)/B6</f>
        <v>1315341323.23534</v>
      </c>
      <c r="L6" s="6" t="n">
        <f aca="false">1/B6</f>
        <v>606.28907701515</v>
      </c>
      <c r="M6" s="2" t="n">
        <f aca="false">(G6*H6*B6)/(G7*H7*B7)</f>
        <v>0.422843539264719</v>
      </c>
    </row>
    <row r="7" customFormat="false" ht="12.8" hidden="false" customHeight="false" outlineLevel="0" collapsed="false">
      <c r="A7" s="0" t="s">
        <v>17</v>
      </c>
      <c r="B7" s="7" t="n">
        <f aca="false">(2.37 * 10^-3)</f>
        <v>0.00237</v>
      </c>
      <c r="C7" s="1" t="n">
        <f aca="false">4056288+1646528</f>
        <v>5702816</v>
      </c>
      <c r="D7" s="1" t="n">
        <f aca="false">I7*C7</f>
        <v>4467871.1952</v>
      </c>
      <c r="E7" s="1" t="n">
        <f aca="false">C7-D7</f>
        <v>1234944.8048</v>
      </c>
      <c r="F7" s="1" t="n">
        <f aca="false">3570680</f>
        <v>3570680</v>
      </c>
      <c r="G7" s="1" t="n">
        <f aca="false">416066</f>
        <v>416066</v>
      </c>
      <c r="H7" s="4" t="n">
        <f aca="false">F7/G7</f>
        <v>8.58200381670216</v>
      </c>
      <c r="I7" s="8" t="n">
        <f aca="false">((59.42+97.27)/2)/100</f>
        <v>0.78345</v>
      </c>
      <c r="J7" s="8" t="n">
        <f aca="false">E7/C7</f>
        <v>0.21655</v>
      </c>
      <c r="K7" s="5" t="n">
        <f aca="false">(G7*H7)/B7</f>
        <v>1506616033.75527</v>
      </c>
      <c r="L7" s="6" t="n">
        <f aca="false">1/B7</f>
        <v>421.940928270042</v>
      </c>
    </row>
    <row r="8" customFormat="false" ht="12.8" hidden="false" customHeight="false" outlineLevel="0" collapsed="false">
      <c r="A8" s="0" t="s">
        <v>18</v>
      </c>
      <c r="B8" s="7" t="n">
        <f aca="false">(0.029193527+0.034047572+0.029714061+0.030853586+0.028778859+0.032046921+0.02888547+0.029706509+0.026352213+0.046062497)/10</f>
        <v>0.0315641215</v>
      </c>
      <c r="C8" s="1" t="n">
        <f aca="false">(5711763+5848479+7913621+6440832+6778226+6821786+6782065+6328988+6632491+7024820)/10</f>
        <v>6628307.1</v>
      </c>
      <c r="D8" s="1" t="n">
        <f aca="false">I8*C8</f>
        <v>6261251.5</v>
      </c>
      <c r="E8" s="1" t="n">
        <f aca="false">(376997+313023+343817+396682+463582+331655+342160+471351+294753+336536)/10</f>
        <v>367055.6</v>
      </c>
      <c r="F8" s="1" t="n">
        <f aca="false">(623226111+605588397+619412348+626535871+658894917+632738607+623442942+663889837+608170785+621818712)/10</f>
        <v>628371852.7</v>
      </c>
      <c r="G8" s="1" t="n">
        <f aca="false">(1060698385+1055055015+1055614414+1061390042+1057031026+1062910909+1061949114+1056867855+1059110423+1045837613)/10</f>
        <v>1057646479.6</v>
      </c>
      <c r="H8" s="4" t="n">
        <f aca="false">F8/G8</f>
        <v>0.594122766746833</v>
      </c>
      <c r="I8" s="8" t="n">
        <f aca="false">1-J8</f>
        <v>0.944623024482375</v>
      </c>
      <c r="J8" s="8" t="n">
        <f aca="false">E8/C8</f>
        <v>0.055376975517625</v>
      </c>
      <c r="K8" s="5" t="n">
        <f aca="false">(G8*H8)/B8</f>
        <v>19907788426.8061</v>
      </c>
      <c r="L8" s="6" t="n">
        <f aca="false">1/B8</f>
        <v>31.6815407012041</v>
      </c>
      <c r="M8" s="2" t="n">
        <f aca="false">(G8*H8*B8)/(G9*H9*B9)</f>
        <v>12354914.6688271</v>
      </c>
    </row>
    <row r="9" customFormat="false" ht="12.8" hidden="false" customHeight="false" outlineLevel="0" collapsed="false">
      <c r="A9" s="0" t="s">
        <v>19</v>
      </c>
      <c r="B9" s="7" t="n">
        <f aca="false">33.5 * 10^-6</f>
        <v>3.35E-005</v>
      </c>
      <c r="C9" s="1" t="n">
        <f aca="false">12325312+5689440</f>
        <v>18014752</v>
      </c>
      <c r="D9" s="1" t="n">
        <f aca="false">I9*C9</f>
        <v>17547269.1856</v>
      </c>
      <c r="E9" s="1" t="n">
        <f aca="false">C9-D9</f>
        <v>467482.814400002</v>
      </c>
      <c r="F9" s="1" t="n">
        <f aca="false">47921</f>
        <v>47921</v>
      </c>
      <c r="G9" s="1" t="n">
        <f aca="false">145600</f>
        <v>145600</v>
      </c>
      <c r="H9" s="4" t="n">
        <f aca="false">F9/G9</f>
        <v>0.329127747252747</v>
      </c>
      <c r="I9" s="8" t="n">
        <f aca="false">((96.65+98.16)/2)/100</f>
        <v>0.97405</v>
      </c>
      <c r="J9" s="8" t="n">
        <f aca="false">E9/C9</f>
        <v>0.0259500000000001</v>
      </c>
      <c r="K9" s="5" t="n">
        <f aca="false">(G9*H9)/B9</f>
        <v>1430477611.9403</v>
      </c>
      <c r="L9" s="6" t="n">
        <f aca="false">1/B9</f>
        <v>29850.7462686567</v>
      </c>
    </row>
    <row r="10" customFormat="false" ht="12.8" hidden="false" customHeight="false" outlineLevel="0" collapsed="false">
      <c r="B10" s="7"/>
      <c r="H10" s="4"/>
    </row>
    <row r="11" customFormat="false" ht="12.8" hidden="false" customHeight="false" outlineLevel="0" collapsed="false">
      <c r="A11" s="10" t="s">
        <v>20</v>
      </c>
      <c r="B11" s="7"/>
      <c r="H11" s="4"/>
    </row>
    <row r="12" customFormat="false" ht="12.8" hidden="false" customHeight="false" outlineLevel="0" collapsed="false">
      <c r="A12" s="0" t="s">
        <v>21</v>
      </c>
      <c r="B12" s="7" t="n">
        <f aca="false">0.47961724</f>
        <v>0.47961724</v>
      </c>
      <c r="C12" s="1" t="n">
        <f aca="false">145196284</f>
        <v>145196284</v>
      </c>
      <c r="D12" s="1" t="n">
        <f aca="false">I12*C12</f>
        <v>123763318</v>
      </c>
      <c r="E12" s="1" t="n">
        <f aca="false">21432966</f>
        <v>21432966</v>
      </c>
      <c r="F12" s="1" t="n">
        <v>2191911809</v>
      </c>
      <c r="G12" s="1" t="n">
        <v>1254270051</v>
      </c>
      <c r="H12" s="4" t="n">
        <f aca="false">F12/G12</f>
        <v>1.74755971192363</v>
      </c>
      <c r="I12" s="8" t="n">
        <f aca="false">1-J12</f>
        <v>0.852386263549279</v>
      </c>
      <c r="J12" s="11" t="n">
        <f aca="false">E12/C12</f>
        <v>0.147613736450721</v>
      </c>
      <c r="K12" s="5" t="n">
        <f aca="false">(G12*H12)/B12</f>
        <v>4570127231.03949</v>
      </c>
      <c r="L12" s="6" t="n">
        <f aca="false">1/B12</f>
        <v>2.08499594384889</v>
      </c>
      <c r="M12" s="2" t="n">
        <f aca="false">(G12*H12*B12)/(G15*H15*B15)</f>
        <v>8606098.16962221</v>
      </c>
    </row>
    <row r="13" customFormat="false" ht="12.8" hidden="false" customHeight="false" outlineLevel="0" collapsed="false">
      <c r="A13" s="12" t="s">
        <v>22</v>
      </c>
      <c r="B13" s="7" t="n">
        <f aca="false">0.489513065</f>
        <v>0.489513065</v>
      </c>
      <c r="C13" s="1" t="n">
        <v>144760340</v>
      </c>
      <c r="D13" s="1" t="n">
        <f aca="false">I13*C13</f>
        <v>122948842</v>
      </c>
      <c r="E13" s="1" t="n">
        <f aca="false">21811498</f>
        <v>21811498</v>
      </c>
      <c r="F13" s="1" t="n">
        <f aca="false">2207959407</f>
        <v>2207959407</v>
      </c>
      <c r="G13" s="1" t="n">
        <f aca="false">1265609237</f>
        <v>1265609237</v>
      </c>
      <c r="H13" s="4" t="n">
        <f aca="false">F13/G13</f>
        <v>1.74458224738763</v>
      </c>
      <c r="I13" s="8" t="n">
        <f aca="false">1-J13</f>
        <v>0.849326839105241</v>
      </c>
      <c r="J13" s="11" t="n">
        <f aca="false">E13/C13</f>
        <v>0.150673160894759</v>
      </c>
      <c r="K13" s="5" t="n">
        <f aca="false">(G13*H13)/B13</f>
        <v>4510521914.26188</v>
      </c>
      <c r="L13" s="6" t="n">
        <f aca="false">1/B13</f>
        <v>2.04284639471267</v>
      </c>
      <c r="M13" s="2" t="n">
        <f aca="false">(G13*H13*B13)/(G16*H16*B16)</f>
        <v>8461585.17702217</v>
      </c>
    </row>
    <row r="14" customFormat="false" ht="12.8" hidden="false" customHeight="false" outlineLevel="0" collapsed="false">
      <c r="A14" s="12" t="s">
        <v>23</v>
      </c>
      <c r="B14" s="7" t="n">
        <f aca="false">0.500944054</f>
        <v>0.500944054</v>
      </c>
      <c r="C14" s="1" t="n">
        <f aca="false">150914558</f>
        <v>150914558</v>
      </c>
      <c r="D14" s="1" t="n">
        <f aca="false">I14*C14</f>
        <v>128094133</v>
      </c>
      <c r="E14" s="1" t="n">
        <f aca="false">22820425</f>
        <v>22820425</v>
      </c>
      <c r="F14" s="1" t="n">
        <f aca="false">2580434332</f>
        <v>2580434332</v>
      </c>
      <c r="G14" s="1" t="n">
        <f aca="false">1443392902</f>
        <v>1443392902</v>
      </c>
      <c r="H14" s="4" t="n">
        <f aca="false">F14/G14</f>
        <v>1.78775600768473</v>
      </c>
      <c r="I14" s="8" t="n">
        <f aca="false">1-J14</f>
        <v>0.848785794409576</v>
      </c>
      <c r="J14" s="11" t="n">
        <f aca="false">E14/C14</f>
        <v>0.151214205590424</v>
      </c>
      <c r="K14" s="5" t="n">
        <f aca="false">(G14*H14)/B14</f>
        <v>5151142750.16427</v>
      </c>
      <c r="L14" s="6" t="n">
        <f aca="false">1/B14</f>
        <v>1.99623090046698</v>
      </c>
      <c r="M14" s="2" t="n">
        <f aca="false">(G14*H14*B14)/(G17*H17*B17)</f>
        <v>10592077.6719282</v>
      </c>
    </row>
    <row r="15" customFormat="false" ht="12.8" hidden="false" customHeight="false" outlineLevel="0" collapsed="false">
      <c r="A15" s="12" t="s">
        <v>24</v>
      </c>
      <c r="B15" s="7" t="n">
        <f aca="false">284.86 * 10^-6</f>
        <v>0.00028486</v>
      </c>
      <c r="C15" s="1" t="n">
        <f aca="false">49945600+1606624</f>
        <v>51552224</v>
      </c>
      <c r="D15" s="1" t="n">
        <f aca="false">I15*C15</f>
        <v>29951842.144</v>
      </c>
      <c r="E15" s="1" t="n">
        <f aca="false">C15-D15</f>
        <v>21600381.856</v>
      </c>
      <c r="F15" s="1" t="n">
        <f aca="false">428825</f>
        <v>428825</v>
      </c>
      <c r="G15" s="1" t="n">
        <f aca="false">10436384</f>
        <v>10436384</v>
      </c>
      <c r="H15" s="4" t="n">
        <f aca="false">F15/G15</f>
        <v>0.0410894233098361</v>
      </c>
      <c r="I15" s="8" t="n">
        <f aca="false">((96.97+19.23)/2)/100</f>
        <v>0.581</v>
      </c>
      <c r="J15" s="11" t="n">
        <f aca="false">E15/C15</f>
        <v>0.419</v>
      </c>
      <c r="K15" s="5" t="n">
        <f aca="false">(G15*H15)/B15</f>
        <v>1505388611.94973</v>
      </c>
      <c r="L15" s="6" t="n">
        <f aca="false">1/B15</f>
        <v>3510.49638418872</v>
      </c>
    </row>
    <row r="16" customFormat="false" ht="12.8" hidden="false" customHeight="false" outlineLevel="0" collapsed="false">
      <c r="A16" s="12" t="s">
        <v>25</v>
      </c>
      <c r="B16" s="7" t="n">
        <f aca="false">298.18 * 10^-6</f>
        <v>0.00029818</v>
      </c>
      <c r="C16" s="1" t="n">
        <f aca="false">49945600+1596768</f>
        <v>51542368</v>
      </c>
      <c r="D16" s="1" t="n">
        <f aca="false">I16*C16</f>
        <v>30144553.9248</v>
      </c>
      <c r="E16" s="1" t="n">
        <f aca="false">C16-D16</f>
        <v>21397814.0752</v>
      </c>
      <c r="F16" s="1" t="n">
        <f aca="false">428376</f>
        <v>428376</v>
      </c>
      <c r="G16" s="1" t="n">
        <f aca="false">10436384</f>
        <v>10436384</v>
      </c>
      <c r="H16" s="4" t="n">
        <f aca="false">F16/G16</f>
        <v>0.0410464007456989</v>
      </c>
      <c r="I16" s="8" t="n">
        <f aca="false">((96.97+20)/2)/100</f>
        <v>0.58485</v>
      </c>
      <c r="J16" s="11" t="n">
        <f aca="false">E16/C16</f>
        <v>0.41515</v>
      </c>
      <c r="K16" s="5" t="n">
        <f aca="false">(G16*H16)/B16</f>
        <v>1436635589.2414</v>
      </c>
      <c r="L16" s="6" t="n">
        <f aca="false">1/B16</f>
        <v>3353.67898584747</v>
      </c>
    </row>
    <row r="17" customFormat="false" ht="12.8" hidden="false" customHeight="false" outlineLevel="0" collapsed="false">
      <c r="A17" s="12" t="s">
        <v>26</v>
      </c>
      <c r="B17" s="7" t="n">
        <f aca="false">284.61 * 10^-6</f>
        <v>0.00028461</v>
      </c>
      <c r="C17" s="1" t="n">
        <f aca="false">49944576+1582560</f>
        <v>51527136</v>
      </c>
      <c r="D17" s="1" t="n">
        <f aca="false">I17*C17</f>
        <v>30158832.7008</v>
      </c>
      <c r="E17" s="1" t="n">
        <f aca="false">C17-D17</f>
        <v>21368303.2992</v>
      </c>
      <c r="F17" s="1" t="n">
        <f aca="false">428796</f>
        <v>428796</v>
      </c>
      <c r="G17" s="1" t="n">
        <f aca="false">10436224</f>
        <v>10436224</v>
      </c>
      <c r="H17" s="4" t="n">
        <f aca="false">F17/G17</f>
        <v>0.0410872744778188</v>
      </c>
      <c r="I17" s="8" t="n">
        <f aca="false">((96.97+20.09)/2)/100</f>
        <v>0.5853</v>
      </c>
      <c r="J17" s="11" t="n">
        <f aca="false">E17/C17</f>
        <v>0.4147</v>
      </c>
      <c r="K17" s="5" t="n">
        <f aca="false">(G17*H17)/B17</f>
        <v>1506609043.95489</v>
      </c>
      <c r="L17" s="6" t="n">
        <f aca="false">1/B17</f>
        <v>3513.5799866484</v>
      </c>
    </row>
    <row r="18" customFormat="false" ht="12.8" hidden="false" customHeight="false" outlineLevel="0" collapsed="false">
      <c r="A18" s="0" t="s">
        <v>27</v>
      </c>
      <c r="B18" s="7" t="n">
        <f aca="false">0.355081444</f>
        <v>0.355081444</v>
      </c>
      <c r="C18" s="1" t="n">
        <f aca="false">128966044</f>
        <v>128966044</v>
      </c>
      <c r="D18" s="1" t="n">
        <f aca="false">I18*C18</f>
        <v>109598763</v>
      </c>
      <c r="E18" s="1" t="n">
        <f aca="false">19367281</f>
        <v>19367281</v>
      </c>
      <c r="F18" s="1" t="n">
        <f aca="false">2212307206</f>
        <v>2212307206</v>
      </c>
      <c r="G18" s="1" t="n">
        <f aca="false">1315027279</f>
        <v>1315027279</v>
      </c>
      <c r="H18" s="4" t="n">
        <f aca="false">F18/G18</f>
        <v>1.68232799526587</v>
      </c>
      <c r="I18" s="8" t="n">
        <f aca="false">1-J18</f>
        <v>0.849826509371723</v>
      </c>
      <c r="J18" s="11" t="n">
        <f aca="false">E18/C18</f>
        <v>0.150173490628277</v>
      </c>
      <c r="K18" s="5" t="n">
        <f aca="false">(G18*H18)/B18</f>
        <v>6230421902.86913</v>
      </c>
      <c r="L18" s="6" t="n">
        <f aca="false">1/B18</f>
        <v>2.81625530395218</v>
      </c>
      <c r="M18" s="2" t="n">
        <f aca="false">(G18*H18*B18)/(G21*H21*B21)</f>
        <v>280455.155749384</v>
      </c>
    </row>
    <row r="19" customFormat="false" ht="12.8" hidden="false" customHeight="false" outlineLevel="0" collapsed="false">
      <c r="A19" s="12" t="s">
        <v>28</v>
      </c>
      <c r="B19" s="7" t="n">
        <f aca="false">0.355889822</f>
        <v>0.355889822</v>
      </c>
      <c r="C19" s="1" t="n">
        <f aca="false">128499560</f>
        <v>128499560</v>
      </c>
      <c r="D19" s="1" t="n">
        <f aca="false">I19*C19</f>
        <v>109623106</v>
      </c>
      <c r="E19" s="1" t="n">
        <f aca="false">18876454</f>
        <v>18876454</v>
      </c>
      <c r="F19" s="1" t="n">
        <f aca="false">2461207531</f>
        <v>2461207531</v>
      </c>
      <c r="G19" s="1" t="n">
        <f aca="false">1457427093</f>
        <v>1457427093</v>
      </c>
      <c r="H19" s="4" t="n">
        <f aca="false">F19/G19</f>
        <v>1.68873458083848</v>
      </c>
      <c r="I19" s="8" t="n">
        <f aca="false">1-J19</f>
        <v>0.853101022291438</v>
      </c>
      <c r="J19" s="11" t="n">
        <f aca="false">E19/C19</f>
        <v>0.146898977708562</v>
      </c>
      <c r="K19" s="5" t="n">
        <f aca="false">(G19*H19)/B19</f>
        <v>6915644614.86623</v>
      </c>
      <c r="L19" s="6" t="n">
        <f aca="false">1/B19</f>
        <v>2.80985838364324</v>
      </c>
      <c r="M19" s="2" t="n">
        <f aca="false">(G19*H19*B19)/(G22*H22*B22)</f>
        <v>312984.925144441</v>
      </c>
    </row>
    <row r="20" customFormat="false" ht="12.8" hidden="false" customHeight="false" outlineLevel="0" collapsed="false">
      <c r="A20" s="12" t="s">
        <v>29</v>
      </c>
      <c r="B20" s="7" t="n">
        <f aca="false">0.362957116</f>
        <v>0.362957116</v>
      </c>
      <c r="C20" s="1" t="n">
        <f aca="false">133337901</f>
        <v>133337901</v>
      </c>
      <c r="D20" s="1" t="n">
        <f aca="false">I20*C20</f>
        <v>113705408</v>
      </c>
      <c r="E20" s="1" t="n">
        <f aca="false">19632493</f>
        <v>19632493</v>
      </c>
      <c r="F20" s="1" t="n">
        <f aca="false">2286949095</f>
        <v>2286949095</v>
      </c>
      <c r="G20" s="1" t="n">
        <f aca="false">1296332830</f>
        <v>1296332830</v>
      </c>
      <c r="H20" s="4" t="n">
        <f aca="false">F20/G20</f>
        <v>1.76416815348262</v>
      </c>
      <c r="I20" s="8" t="n">
        <f aca="false">1-J20</f>
        <v>0.852761346528171</v>
      </c>
      <c r="J20" s="11" t="n">
        <f aca="false">E20/C20</f>
        <v>0.147238653471829</v>
      </c>
      <c r="K20" s="5" t="n">
        <f aca="false">(G20*H20)/B20</f>
        <v>6300879619.61875</v>
      </c>
      <c r="L20" s="6" t="n">
        <f aca="false">1/B20</f>
        <v>2.75514642341383</v>
      </c>
      <c r="M20" s="2" t="n">
        <f aca="false">(G20*H20*B20)/(G23*H23*B23)</f>
        <v>296671.125189787</v>
      </c>
    </row>
    <row r="21" customFormat="false" ht="12.8" hidden="false" customHeight="false" outlineLevel="0" collapsed="false">
      <c r="A21" s="12" t="s">
        <v>30</v>
      </c>
      <c r="B21" s="7" t="n">
        <f aca="false">1.36 * 10^-3</f>
        <v>0.00136</v>
      </c>
      <c r="C21" s="1" t="n">
        <f aca="false">3840000+122688</f>
        <v>3962688</v>
      </c>
      <c r="D21" s="1" t="n">
        <f aca="false">I21*C21</f>
        <v>2001751.8432</v>
      </c>
      <c r="E21" s="1" t="n">
        <f aca="false">C21-D21</f>
        <v>1960936.1568</v>
      </c>
      <c r="F21" s="1" t="n">
        <f aca="false">2059544</f>
        <v>2059544</v>
      </c>
      <c r="G21" s="1" t="n">
        <f aca="false">40578330</f>
        <v>40578330</v>
      </c>
      <c r="H21" s="4" t="n">
        <f aca="false">F21/G21</f>
        <v>0.0507547747775722</v>
      </c>
      <c r="I21" s="8" t="n">
        <f aca="false">((96.88+4.15)/2)/100</f>
        <v>0.50515</v>
      </c>
      <c r="J21" s="11" t="n">
        <f aca="false">E21/C21</f>
        <v>0.49485</v>
      </c>
      <c r="K21" s="5" t="n">
        <f aca="false">(G21*H21)/B21</f>
        <v>1514370588.23529</v>
      </c>
      <c r="L21" s="6" t="n">
        <f aca="false">1/B21</f>
        <v>735.294117647059</v>
      </c>
    </row>
    <row r="22" customFormat="false" ht="12.8" hidden="false" customHeight="false" outlineLevel="0" collapsed="false">
      <c r="A22" s="12" t="s">
        <v>31</v>
      </c>
      <c r="B22" s="7" t="n">
        <f aca="false">1.36 *10^-3</f>
        <v>0.00136</v>
      </c>
      <c r="C22" s="1" t="n">
        <f aca="false">3840000+1097152</f>
        <v>4937152</v>
      </c>
      <c r="D22" s="1" t="n">
        <f aca="false">I22*C22</f>
        <v>2520662.9536</v>
      </c>
      <c r="E22" s="1" t="n">
        <f aca="false">C22-D22</f>
        <v>2416489.0464</v>
      </c>
      <c r="F22" s="1" t="n">
        <f aca="false">2057792</f>
        <v>2057792</v>
      </c>
      <c r="G22" s="1" t="n">
        <f aca="false">40578326</f>
        <v>40578326</v>
      </c>
      <c r="H22" s="4" t="n">
        <f aca="false">F22/G22</f>
        <v>0.0507116040223049</v>
      </c>
      <c r="I22" s="8" t="n">
        <f aca="false">((96.88+5.23)/2)/100</f>
        <v>0.51055</v>
      </c>
      <c r="J22" s="11" t="n">
        <f aca="false">E22/C22</f>
        <v>0.48945</v>
      </c>
      <c r="K22" s="5" t="n">
        <f aca="false">(G22*H22)/B22</f>
        <v>1513082352.94118</v>
      </c>
      <c r="L22" s="6" t="n">
        <f aca="false">1/B22</f>
        <v>735.294117647059</v>
      </c>
    </row>
    <row r="23" customFormat="false" ht="12.8" hidden="false" customHeight="false" outlineLevel="0" collapsed="false">
      <c r="A23" s="12" t="s">
        <v>32</v>
      </c>
      <c r="B23" s="7" t="n">
        <f aca="false">1.36 *10^-3</f>
        <v>0.00136</v>
      </c>
      <c r="C23" s="1" t="n">
        <f aca="false">3840000+139008</f>
        <v>3979008</v>
      </c>
      <c r="D23" s="1" t="n">
        <f aca="false">I23*C23</f>
        <v>2794855.2192</v>
      </c>
      <c r="E23" s="1" t="n">
        <f aca="false">C23-D23</f>
        <v>1184152.7808</v>
      </c>
      <c r="F23" s="1" t="n">
        <f aca="false">2057300</f>
        <v>2057300</v>
      </c>
      <c r="G23" s="1" t="n">
        <f aca="false">40578318</f>
        <v>40578318</v>
      </c>
      <c r="H23" s="4" t="n">
        <f aca="false">F23/G23</f>
        <v>0.0506994893184089</v>
      </c>
      <c r="I23" s="8" t="n">
        <f aca="false">((96.88+43.6)/2)/100</f>
        <v>0.7024</v>
      </c>
      <c r="J23" s="11" t="n">
        <f aca="false">E23/C23</f>
        <v>0.2976</v>
      </c>
      <c r="K23" s="5" t="n">
        <f aca="false">(G23*H23)/B23</f>
        <v>1512720588.23529</v>
      </c>
      <c r="L23" s="6" t="n">
        <f aca="false">1/B23</f>
        <v>735.294117647059</v>
      </c>
    </row>
    <row r="24" customFormat="false" ht="12.8" hidden="false" customHeight="false" outlineLevel="0" collapsed="false">
      <c r="A24" s="0" t="s">
        <v>33</v>
      </c>
      <c r="B24" s="7" t="n">
        <f aca="false">0.001253731</f>
        <v>0.001253731</v>
      </c>
      <c r="C24" s="1" t="n">
        <f aca="false">137048</f>
        <v>137048</v>
      </c>
      <c r="D24" s="1" t="n">
        <f aca="false">I24*C24</f>
        <v>106428</v>
      </c>
      <c r="E24" s="1" t="n">
        <f aca="false">30620</f>
        <v>30620</v>
      </c>
      <c r="F24" s="1" t="n">
        <f aca="false">1537558</f>
        <v>1537558</v>
      </c>
      <c r="G24" s="1" t="n">
        <f aca="false">2325473</f>
        <v>2325473</v>
      </c>
      <c r="H24" s="4" t="n">
        <f aca="false">F24/G24</f>
        <v>0.661180757635113</v>
      </c>
      <c r="I24" s="8" t="n">
        <f aca="false">1-J24</f>
        <v>0.776574630786294</v>
      </c>
      <c r="J24" s="11" t="n">
        <f aca="false">E24/C24</f>
        <v>0.223425369213706</v>
      </c>
      <c r="K24" s="5" t="n">
        <f aca="false">(G24*H24)/B24</f>
        <v>1226385883.41518</v>
      </c>
      <c r="L24" s="6" t="n">
        <f aca="false">1/B24</f>
        <v>797.619266014799</v>
      </c>
      <c r="M24" s="2" t="n">
        <f aca="false">(G24*H24*B24)/(G27*H27*B27)</f>
        <v>0.226624472914537</v>
      </c>
    </row>
    <row r="25" customFormat="false" ht="12.8" hidden="false" customHeight="false" outlineLevel="0" collapsed="false">
      <c r="A25" s="12" t="s">
        <v>34</v>
      </c>
      <c r="B25" s="7" t="n">
        <f aca="false">0.001392853</f>
        <v>0.001392853</v>
      </c>
      <c r="C25" s="1" t="n">
        <f aca="false">135364</f>
        <v>135364</v>
      </c>
      <c r="D25" s="1" t="n">
        <f aca="false">I25*C25</f>
        <v>108760</v>
      </c>
      <c r="E25" s="1" t="n">
        <f aca="false">26604</f>
        <v>26604</v>
      </c>
      <c r="F25" s="1" t="n">
        <f aca="false">1755366</f>
        <v>1755366</v>
      </c>
      <c r="G25" s="1" t="n">
        <f aca="false">2267232</f>
        <v>2267232</v>
      </c>
      <c r="H25" s="4" t="n">
        <f aca="false">F25/G25</f>
        <v>0.7742330736334</v>
      </c>
      <c r="I25" s="8" t="n">
        <f aca="false">1-J25</f>
        <v>0.803463254631955</v>
      </c>
      <c r="J25" s="11" t="n">
        <f aca="false">E25/C25</f>
        <v>0.196536745368045</v>
      </c>
      <c r="K25" s="5" t="n">
        <f aca="false">(G25*H25)/B25</f>
        <v>1260266517.7158</v>
      </c>
      <c r="L25" s="6" t="n">
        <f aca="false">1/B25</f>
        <v>717.950853392282</v>
      </c>
      <c r="M25" s="2" t="n">
        <f aca="false">(G25*H25*B25)/(G28*H28*B28)</f>
        <v>0.289355727528239</v>
      </c>
    </row>
    <row r="26" customFormat="false" ht="12.8" hidden="false" customHeight="false" outlineLevel="0" collapsed="false">
      <c r="A26" s="12" t="s">
        <v>35</v>
      </c>
      <c r="B26" s="7" t="n">
        <f aca="false">0.00122141</f>
        <v>0.00122141</v>
      </c>
      <c r="C26" s="1" t="n">
        <f aca="false">138396</f>
        <v>138396</v>
      </c>
      <c r="D26" s="1" t="n">
        <f aca="false">I26*C26</f>
        <v>107670</v>
      </c>
      <c r="E26" s="1" t="n">
        <f aca="false">30726</f>
        <v>30726</v>
      </c>
      <c r="F26" s="1" t="n">
        <f aca="false">1535863</f>
        <v>1535863</v>
      </c>
      <c r="G26" s="1" t="n">
        <f aca="false">2216313</f>
        <v>2216313</v>
      </c>
      <c r="H26" s="4" t="n">
        <f aca="false">F26/G26</f>
        <v>0.692981090667248</v>
      </c>
      <c r="I26" s="8" t="n">
        <f aca="false">1-J26</f>
        <v>0.777984912858753</v>
      </c>
      <c r="J26" s="11" t="n">
        <f aca="false">E26/C26</f>
        <v>0.222015087141247</v>
      </c>
      <c r="K26" s="5" t="n">
        <f aca="false">(G26*H26)/B26</f>
        <v>1257450815.04163</v>
      </c>
      <c r="L26" s="6" t="n">
        <f aca="false">1/B26</f>
        <v>818.725898756355</v>
      </c>
      <c r="M26" s="2" t="n">
        <f aca="false">(G26*H26*B26)/(G29*H29*B29)</f>
        <v>0.220532531802147</v>
      </c>
    </row>
    <row r="27" customFormat="false" ht="12.8" hidden="false" customHeight="false" outlineLevel="0" collapsed="false">
      <c r="A27" s="12" t="s">
        <v>36</v>
      </c>
      <c r="B27" s="7" t="n">
        <f aca="false">2.37 *10^-3</f>
        <v>0.00237</v>
      </c>
      <c r="C27" s="1" t="n">
        <f aca="false">4057600+1645888</f>
        <v>5703488</v>
      </c>
      <c r="D27" s="1" t="n">
        <f aca="false">I27*C27</f>
        <v>4504899.9968</v>
      </c>
      <c r="E27" s="1" t="n">
        <f aca="false">C27-D27</f>
        <v>1198588.0032</v>
      </c>
      <c r="F27" s="1" t="n">
        <f aca="false">3589060</f>
        <v>3589060</v>
      </c>
      <c r="G27" s="1" t="n">
        <f aca="false">416066</f>
        <v>416066</v>
      </c>
      <c r="H27" s="4" t="n">
        <f aca="false">F27/G27</f>
        <v>8.62617950036773</v>
      </c>
      <c r="I27" s="8" t="n">
        <f aca="false">((59.42+98.55)/2)/100</f>
        <v>0.78985</v>
      </c>
      <c r="J27" s="11" t="n">
        <f aca="false">E27/C27</f>
        <v>0.21015</v>
      </c>
      <c r="K27" s="5" t="n">
        <f aca="false">(G27*H27)/B27</f>
        <v>1514371308.01688</v>
      </c>
      <c r="L27" s="6" t="n">
        <f aca="false">1/B27</f>
        <v>421.940928270042</v>
      </c>
    </row>
    <row r="28" customFormat="false" ht="12.8" hidden="false" customHeight="false" outlineLevel="0" collapsed="false">
      <c r="A28" s="12" t="s">
        <v>37</v>
      </c>
      <c r="B28" s="7" t="n">
        <f aca="false">2.36 * 10^-3</f>
        <v>0.00236</v>
      </c>
      <c r="C28" s="1" t="n">
        <f aca="false">4056064+3010528</f>
        <v>7066592</v>
      </c>
      <c r="D28" s="1" t="n">
        <f aca="false">I28*C28</f>
        <v>4049510.5456</v>
      </c>
      <c r="E28" s="1" t="n">
        <f aca="false">C28-D28</f>
        <v>3017081.4544</v>
      </c>
      <c r="F28" s="1" t="n">
        <f aca="false">3580378</f>
        <v>3580378</v>
      </c>
      <c r="G28" s="1" t="n">
        <f aca="false">416066</f>
        <v>416066</v>
      </c>
      <c r="H28" s="4" t="n">
        <f aca="false">F28/G28</f>
        <v>8.60531261867108</v>
      </c>
      <c r="I28" s="8" t="n">
        <f aca="false">((59.41+55.2)/2)/100</f>
        <v>0.57305</v>
      </c>
      <c r="J28" s="11" t="n">
        <f aca="false">E28/C28</f>
        <v>0.42695</v>
      </c>
      <c r="K28" s="5" t="n">
        <f aca="false">(G28*H28)/B28</f>
        <v>1517109322.0339</v>
      </c>
      <c r="L28" s="6" t="n">
        <f aca="false">1/B28</f>
        <v>423.728813559322</v>
      </c>
    </row>
    <row r="29" customFormat="false" ht="12.8" hidden="false" customHeight="false" outlineLevel="0" collapsed="false">
      <c r="A29" s="12" t="s">
        <v>38</v>
      </c>
      <c r="B29" s="7" t="n">
        <f aca="false">2.37 *10^-3</f>
        <v>0.00237</v>
      </c>
      <c r="C29" s="1" t="n">
        <f aca="false">4056832+3570592+6547008</f>
        <v>14174432</v>
      </c>
      <c r="D29" s="1" t="n">
        <f aca="false">I29*C29</f>
        <v>7509614.0736</v>
      </c>
      <c r="E29" s="1" t="n">
        <f aca="false">C29-D29</f>
        <v>6664817.9264</v>
      </c>
      <c r="F29" s="1" t="n">
        <f aca="false">3589161</f>
        <v>3589161</v>
      </c>
      <c r="G29" s="1" t="n">
        <f aca="false">416066</f>
        <v>416066</v>
      </c>
      <c r="H29" s="4" t="n">
        <f aca="false">F29/G29</f>
        <v>8.62642225031606</v>
      </c>
      <c r="I29" s="8" t="n">
        <f aca="false">((59.41+46.55)/2)/100</f>
        <v>0.5298</v>
      </c>
      <c r="J29" s="11" t="n">
        <f aca="false">E29/C29</f>
        <v>0.4702</v>
      </c>
      <c r="K29" s="5" t="n">
        <f aca="false">(G29*H29)/B29</f>
        <v>1514413924.05063</v>
      </c>
      <c r="L29" s="6" t="n">
        <f aca="false">1/B29</f>
        <v>421.940928270042</v>
      </c>
    </row>
    <row r="30" customFormat="false" ht="12.8" hidden="false" customHeight="false" outlineLevel="0" collapsed="false">
      <c r="A30" s="0" t="s">
        <v>39</v>
      </c>
      <c r="B30" s="7" t="n">
        <f aca="false">0.028465229</f>
        <v>0.028465229</v>
      </c>
      <c r="C30" s="1" t="n">
        <f aca="false">5120358</f>
        <v>5120358</v>
      </c>
      <c r="D30" s="1" t="n">
        <f aca="false">I30*C30</f>
        <v>4660332</v>
      </c>
      <c r="E30" s="1" t="n">
        <f aca="false">460026</f>
        <v>460026</v>
      </c>
      <c r="F30" s="1" t="n">
        <f aca="false">427755456</f>
        <v>427755456</v>
      </c>
      <c r="G30" s="1" t="n">
        <f aca="false">402974017</f>
        <v>402974017</v>
      </c>
      <c r="H30" s="4" t="n">
        <f aca="false">F30/G30</f>
        <v>1.06149636938006</v>
      </c>
      <c r="I30" s="8" t="n">
        <f aca="false">1-J30</f>
        <v>0.910157453834283</v>
      </c>
      <c r="J30" s="11" t="n">
        <f aca="false">E30/C30</f>
        <v>0.0898425461657173</v>
      </c>
      <c r="K30" s="5" t="n">
        <f aca="false">(G30*H30)/B30</f>
        <v>15027297198.2765</v>
      </c>
      <c r="L30" s="6" t="n">
        <f aca="false">1/B30</f>
        <v>35.1305798383003</v>
      </c>
      <c r="M30" s="2" t="n">
        <f aca="false">(G30*H30*B30)/(G33*H33*B33)</f>
        <v>7448599.82507237</v>
      </c>
    </row>
    <row r="31" customFormat="false" ht="12.8" hidden="false" customHeight="false" outlineLevel="0" collapsed="false">
      <c r="A31" s="12" t="s">
        <v>40</v>
      </c>
      <c r="B31" s="7" t="n">
        <f aca="false">0.02296446</f>
        <v>0.02296446</v>
      </c>
      <c r="C31" s="1" t="n">
        <f aca="false">5646446</f>
        <v>5646446</v>
      </c>
      <c r="D31" s="1" t="n">
        <f aca="false">I31*C31</f>
        <v>5406564</v>
      </c>
      <c r="E31" s="1" t="n">
        <f aca="false">239882</f>
        <v>239882</v>
      </c>
      <c r="F31" s="1" t="n">
        <f aca="false">324215249</f>
        <v>324215249</v>
      </c>
      <c r="G31" s="1" t="n">
        <f aca="false">421246385</f>
        <v>421246385</v>
      </c>
      <c r="H31" s="4" t="n">
        <f aca="false">F31/G31</f>
        <v>0.769657047620717</v>
      </c>
      <c r="I31" s="8" t="n">
        <f aca="false">1-J31</f>
        <v>0.957516285465229</v>
      </c>
      <c r="J31" s="11" t="n">
        <f aca="false">E31/C31</f>
        <v>0.0424837145347711</v>
      </c>
      <c r="K31" s="5" t="n">
        <f aca="false">(G31*H31)/B31</f>
        <v>14118130755.0885</v>
      </c>
      <c r="L31" s="6" t="n">
        <f aca="false">1/B31</f>
        <v>43.5455482079701</v>
      </c>
      <c r="M31" s="2" t="n">
        <f aca="false">(G31*H31*B31)/(G34*H34*B34)</f>
        <v>4679309.10209262</v>
      </c>
    </row>
    <row r="32" customFormat="false" ht="12.8" hidden="false" customHeight="false" outlineLevel="0" collapsed="false">
      <c r="A32" s="12" t="s">
        <v>41</v>
      </c>
      <c r="B32" s="7" t="n">
        <f aca="false">0.019595319</f>
        <v>0.019595319</v>
      </c>
      <c r="C32" s="1" t="n">
        <f aca="false">5640800</f>
        <v>5640800</v>
      </c>
      <c r="D32" s="1" t="n">
        <f aca="false">I32*C32</f>
        <v>5393101</v>
      </c>
      <c r="E32" s="1" t="n">
        <f aca="false">247699</f>
        <v>247699</v>
      </c>
      <c r="F32" s="1" t="n">
        <f aca="false">318515055</f>
        <v>318515055</v>
      </c>
      <c r="G32" s="1" t="n">
        <f aca="false">415706569</f>
        <v>415706569</v>
      </c>
      <c r="H32" s="4" t="n">
        <f aca="false">F32/G32</f>
        <v>0.766201640176631</v>
      </c>
      <c r="I32" s="8" t="n">
        <f aca="false">1-J32</f>
        <v>0.956087966245923</v>
      </c>
      <c r="J32" s="11" t="n">
        <f aca="false">E32/C32</f>
        <v>0.0439120337540774</v>
      </c>
      <c r="K32" s="5" t="n">
        <f aca="false">(G32*H32)/B32</f>
        <v>16254650153.9475</v>
      </c>
      <c r="L32" s="6" t="n">
        <f aca="false">1/B32</f>
        <v>51.0325961011403</v>
      </c>
      <c r="M32" s="2" t="n">
        <f aca="false">(G32*H32*B32)/(G35*H35*B35)</f>
        <v>4029654.75631015</v>
      </c>
    </row>
    <row r="33" customFormat="false" ht="12.8" hidden="false" customHeight="false" outlineLevel="0" collapsed="false">
      <c r="A33" s="12" t="s">
        <v>42</v>
      </c>
      <c r="B33" s="7" t="n">
        <f aca="false">33.73 *10^-6</f>
        <v>3.373E-005</v>
      </c>
      <c r="C33" s="1" t="n">
        <f aca="false">12325280+5717216</f>
        <v>18042496</v>
      </c>
      <c r="D33" s="1" t="n">
        <f aca="false">I33*C33</f>
        <v>17505731.744</v>
      </c>
      <c r="E33" s="1" t="n">
        <f aca="false">C33-D33</f>
        <v>536764.255999997</v>
      </c>
      <c r="F33" s="1" t="n">
        <f aca="false">48464</f>
        <v>48464</v>
      </c>
      <c r="G33" s="1" t="n">
        <f aca="false">145600</f>
        <v>145600</v>
      </c>
      <c r="H33" s="4" t="n">
        <f aca="false">F33/G33</f>
        <v>0.332857142857143</v>
      </c>
      <c r="I33" s="8" t="n">
        <f aca="false">((96.65+97.4)/2)/100</f>
        <v>0.97025</v>
      </c>
      <c r="J33" s="11" t="n">
        <f aca="false">E33/C33</f>
        <v>0.0297499999999998</v>
      </c>
      <c r="K33" s="5" t="n">
        <f aca="false">(G33*H33)/B33</f>
        <v>1436821820.33798</v>
      </c>
      <c r="L33" s="6" t="n">
        <f aca="false">1/B33</f>
        <v>29647.1983397569</v>
      </c>
    </row>
    <row r="34" customFormat="false" ht="12.8" hidden="false" customHeight="false" outlineLevel="0" collapsed="false">
      <c r="A34" s="12" t="s">
        <v>43</v>
      </c>
      <c r="B34" s="7" t="n">
        <f aca="false">33.22*10^-6</f>
        <v>3.322E-005</v>
      </c>
      <c r="C34" s="1" t="n">
        <f aca="false">12325216+5674080+197632</f>
        <v>18196928</v>
      </c>
      <c r="D34" s="1" t="n">
        <f aca="false">I34*C34</f>
        <v>17730176.7968</v>
      </c>
      <c r="E34" s="1" t="n">
        <f aca="false">C34-D34</f>
        <v>466751.203199998</v>
      </c>
      <c r="F34" s="1" t="n">
        <f aca="false">47897</f>
        <v>47897</v>
      </c>
      <c r="G34" s="1" t="n">
        <f aca="false">145600</f>
        <v>145600</v>
      </c>
      <c r="H34" s="4" t="n">
        <f aca="false">F34/G34</f>
        <v>0.328962912087912</v>
      </c>
      <c r="I34" s="8" t="n">
        <f aca="false">((96.65+98.22)/2)/100</f>
        <v>0.97435</v>
      </c>
      <c r="J34" s="11" t="n">
        <f aca="false">E34/C34</f>
        <v>0.0256499999999999</v>
      </c>
      <c r="K34" s="5" t="n">
        <f aca="false">(G34*H34)/B34</f>
        <v>1441812161.34859</v>
      </c>
      <c r="L34" s="6" t="n">
        <f aca="false">1/B34</f>
        <v>30102.3479831427</v>
      </c>
    </row>
    <row r="35" customFormat="false" ht="12.8" hidden="false" customHeight="false" outlineLevel="0" collapsed="false">
      <c r="A35" s="12" t="s">
        <v>44</v>
      </c>
      <c r="B35" s="7" t="n">
        <f aca="false">32.7 *10^-6</f>
        <v>3.27E-005</v>
      </c>
      <c r="C35" s="1" t="n">
        <f aca="false">12324768+5675328+167648</f>
        <v>18167744</v>
      </c>
      <c r="D35" s="1" t="n">
        <f aca="false">I35*C35</f>
        <v>17715367.1744</v>
      </c>
      <c r="E35" s="1" t="n">
        <f aca="false">C35-D35</f>
        <v>452376.825599998</v>
      </c>
      <c r="F35" s="1" t="n">
        <f aca="false">47366</f>
        <v>47366</v>
      </c>
      <c r="G35" s="1" t="n">
        <f aca="false">145600</f>
        <v>145600</v>
      </c>
      <c r="H35" s="4" t="n">
        <f aca="false">F35/G35</f>
        <v>0.325315934065934</v>
      </c>
      <c r="I35" s="8" t="n">
        <f aca="false">((96.65+98.37)/2)/100</f>
        <v>0.9751</v>
      </c>
      <c r="J35" s="11" t="n">
        <f aca="false">E35/C35</f>
        <v>0.0248999999999999</v>
      </c>
      <c r="K35" s="5" t="n">
        <f aca="false">(G35*H35)/B35</f>
        <v>1448501529.05199</v>
      </c>
      <c r="L35" s="6" t="n">
        <f aca="false">1/B35</f>
        <v>30581.0397553517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2021-04-22T23:28:32Z</dcterms:created>
  <dc:creator/>
  <dc:description/>
  <dc:language>en-US</dc:language>
  <cp:lastModifiedBy/>
  <dcterms:modified xsi:type="dcterms:W3CDTF">2021-04-30T14:34:27Z</dcterms:modified>
  <cp:revision>33</cp:revision>
  <dc:subject/>
  <dc:title/>
</cp:coreProperties>
</file>