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參考解答\"/>
    </mc:Choice>
  </mc:AlternateContent>
  <bookViews>
    <workbookView xWindow="480" yWindow="120" windowWidth="11370" windowHeight="6195"/>
  </bookViews>
  <sheets>
    <sheet name="DATE" sheetId="1" r:id="rId1"/>
    <sheet name="DATEDIF" sheetId="7" r:id="rId2"/>
    <sheet name="DAY" sheetId="2" r:id="rId3"/>
    <sheet name="EDATE" sheetId="3" r:id="rId4"/>
    <sheet name="時分秒" sheetId="4" r:id="rId5"/>
    <sheet name="week" sheetId="5" r:id="rId6"/>
    <sheet name="日期摘要" sheetId="6" r:id="rId7"/>
  </sheets>
  <definedNames>
    <definedName name="假日">EDATE!$B$4:$E$6</definedName>
    <definedName name="檢定成績">#REF!</definedName>
  </definedNames>
  <calcPr calcId="152511"/>
</workbook>
</file>

<file path=xl/calcChain.xml><?xml version="1.0" encoding="utf-8"?>
<calcChain xmlns="http://schemas.openxmlformats.org/spreadsheetml/2006/main">
  <c r="M8" i="2" l="1"/>
  <c r="M7" i="2"/>
  <c r="L6" i="2"/>
  <c r="M6" i="2" s="1"/>
  <c r="M5" i="2"/>
  <c r="P4" i="2"/>
  <c r="M4" i="2"/>
  <c r="P3" i="2"/>
  <c r="M3" i="2"/>
  <c r="P2" i="2"/>
  <c r="M2" i="2"/>
  <c r="A18" i="7" l="1"/>
  <c r="B23" i="7"/>
  <c r="B22" i="7"/>
  <c r="B21" i="7"/>
  <c r="B20" i="7"/>
  <c r="D4" i="7"/>
  <c r="D5" i="7"/>
  <c r="D6" i="7"/>
  <c r="D7" i="7"/>
  <c r="D8" i="7"/>
  <c r="D9" i="7"/>
  <c r="D10" i="7"/>
  <c r="D11" i="7"/>
  <c r="D12" i="7"/>
  <c r="D13" i="7"/>
  <c r="F2" i="1"/>
  <c r="B1" i="6"/>
  <c r="A2" i="6"/>
  <c r="A3" i="6"/>
  <c r="A4" i="6"/>
  <c r="A5" i="6"/>
  <c r="A6" i="6"/>
  <c r="A7" i="6"/>
  <c r="A8" i="6"/>
  <c r="B2" i="5"/>
  <c r="B10" i="5" s="1"/>
  <c r="B7" i="5"/>
  <c r="C2" i="5"/>
  <c r="D2" i="5"/>
  <c r="E2" i="5"/>
  <c r="B22" i="3"/>
  <c r="D9" i="2"/>
  <c r="D10" i="2"/>
  <c r="B4" i="2"/>
  <c r="C20" i="1"/>
  <c r="H14" i="5"/>
  <c r="H17" i="5"/>
  <c r="H18" i="5"/>
  <c r="H15" i="5"/>
  <c r="H16" i="5"/>
  <c r="D15" i="5"/>
  <c r="D16" i="5"/>
  <c r="C15" i="5"/>
  <c r="C16" i="5"/>
  <c r="B15" i="5"/>
  <c r="B16" i="5"/>
  <c r="F9" i="3"/>
  <c r="H9" i="3"/>
  <c r="I9" i="3"/>
  <c r="C3" i="5"/>
  <c r="F2" i="5"/>
  <c r="G2" i="5"/>
  <c r="H2" i="5"/>
  <c r="D3" i="5"/>
  <c r="E3" i="5"/>
  <c r="F3" i="5"/>
  <c r="G3" i="5"/>
  <c r="H3" i="5"/>
  <c r="B3" i="5"/>
  <c r="B8" i="5"/>
  <c r="C6" i="5"/>
  <c r="D6" i="5"/>
  <c r="E6" i="5"/>
  <c r="F6" i="5"/>
  <c r="G6" i="5"/>
  <c r="H6" i="5"/>
  <c r="C5" i="5"/>
  <c r="D5" i="5"/>
  <c r="E5" i="5"/>
  <c r="F5" i="5"/>
  <c r="G5" i="5"/>
  <c r="H5" i="5"/>
  <c r="C4" i="5"/>
  <c r="D4" i="5"/>
  <c r="E4" i="5"/>
  <c r="F4" i="5"/>
  <c r="G4" i="5"/>
  <c r="H4" i="5"/>
  <c r="B6" i="5"/>
  <c r="B5" i="5"/>
  <c r="B4" i="5"/>
  <c r="D20" i="3"/>
  <c r="F23" i="3"/>
  <c r="D19" i="3"/>
  <c r="D18" i="3"/>
  <c r="D17" i="3"/>
  <c r="E27" i="4"/>
  <c r="D16" i="4"/>
  <c r="E16" i="4"/>
  <c r="D14" i="4"/>
  <c r="D15" i="4"/>
  <c r="E15" i="4"/>
  <c r="E14" i="4"/>
  <c r="H17" i="3"/>
  <c r="H18" i="3"/>
  <c r="H19" i="3"/>
  <c r="H20" i="3"/>
  <c r="H16" i="3"/>
  <c r="K17" i="3"/>
  <c r="K16" i="3"/>
  <c r="E13" i="3"/>
  <c r="D6" i="4"/>
  <c r="E6" i="4"/>
  <c r="D7" i="4"/>
  <c r="E7" i="4"/>
  <c r="D8" i="4"/>
  <c r="E8" i="4"/>
  <c r="D9" i="4"/>
  <c r="E9" i="4"/>
  <c r="D5" i="4"/>
  <c r="E5" i="4"/>
  <c r="F11" i="3"/>
  <c r="H11" i="3"/>
  <c r="I11" i="3"/>
  <c r="F10" i="3"/>
  <c r="H10" i="3"/>
  <c r="I10" i="3"/>
  <c r="D6" i="2"/>
  <c r="E6" i="2"/>
  <c r="F6" i="2"/>
  <c r="G6" i="2"/>
  <c r="H6" i="2"/>
  <c r="I6" i="2"/>
  <c r="D2" i="2"/>
  <c r="D3" i="2"/>
  <c r="E2" i="2"/>
  <c r="F2" i="2"/>
  <c r="G2" i="2"/>
  <c r="H2" i="2"/>
  <c r="I2" i="2"/>
  <c r="E3" i="2"/>
  <c r="F3" i="2"/>
  <c r="G3" i="2"/>
  <c r="H3" i="2"/>
  <c r="I3" i="2"/>
  <c r="B7" i="2"/>
  <c r="B6" i="2"/>
  <c r="B5" i="2"/>
  <c r="B3" i="2"/>
  <c r="B2" i="2"/>
  <c r="M4" i="1"/>
  <c r="L4" i="1"/>
  <c r="N4" i="1"/>
  <c r="O4" i="1"/>
  <c r="L5" i="1"/>
  <c r="N5" i="1"/>
  <c r="O5" i="1"/>
  <c r="L3" i="1"/>
  <c r="N3" i="1"/>
  <c r="O3" i="1"/>
  <c r="F17" i="1"/>
  <c r="F18" i="1"/>
  <c r="F15" i="1"/>
  <c r="G12" i="1"/>
  <c r="F4" i="1"/>
  <c r="G10" i="1"/>
  <c r="G9" i="1"/>
  <c r="F3" i="1"/>
</calcChain>
</file>

<file path=xl/comments1.xml><?xml version="1.0" encoding="utf-8"?>
<comments xmlns="http://schemas.openxmlformats.org/spreadsheetml/2006/main">
  <authors>
    <author>CR310</author>
  </authors>
  <commentList>
    <comment ref="E8" authorId="0" shapeId="0">
      <text>
        <r>
          <rPr>
            <sz val="9"/>
            <color indexed="81"/>
            <rFont val="新細明體"/>
            <family val="1"/>
            <charset val="136"/>
          </rPr>
          <t xml:space="preserve">扣除星期六、星期日及國定假日後之實際工作天
</t>
        </r>
      </text>
    </comment>
    <comment ref="G8" authorId="0" shapeId="0">
      <text>
        <r>
          <rPr>
            <sz val="9"/>
            <color indexed="81"/>
            <rFont val="新細明體"/>
            <family val="1"/>
            <charset val="136"/>
          </rPr>
          <t>本工程款，業主支票可開立最長月數</t>
        </r>
      </text>
    </comment>
  </commentList>
</comments>
</file>

<file path=xl/sharedStrings.xml><?xml version="1.0" encoding="utf-8"?>
<sst xmlns="http://schemas.openxmlformats.org/spreadsheetml/2006/main" count="168" uniqueCount="157">
  <si>
    <t>=DATE(C4,D4,E4)</t>
    <rPh sb="0" eb="15">
      <t xml:space="preserve">            ↑</t>
    </rPh>
    <phoneticPr fontId="2" type="noConversion"/>
  </si>
  <si>
    <t>← =DATE(C9,D9,E9+F9)</t>
    <phoneticPr fontId="2" type="noConversion"/>
  </si>
  <si>
    <t>← =C12+F12</t>
    <phoneticPr fontId="2" type="noConversion"/>
  </si>
  <si>
    <t>方法一</t>
    <phoneticPr fontId="2" type="noConversion"/>
  </si>
  <si>
    <t>方法二</t>
    <phoneticPr fontId="2" type="noConversion"/>
  </si>
  <si>
    <t>開始日期</t>
    <phoneticPr fontId="2" type="noConversion"/>
  </si>
  <si>
    <t>結束日期</t>
    <phoneticPr fontId="2" type="noConversion"/>
  </si>
  <si>
    <t>日數差異，忽略年及月</t>
  </si>
  <si>
    <t>日數差異，忽略年</t>
  </si>
  <si>
    <t>=DAY("1999/12/31")</t>
    <phoneticPr fontId="2" type="noConversion"/>
  </si>
  <si>
    <t>=DAY("1-Nov-99")</t>
    <phoneticPr fontId="2" type="noConversion"/>
  </si>
  <si>
    <t>DATE的基本用法</t>
    <phoneticPr fontId="2" type="noConversion"/>
  </si>
  <si>
    <t>九月</t>
  </si>
  <si>
    <t>十月</t>
  </si>
  <si>
    <t>十一月</t>
  </si>
  <si>
    <t>十二月</t>
    <phoneticPr fontId="2" type="noConversion"/>
  </si>
  <si>
    <t>案號</t>
    <phoneticPr fontId="2" type="noConversion"/>
  </si>
  <si>
    <t>工程名稱</t>
    <phoneticPr fontId="2" type="noConversion"/>
  </si>
  <si>
    <t>開工日期</t>
    <phoneticPr fontId="2" type="noConversion"/>
  </si>
  <si>
    <t>預計工作天</t>
    <phoneticPr fontId="2" type="noConversion"/>
  </si>
  <si>
    <t>預計完工日期</t>
    <phoneticPr fontId="2" type="noConversion"/>
  </si>
  <si>
    <t>應收款項到期日</t>
    <phoneticPr fontId="2" type="noConversion"/>
  </si>
  <si>
    <t>A001</t>
    <phoneticPr fontId="2" type="noConversion"/>
  </si>
  <si>
    <t>花圃整修</t>
    <phoneticPr fontId="2" type="noConversion"/>
  </si>
  <si>
    <t>A002</t>
  </si>
  <si>
    <t>重新裝潢</t>
    <phoneticPr fontId="2" type="noConversion"/>
  </si>
  <si>
    <t>A003</t>
  </si>
  <si>
    <r>
      <t>收費標準</t>
    </r>
    <r>
      <rPr>
        <sz val="12"/>
        <rFont val="新細明體"/>
        <family val="1"/>
        <charset val="136"/>
      </rPr>
      <t>：</t>
    </r>
    <r>
      <rPr>
        <sz val="12"/>
        <color indexed="10"/>
        <rFont val="新細明體"/>
        <family val="1"/>
        <charset val="136"/>
      </rPr>
      <t>第 1 個小時 100 元，不滿 1 小時以 1 小時計算</t>
    </r>
    <phoneticPr fontId="2" type="noConversion"/>
  </si>
  <si>
    <t>之後以每半小時 40 元計算</t>
    <phoneticPr fontId="2" type="noConversion"/>
  </si>
  <si>
    <t>進場時間</t>
    <phoneticPr fontId="2" type="noConversion"/>
  </si>
  <si>
    <t>出場時間</t>
    <phoneticPr fontId="2" type="noConversion"/>
  </si>
  <si>
    <t>停車時間</t>
    <phoneticPr fontId="2" type="noConversion"/>
  </si>
  <si>
    <t>應收費用</t>
    <phoneticPr fontId="2" type="noConversion"/>
  </si>
  <si>
    <t>我的生日是</t>
    <phoneticPr fontId="2" type="noConversion"/>
  </si>
  <si>
    <t>我出生幾天了</t>
    <phoneticPr fontId="2" type="noConversion"/>
  </si>
  <si>
    <t>我的生日還有幾天</t>
    <phoneticPr fontId="2" type="noConversion"/>
  </si>
  <si>
    <t>今年已過了幾天了</t>
    <phoneticPr fontId="2" type="noConversion"/>
  </si>
  <si>
    <t>到今年年底還有幾天</t>
    <phoneticPr fontId="2" type="noConversion"/>
  </si>
  <si>
    <t>=TODAY() →</t>
    <phoneticPr fontId="2" type="noConversion"/>
  </si>
  <si>
    <t>=NOW() →</t>
    <phoneticPr fontId="2" type="noConversion"/>
  </si>
  <si>
    <t>=TIME(25,80,90)</t>
    <phoneticPr fontId="2" type="noConversion"/>
  </si>
  <si>
    <t>=TIME(3,10,45)</t>
    <phoneticPr fontId="2" type="noConversion"/>
  </si>
  <si>
    <t>→</t>
  </si>
  <si>
    <t>開始時間</t>
    <phoneticPr fontId="2" type="noConversion"/>
  </si>
  <si>
    <t>結束時間</t>
    <phoneticPr fontId="2" type="noConversion"/>
  </si>
  <si>
    <t>通話時間</t>
    <phoneticPr fontId="2" type="noConversion"/>
  </si>
  <si>
    <t>費用</t>
    <phoneticPr fontId="2" type="noConversion"/>
  </si>
  <si>
    <t>行動電話收費表　不分時段每秒 0.15元</t>
    <phoneticPr fontId="2" type="noConversion"/>
  </si>
  <si>
    <t>=IF(C16&lt;B16,(C16-B16)+24,C16-B16)</t>
    <phoneticPr fontId="2" type="noConversion"/>
  </si>
  <si>
    <t>↓</t>
    <phoneticPr fontId="2" type="noConversion"/>
  </si>
  <si>
    <t>=SUM(HOUR(D16)*60*60,MINUTE(D16)*60,SECOND(D16))*0.15</t>
    <phoneticPr fontId="2" type="noConversion"/>
  </si>
  <si>
    <t>應收帳款當月份最後一天</t>
    <phoneticPr fontId="2" type="noConversion"/>
  </si>
  <si>
    <t xml:space="preserve">=WEEKDAY(B2)     → </t>
    <phoneticPr fontId="2" type="noConversion"/>
  </si>
  <si>
    <t xml:space="preserve">=WEEKDAY(B2,2)  → </t>
    <phoneticPr fontId="2" type="noConversion"/>
  </si>
  <si>
    <t xml:space="preserve">=WEEKDAY(B2,3)  → </t>
    <phoneticPr fontId="2" type="noConversion"/>
  </si>
  <si>
    <t>=WEEKNUM(B2)</t>
    <phoneticPr fontId="2" type="noConversion"/>
  </si>
  <si>
    <t>=WEEKNUM(B3,2)</t>
    <phoneticPr fontId="2" type="noConversion"/>
  </si>
  <si>
    <t>2005國定假日</t>
    <phoneticPr fontId="2" type="noConversion"/>
  </si>
  <si>
    <t>假日 = $B$4:$E$6</t>
    <phoneticPr fontId="2" type="noConversion"/>
  </si>
  <si>
    <t>=NETWORKDAYS("10/1","10/31",C4:C6)</t>
    <phoneticPr fontId="2" type="noConversion"/>
  </si>
  <si>
    <t>你的年齡</t>
    <phoneticPr fontId="2" type="noConversion"/>
  </si>
  <si>
    <t>=DAY(38417)</t>
    <phoneticPr fontId="2" type="noConversion"/>
  </si>
  <si>
    <t>狀況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</si>
  <si>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</si>
  <si>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</si>
  <si>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</si>
  <si>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日期轉換</t>
    <phoneticPr fontId="2" type="noConversion"/>
  </si>
  <si>
    <t>年小於1900</t>
    <phoneticPr fontId="2" type="noConversion"/>
  </si>
  <si>
    <t>← 1900 + 1899</t>
    <phoneticPr fontId="2" type="noConversion"/>
  </si>
  <si>
    <t>月大於12</t>
    <phoneticPr fontId="2" type="noConversion"/>
  </si>
  <si>
    <t>← 年推進 1</t>
    <phoneticPr fontId="2" type="noConversion"/>
  </si>
  <si>
    <t>日大於該月最後一天</t>
    <phoneticPr fontId="2" type="noConversion"/>
  </si>
  <si>
    <t>← 月推進 1</t>
    <phoneticPr fontId="2" type="noConversion"/>
  </si>
  <si>
    <t>開票日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</si>
  <si>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</si>
  <si>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</si>
  <si>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</si>
  <si>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票期(天)</t>
    <phoneticPr fontId="2" type="noConversion"/>
  </si>
  <si>
    <t>到期日</t>
    <phoneticPr fontId="2" type="noConversion"/>
  </si>
  <si>
    <t>=DATEVALUE("2005/12/31")</t>
    <phoneticPr fontId="2" type="noConversion"/>
  </si>
  <si>
    <t>入伍日期</t>
    <phoneticPr fontId="2" type="noConversion"/>
  </si>
  <si>
    <t>服役年限</t>
    <phoneticPr fontId="2" type="noConversion"/>
  </si>
  <si>
    <t>退伍日期</t>
    <phoneticPr fontId="2" type="noConversion"/>
  </si>
  <si>
    <t>今天日期</t>
    <phoneticPr fontId="2" type="noConversion"/>
  </si>
  <si>
    <t>距離退伍天數</t>
    <phoneticPr fontId="2" type="noConversion"/>
  </si>
  <si>
    <t>相當餘</t>
    <phoneticPr fontId="2" type="noConversion"/>
  </si>
  <si>
    <t>=DATEVALUE("1-Nov-05")</t>
    <phoneticPr fontId="2" type="noConversion"/>
  </si>
  <si>
    <t>=DATEVALUE("3/6")</t>
    <phoneticPr fontId="2" type="noConversion"/>
  </si>
  <si>
    <t>(假設今年為2005年)</t>
    <phoneticPr fontId="2" type="noConversion"/>
  </si>
  <si>
    <t>結果</t>
    <phoneticPr fontId="2" type="noConversion"/>
  </si>
  <si>
    <t>求各月份的最後一天</t>
    <phoneticPr fontId="2" type="noConversion"/>
  </si>
  <si>
    <t>月份自動更新</t>
    <phoneticPr fontId="2" type="noConversion"/>
  </si>
  <si>
    <t>天數差距</t>
    <phoneticPr fontId="2" type="noConversion"/>
  </si>
  <si>
    <t>簡易用法月份自行輸入，不會自動更新</t>
    <phoneticPr fontId="2" type="noConversion"/>
  </si>
  <si>
    <t>=DAY("3/5")</t>
    <phoneticPr fontId="2" type="noConversion"/>
  </si>
  <si>
    <t>=DAY(DATE(2005,5,20))</t>
    <phoneticPr fontId="2" type="noConversion"/>
  </si>
  <si>
    <r>
      <t xml:space="preserve">=DAY(DATE(2005,5,0))=30 </t>
    </r>
    <r>
      <rPr>
        <sz val="12"/>
        <color indexed="10"/>
        <rFont val="華康細明體"/>
        <family val="3"/>
        <charset val="136"/>
      </rPr>
      <t>←</t>
    </r>
    <r>
      <rPr>
        <sz val="12"/>
        <color indexed="10"/>
        <rFont val="Times New Roman"/>
        <family val="1"/>
      </rPr>
      <t>4</t>
    </r>
    <r>
      <rPr>
        <sz val="12"/>
        <color indexed="10"/>
        <rFont val="華康細明體"/>
        <family val="3"/>
        <charset val="136"/>
      </rPr>
      <t>月的最後一天</t>
    </r>
  </si>
  <si>
    <t>大樓網路佈線</t>
    <phoneticPr fontId="2" type="noConversion"/>
  </si>
  <si>
    <r>
      <t>計算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月份可用的工作天數</t>
    </r>
    <phoneticPr fontId="2" type="noConversion"/>
  </si>
  <si>
    <t>預設顯示的格式</t>
    <phoneticPr fontId="2" type="noConversion"/>
  </si>
  <si>
    <t>=TIME(13,70,45)</t>
    <phoneticPr fontId="2" type="noConversion"/>
  </si>
  <si>
    <t>=TIME(0,60,0)</t>
    <phoneticPr fontId="2" type="noConversion"/>
  </si>
  <si>
    <t>=TIME(0,60,-120)</t>
    <phoneticPr fontId="2" type="noConversion"/>
  </si>
  <si>
    <r>
      <t>A</t>
    </r>
    <r>
      <rPr>
        <sz val="12"/>
        <rFont val="新細明體"/>
        <family val="1"/>
        <charset val="136"/>
      </rPr>
      <t>1日期之</t>
    </r>
    <r>
      <rPr>
        <sz val="12"/>
        <rFont val="新細明體"/>
        <family val="1"/>
        <charset val="136"/>
      </rPr>
      <t>25年10個月又10天後的日期</t>
    </r>
    <phoneticPr fontId="2" type="noConversion"/>
  </si>
  <si>
    <t>A1日期是星期幾</t>
    <phoneticPr fontId="2" type="noConversion"/>
  </si>
  <si>
    <t>A1日期之某人的實際歲數</t>
    <phoneticPr fontId="2" type="noConversion"/>
  </si>
  <si>
    <t>A1日期之某人的實際虛數</t>
    <phoneticPr fontId="2" type="noConversion"/>
  </si>
  <si>
    <t>B1與A1的月份差</t>
    <phoneticPr fontId="2" type="noConversion"/>
  </si>
  <si>
    <t>DATEDIF()</t>
    <phoneticPr fontId="2" type="noConversion"/>
  </si>
  <si>
    <t>開始日期</t>
    <phoneticPr fontId="2" type="noConversion"/>
  </si>
  <si>
    <t>結束日期</t>
    <phoneticPr fontId="2" type="noConversion"/>
  </si>
  <si>
    <t>傳回代碼</t>
    <phoneticPr fontId="2" type="noConversion"/>
  </si>
  <si>
    <t>結果</t>
    <phoneticPr fontId="2" type="noConversion"/>
  </si>
  <si>
    <t>說明</t>
    <phoneticPr fontId="2" type="noConversion"/>
  </si>
  <si>
    <t>Y</t>
    <phoneticPr fontId="2" type="noConversion"/>
  </si>
  <si>
    <t>年差異</t>
    <phoneticPr fontId="2" type="noConversion"/>
  </si>
  <si>
    <t>M</t>
    <phoneticPr fontId="2" type="noConversion"/>
  </si>
  <si>
    <t>月差異</t>
    <phoneticPr fontId="2" type="noConversion"/>
  </si>
  <si>
    <t>D</t>
    <phoneticPr fontId="2" type="noConversion"/>
  </si>
  <si>
    <t>日差異</t>
    <phoneticPr fontId="2" type="noConversion"/>
  </si>
  <si>
    <t>MD</t>
    <phoneticPr fontId="2" type="noConversion"/>
  </si>
  <si>
    <t>YM</t>
    <phoneticPr fontId="2" type="noConversion"/>
  </si>
  <si>
    <t>月數差異，忽略日及年</t>
    <phoneticPr fontId="2" type="noConversion"/>
  </si>
  <si>
    <t>← 結束日期日、月皆小於開時日期的日、月</t>
    <phoneticPr fontId="2" type="noConversion"/>
  </si>
  <si>
    <t>YD</t>
    <phoneticPr fontId="2" type="noConversion"/>
  </si>
  <si>
    <t>日數差異，忽略年</t>
    <phoneticPr fontId="2" type="noConversion"/>
  </si>
  <si>
    <t>← 結束日期小於開時日期</t>
    <phoneticPr fontId="2" type="noConversion"/>
  </si>
  <si>
    <t>日數差異，忽略年及月</t>
    <phoneticPr fontId="2" type="noConversion"/>
  </si>
  <si>
    <t>← 結束日期的日小於開時日期的日</t>
    <phoneticPr fontId="2" type="noConversion"/>
  </si>
  <si>
    <t>=DATEDIF(J13,K13,L13)</t>
    <phoneticPr fontId="2" type="noConversion"/>
  </si>
  <si>
    <t>票期
（月）</t>
    <phoneticPr fontId="2" type="noConversion"/>
  </si>
  <si>
    <t>開始時間</t>
    <phoneticPr fontId="2" type="noConversion"/>
  </si>
  <si>
    <t>結束時間</t>
    <phoneticPr fontId="2" type="noConversion"/>
  </si>
  <si>
    <t>YEARFRAC()</t>
    <phoneticPr fontId="2" type="noConversion"/>
  </si>
  <si>
    <t>轉換成年數與天數</t>
    <phoneticPr fontId="2" type="noConversion"/>
  </si>
  <si>
    <t>你的生日</t>
    <phoneticPr fontId="2" type="noConversion"/>
  </si>
  <si>
    <t>今天日期</t>
    <phoneticPr fontId="2" type="noConversion"/>
  </si>
  <si>
    <t>YEARFRAC()引數=1</t>
    <phoneticPr fontId="2" type="noConversion"/>
  </si>
  <si>
    <t>YEARFRAC()引數=3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</si>
  <si>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</si>
  <si>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</si>
  <si>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</si>
  <si>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今天日期</t>
    <phoneticPr fontId="2" type="noConversion"/>
  </si>
  <si>
    <t>=DATEDIF($B$18,$A$18,"Y")</t>
    <phoneticPr fontId="2" type="noConversion"/>
  </si>
  <si>
    <t>=DATEDIF($B$18,$A$18,"YM")</t>
    <phoneticPr fontId="2" type="noConversion"/>
  </si>
  <si>
    <t>=DATEDIF($B$18,$A$18,"MD")</t>
    <phoneticPr fontId="2" type="noConversion"/>
  </si>
  <si>
    <t>生日(到職日)</t>
    <phoneticPr fontId="2" type="noConversion"/>
  </si>
  <si>
    <t>總份月</t>
    <phoneticPr fontId="2" type="noConversion"/>
  </si>
  <si>
    <t>=DATEDIF($B$18,$A$18,"M")</t>
    <phoneticPr fontId="2" type="noConversion"/>
  </si>
  <si>
    <t>B1與A1的年數差</t>
    <phoneticPr fontId="2" type="noConversion"/>
  </si>
  <si>
    <t>B1與A1的天數差</t>
    <phoneticPr fontId="2" type="noConversion"/>
  </si>
  <si>
    <r>
      <t>=DAYS360(K2,L</t>
    </r>
    <r>
      <rPr>
        <sz val="12"/>
        <rFont val="新細明體"/>
        <family val="1"/>
        <charset val="136"/>
      </rPr>
      <t>2</t>
    </r>
    <r>
      <rPr>
        <sz val="12"/>
        <rFont val="新細明體"/>
        <family val="1"/>
        <charset val="136"/>
      </rPr>
      <t>)</t>
    </r>
    <phoneticPr fontId="2" type="noConversion"/>
  </si>
  <si>
    <r>
      <t>=L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>-K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 xml:space="preserve"> 一般算法</t>
    </r>
    <phoneticPr fontId="2" type="noConversion"/>
  </si>
  <si>
    <t>=DAYS(L4,K4)</t>
    <phoneticPr fontId="2" type="noConversion"/>
  </si>
  <si>
    <r>
      <t>=DAYS360(K5,L</t>
    </r>
    <r>
      <rPr>
        <sz val="12"/>
        <rFont val="新細明體"/>
        <family val="1"/>
        <charset val="136"/>
      </rPr>
      <t>5</t>
    </r>
    <r>
      <rPr>
        <sz val="12"/>
        <rFont val="新細明體"/>
        <family val="1"/>
        <charset val="136"/>
      </rPr>
      <t>,TRUE)</t>
    </r>
    <phoneticPr fontId="2" type="noConversion"/>
  </si>
  <si>
    <t>=DAYS360(K6,L6)今天是2013/9/16</t>
    <phoneticPr fontId="2" type="noConversion"/>
  </si>
  <si>
    <t>=ISOWEEKNUM(B2)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</si>
</sst>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/mm/dd"/>
    <numFmt numFmtId="177" formatCode="[$-404]yy&quot;年&quot;m&quot;月又&quot;d&quot;天&quot;;@"/>
    <numFmt numFmtId="178" formatCode="yy&quot;年&quot;mm&quot;個月又&quot;dd&quot;天&quot;;@"/>
    <numFmt numFmtId="179" formatCode="m&quot; 月&quot;"/>
    <numFmt numFmtId="180" formatCode="m/d"/>
    <numFmt numFmtId="181" formatCode="[$-404]e&quot;年&quot;mm&quot;月&quot;dd&quot;日&quot;"/>
    <numFmt numFmtId="182" formatCode="0_ "/>
    <numFmt numFmtId="183" formatCode="hh:mm:ss;@"/>
    <numFmt numFmtId="184" formatCode="0;_␀"/>
    <numFmt numFmtId="185" formatCode="[$-404]aaaa;@"/>
    <numFmt numFmtId="186" formatCode="0&quot; 週&quot;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b/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43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name val="華康細明體"/>
      <family val="3"/>
      <charset val="136"/>
    </font>
    <font>
      <sz val="12"/>
      <name val="新細明體"/>
      <family val="1"/>
      <charset val="136"/>
    </font>
    <font>
      <sz val="12"/>
      <name val="華康中楷體"/>
      <family val="3"/>
      <charset val="136"/>
    </font>
    <font>
      <sz val="12"/>
      <name val="新細明體"/>
      <family val="1"/>
      <charset val="136"/>
    </font>
    <font>
      <sz val="12"/>
      <color indexed="10"/>
      <name val="Times New Roman"/>
      <family val="1"/>
    </font>
    <font>
      <sz val="12"/>
      <color indexed="10"/>
      <name val="華康細明體"/>
      <family val="3"/>
      <charset val="136"/>
    </font>
    <font>
      <b/>
      <sz val="12"/>
      <color indexed="8"/>
      <name val="新細明體"/>
      <family val="1"/>
      <charset val="136"/>
    </font>
    <font>
      <sz val="12"/>
      <color indexed="43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7" fillId="4" borderId="1" xfId="0" applyFont="1" applyFill="1" applyBorder="1" applyAlignment="1">
      <alignment horizont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8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" fontId="0" fillId="5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0" fontId="12" fillId="5" borderId="1" xfId="0" quotePrefix="1" applyNumberFormat="1" applyFont="1" applyFill="1" applyBorder="1" applyAlignment="1">
      <alignment horizontal="center" vertical="center"/>
    </xf>
    <xf numFmtId="0" fontId="4" fillId="0" borderId="1" xfId="0" quotePrefix="1" applyFont="1" applyBorder="1">
      <alignment vertical="center"/>
    </xf>
    <xf numFmtId="0" fontId="11" fillId="0" borderId="4" xfId="0" quotePrefix="1" applyFont="1" applyBorder="1" applyAlignment="1">
      <alignment horizontal="justify" vertical="center"/>
    </xf>
    <xf numFmtId="0" fontId="11" fillId="0" borderId="4" xfId="0" quotePrefix="1" applyFont="1" applyBorder="1">
      <alignment vertical="center"/>
    </xf>
    <xf numFmtId="18" fontId="4" fillId="0" borderId="2" xfId="0" quotePrefix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83" fontId="0" fillId="0" borderId="1" xfId="0" applyNumberFormat="1" applyBorder="1" applyAlignment="1">
      <alignment horizontal="center" vertical="center"/>
    </xf>
    <xf numFmtId="184" fontId="0" fillId="0" borderId="1" xfId="0" quotePrefix="1" applyNumberFormat="1" applyBorder="1" applyAlignment="1">
      <alignment horizontal="center" vertical="center"/>
    </xf>
    <xf numFmtId="18" fontId="0" fillId="0" borderId="0" xfId="0" applyNumberFormat="1">
      <alignment vertical="center"/>
    </xf>
    <xf numFmtId="0" fontId="4" fillId="0" borderId="0" xfId="0" quotePrefix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185" fontId="0" fillId="6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14" fontId="0" fillId="7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8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5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12" fillId="0" borderId="3" xfId="0" applyFont="1" applyBorder="1" applyAlignment="1">
      <alignment horizontal="left" vertical="center" indent="1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77" fontId="12" fillId="0" borderId="0" xfId="0" applyNumberFormat="1" applyFont="1">
      <alignment vertical="center"/>
    </xf>
    <xf numFmtId="176" fontId="12" fillId="0" borderId="0" xfId="0" quotePrefix="1" applyNumberFormat="1" applyFont="1" applyAlignment="1">
      <alignment horizontal="left" vertical="center"/>
    </xf>
    <xf numFmtId="176" fontId="12" fillId="0" borderId="0" xfId="0" applyNumberFormat="1" applyFo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 vertical="center" indent="1"/>
    </xf>
    <xf numFmtId="14" fontId="15" fillId="0" borderId="1" xfId="0" applyNumberFormat="1" applyFont="1" applyBorder="1">
      <alignment vertical="center"/>
    </xf>
    <xf numFmtId="14" fontId="15" fillId="0" borderId="0" xfId="0" quotePrefix="1" applyNumberFormat="1" applyFont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4" fontId="15" fillId="0" borderId="5" xfId="0" applyNumberFormat="1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14" fontId="15" fillId="0" borderId="2" xfId="0" applyNumberFormat="1" applyFont="1" applyBorder="1">
      <alignment vertical="center"/>
    </xf>
    <xf numFmtId="14" fontId="15" fillId="0" borderId="8" xfId="0" applyNumberFormat="1" applyFont="1" applyBorder="1">
      <alignment vertical="center"/>
    </xf>
    <xf numFmtId="0" fontId="15" fillId="0" borderId="0" xfId="0" quotePrefix="1" applyFont="1">
      <alignment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justify" vertical="center"/>
    </xf>
    <xf numFmtId="0" fontId="12" fillId="0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178" fontId="12" fillId="0" borderId="1" xfId="0" applyNumberFormat="1" applyFont="1" applyBorder="1">
      <alignment vertical="center"/>
    </xf>
    <xf numFmtId="22" fontId="12" fillId="0" borderId="0" xfId="0" applyNumberFormat="1" applyFont="1">
      <alignment vertical="center"/>
    </xf>
    <xf numFmtId="0" fontId="12" fillId="0" borderId="0" xfId="0" applyFont="1" applyAlignment="1">
      <alignment horizontal="left" vertical="center"/>
    </xf>
    <xf numFmtId="14" fontId="12" fillId="0" borderId="6" xfId="0" applyNumberFormat="1" applyFont="1" applyBorder="1" applyAlignment="1">
      <alignment horizontal="center" vertical="center"/>
    </xf>
    <xf numFmtId="0" fontId="11" fillId="0" borderId="0" xfId="0" applyNumberFormat="1" applyFont="1">
      <alignment vertical="center"/>
    </xf>
    <xf numFmtId="0" fontId="10" fillId="0" borderId="0" xfId="0" applyFont="1" applyAlignment="1">
      <alignment horizontal="right" vertical="center"/>
    </xf>
    <xf numFmtId="0" fontId="16" fillId="0" borderId="1" xfId="0" quotePrefix="1" applyFont="1" applyBorder="1" applyAlignment="1">
      <alignment horizontal="justify" vertical="center"/>
    </xf>
    <xf numFmtId="0" fontId="16" fillId="0" borderId="1" xfId="0" applyFont="1" applyBorder="1" applyAlignment="1">
      <alignment horizontal="right" vertical="center"/>
    </xf>
    <xf numFmtId="0" fontId="17" fillId="0" borderId="0" xfId="0" applyFont="1">
      <alignment vertical="center"/>
    </xf>
    <xf numFmtId="179" fontId="17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1" fillId="0" borderId="1" xfId="0" quotePrefix="1" applyFont="1" applyBorder="1" applyAlignment="1">
      <alignment horizontal="right" vertical="center"/>
    </xf>
    <xf numFmtId="14" fontId="12" fillId="0" borderId="0" xfId="0" applyNumberFormat="1" applyFont="1">
      <alignment vertical="center"/>
    </xf>
    <xf numFmtId="180" fontId="12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/>
    </xf>
    <xf numFmtId="0" fontId="12" fillId="7" borderId="1" xfId="0" applyFont="1" applyFill="1" applyBorder="1">
      <alignment vertical="center"/>
    </xf>
    <xf numFmtId="181" fontId="12" fillId="5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181" fontId="12" fillId="5" borderId="1" xfId="0" applyNumberFormat="1" applyFont="1" applyFill="1" applyBorder="1">
      <alignment vertical="center"/>
    </xf>
    <xf numFmtId="181" fontId="12" fillId="7" borderId="1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left" indent="2"/>
    </xf>
    <xf numFmtId="0" fontId="12" fillId="5" borderId="2" xfId="0" applyFont="1" applyFill="1" applyBorder="1" applyAlignment="1">
      <alignment horizontal="left" vertical="center" indent="2"/>
    </xf>
    <xf numFmtId="0" fontId="12" fillId="0" borderId="0" xfId="0" quotePrefix="1" applyFont="1">
      <alignment vertical="center"/>
    </xf>
    <xf numFmtId="14" fontId="11" fillId="0" borderId="0" xfId="0" applyNumberFormat="1" applyFont="1" applyAlignment="1">
      <alignment horizontal="justify" vertical="center"/>
    </xf>
    <xf numFmtId="0" fontId="13" fillId="6" borderId="1" xfId="0" applyFont="1" applyFill="1" applyBorder="1">
      <alignment vertical="center"/>
    </xf>
    <xf numFmtId="14" fontId="15" fillId="6" borderId="1" xfId="0" applyNumberFormat="1" applyFont="1" applyFill="1" applyBorder="1" applyAlignment="1">
      <alignment horizontal="justify" vertical="center"/>
    </xf>
    <xf numFmtId="18" fontId="12" fillId="0" borderId="4" xfId="0" quotePrefix="1" applyNumberFormat="1" applyFont="1" applyBorder="1">
      <alignment vertical="center"/>
    </xf>
    <xf numFmtId="18" fontId="12" fillId="0" borderId="3" xfId="0" applyNumberFormat="1" applyFont="1" applyBorder="1">
      <alignment vertical="center"/>
    </xf>
    <xf numFmtId="14" fontId="1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22" fontId="12" fillId="0" borderId="1" xfId="0" applyNumberFormat="1" applyFont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NumberFormat="1" applyFont="1">
      <alignment vertical="center"/>
    </xf>
    <xf numFmtId="14" fontId="21" fillId="10" borderId="0" xfId="1" applyNumberFormat="1" applyFont="1" applyFill="1"/>
    <xf numFmtId="0" fontId="1" fillId="0" borderId="0" xfId="1" applyFont="1"/>
    <xf numFmtId="14" fontId="6" fillId="12" borderId="0" xfId="1" applyNumberFormat="1" applyFont="1" applyFill="1" applyAlignment="1">
      <alignment horizontal="right"/>
    </xf>
    <xf numFmtId="0" fontId="6" fillId="12" borderId="0" xfId="1" applyFont="1" applyFill="1" applyAlignment="1">
      <alignment horizontal="right"/>
    </xf>
    <xf numFmtId="176" fontId="12" fillId="13" borderId="1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14" fontId="0" fillId="0" borderId="0" xfId="0" applyNumberFormat="1">
      <alignment vertical="center"/>
    </xf>
    <xf numFmtId="0" fontId="6" fillId="4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7" borderId="0" xfId="0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7" borderId="1" xfId="0" applyFill="1" applyBorder="1">
      <alignment vertical="center"/>
    </xf>
    <xf numFmtId="14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quotePrefix="1" applyFill="1" applyBorder="1" applyAlignment="1">
      <alignment horizontal="left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0" fillId="0" borderId="0" xfId="0" quotePrefix="1" applyFont="1" applyBorder="1" applyAlignment="1">
      <alignment horizontal="left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1" xfId="0" quotePrefix="1" applyNumberFormat="1" applyFont="1" applyFill="1" applyBorder="1" applyAlignment="1">
      <alignment horizontal="center" vertical="center"/>
    </xf>
    <xf numFmtId="14" fontId="1" fillId="15" borderId="1" xfId="0" applyNumberFormat="1" applyFont="1" applyFill="1" applyBorder="1" applyAlignment="1">
      <alignment horizontal="center" vertical="center"/>
    </xf>
    <xf numFmtId="0" fontId="1" fillId="15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quotePrefix="1" applyFont="1" applyBorder="1">
      <alignment vertical="center"/>
    </xf>
    <xf numFmtId="0" fontId="1" fillId="7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一般_CH08常用函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tabSelected="1" workbookViewId="0">
      <selection activeCell="G9" sqref="G9"/>
    </sheetView>
  </sheetViews>
  <sheetFormatPr defaultColWidth="8.875" defaultRowHeight="16.5"/>
  <cols>
    <col min="1" max="1" width="2.5" style="54" bestFit="1" customWidth="1"/>
    <col min="2" max="2" width="24.875" style="54" bestFit="1" customWidth="1"/>
    <col min="3" max="3" width="22.875" style="45" bestFit="1" customWidth="1"/>
    <col min="4" max="5" width="3.75" style="45" bestFit="1" customWidth="1"/>
    <col min="6" max="6" width="18.75" style="54" bestFit="1" customWidth="1"/>
    <col min="7" max="7" width="21.25" style="54" bestFit="1" customWidth="1"/>
    <col min="8" max="8" width="2.875" style="54" customWidth="1"/>
    <col min="9" max="9" width="3.375" style="54" customWidth="1"/>
    <col min="10" max="10" width="10.625" style="54" bestFit="1" customWidth="1"/>
    <col min="11" max="11" width="10.5" style="54" bestFit="1" customWidth="1"/>
    <col min="12" max="12" width="10.625" style="54" bestFit="1" customWidth="1"/>
    <col min="13" max="13" width="10.5" style="54" bestFit="1" customWidth="1"/>
    <col min="14" max="14" width="15.375" style="54" bestFit="1" customWidth="1"/>
    <col min="15" max="15" width="19.5" style="54" bestFit="1" customWidth="1"/>
    <col min="16" max="16" width="16.125" style="54" bestFit="1" customWidth="1"/>
    <col min="17" max="16384" width="8.875" style="54"/>
  </cols>
  <sheetData>
    <row r="1" spans="1:17">
      <c r="A1" s="48"/>
      <c r="B1" s="49" t="s">
        <v>62</v>
      </c>
      <c r="C1" s="49" t="s">
        <v>63</v>
      </c>
      <c r="D1" s="50" t="s">
        <v>64</v>
      </c>
      <c r="E1" s="51" t="s">
        <v>65</v>
      </c>
      <c r="F1" s="52" t="s">
        <v>66</v>
      </c>
      <c r="G1" s="53"/>
      <c r="H1" s="53"/>
      <c r="I1" s="53"/>
    </row>
    <row r="2" spans="1:17" ht="19.5" customHeight="1">
      <c r="A2" s="55">
        <v>1</v>
      </c>
      <c r="B2" s="56" t="s">
        <v>67</v>
      </c>
      <c r="C2" s="57">
        <v>1899</v>
      </c>
      <c r="D2" s="57">
        <v>11</v>
      </c>
      <c r="E2" s="57">
        <v>12</v>
      </c>
      <c r="F2" s="137">
        <f>DATE(C2,D2,E2)</f>
        <v>693913</v>
      </c>
      <c r="G2" s="54" t="s">
        <v>68</v>
      </c>
      <c r="J2" s="57" t="s">
        <v>80</v>
      </c>
      <c r="K2" s="57" t="s">
        <v>81</v>
      </c>
      <c r="L2" s="60" t="s">
        <v>82</v>
      </c>
      <c r="M2" s="85" t="s">
        <v>83</v>
      </c>
      <c r="N2" s="57" t="s">
        <v>84</v>
      </c>
      <c r="O2" s="60" t="s">
        <v>85</v>
      </c>
    </row>
    <row r="3" spans="1:17" ht="19.5" customHeight="1">
      <c r="A3" s="55">
        <v>2</v>
      </c>
      <c r="B3" s="59" t="s">
        <v>69</v>
      </c>
      <c r="C3" s="57">
        <v>2003</v>
      </c>
      <c r="D3" s="57">
        <v>13</v>
      </c>
      <c r="E3" s="57">
        <v>20</v>
      </c>
      <c r="F3" s="58">
        <f>DATE(C3,D3,E3)</f>
        <v>38006</v>
      </c>
      <c r="G3" s="54" t="s">
        <v>70</v>
      </c>
      <c r="J3" s="87">
        <v>38061</v>
      </c>
      <c r="K3" s="57">
        <v>2</v>
      </c>
      <c r="L3" s="88">
        <f>DATE(YEAR(J3)+K3,MONTH(J3),DAY(J3))</f>
        <v>38791</v>
      </c>
      <c r="M3" s="65"/>
      <c r="N3" s="89" t="e">
        <f ca="1">DATEDIF($M$4,L3,"D")</f>
        <v>#NUM!</v>
      </c>
      <c r="O3" s="90" t="e">
        <f ca="1">DATE(YEAR(N3),MONTH(N3)-1,DAY(N3))</f>
        <v>#NUM!</v>
      </c>
      <c r="P3" s="91"/>
    </row>
    <row r="4" spans="1:17" ht="19.5" customHeight="1">
      <c r="A4" s="61">
        <v>3</v>
      </c>
      <c r="B4" s="59" t="s">
        <v>71</v>
      </c>
      <c r="C4" s="57">
        <v>2005</v>
      </c>
      <c r="D4" s="57">
        <v>3</v>
      </c>
      <c r="E4" s="57">
        <v>40</v>
      </c>
      <c r="F4" s="58">
        <f>DATE(C4,D4,E4)</f>
        <v>38451</v>
      </c>
      <c r="G4" s="54" t="s">
        <v>72</v>
      </c>
      <c r="H4" s="62"/>
      <c r="J4" s="87">
        <v>38112</v>
      </c>
      <c r="K4" s="57">
        <v>3</v>
      </c>
      <c r="L4" s="88">
        <f>DATE(YEAR(J4)+K4,MONTH(J4),DAY(J4))</f>
        <v>39207</v>
      </c>
      <c r="M4" s="93">
        <f ca="1">TODAY()</f>
        <v>41533</v>
      </c>
      <c r="N4" s="66" t="e">
        <f ca="1">DATEDIF($M$4,L4,"D")</f>
        <v>#NUM!</v>
      </c>
      <c r="O4" s="90" t="e">
        <f ca="1">DATE(YEAR(N4),MONTH(N4)-1,DAY(N4))</f>
        <v>#NUM!</v>
      </c>
    </row>
    <row r="5" spans="1:17" ht="23.25" customHeight="1">
      <c r="F5" s="63" t="s" ph="1">
        <v>0</v>
      </c>
      <c r="J5" s="87">
        <v>38362</v>
      </c>
      <c r="K5" s="57">
        <v>2</v>
      </c>
      <c r="L5" s="88">
        <f>DATE(YEAR(J5)+K5,MONTH(J5),DAY(J5))</f>
        <v>39092</v>
      </c>
      <c r="M5" s="61"/>
      <c r="N5" s="66" t="e">
        <f ca="1">DATEDIF($M$4,L5,"D")</f>
        <v>#NUM!</v>
      </c>
      <c r="O5" s="90" t="e">
        <f ca="1">DATE(YEAR(N5),MONTH(N5)-1,DAY(N5))</f>
        <v>#NUM!</v>
      </c>
    </row>
    <row r="6" spans="1:17" ht="18.75" customHeight="1">
      <c r="F6" s="64"/>
    </row>
    <row r="7" spans="1:17" s="68" customFormat="1">
      <c r="A7" s="54"/>
      <c r="B7" s="54"/>
      <c r="C7" s="157" t="s">
        <v>73</v>
      </c>
      <c r="D7" s="158"/>
      <c r="E7" s="159"/>
      <c r="F7" s="54"/>
      <c r="G7" s="54"/>
      <c r="H7" s="54"/>
      <c r="I7" s="54"/>
      <c r="J7" s="54"/>
      <c r="K7" s="54"/>
      <c r="L7" s="54"/>
      <c r="M7" s="54"/>
      <c r="N7" s="94"/>
      <c r="O7" s="54"/>
      <c r="P7" s="54"/>
      <c r="Q7" s="54"/>
    </row>
    <row r="8" spans="1:17" s="68" customFormat="1">
      <c r="C8" s="69" t="s">
        <v>74</v>
      </c>
      <c r="D8" s="70" t="s">
        <v>75</v>
      </c>
      <c r="E8" s="69" t="s">
        <v>76</v>
      </c>
      <c r="F8" s="69" t="s">
        <v>77</v>
      </c>
      <c r="G8" s="69" t="s">
        <v>78</v>
      </c>
      <c r="J8" s="54"/>
      <c r="K8" s="54"/>
      <c r="L8" s="54"/>
      <c r="M8" s="54"/>
      <c r="N8" s="54"/>
      <c r="O8" s="54"/>
      <c r="P8" s="54"/>
      <c r="Q8" s="54"/>
    </row>
    <row r="9" spans="1:17" s="68" customFormat="1">
      <c r="B9" s="71" t="s">
        <v>3</v>
      </c>
      <c r="C9" s="69">
        <v>2005</v>
      </c>
      <c r="D9" s="69">
        <v>3</v>
      </c>
      <c r="E9" s="69">
        <v>1</v>
      </c>
      <c r="F9" s="69">
        <v>30</v>
      </c>
      <c r="G9" s="72">
        <f>DATE(C9,D9,E9+F9)</f>
        <v>38442</v>
      </c>
      <c r="H9" s="73" t="s">
        <v>1</v>
      </c>
      <c r="J9" s="54"/>
      <c r="K9" s="54"/>
      <c r="L9" s="54"/>
      <c r="M9" s="54"/>
      <c r="N9" s="54"/>
      <c r="O9" s="54"/>
      <c r="P9" s="54"/>
      <c r="Q9" s="54"/>
    </row>
    <row r="10" spans="1:17" s="68" customFormat="1">
      <c r="C10" s="75">
        <v>2005</v>
      </c>
      <c r="D10" s="75">
        <v>4</v>
      </c>
      <c r="E10" s="75">
        <v>15</v>
      </c>
      <c r="F10" s="75">
        <v>60</v>
      </c>
      <c r="G10" s="76">
        <f>DATE(C10,D10,E10+F10)</f>
        <v>38517</v>
      </c>
      <c r="J10" s="54"/>
      <c r="K10" s="54"/>
      <c r="L10" s="54"/>
      <c r="M10" s="54"/>
      <c r="N10" s="54"/>
      <c r="O10" s="54"/>
      <c r="P10" s="54"/>
      <c r="Q10" s="54"/>
    </row>
    <row r="11" spans="1:17" s="68" customFormat="1" ht="16.5" customHeight="1">
      <c r="C11" s="77"/>
      <c r="D11" s="77"/>
      <c r="E11" s="77"/>
      <c r="F11" s="77"/>
      <c r="G11" s="78"/>
      <c r="J11" s="54"/>
      <c r="K11" s="54"/>
      <c r="L11" s="54"/>
      <c r="M11" s="54"/>
      <c r="N11" s="54"/>
      <c r="O11" s="54"/>
      <c r="P11" s="54"/>
      <c r="Q11" s="54"/>
    </row>
    <row r="12" spans="1:17" s="68" customFormat="1">
      <c r="B12" s="71" t="s">
        <v>4</v>
      </c>
      <c r="C12" s="160">
        <v>38477</v>
      </c>
      <c r="D12" s="161"/>
      <c r="E12" s="162"/>
      <c r="F12" s="74">
        <v>120</v>
      </c>
      <c r="G12" s="79">
        <f>C12+F12</f>
        <v>38597</v>
      </c>
      <c r="H12" s="80" t="s">
        <v>2</v>
      </c>
      <c r="J12" s="54"/>
      <c r="K12" s="54"/>
      <c r="L12" s="54"/>
      <c r="M12" s="54"/>
      <c r="N12" s="54"/>
      <c r="O12" s="54"/>
      <c r="P12" s="54"/>
      <c r="Q12" s="54"/>
    </row>
    <row r="13" spans="1:17" s="68" customFormat="1">
      <c r="C13" s="81"/>
      <c r="D13" s="81"/>
      <c r="E13" s="81"/>
      <c r="J13" s="54"/>
      <c r="K13" s="54"/>
      <c r="L13" s="54"/>
      <c r="M13" s="54"/>
      <c r="N13" s="54"/>
      <c r="O13" s="54"/>
      <c r="P13" s="54"/>
      <c r="Q13" s="54"/>
    </row>
    <row r="14" spans="1:17" s="68" customFormat="1">
      <c r="C14" s="81"/>
      <c r="D14" s="81"/>
      <c r="E14" s="81"/>
      <c r="I14" s="82"/>
      <c r="J14" s="54"/>
      <c r="K14" s="54"/>
      <c r="L14" s="54"/>
      <c r="M14" s="54"/>
      <c r="N14" s="54"/>
      <c r="O14" s="54"/>
      <c r="P14" s="54"/>
      <c r="Q14" s="54"/>
    </row>
    <row r="15" spans="1:17">
      <c r="A15" s="68"/>
      <c r="B15" s="68"/>
      <c r="C15" s="163" t="s">
        <v>79</v>
      </c>
      <c r="D15" s="163"/>
      <c r="E15" s="163"/>
      <c r="F15" s="84">
        <f>DATEVALUE("2005/12/31")</f>
        <v>38717</v>
      </c>
    </row>
    <row r="16" spans="1:17">
      <c r="C16" s="83"/>
      <c r="D16" s="83"/>
      <c r="E16" s="83"/>
      <c r="F16" s="84"/>
    </row>
    <row r="17" spans="3:7">
      <c r="C17" s="163" t="s">
        <v>86</v>
      </c>
      <c r="D17" s="163"/>
      <c r="E17" s="163"/>
      <c r="F17" s="86">
        <f>DATEVALUE("1-Nov-05")</f>
        <v>38657</v>
      </c>
    </row>
    <row r="18" spans="3:7">
      <c r="C18" s="83" t="s">
        <v>87</v>
      </c>
      <c r="D18" s="92"/>
      <c r="E18" s="92"/>
      <c r="F18" s="83">
        <f>DATEVALUE("3/6")</f>
        <v>41339</v>
      </c>
      <c r="G18" s="92" t="s">
        <v>88</v>
      </c>
    </row>
    <row r="20" spans="3:7">
      <c r="C20" s="45">
        <f>DAY(38417)</f>
        <v>6</v>
      </c>
    </row>
  </sheetData>
  <mergeCells count="4">
    <mergeCell ref="C7:E7"/>
    <mergeCell ref="C12:E12"/>
    <mergeCell ref="C15:E15"/>
    <mergeCell ref="C17:E17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ignoredErrors>
    <ignoredError sqref="F1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6" workbookViewId="0">
      <selection activeCell="B21" sqref="B21"/>
    </sheetView>
  </sheetViews>
  <sheetFormatPr defaultRowHeight="16.5"/>
  <cols>
    <col min="1" max="1" width="13" bestFit="1" customWidth="1"/>
    <col min="2" max="2" width="13.5" customWidth="1"/>
    <col min="3" max="3" width="10.5" bestFit="1" customWidth="1"/>
    <col min="4" max="4" width="25" bestFit="1" customWidth="1"/>
    <col min="5" max="5" width="25.125" bestFit="1" customWidth="1"/>
    <col min="6" max="6" width="47.625" bestFit="1" customWidth="1"/>
  </cols>
  <sheetData>
    <row r="1" spans="1:6">
      <c r="A1" s="3" t="s">
        <v>108</v>
      </c>
      <c r="B1" s="53"/>
      <c r="C1" s="53"/>
      <c r="D1" s="53"/>
      <c r="E1" s="53"/>
      <c r="F1" s="53"/>
    </row>
    <row r="2" spans="1:6">
      <c r="A2" s="53"/>
      <c r="B2" s="53"/>
      <c r="C2" s="53"/>
      <c r="D2" s="53"/>
      <c r="E2" s="53"/>
      <c r="F2" s="53"/>
    </row>
    <row r="3" spans="1:6">
      <c r="A3" s="51" t="s">
        <v>109</v>
      </c>
      <c r="B3" s="51" t="s">
        <v>110</v>
      </c>
      <c r="C3" s="51" t="s">
        <v>111</v>
      </c>
      <c r="D3" s="51" t="s">
        <v>112</v>
      </c>
      <c r="E3" s="138" t="s">
        <v>113</v>
      </c>
      <c r="F3" s="53"/>
    </row>
    <row r="4" spans="1:6">
      <c r="A4" s="50">
        <v>37768</v>
      </c>
      <c r="B4" s="50">
        <v>38499</v>
      </c>
      <c r="C4" s="51" t="s">
        <v>114</v>
      </c>
      <c r="D4" s="51">
        <f t="shared" ref="D4:D13" si="0">DATEDIF(A4,B4,C4)</f>
        <v>2</v>
      </c>
      <c r="E4" s="52" t="s">
        <v>115</v>
      </c>
      <c r="F4" s="53"/>
    </row>
    <row r="5" spans="1:6">
      <c r="A5" s="50">
        <v>37768</v>
      </c>
      <c r="B5" s="50">
        <v>38499</v>
      </c>
      <c r="C5" s="51" t="s">
        <v>116</v>
      </c>
      <c r="D5" s="51">
        <f t="shared" si="0"/>
        <v>24</v>
      </c>
      <c r="E5" s="52" t="s">
        <v>117</v>
      </c>
      <c r="F5" s="53"/>
    </row>
    <row r="6" spans="1:6">
      <c r="A6" s="50">
        <v>37768</v>
      </c>
      <c r="B6" s="50">
        <v>38499</v>
      </c>
      <c r="C6" s="139" t="s">
        <v>118</v>
      </c>
      <c r="D6" s="51">
        <f t="shared" si="0"/>
        <v>731</v>
      </c>
      <c r="E6" s="52" t="s">
        <v>119</v>
      </c>
      <c r="F6" s="53"/>
    </row>
    <row r="7" spans="1:6">
      <c r="A7" s="50">
        <v>37768</v>
      </c>
      <c r="B7" s="140">
        <v>38499</v>
      </c>
      <c r="C7" s="139" t="s">
        <v>120</v>
      </c>
      <c r="D7" s="49">
        <f t="shared" si="0"/>
        <v>0</v>
      </c>
      <c r="E7" s="67" t="s">
        <v>7</v>
      </c>
      <c r="F7" s="53"/>
    </row>
    <row r="8" spans="1:6">
      <c r="A8" s="50">
        <v>37768</v>
      </c>
      <c r="B8" s="140">
        <v>38353</v>
      </c>
      <c r="C8" s="141" t="s">
        <v>121</v>
      </c>
      <c r="D8" s="49">
        <f t="shared" si="0"/>
        <v>7</v>
      </c>
      <c r="E8" s="67" t="s">
        <v>122</v>
      </c>
      <c r="F8" s="53" t="s">
        <v>123</v>
      </c>
    </row>
    <row r="9" spans="1:6">
      <c r="A9" s="50">
        <v>37768</v>
      </c>
      <c r="B9" s="140">
        <v>36673</v>
      </c>
      <c r="C9" s="142" t="s">
        <v>124</v>
      </c>
      <c r="D9" s="49" t="e">
        <f t="shared" si="0"/>
        <v>#NUM!</v>
      </c>
      <c r="E9" s="67" t="s">
        <v>125</v>
      </c>
      <c r="F9" s="53" t="s">
        <v>126</v>
      </c>
    </row>
    <row r="10" spans="1:6">
      <c r="A10" s="50">
        <v>37768</v>
      </c>
      <c r="B10" s="140">
        <v>38534</v>
      </c>
      <c r="C10" s="141" t="s">
        <v>120</v>
      </c>
      <c r="D10" s="49">
        <f t="shared" si="0"/>
        <v>4</v>
      </c>
      <c r="E10" s="67" t="s">
        <v>127</v>
      </c>
      <c r="F10" s="53"/>
    </row>
    <row r="11" spans="1:6">
      <c r="A11" s="50">
        <v>37768</v>
      </c>
      <c r="B11" s="140">
        <v>38590</v>
      </c>
      <c r="C11" s="141" t="s">
        <v>121</v>
      </c>
      <c r="D11" s="49">
        <f t="shared" si="0"/>
        <v>2</v>
      </c>
      <c r="E11" s="67" t="s">
        <v>122</v>
      </c>
      <c r="F11" s="53" t="s">
        <v>128</v>
      </c>
    </row>
    <row r="12" spans="1:6">
      <c r="A12" s="50">
        <v>37768</v>
      </c>
      <c r="B12" s="140">
        <v>38592</v>
      </c>
      <c r="C12" s="141" t="s">
        <v>121</v>
      </c>
      <c r="D12" s="49">
        <f t="shared" si="0"/>
        <v>3</v>
      </c>
      <c r="E12" s="67" t="s">
        <v>122</v>
      </c>
      <c r="F12" s="53"/>
    </row>
    <row r="13" spans="1:6">
      <c r="A13" s="50">
        <v>37768</v>
      </c>
      <c r="B13" s="140">
        <v>38562</v>
      </c>
      <c r="C13" s="142" t="s">
        <v>124</v>
      </c>
      <c r="D13" s="51">
        <f t="shared" si="0"/>
        <v>63</v>
      </c>
      <c r="E13" s="67" t="s">
        <v>8</v>
      </c>
      <c r="F13" s="53"/>
    </row>
    <row r="14" spans="1:6">
      <c r="A14" s="53"/>
      <c r="B14" s="53"/>
      <c r="C14" s="143"/>
      <c r="D14" s="144" t="s">
        <v>129</v>
      </c>
      <c r="E14" s="53"/>
      <c r="F14" s="53"/>
    </row>
    <row r="17" spans="1:3">
      <c r="A17" s="150" t="s">
        <v>142</v>
      </c>
      <c r="B17" s="150" t="s">
        <v>146</v>
      </c>
    </row>
    <row r="18" spans="1:3">
      <c r="A18" s="149">
        <f ca="1">TODAY()</f>
        <v>41533</v>
      </c>
      <c r="B18" s="149">
        <v>35278</v>
      </c>
    </row>
    <row r="20" spans="1:3">
      <c r="A20" s="151" t="s">
        <v>139</v>
      </c>
      <c r="B20" s="152">
        <f ca="1">DATEDIF($B$18,$A$18,"Y")</f>
        <v>17</v>
      </c>
      <c r="C20" s="153" t="s">
        <v>143</v>
      </c>
    </row>
    <row r="21" spans="1:3">
      <c r="A21" s="151" t="s">
        <v>140</v>
      </c>
      <c r="B21" s="152">
        <f ca="1">DATEDIF($B$18,$A$18,"YM")</f>
        <v>1</v>
      </c>
      <c r="C21" s="153" t="s">
        <v>144</v>
      </c>
    </row>
    <row r="22" spans="1:3">
      <c r="A22" s="151" t="s">
        <v>141</v>
      </c>
      <c r="B22" s="152">
        <f ca="1">DATEDIF($B$18,$A$18,"MD")</f>
        <v>15</v>
      </c>
      <c r="C22" s="153" t="s">
        <v>145</v>
      </c>
    </row>
    <row r="23" spans="1:3">
      <c r="A23" s="154" t="s">
        <v>147</v>
      </c>
      <c r="B23" s="152">
        <f ca="1">DATEDIF($B$18,$A$18,"M")</f>
        <v>205</v>
      </c>
      <c r="C23" s="155" t="s">
        <v>148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topLeftCell="B1" workbookViewId="0">
      <selection activeCell="P10" sqref="P10"/>
    </sheetView>
  </sheetViews>
  <sheetFormatPr defaultColWidth="8.875" defaultRowHeight="16.5"/>
  <cols>
    <col min="1" max="1" width="42" style="54" bestFit="1" customWidth="1"/>
    <col min="2" max="2" width="5.5" style="54" customWidth="1"/>
    <col min="3" max="3" width="3.625" style="54" customWidth="1"/>
    <col min="4" max="4" width="8.5" style="54" customWidth="1"/>
    <col min="5" max="9" width="6.625" style="54" customWidth="1"/>
    <col min="10" max="10" width="2.5" style="54" customWidth="1"/>
    <col min="11" max="13" width="10.5" style="45" customWidth="1"/>
    <col min="14" max="16384" width="8.875" style="54"/>
  </cols>
  <sheetData>
    <row r="1" spans="1:16">
      <c r="A1" s="52" t="s">
        <v>11</v>
      </c>
      <c r="B1" s="52" t="s">
        <v>89</v>
      </c>
      <c r="C1" s="53"/>
      <c r="D1" s="4" t="s">
        <v>90</v>
      </c>
      <c r="I1" s="95" t="s">
        <v>91</v>
      </c>
      <c r="K1" s="152" t="s">
        <v>5</v>
      </c>
      <c r="L1" s="152" t="s">
        <v>6</v>
      </c>
      <c r="M1" s="152" t="s">
        <v>92</v>
      </c>
      <c r="N1" s="53"/>
      <c r="O1" s="53"/>
      <c r="P1" s="53"/>
    </row>
    <row r="2" spans="1:16" s="98" customFormat="1">
      <c r="A2" s="96" t="s">
        <v>9</v>
      </c>
      <c r="B2" s="97">
        <f>DAY("1999/12/31")</f>
        <v>31</v>
      </c>
      <c r="D2" s="99">
        <f t="shared" ref="D2:I2" ca="1" si="0">DATE(YEAR(TODAY()),MONTH(TODAY())+COLUMN()-4,DAY(TODAY()))</f>
        <v>41533</v>
      </c>
      <c r="E2" s="99">
        <f t="shared" ca="1" si="0"/>
        <v>41563</v>
      </c>
      <c r="F2" s="99">
        <f t="shared" ca="1" si="0"/>
        <v>41594</v>
      </c>
      <c r="G2" s="99">
        <f t="shared" ca="1" si="0"/>
        <v>41624</v>
      </c>
      <c r="H2" s="99">
        <f t="shared" ca="1" si="0"/>
        <v>41655</v>
      </c>
      <c r="I2" s="99">
        <f t="shared" ca="1" si="0"/>
        <v>41686</v>
      </c>
      <c r="K2" s="172">
        <v>38502</v>
      </c>
      <c r="L2" s="172">
        <v>38867</v>
      </c>
      <c r="M2" s="173">
        <f>DAYS360(K2,L2)</f>
        <v>360</v>
      </c>
      <c r="N2" s="174" t="s">
        <v>151</v>
      </c>
      <c r="O2" s="53"/>
      <c r="P2" s="53">
        <f>DAYS360("2005/5/30","2006/5/30")</f>
        <v>360</v>
      </c>
    </row>
    <row r="3" spans="1:16">
      <c r="A3" s="96" t="s">
        <v>10</v>
      </c>
      <c r="B3" s="97">
        <f>DAY("1-Nov-99")</f>
        <v>1</v>
      </c>
      <c r="C3" s="98"/>
      <c r="D3" s="100">
        <f t="shared" ref="D3:I3" ca="1" si="1">DAY(DATE(YEAR(TODAY()),MONTH(D2)+1,0))</f>
        <v>30</v>
      </c>
      <c r="E3" s="100">
        <f t="shared" ca="1" si="1"/>
        <v>31</v>
      </c>
      <c r="F3" s="100">
        <f t="shared" ca="1" si="1"/>
        <v>30</v>
      </c>
      <c r="G3" s="100">
        <f t="shared" ca="1" si="1"/>
        <v>31</v>
      </c>
      <c r="H3" s="100">
        <f t="shared" ca="1" si="1"/>
        <v>31</v>
      </c>
      <c r="I3" s="100">
        <f t="shared" ca="1" si="1"/>
        <v>28</v>
      </c>
      <c r="K3" s="175">
        <v>38502</v>
      </c>
      <c r="L3" s="175">
        <v>38867</v>
      </c>
      <c r="M3" s="176">
        <f>L3-K3</f>
        <v>365</v>
      </c>
      <c r="N3" s="174" t="s">
        <v>152</v>
      </c>
      <c r="O3" s="53"/>
      <c r="P3" s="53">
        <f>"2006/5/30"-"2005/5/30"</f>
        <v>365</v>
      </c>
    </row>
    <row r="4" spans="1:16" s="98" customFormat="1">
      <c r="A4" s="96" t="s">
        <v>61</v>
      </c>
      <c r="B4" s="97">
        <f>DAY(38417)</f>
        <v>6</v>
      </c>
      <c r="D4" s="98" t="s">
        <v>93</v>
      </c>
      <c r="K4" s="177">
        <v>38502</v>
      </c>
      <c r="L4" s="177">
        <v>38867</v>
      </c>
      <c r="M4" s="178">
        <f>_xlfn.DAYS(L4,K4)</f>
        <v>365</v>
      </c>
      <c r="N4" s="174" t="s">
        <v>153</v>
      </c>
      <c r="O4" s="53"/>
      <c r="P4" s="53">
        <f>_xlfn.DAYS("2006/5/30","2005/5/30")</f>
        <v>365</v>
      </c>
    </row>
    <row r="5" spans="1:16" s="98" customFormat="1">
      <c r="A5" s="96" t="s">
        <v>94</v>
      </c>
      <c r="B5" s="97">
        <f>DAY("3/5")</f>
        <v>5</v>
      </c>
      <c r="D5" s="101">
        <v>5</v>
      </c>
      <c r="E5" s="101">
        <v>6</v>
      </c>
      <c r="F5" s="101">
        <v>7</v>
      </c>
      <c r="G5" s="101">
        <v>8</v>
      </c>
      <c r="H5" s="101">
        <v>9</v>
      </c>
      <c r="I5" s="101">
        <v>10</v>
      </c>
      <c r="K5" s="50">
        <v>38503</v>
      </c>
      <c r="L5" s="50">
        <v>38564</v>
      </c>
      <c r="M5" s="179">
        <f>DAYS360(K5,L5,TRUE)</f>
        <v>60</v>
      </c>
      <c r="N5" s="174" t="s">
        <v>154</v>
      </c>
      <c r="O5" s="53"/>
      <c r="P5" s="53"/>
    </row>
    <row r="6" spans="1:16" s="98" customFormat="1">
      <c r="A6" s="96" t="s">
        <v>95</v>
      </c>
      <c r="B6" s="97">
        <f>DAY(DATE(2005,5,20))</f>
        <v>20</v>
      </c>
      <c r="D6" s="101">
        <f t="shared" ref="D6:I6" si="2">DAY(DATE(2005,D5+1,0))</f>
        <v>31</v>
      </c>
      <c r="E6" s="101">
        <f t="shared" si="2"/>
        <v>30</v>
      </c>
      <c r="F6" s="101">
        <f t="shared" si="2"/>
        <v>31</v>
      </c>
      <c r="G6" s="101">
        <f t="shared" si="2"/>
        <v>31</v>
      </c>
      <c r="H6" s="101">
        <f t="shared" si="2"/>
        <v>30</v>
      </c>
      <c r="I6" s="101">
        <f t="shared" si="2"/>
        <v>31</v>
      </c>
      <c r="K6" s="172">
        <v>41275</v>
      </c>
      <c r="L6" s="172">
        <f ca="1">TODAY()</f>
        <v>41533</v>
      </c>
      <c r="M6" s="180">
        <f ca="1">DAYS360(K6,L6)</f>
        <v>255</v>
      </c>
      <c r="N6" s="181" t="s">
        <v>155</v>
      </c>
      <c r="O6" s="53"/>
      <c r="P6" s="53"/>
    </row>
    <row r="7" spans="1:16">
      <c r="A7" s="102" t="s">
        <v>96</v>
      </c>
      <c r="B7" s="103">
        <f>DAY(DATE(2005,5,0))</f>
        <v>30</v>
      </c>
      <c r="K7" s="50">
        <v>38467</v>
      </c>
      <c r="L7" s="50">
        <v>38503</v>
      </c>
      <c r="M7" s="51">
        <f>DAYS360(K7,L7)</f>
        <v>36</v>
      </c>
      <c r="N7" s="53"/>
      <c r="O7" s="53"/>
      <c r="P7" s="53"/>
    </row>
    <row r="8" spans="1:16">
      <c r="K8" s="175">
        <v>38503</v>
      </c>
      <c r="L8" s="175">
        <v>38867</v>
      </c>
      <c r="M8" s="182">
        <f>L8-K8</f>
        <v>364</v>
      </c>
      <c r="N8" s="53"/>
      <c r="O8" s="53"/>
      <c r="P8" s="53"/>
    </row>
    <row r="9" spans="1:16">
      <c r="D9" s="54">
        <f ca="1">EOMONTH(MONTH(TODAY()),0)</f>
        <v>31</v>
      </c>
      <c r="E9" s="104"/>
    </row>
    <row r="10" spans="1:16">
      <c r="D10" s="54">
        <f ca="1">MONTH(TODAY())</f>
        <v>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H24" sqref="H24"/>
    </sheetView>
  </sheetViews>
  <sheetFormatPr defaultColWidth="8.875" defaultRowHeight="16.5"/>
  <cols>
    <col min="1" max="1" width="1.5" style="54" customWidth="1"/>
    <col min="2" max="2" width="8.375" style="54" customWidth="1"/>
    <col min="3" max="3" width="15.375" style="54" bestFit="1" customWidth="1"/>
    <col min="4" max="4" width="16.125" style="54" bestFit="1" customWidth="1"/>
    <col min="5" max="5" width="8.875" style="54" customWidth="1"/>
    <col min="6" max="6" width="17.125" style="54" customWidth="1"/>
    <col min="7" max="7" width="8.125" style="54" customWidth="1"/>
    <col min="8" max="8" width="14.625" style="54" bestFit="1" customWidth="1"/>
    <col min="9" max="9" width="16.25" style="54" customWidth="1"/>
    <col min="10" max="10" width="14" style="54" customWidth="1"/>
    <col min="11" max="11" width="15" style="54" customWidth="1"/>
    <col min="12" max="16384" width="8.875" style="54"/>
  </cols>
  <sheetData>
    <row r="1" spans="2:11" s="53" customFormat="1" ht="9.75" customHeight="1"/>
    <row r="2" spans="2:11">
      <c r="B2" s="7" t="s">
        <v>57</v>
      </c>
      <c r="C2" s="7"/>
      <c r="D2" s="7"/>
      <c r="E2" s="8"/>
    </row>
    <row r="3" spans="2:11">
      <c r="B3" s="9" t="s">
        <v>12</v>
      </c>
      <c r="C3" s="9" t="s">
        <v>13</v>
      </c>
      <c r="D3" s="9" t="s">
        <v>14</v>
      </c>
      <c r="E3" s="9" t="s">
        <v>15</v>
      </c>
    </row>
    <row r="4" spans="2:11">
      <c r="B4" s="105">
        <v>38607</v>
      </c>
      <c r="C4" s="105">
        <v>38635</v>
      </c>
      <c r="D4" s="105">
        <v>38668</v>
      </c>
      <c r="E4" s="105">
        <v>38711</v>
      </c>
      <c r="F4" s="106" t="s">
        <v>58</v>
      </c>
      <c r="G4" s="107"/>
    </row>
    <row r="5" spans="2:11">
      <c r="B5" s="105">
        <v>38623</v>
      </c>
      <c r="C5" s="105">
        <v>38650</v>
      </c>
      <c r="D5" s="105"/>
      <c r="E5" s="105"/>
    </row>
    <row r="6" spans="2:11">
      <c r="B6" s="105"/>
      <c r="C6" s="105">
        <v>38656</v>
      </c>
      <c r="D6" s="105"/>
      <c r="E6" s="105"/>
    </row>
    <row r="7" spans="2:11" ht="9.6" customHeight="1"/>
    <row r="8" spans="2:11" ht="33">
      <c r="B8" s="108" t="s">
        <v>16</v>
      </c>
      <c r="C8" s="109" t="s">
        <v>17</v>
      </c>
      <c r="D8" s="110" t="s">
        <v>18</v>
      </c>
      <c r="E8" s="109" t="s">
        <v>19</v>
      </c>
      <c r="F8" s="110" t="s">
        <v>20</v>
      </c>
      <c r="G8" s="109" t="s">
        <v>130</v>
      </c>
      <c r="H8" s="110" t="s">
        <v>21</v>
      </c>
      <c r="I8" s="109" t="s">
        <v>51</v>
      </c>
    </row>
    <row r="9" spans="2:11">
      <c r="B9" s="111" t="s">
        <v>22</v>
      </c>
      <c r="C9" s="112" t="s">
        <v>23</v>
      </c>
      <c r="D9" s="113">
        <v>38604</v>
      </c>
      <c r="E9" s="114">
        <v>10</v>
      </c>
      <c r="F9" s="113">
        <f>IF(D9="","",WORKDAY(D9,E9,假日))</f>
        <v>38621</v>
      </c>
      <c r="G9" s="114">
        <v>1</v>
      </c>
      <c r="H9" s="115">
        <f>IF(ISBLANK(G9),"",EDATE(F9,G9))</f>
        <v>38651</v>
      </c>
      <c r="I9" s="116">
        <f>IF(ISBLANK(G9),"",EOMONTH(H9,0))</f>
        <v>38656</v>
      </c>
    </row>
    <row r="10" spans="2:11">
      <c r="B10" s="111" t="s">
        <v>24</v>
      </c>
      <c r="C10" s="112" t="s">
        <v>25</v>
      </c>
      <c r="D10" s="113">
        <v>38633</v>
      </c>
      <c r="E10" s="114">
        <v>45</v>
      </c>
      <c r="F10" s="113">
        <f>IF(D10="","",WORKDAY(D10,E10,假日))</f>
        <v>38700</v>
      </c>
      <c r="G10" s="114">
        <v>3</v>
      </c>
      <c r="H10" s="115">
        <f>IF(ISBLANK(G10),"",EDATE(F10,G10))</f>
        <v>38790</v>
      </c>
      <c r="I10" s="116">
        <f>IF(ISBLANK(G10),"",EOMONTH(H10,0))</f>
        <v>38807</v>
      </c>
    </row>
    <row r="11" spans="2:11">
      <c r="B11" s="111" t="s">
        <v>26</v>
      </c>
      <c r="C11" s="112" t="s">
        <v>97</v>
      </c>
      <c r="D11" s="113">
        <v>38664</v>
      </c>
      <c r="E11" s="114">
        <v>35</v>
      </c>
      <c r="F11" s="113">
        <f>IF(D11="","",WORKDAY(D11,E11,假日))</f>
        <v>38713</v>
      </c>
      <c r="G11" s="114">
        <v>2</v>
      </c>
      <c r="H11" s="115">
        <f>IF(ISBLANK(G11),"",EDATE(F11,G11))</f>
        <v>38775</v>
      </c>
      <c r="I11" s="116">
        <f>IF(ISBLANK(G11),"",EOMONTH(H11,0))</f>
        <v>38776</v>
      </c>
    </row>
    <row r="12" spans="2:11" ht="9" customHeight="1"/>
    <row r="13" spans="2:11" ht="20.25" customHeight="1">
      <c r="B13" s="117" t="s">
        <v>98</v>
      </c>
      <c r="C13" s="118"/>
      <c r="D13" s="118"/>
      <c r="E13" s="57">
        <f>NETWORKDAYS("10/1","10/31",C4:C6)</f>
        <v>23</v>
      </c>
      <c r="F13" s="119" t="s">
        <v>59</v>
      </c>
    </row>
    <row r="15" spans="2:11">
      <c r="C15" s="120"/>
      <c r="J15" s="157" t="s">
        <v>99</v>
      </c>
      <c r="K15" s="159"/>
    </row>
    <row r="16" spans="2:11" ht="19.5" customHeight="1">
      <c r="B16" s="121" t="s">
        <v>33</v>
      </c>
      <c r="C16" s="122"/>
      <c r="D16" s="19">
        <v>32426</v>
      </c>
      <c r="F16" s="123" t="s">
        <v>100</v>
      </c>
      <c r="G16" s="25" t="s">
        <v>42</v>
      </c>
      <c r="H16" s="124">
        <f>TIME(13,70,45)</f>
        <v>0.59079861111111109</v>
      </c>
      <c r="J16" s="22" t="s">
        <v>38</v>
      </c>
      <c r="K16" s="125">
        <f ca="1">TODAY()</f>
        <v>41533</v>
      </c>
    </row>
    <row r="17" spans="2:11" ht="19.5" customHeight="1">
      <c r="B17" s="126" t="s">
        <v>34</v>
      </c>
      <c r="C17" s="127"/>
      <c r="D17" s="20">
        <f ca="1">TODAY()-D16</f>
        <v>9107</v>
      </c>
      <c r="F17" s="123" t="s">
        <v>41</v>
      </c>
      <c r="G17" s="25" t="s">
        <v>42</v>
      </c>
      <c r="H17" s="124">
        <f>TIME(3,10,46)</f>
        <v>0.13247685185185185</v>
      </c>
      <c r="J17" s="22" t="s">
        <v>39</v>
      </c>
      <c r="K17" s="128">
        <f ca="1">NOW()</f>
        <v>41533.561778935182</v>
      </c>
    </row>
    <row r="18" spans="2:11" ht="19.5" customHeight="1">
      <c r="B18" s="129" t="s">
        <v>35</v>
      </c>
      <c r="C18" s="130"/>
      <c r="D18" s="21">
        <f ca="1">IF(MONTH(TODAY())&gt;MONTH(D16),DATE(YEAR(TODAY())+1,MONTH(D16),DAY(D16))-TODAY(),DATE(YEAR(TODAY()),MONTH(D16),DAY(D16))-TODAY())</f>
        <v>24</v>
      </c>
      <c r="F18" s="123" t="s">
        <v>40</v>
      </c>
      <c r="G18" s="25" t="s">
        <v>42</v>
      </c>
      <c r="H18" s="124">
        <f>TIME(25,80,90)</f>
        <v>9.8263888888888928E-2</v>
      </c>
    </row>
    <row r="19" spans="2:11" ht="19.5" customHeight="1">
      <c r="B19" s="126" t="s">
        <v>36</v>
      </c>
      <c r="C19" s="131"/>
      <c r="D19" s="20">
        <f ca="1">TODAY()-DATE(YEAR(TODAY()),1,0)</f>
        <v>259</v>
      </c>
      <c r="F19" s="23" t="s">
        <v>101</v>
      </c>
      <c r="G19" s="25" t="s">
        <v>42</v>
      </c>
      <c r="H19" s="124">
        <f>TIME(0,60,0)</f>
        <v>4.1666666666666664E-2</v>
      </c>
    </row>
    <row r="20" spans="2:11" ht="19.5" customHeight="1">
      <c r="B20" s="129" t="s">
        <v>37</v>
      </c>
      <c r="C20" s="130"/>
      <c r="D20" s="18">
        <f ca="1">DATE(YEAR(TODAY()),12,31)-TODAY()</f>
        <v>106</v>
      </c>
      <c r="F20" s="24" t="s">
        <v>102</v>
      </c>
      <c r="G20" s="25" t="s">
        <v>42</v>
      </c>
      <c r="H20" s="124">
        <f>TIME(0,60,-120)</f>
        <v>4.027777777777778E-2</v>
      </c>
      <c r="I20" s="104"/>
    </row>
    <row r="21" spans="2:11">
      <c r="H21" s="104"/>
    </row>
    <row r="22" spans="2:11">
      <c r="B22" s="164" t="str">
        <f ca="1">"90天後到期日是:"&amp;TEXT(NOW()+90,"e年mm月dd日")</f>
        <v>90天後到期日是:102年12月15日</v>
      </c>
      <c r="C22" s="164"/>
      <c r="D22" s="164"/>
      <c r="E22" s="164"/>
      <c r="F22" s="164"/>
      <c r="G22" s="164"/>
    </row>
    <row r="23" spans="2:11">
      <c r="F23" s="104">
        <f ca="1">DATE(YEAR(TODAY()),1,0)</f>
        <v>41274</v>
      </c>
      <c r="H23" s="132"/>
    </row>
    <row r="24" spans="2:11">
      <c r="H24" s="132"/>
    </row>
    <row r="25" spans="2:11">
      <c r="F25" s="84"/>
    </row>
  </sheetData>
  <mergeCells count="2">
    <mergeCell ref="J15:K15"/>
    <mergeCell ref="B22:G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workbookViewId="0">
      <selection activeCell="E19" sqref="E19"/>
    </sheetView>
  </sheetViews>
  <sheetFormatPr defaultRowHeight="16.5"/>
  <cols>
    <col min="1" max="1" width="14.5" customWidth="1"/>
    <col min="2" max="4" width="12.125" style="1" customWidth="1"/>
    <col min="5" max="5" width="11.375" style="1" customWidth="1"/>
    <col min="6" max="6" width="9.5" bestFit="1" customWidth="1"/>
  </cols>
  <sheetData>
    <row r="1" spans="2:7">
      <c r="B1" s="10" t="s">
        <v>27</v>
      </c>
    </row>
    <row r="2" spans="2:7">
      <c r="C2" s="11" t="s">
        <v>28</v>
      </c>
    </row>
    <row r="3" spans="2:7" ht="10.5" customHeight="1"/>
    <row r="4" spans="2:7" ht="22.5" customHeight="1">
      <c r="B4" s="14" t="s">
        <v>29</v>
      </c>
      <c r="C4" s="14" t="s">
        <v>30</v>
      </c>
      <c r="D4" s="14" t="s">
        <v>31</v>
      </c>
      <c r="E4" s="14" t="s">
        <v>32</v>
      </c>
    </row>
    <row r="5" spans="2:7">
      <c r="B5" s="12">
        <v>0.3354166666666667</v>
      </c>
      <c r="C5" s="12">
        <v>0.44305555555555554</v>
      </c>
      <c r="D5" s="13">
        <f>C5-B5</f>
        <v>0.10763888888888884</v>
      </c>
      <c r="E5" s="5">
        <f>IF(HOUR(D5)&gt;0,100+(HOUR(D5)-1)*80+ROUNDUP(MINUTE(D5)/30,0)*40,100)</f>
        <v>260</v>
      </c>
    </row>
    <row r="6" spans="2:7">
      <c r="B6" s="15">
        <v>0.34375</v>
      </c>
      <c r="C6" s="15">
        <v>0.38055555555555554</v>
      </c>
      <c r="D6" s="16">
        <f>C6-B6</f>
        <v>3.6805555555555536E-2</v>
      </c>
      <c r="E6" s="17">
        <f>IF(HOUR(D6)&gt;0,100+(HOUR(D6)-1)*80+ROUNDUP(MINUTE(D6)/30,0)*40,100)</f>
        <v>100</v>
      </c>
      <c r="G6" s="2"/>
    </row>
    <row r="7" spans="2:7">
      <c r="B7" s="12">
        <v>0.39583333333333331</v>
      </c>
      <c r="C7" s="12">
        <v>0.45833333333333331</v>
      </c>
      <c r="D7" s="13">
        <f>C7-B7</f>
        <v>6.25E-2</v>
      </c>
      <c r="E7" s="5">
        <f>IF(HOUR(D7)&gt;0,100+(HOUR(D7)-1)*80+ROUNDUP(MINUTE(D7)/30,0)*40,100)</f>
        <v>140</v>
      </c>
      <c r="G7" s="2"/>
    </row>
    <row r="8" spans="2:7" ht="18" customHeight="1">
      <c r="B8" s="15">
        <v>0.45833333333333331</v>
      </c>
      <c r="C8" s="15">
        <v>0.52638888888888891</v>
      </c>
      <c r="D8" s="16">
        <f>C8-B8</f>
        <v>6.8055555555555591E-2</v>
      </c>
      <c r="E8" s="17">
        <f>IF(HOUR(D8)&gt;0,100+(HOUR(D8)-1)*80+ROUNDUP(MINUTE(D8)/30,0)*40,100)</f>
        <v>180</v>
      </c>
    </row>
    <row r="9" spans="2:7">
      <c r="B9" s="12">
        <v>0.50069444444444444</v>
      </c>
      <c r="C9" s="12">
        <v>0.54305555555555551</v>
      </c>
      <c r="D9" s="13">
        <f>C9-B9</f>
        <v>4.2361111111111072E-2</v>
      </c>
      <c r="E9" s="5">
        <f>IF(HOUR(D9)&gt;0,100+(HOUR(D9)-1)*80+ROUNDUP(MINUTE(D9)/30,0)*40,100)</f>
        <v>140</v>
      </c>
    </row>
    <row r="12" spans="2:7" ht="19.5" customHeight="1">
      <c r="B12" s="27" t="s">
        <v>47</v>
      </c>
    </row>
    <row r="13" spans="2:7" ht="20.25" customHeight="1">
      <c r="B13" s="26" t="s">
        <v>43</v>
      </c>
      <c r="C13" s="26" t="s">
        <v>44</v>
      </c>
      <c r="D13" s="26" t="s">
        <v>45</v>
      </c>
      <c r="E13" s="26" t="s">
        <v>46</v>
      </c>
    </row>
    <row r="14" spans="2:7">
      <c r="B14" s="28">
        <v>0.32651620370370371</v>
      </c>
      <c r="C14" s="28">
        <v>0.35827546296296298</v>
      </c>
      <c r="D14" s="28">
        <f>IF(C14&lt;B14,(C14-B14)+24,C14-B14)</f>
        <v>3.1759259259259265E-2</v>
      </c>
      <c r="E14" s="29">
        <f>SUM(HOUR(D14)*60*60,MINUTE(D14)*60,SECOND(D14))*0.15</f>
        <v>411.59999999999997</v>
      </c>
    </row>
    <row r="15" spans="2:7">
      <c r="B15" s="28">
        <v>0.6162037037037037</v>
      </c>
      <c r="C15" s="28">
        <v>0.62251157407407409</v>
      </c>
      <c r="D15" s="28">
        <f>IF(C15&lt;B15,(C15-B15)+24,C15-B15)</f>
        <v>6.3078703703703942E-3</v>
      </c>
      <c r="E15" s="29">
        <f>SUM(HOUR(D15)*60*60,MINUTE(D15)*60,SECOND(D15))*0.15</f>
        <v>81.75</v>
      </c>
    </row>
    <row r="16" spans="2:7">
      <c r="B16" s="28">
        <v>0.9237847222222223</v>
      </c>
      <c r="C16" s="28">
        <v>4.189814814814815E-2</v>
      </c>
      <c r="D16" s="28">
        <f>IF(C16&lt;B16,(C16-B16)+24,C16-B16)</f>
        <v>23.118113425925927</v>
      </c>
      <c r="E16" s="29">
        <f>SUM(HOUR(D16)*60*60,MINUTE(D16)*60,SECOND(D16))*0.15</f>
        <v>1530.75</v>
      </c>
    </row>
    <row r="17" spans="3:6" ht="12" customHeight="1">
      <c r="D17" s="1" t="s">
        <v>49</v>
      </c>
    </row>
    <row r="18" spans="3:6">
      <c r="C18" s="31" t="s">
        <v>48</v>
      </c>
    </row>
    <row r="19" spans="3:6">
      <c r="E19" s="35" t="s">
        <v>50</v>
      </c>
    </row>
    <row r="20" spans="3:6">
      <c r="F20" s="30"/>
    </row>
    <row r="27" spans="3:6">
      <c r="C27" s="32"/>
      <c r="D27" s="32"/>
      <c r="E27" s="33">
        <f>ABS(C16-B16)</f>
        <v>0.88188657407407411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A11" sqref="A11:IV11"/>
    </sheetView>
  </sheetViews>
  <sheetFormatPr defaultRowHeight="16.5"/>
  <cols>
    <col min="1" max="1" width="27" customWidth="1"/>
    <col min="2" max="2" width="9.5" bestFit="1" customWidth="1"/>
    <col min="3" max="4" width="10.5" bestFit="1" customWidth="1"/>
    <col min="5" max="5" width="10" customWidth="1"/>
    <col min="6" max="6" width="9.5" bestFit="1" customWidth="1"/>
    <col min="7" max="7" width="12.25" customWidth="1"/>
    <col min="8" max="8" width="17.5" customWidth="1"/>
    <col min="9" max="9" width="11.5" customWidth="1"/>
  </cols>
  <sheetData>
    <row r="1" spans="1:8" ht="8.25" customHeight="1"/>
    <row r="2" spans="1:8" s="1" customFormat="1">
      <c r="B2" s="37">
        <f ca="1">TODAY()+3</f>
        <v>41536</v>
      </c>
      <c r="C2" s="37">
        <f t="shared" ref="C2:H2" ca="1" si="0">B2+1</f>
        <v>41537</v>
      </c>
      <c r="D2" s="37">
        <f t="shared" ca="1" si="0"/>
        <v>41538</v>
      </c>
      <c r="E2" s="37">
        <f t="shared" ca="1" si="0"/>
        <v>41539</v>
      </c>
      <c r="F2" s="37">
        <f t="shared" ca="1" si="0"/>
        <v>41540</v>
      </c>
      <c r="G2" s="37">
        <f t="shared" ca="1" si="0"/>
        <v>41541</v>
      </c>
      <c r="H2" s="37">
        <f t="shared" ca="1" si="0"/>
        <v>41542</v>
      </c>
    </row>
    <row r="3" spans="1:8" s="1" customFormat="1">
      <c r="B3" s="38">
        <f ca="1">B2</f>
        <v>41536</v>
      </c>
      <c r="C3" s="38">
        <f t="shared" ref="C3:H3" ca="1" si="1">C2</f>
        <v>41537</v>
      </c>
      <c r="D3" s="38">
        <f t="shared" ca="1" si="1"/>
        <v>41538</v>
      </c>
      <c r="E3" s="38">
        <f t="shared" ca="1" si="1"/>
        <v>41539</v>
      </c>
      <c r="F3" s="38">
        <f t="shared" ca="1" si="1"/>
        <v>41540</v>
      </c>
      <c r="G3" s="38">
        <f t="shared" ca="1" si="1"/>
        <v>41541</v>
      </c>
      <c r="H3" s="38">
        <f t="shared" ca="1" si="1"/>
        <v>41542</v>
      </c>
    </row>
    <row r="4" spans="1:8" s="1" customFormat="1">
      <c r="A4" s="35" t="s">
        <v>52</v>
      </c>
      <c r="B4" s="34">
        <f ca="1">WEEKDAY(B2)</f>
        <v>5</v>
      </c>
      <c r="C4" s="34">
        <f t="shared" ref="C4:H4" ca="1" si="2">WEEKDAY(C2)</f>
        <v>6</v>
      </c>
      <c r="D4" s="34">
        <f t="shared" ca="1" si="2"/>
        <v>7</v>
      </c>
      <c r="E4" s="34">
        <f t="shared" ca="1" si="2"/>
        <v>1</v>
      </c>
      <c r="F4" s="34">
        <f t="shared" ca="1" si="2"/>
        <v>2</v>
      </c>
      <c r="G4" s="34">
        <f t="shared" ca="1" si="2"/>
        <v>3</v>
      </c>
      <c r="H4" s="34">
        <f t="shared" ca="1" si="2"/>
        <v>4</v>
      </c>
    </row>
    <row r="5" spans="1:8" s="1" customFormat="1">
      <c r="A5" s="35" t="s">
        <v>53</v>
      </c>
      <c r="B5" s="39">
        <f ca="1">WEEKDAY(B2,2)</f>
        <v>4</v>
      </c>
      <c r="C5" s="39">
        <f t="shared" ref="C5:H5" ca="1" si="3">WEEKDAY(C2,2)</f>
        <v>5</v>
      </c>
      <c r="D5" s="39">
        <f t="shared" ca="1" si="3"/>
        <v>6</v>
      </c>
      <c r="E5" s="39">
        <f t="shared" ca="1" si="3"/>
        <v>7</v>
      </c>
      <c r="F5" s="39">
        <f t="shared" ca="1" si="3"/>
        <v>1</v>
      </c>
      <c r="G5" s="39">
        <f t="shared" ca="1" si="3"/>
        <v>2</v>
      </c>
      <c r="H5" s="39">
        <f t="shared" ca="1" si="3"/>
        <v>3</v>
      </c>
    </row>
    <row r="6" spans="1:8" s="1" customFormat="1">
      <c r="A6" s="35" t="s">
        <v>54</v>
      </c>
      <c r="B6" s="34">
        <f ca="1">WEEKDAY(B2,3)</f>
        <v>3</v>
      </c>
      <c r="C6" s="34">
        <f t="shared" ref="C6:H6" ca="1" si="4">WEEKDAY(C2,3)</f>
        <v>4</v>
      </c>
      <c r="D6" s="34">
        <f t="shared" ca="1" si="4"/>
        <v>5</v>
      </c>
      <c r="E6" s="34">
        <f t="shared" ca="1" si="4"/>
        <v>6</v>
      </c>
      <c r="F6" s="34">
        <f t="shared" ca="1" si="4"/>
        <v>0</v>
      </c>
      <c r="G6" s="34">
        <f t="shared" ca="1" si="4"/>
        <v>1</v>
      </c>
      <c r="H6" s="34">
        <f t="shared" ca="1" si="4"/>
        <v>2</v>
      </c>
    </row>
    <row r="7" spans="1:8">
      <c r="A7" s="36"/>
      <c r="B7" s="47" t="str">
        <f ca="1">"今天"&amp;TEXT(B2,"yyyy/mm/dd aaaa")&amp;"是今年的第"&amp;WEEKNUM(B2)&amp;"週"</f>
        <v>今天2013/09/19 星期四是今年的第38週</v>
      </c>
      <c r="C7" s="35" t="s">
        <v>55</v>
      </c>
    </row>
    <row r="8" spans="1:8">
      <c r="B8" s="46">
        <f ca="1">WEEKNUM(B3,2)</f>
        <v>38</v>
      </c>
      <c r="C8" s="35" t="s">
        <v>56</v>
      </c>
    </row>
    <row r="9" spans="1:8">
      <c r="B9" s="46"/>
      <c r="C9" s="35"/>
    </row>
    <row r="10" spans="1:8">
      <c r="A10" s="36"/>
      <c r="B10" s="47" t="str">
        <f ca="1">"今天"&amp;TEXT(B2,"yyyy/mm/dd aaaa")&amp;"是今年的第"&amp;_xlfn.ISOWEEKNUM(B2)&amp;"週"</f>
        <v>今天2013/09/19 星期四是今年的第38週</v>
      </c>
      <c r="C10" s="35" t="s">
        <v>156</v>
      </c>
    </row>
    <row r="11" spans="1:8">
      <c r="A11" s="36"/>
      <c r="B11" s="47"/>
      <c r="C11" s="35"/>
    </row>
    <row r="12" spans="1:8" ht="12" customHeight="1"/>
    <row r="13" spans="1:8">
      <c r="A13" s="145" t="s">
        <v>131</v>
      </c>
      <c r="B13" s="166">
        <v>38353</v>
      </c>
      <c r="C13" s="166"/>
      <c r="D13" s="166"/>
      <c r="F13" s="165" t="s">
        <v>135</v>
      </c>
      <c r="G13" s="165"/>
      <c r="H13" s="41">
        <v>25750</v>
      </c>
    </row>
    <row r="14" spans="1:8">
      <c r="A14" s="146" t="s">
        <v>132</v>
      </c>
      <c r="B14" s="147">
        <v>38354</v>
      </c>
      <c r="C14" s="147">
        <v>38718</v>
      </c>
      <c r="D14" s="147">
        <v>39264</v>
      </c>
      <c r="F14" s="169" t="s">
        <v>136</v>
      </c>
      <c r="G14" s="169"/>
      <c r="H14" s="43">
        <f ca="1">TODAY()</f>
        <v>41533</v>
      </c>
    </row>
    <row r="15" spans="1:8">
      <c r="A15" s="40" t="s">
        <v>133</v>
      </c>
      <c r="B15" s="40">
        <f>YEARFRAC($B$13,B14,3)</f>
        <v>2.7397260273972603E-3</v>
      </c>
      <c r="C15" s="40">
        <f>YEARFRAC($B$13,C14,3)</f>
        <v>1</v>
      </c>
      <c r="D15" s="40">
        <f>YEARFRAC($B$13,D14,3)</f>
        <v>2.495890410958904</v>
      </c>
      <c r="F15" s="170" t="s">
        <v>137</v>
      </c>
      <c r="G15" s="171"/>
      <c r="H15" s="40">
        <f ca="1">YEARFRAC(H13,H14,1)</f>
        <v>43.211498973305957</v>
      </c>
    </row>
    <row r="16" spans="1:8">
      <c r="A16" s="148" t="s">
        <v>134</v>
      </c>
      <c r="B16" s="6" t="str">
        <f>INT(B15)&amp;" 年 "&amp;TEXT((B15-INT(B15))*365,"0")&amp;" 天"</f>
        <v>0 年 1 天</v>
      </c>
      <c r="C16" s="6" t="str">
        <f>INT(C15)&amp;" 年 "&amp;TEXT((C15-INT(C15))*365,"0")&amp;" 天"</f>
        <v>1 年 0 天</v>
      </c>
      <c r="D16" s="6" t="str">
        <f>INT(D15)&amp;" 年 "&amp;TEXT((D15-INT(D15))*365,"0")&amp;" 天"</f>
        <v>2 年 181 天</v>
      </c>
      <c r="F16" s="165" t="s">
        <v>60</v>
      </c>
      <c r="G16" s="165"/>
      <c r="H16" s="44" t="str">
        <f ca="1">INT(H15)&amp;"歲又"&amp;TEXT((H15-INT(H15))*365,"# ?/4")&amp;" 天"</f>
        <v>43歲又77 1/4 天</v>
      </c>
    </row>
    <row r="17" spans="3:8">
      <c r="F17" s="167" t="s">
        <v>138</v>
      </c>
      <c r="G17" s="168"/>
      <c r="H17" s="42">
        <f ca="1">YEARFRAC(H13,H14,3)</f>
        <v>43.241095890410961</v>
      </c>
    </row>
    <row r="18" spans="3:8">
      <c r="F18" s="169" t="s">
        <v>60</v>
      </c>
      <c r="G18" s="169"/>
      <c r="H18" s="6" t="str">
        <f ca="1">INT(H17)&amp;"歲又 "&amp;TEXT((H17-INT(H17))*365,"# ?/4")&amp;"天"</f>
        <v>43歲又 88    天</v>
      </c>
    </row>
    <row r="24" spans="3:8">
      <c r="C24" s="156"/>
    </row>
  </sheetData>
  <mergeCells count="7">
    <mergeCell ref="F16:G16"/>
    <mergeCell ref="B13:D13"/>
    <mergeCell ref="F17:G17"/>
    <mergeCell ref="F18:G18"/>
    <mergeCell ref="F13:G13"/>
    <mergeCell ref="F14:G14"/>
    <mergeCell ref="F15:G15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ignoredErrors>
    <ignoredError sqref="B15:D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ColWidth="8.875" defaultRowHeight="16.5"/>
  <cols>
    <col min="1" max="1" width="16.125" style="134" bestFit="1" customWidth="1"/>
    <col min="2" max="2" width="10.25" style="134" customWidth="1"/>
    <col min="3" max="16384" width="8.875" style="134"/>
  </cols>
  <sheetData>
    <row r="1" spans="1:2">
      <c r="A1" s="133">
        <v>24144</v>
      </c>
      <c r="B1" s="133">
        <f ca="1">TODAY()</f>
        <v>41533</v>
      </c>
    </row>
    <row r="2" spans="1:2">
      <c r="A2" s="135">
        <f>DATE(YEAR(A1)+25,MONTH(A1)+10,DAY(A1)+10)</f>
        <v>33588</v>
      </c>
      <c r="B2" s="134" t="s">
        <v>103</v>
      </c>
    </row>
    <row r="3" spans="1:2">
      <c r="A3" s="136" t="str">
        <f>TEXT(WEEKDAY(A1),"aaaa")</f>
        <v>星期日</v>
      </c>
      <c r="B3" s="134" t="s">
        <v>104</v>
      </c>
    </row>
    <row r="4" spans="1:2">
      <c r="A4" s="136">
        <f ca="1">IF(OR(MONTH(A1)&lt;MONTH(TODAY()),AND(MONTH(A1)=MONTH(TODAY()),DAY(A1)&lt;DAY(TODAY()))),YEAR(TODAY())-YEAR(A1),YEAR(TODAY())-YEAR(A1)-1)</f>
        <v>47</v>
      </c>
      <c r="B4" s="134" t="s">
        <v>105</v>
      </c>
    </row>
    <row r="5" spans="1:2">
      <c r="A5" s="136">
        <f ca="1">IF(OR(MONTH(A1)&lt;MONTH(TODAY()),AND(MONTH(A1)=MONTH(TODAY()),DAY(A1)&lt;DAY(TODAY()))),YEAR(TODAY())-YEAR(A1)+1,YEAR(TODAY())-YEAR(A1))</f>
        <v>48</v>
      </c>
      <c r="B5" s="134" t="s">
        <v>106</v>
      </c>
    </row>
    <row r="6" spans="1:2">
      <c r="A6" s="136">
        <f ca="1">YEAR(B1)-YEAR(A1)</f>
        <v>47</v>
      </c>
      <c r="B6" s="134" t="s">
        <v>149</v>
      </c>
    </row>
    <row r="7" spans="1:2">
      <c r="A7" s="136">
        <f ca="1">(YEAR(B1)-YEAR(A1))*12+(MONTH(B1)-MONTH(A1))</f>
        <v>571</v>
      </c>
      <c r="B7" s="134" t="s">
        <v>107</v>
      </c>
    </row>
    <row r="8" spans="1:2">
      <c r="A8" s="136">
        <f ca="1">B1-A1</f>
        <v>17389</v>
      </c>
      <c r="B8" s="134" t="s">
        <v>150</v>
      </c>
    </row>
  </sheetData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DATE</vt:lpstr>
      <vt:lpstr>DATEDIF</vt:lpstr>
      <vt:lpstr>DAY</vt:lpstr>
      <vt:lpstr>EDATE</vt:lpstr>
      <vt:lpstr>時分秒</vt:lpstr>
      <vt:lpstr>week</vt:lpstr>
      <vt:lpstr>日期摘要</vt:lpstr>
      <vt:lpstr>假日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Windows 使用者</cp:lastModifiedBy>
  <dcterms:created xsi:type="dcterms:W3CDTF">2005-05-24T06:51:28Z</dcterms:created>
  <dcterms:modified xsi:type="dcterms:W3CDTF">2013-09-16T05:30:35Z</dcterms:modified>
</cp:coreProperties>
</file>