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參考解答\"/>
    </mc:Choice>
  </mc:AlternateContent>
  <bookViews>
    <workbookView xWindow="90" yWindow="120" windowWidth="15210" windowHeight="6045" tabRatio="720"/>
  </bookViews>
  <sheets>
    <sheet name="敘述統計" sheetId="1" r:id="rId1"/>
    <sheet name="COUNT" sheetId="2" r:id="rId2"/>
    <sheet name="COUNTIF" sheetId="3" r:id="rId3"/>
    <sheet name="Large" sheetId="5" r:id="rId4"/>
    <sheet name="BETA" sheetId="6" r:id="rId5"/>
    <sheet name="CHIDIST" sheetId="7" r:id="rId6"/>
    <sheet name="GAMMA" sheetId="8" r:id="rId7"/>
    <sheet name="GAMMAINV" sheetId="10" r:id="rId8"/>
    <sheet name="標準常態分配" sheetId="12" r:id="rId9"/>
    <sheet name="常態分配" sheetId="13" r:id="rId10"/>
    <sheet name="PROB" sheetId="11" r:id="rId11"/>
    <sheet name="F檢定" sheetId="14" r:id="rId12"/>
    <sheet name="T檢定" sheetId="15" r:id="rId13"/>
    <sheet name="成對樣本" sheetId="16" r:id="rId14"/>
    <sheet name="相關係數" sheetId="17" r:id="rId15"/>
    <sheet name="簡單迴歸" sheetId="19" r:id="rId16"/>
    <sheet name="GROWTH" sheetId="20" r:id="rId17"/>
    <sheet name="LINEST" sheetId="21" r:id="rId18"/>
    <sheet name="LOGEST" sheetId="22" r:id="rId19"/>
    <sheet name="綜合練習" sheetId="23" r:id="rId20"/>
  </sheets>
  <definedNames>
    <definedName name="姓名">敘述統計!$B$3:$B$13</definedName>
    <definedName name="組距">COUNTIF!$C$8:$C$13</definedName>
    <definedName name="統計學" localSheetId="2">COUNTIF!$B$2:$B$51</definedName>
    <definedName name="統計學">敘述統計!$C$3:$C$13</definedName>
    <definedName name="經濟學">敘述統計!$D$3:$D$13</definedName>
    <definedName name="檢定成績">#REF!</definedName>
  </definedNames>
  <calcPr calcId="152511"/>
</workbook>
</file>

<file path=xl/calcChain.xml><?xml version="1.0" encoding="utf-8"?>
<calcChain xmlns="http://schemas.openxmlformats.org/spreadsheetml/2006/main">
  <c r="A22" i="15" l="1"/>
  <c r="D2" i="23" a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C2" i="23" a="1"/>
  <c r="C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P2" i="20"/>
  <c r="F2" i="20" a="1"/>
  <c r="F2" i="20"/>
  <c r="F3" i="20"/>
  <c r="F4" i="20"/>
  <c r="F5" i="20"/>
  <c r="F6" i="20"/>
  <c r="F7" i="20"/>
  <c r="F8" i="20"/>
  <c r="F9" i="20"/>
  <c r="F10" i="20"/>
  <c r="F11" i="20"/>
  <c r="F12" i="20"/>
  <c r="F13" i="20"/>
  <c r="A15" i="19"/>
  <c r="A10" i="22"/>
  <c r="A9" i="22"/>
  <c r="N1" i="21" a="1"/>
  <c r="N1" i="21"/>
  <c r="O1" i="21"/>
  <c r="N7" i="21" s="1"/>
  <c r="P1" i="21"/>
  <c r="N2" i="21"/>
  <c r="O2" i="21"/>
  <c r="P2" i="21"/>
  <c r="N3" i="21"/>
  <c r="N8" i="21" s="1"/>
  <c r="O3" i="21"/>
  <c r="P3" i="21"/>
  <c r="N4" i="21"/>
  <c r="O4" i="21"/>
  <c r="P4" i="21"/>
  <c r="N5" i="21"/>
  <c r="O5" i="21"/>
  <c r="P5" i="21"/>
  <c r="A14" i="19"/>
  <c r="E2" i="20" a="1"/>
  <c r="E2" i="20"/>
  <c r="E3" i="20"/>
  <c r="E4" i="20"/>
  <c r="E5" i="20"/>
  <c r="E6" i="20"/>
  <c r="E7" i="20"/>
  <c r="E8" i="20"/>
  <c r="E9" i="20"/>
  <c r="E10" i="20"/>
  <c r="E11" i="20"/>
  <c r="E12" i="20"/>
  <c r="E13" i="20"/>
  <c r="C3" i="19"/>
  <c r="C4" i="19"/>
  <c r="C5" i="19"/>
  <c r="C6" i="19"/>
  <c r="C7" i="19"/>
  <c r="C8" i="19"/>
  <c r="C9" i="19"/>
  <c r="C10" i="19"/>
  <c r="C11" i="19"/>
  <c r="C12" i="19"/>
  <c r="A21" i="17"/>
  <c r="A20" i="17"/>
  <c r="A19" i="17"/>
  <c r="A17" i="17"/>
  <c r="A16" i="17"/>
  <c r="A15" i="17"/>
  <c r="G2" i="17"/>
  <c r="H3" i="17"/>
  <c r="G10" i="17"/>
  <c r="H11" i="17"/>
  <c r="I12" i="17"/>
  <c r="A16" i="16"/>
  <c r="A23" i="15"/>
  <c r="A19" i="14"/>
  <c r="A17" i="14"/>
  <c r="A16" i="14"/>
  <c r="B3" i="13"/>
  <c r="C3" i="13"/>
  <c r="D3" i="13"/>
  <c r="E3" i="13"/>
  <c r="B4" i="13"/>
  <c r="C4" i="13"/>
  <c r="D4" i="13"/>
  <c r="E4" i="13"/>
  <c r="B5" i="13"/>
  <c r="C5" i="13"/>
  <c r="D5" i="13"/>
  <c r="E5" i="13"/>
  <c r="B6" i="13"/>
  <c r="C6" i="13"/>
  <c r="D6" i="13"/>
  <c r="E6" i="13"/>
  <c r="B7" i="13"/>
  <c r="C7" i="13"/>
  <c r="D7" i="13"/>
  <c r="E7" i="13"/>
  <c r="B8" i="13"/>
  <c r="C8" i="13"/>
  <c r="D8" i="13"/>
  <c r="E8" i="13"/>
  <c r="B9" i="13"/>
  <c r="C9" i="13"/>
  <c r="D9" i="13"/>
  <c r="E9" i="13"/>
  <c r="B10" i="13"/>
  <c r="C10" i="13"/>
  <c r="D10" i="13"/>
  <c r="E10" i="13"/>
  <c r="B11" i="13"/>
  <c r="C11" i="13"/>
  <c r="D11" i="13"/>
  <c r="E11" i="13"/>
  <c r="B12" i="13"/>
  <c r="C12" i="13"/>
  <c r="D12" i="13"/>
  <c r="E12" i="13"/>
  <c r="B13" i="13"/>
  <c r="C13" i="13"/>
  <c r="D13" i="13"/>
  <c r="E13" i="13"/>
  <c r="B14" i="13"/>
  <c r="C14" i="13"/>
  <c r="D14" i="13"/>
  <c r="E14" i="13"/>
  <c r="B15" i="13"/>
  <c r="C15" i="13"/>
  <c r="D15" i="13"/>
  <c r="E15" i="13"/>
  <c r="B16" i="13"/>
  <c r="C16" i="13"/>
  <c r="D16" i="13"/>
  <c r="E16" i="13"/>
  <c r="B17" i="13"/>
  <c r="C17" i="13"/>
  <c r="D17" i="13"/>
  <c r="E17" i="13"/>
  <c r="B18" i="13"/>
  <c r="C18" i="13"/>
  <c r="D18" i="13"/>
  <c r="E18" i="13"/>
  <c r="B19" i="13"/>
  <c r="C19" i="13"/>
  <c r="D19" i="13"/>
  <c r="E19" i="13"/>
  <c r="B20" i="13"/>
  <c r="C20" i="13"/>
  <c r="D20" i="13"/>
  <c r="E20" i="13"/>
  <c r="B21" i="13"/>
  <c r="C21" i="13"/>
  <c r="D21" i="13"/>
  <c r="E21" i="13"/>
  <c r="B22" i="13"/>
  <c r="C22" i="13"/>
  <c r="D22" i="13"/>
  <c r="E22" i="13"/>
  <c r="B23" i="13"/>
  <c r="C23" i="13"/>
  <c r="D23" i="13"/>
  <c r="E23" i="13"/>
  <c r="B24" i="13"/>
  <c r="C24" i="13"/>
  <c r="D24" i="13"/>
  <c r="E24" i="13"/>
  <c r="B25" i="13"/>
  <c r="C25" i="13"/>
  <c r="D25" i="13"/>
  <c r="E25" i="13"/>
  <c r="B26" i="13"/>
  <c r="C26" i="13"/>
  <c r="D26" i="13"/>
  <c r="E26" i="13"/>
  <c r="B27" i="13"/>
  <c r="C27" i="13"/>
  <c r="D27" i="13"/>
  <c r="E27" i="13"/>
  <c r="B28" i="13"/>
  <c r="C28" i="13"/>
  <c r="D28" i="13"/>
  <c r="E28" i="13"/>
  <c r="B29" i="13"/>
  <c r="C29" i="13"/>
  <c r="D29" i="13"/>
  <c r="E29" i="13"/>
  <c r="B30" i="13"/>
  <c r="C30" i="13"/>
  <c r="D30" i="13"/>
  <c r="E30" i="13"/>
  <c r="B31" i="13"/>
  <c r="C31" i="13"/>
  <c r="D31" i="13"/>
  <c r="E31" i="13"/>
  <c r="B32" i="13"/>
  <c r="C32" i="13"/>
  <c r="D32" i="13"/>
  <c r="E32" i="13"/>
  <c r="B33" i="13"/>
  <c r="C33" i="13"/>
  <c r="D33" i="13"/>
  <c r="E33" i="13"/>
  <c r="B34" i="13"/>
  <c r="C34" i="13"/>
  <c r="D34" i="13"/>
  <c r="E34" i="13"/>
  <c r="B35" i="13"/>
  <c r="C35" i="13"/>
  <c r="D35" i="13"/>
  <c r="E35" i="13"/>
  <c r="B36" i="13"/>
  <c r="C36" i="13"/>
  <c r="D36" i="13"/>
  <c r="E36" i="13"/>
  <c r="B37" i="13"/>
  <c r="C37" i="13"/>
  <c r="D37" i="13"/>
  <c r="E37" i="13"/>
  <c r="B38" i="13"/>
  <c r="C38" i="13"/>
  <c r="D38" i="13"/>
  <c r="E38" i="13"/>
  <c r="B39" i="13"/>
  <c r="C39" i="13"/>
  <c r="D39" i="13"/>
  <c r="E39" i="13"/>
  <c r="B40" i="13"/>
  <c r="C40" i="13"/>
  <c r="D40" i="13"/>
  <c r="E40" i="13"/>
  <c r="B41" i="13"/>
  <c r="C41" i="13"/>
  <c r="D41" i="13"/>
  <c r="E41" i="13"/>
  <c r="B42" i="13"/>
  <c r="C42" i="13"/>
  <c r="D42" i="13"/>
  <c r="E42" i="13"/>
  <c r="B43" i="13"/>
  <c r="C43" i="13"/>
  <c r="D43" i="13"/>
  <c r="E43" i="13"/>
  <c r="B44" i="13"/>
  <c r="C44" i="13"/>
  <c r="D44" i="13"/>
  <c r="E44" i="13"/>
  <c r="B45" i="13"/>
  <c r="C45" i="13"/>
  <c r="D45" i="13"/>
  <c r="E45" i="13"/>
  <c r="B46" i="13"/>
  <c r="C46" i="13"/>
  <c r="D46" i="13"/>
  <c r="E46" i="13"/>
  <c r="B47" i="13"/>
  <c r="C47" i="13"/>
  <c r="D47" i="13"/>
  <c r="E47" i="13"/>
  <c r="B48" i="13"/>
  <c r="C48" i="13"/>
  <c r="D48" i="13"/>
  <c r="E48" i="13"/>
  <c r="B49" i="13"/>
  <c r="C49" i="13"/>
  <c r="D49" i="13"/>
  <c r="E49" i="13"/>
  <c r="B50" i="13"/>
  <c r="C50" i="13"/>
  <c r="D50" i="13"/>
  <c r="E50" i="13"/>
  <c r="B51" i="13"/>
  <c r="C51" i="13"/>
  <c r="D51" i="13"/>
  <c r="E51" i="13"/>
  <c r="B52" i="13"/>
  <c r="C52" i="13"/>
  <c r="D52" i="13"/>
  <c r="E52" i="13"/>
  <c r="B53" i="13"/>
  <c r="C53" i="13"/>
  <c r="D53" i="13"/>
  <c r="E53" i="13"/>
  <c r="B54" i="13"/>
  <c r="C54" i="13"/>
  <c r="D54" i="13"/>
  <c r="E54" i="13"/>
  <c r="B55" i="13"/>
  <c r="C55" i="13"/>
  <c r="D55" i="13"/>
  <c r="E55" i="13"/>
  <c r="B56" i="13"/>
  <c r="C56" i="13"/>
  <c r="D56" i="13"/>
  <c r="E56" i="13"/>
  <c r="B57" i="13"/>
  <c r="C57" i="13"/>
  <c r="D57" i="13"/>
  <c r="E57" i="13"/>
  <c r="B58" i="13"/>
  <c r="C58" i="13"/>
  <c r="D58" i="13"/>
  <c r="E58" i="13"/>
  <c r="B59" i="13"/>
  <c r="C59" i="13"/>
  <c r="D59" i="13"/>
  <c r="E59" i="13"/>
  <c r="B60" i="13"/>
  <c r="C60" i="13"/>
  <c r="D60" i="13"/>
  <c r="E60" i="13"/>
  <c r="B61" i="13"/>
  <c r="C61" i="13"/>
  <c r="D61" i="13"/>
  <c r="E61" i="13"/>
  <c r="B62" i="13"/>
  <c r="C62" i="13"/>
  <c r="D62" i="13"/>
  <c r="E62" i="13"/>
  <c r="B63" i="13"/>
  <c r="C63" i="13"/>
  <c r="D63" i="13"/>
  <c r="E63" i="13"/>
  <c r="B64" i="13"/>
  <c r="C64" i="13"/>
  <c r="D64" i="13"/>
  <c r="E64" i="13"/>
  <c r="B65" i="13"/>
  <c r="C65" i="13"/>
  <c r="D65" i="13"/>
  <c r="E65" i="13"/>
  <c r="B66" i="13"/>
  <c r="C66" i="13"/>
  <c r="D66" i="13"/>
  <c r="E66" i="13"/>
  <c r="B2" i="13"/>
  <c r="C2" i="13"/>
  <c r="D2" i="13"/>
  <c r="E2" i="13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2" i="12"/>
  <c r="A11" i="11"/>
  <c r="A10" i="11"/>
  <c r="A9" i="11"/>
  <c r="F12" i="10"/>
  <c r="E12" i="10"/>
  <c r="D12" i="10"/>
  <c r="C12" i="10"/>
  <c r="B12" i="10"/>
  <c r="F11" i="10"/>
  <c r="E11" i="10"/>
  <c r="D11" i="10"/>
  <c r="C11" i="10"/>
  <c r="B11" i="10"/>
  <c r="F10" i="10"/>
  <c r="E10" i="10"/>
  <c r="D10" i="10"/>
  <c r="C10" i="10"/>
  <c r="B10" i="10"/>
  <c r="F9" i="10"/>
  <c r="E9" i="10"/>
  <c r="D9" i="10"/>
  <c r="C9" i="10"/>
  <c r="B9" i="10"/>
  <c r="F8" i="10"/>
  <c r="E8" i="10"/>
  <c r="D8" i="10"/>
  <c r="C8" i="10"/>
  <c r="B8" i="10"/>
  <c r="F7" i="10"/>
  <c r="E7" i="10"/>
  <c r="D7" i="10"/>
  <c r="C7" i="10"/>
  <c r="B7" i="10"/>
  <c r="F6" i="10"/>
  <c r="E6" i="10"/>
  <c r="D6" i="10"/>
  <c r="C6" i="10"/>
  <c r="B6" i="10"/>
  <c r="F5" i="10"/>
  <c r="E5" i="10"/>
  <c r="D5" i="10"/>
  <c r="C5" i="10"/>
  <c r="B5" i="10"/>
  <c r="F4" i="10"/>
  <c r="E4" i="10"/>
  <c r="D4" i="10"/>
  <c r="C4" i="10"/>
  <c r="B4" i="10"/>
  <c r="F3" i="10"/>
  <c r="E3" i="10"/>
  <c r="D3" i="10"/>
  <c r="C3" i="10"/>
  <c r="B3" i="10"/>
  <c r="F2" i="10"/>
  <c r="E2" i="10"/>
  <c r="D2" i="10"/>
  <c r="C2" i="10"/>
  <c r="B2" i="10"/>
  <c r="E3" i="8"/>
  <c r="F3" i="8"/>
  <c r="E4" i="8"/>
  <c r="F4" i="8"/>
  <c r="E5" i="8"/>
  <c r="F5" i="8"/>
  <c r="E6" i="8"/>
  <c r="F6" i="8"/>
  <c r="E7" i="8"/>
  <c r="F7" i="8"/>
  <c r="E8" i="8"/>
  <c r="F8" i="8"/>
  <c r="E9" i="8"/>
  <c r="F9" i="8"/>
  <c r="E10" i="8"/>
  <c r="F10" i="8"/>
  <c r="E11" i="8"/>
  <c r="F11" i="8"/>
  <c r="E12" i="8"/>
  <c r="F12" i="8"/>
  <c r="F2" i="8"/>
  <c r="E2" i="8"/>
  <c r="D3" i="8"/>
  <c r="D4" i="8"/>
  <c r="D5" i="8"/>
  <c r="D6" i="8"/>
  <c r="D7" i="8"/>
  <c r="D8" i="8"/>
  <c r="D9" i="8"/>
  <c r="D10" i="8"/>
  <c r="D11" i="8"/>
  <c r="D12" i="8"/>
  <c r="D2" i="8"/>
  <c r="C3" i="8"/>
  <c r="C4" i="8"/>
  <c r="C5" i="8"/>
  <c r="C6" i="8"/>
  <c r="C7" i="8"/>
  <c r="C8" i="8"/>
  <c r="C9" i="8"/>
  <c r="C10" i="8"/>
  <c r="C11" i="8"/>
  <c r="C12" i="8"/>
  <c r="C2" i="8"/>
  <c r="B3" i="8"/>
  <c r="B4" i="8"/>
  <c r="B5" i="8"/>
  <c r="B6" i="8"/>
  <c r="B7" i="8"/>
  <c r="B8" i="8"/>
  <c r="B9" i="8"/>
  <c r="B10" i="8"/>
  <c r="B11" i="8"/>
  <c r="B12" i="8"/>
  <c r="B2" i="8"/>
  <c r="B7" i="7"/>
  <c r="B12" i="7"/>
  <c r="C7" i="7"/>
  <c r="C12" i="7"/>
  <c r="B8" i="7"/>
  <c r="B13" i="7"/>
  <c r="C8" i="7"/>
  <c r="C13" i="7"/>
  <c r="D14" i="7"/>
  <c r="D15" i="7"/>
  <c r="D8" i="7"/>
  <c r="D7" i="7"/>
  <c r="C9" i="7"/>
  <c r="B15" i="6"/>
  <c r="F2" i="6"/>
  <c r="B16" i="6"/>
  <c r="F3" i="6"/>
  <c r="B17" i="6"/>
  <c r="F4" i="6"/>
  <c r="B18" i="6"/>
  <c r="F5" i="6"/>
  <c r="B19" i="6"/>
  <c r="F6" i="6"/>
  <c r="B20" i="6"/>
  <c r="F7" i="6"/>
  <c r="B21" i="6"/>
  <c r="F8" i="6"/>
  <c r="B22" i="6"/>
  <c r="F9" i="6"/>
  <c r="B23" i="6"/>
  <c r="F10" i="6"/>
  <c r="B24" i="6"/>
  <c r="F11" i="6"/>
  <c r="B25" i="6"/>
  <c r="F12" i="6"/>
  <c r="B26" i="6"/>
  <c r="C17" i="6"/>
  <c r="C18" i="6"/>
  <c r="C19" i="6"/>
  <c r="C20" i="6"/>
  <c r="C21" i="6"/>
  <c r="C22" i="6"/>
  <c r="C23" i="6"/>
  <c r="C24" i="6"/>
  <c r="C25" i="6"/>
  <c r="C26" i="6"/>
  <c r="C16" i="6"/>
  <c r="B3" i="6"/>
  <c r="C3" i="6"/>
  <c r="D3" i="6"/>
  <c r="E3" i="6"/>
  <c r="B4" i="6"/>
  <c r="C4" i="6"/>
  <c r="D4" i="6"/>
  <c r="E4" i="6"/>
  <c r="B5" i="6"/>
  <c r="C5" i="6"/>
  <c r="D5" i="6"/>
  <c r="E5" i="6"/>
  <c r="B6" i="6"/>
  <c r="C6" i="6"/>
  <c r="D6" i="6"/>
  <c r="E6" i="6"/>
  <c r="B7" i="6"/>
  <c r="C7" i="6"/>
  <c r="D7" i="6"/>
  <c r="E7" i="6"/>
  <c r="B8" i="6"/>
  <c r="C8" i="6"/>
  <c r="D8" i="6"/>
  <c r="E8" i="6"/>
  <c r="B9" i="6"/>
  <c r="C9" i="6"/>
  <c r="D9" i="6"/>
  <c r="E9" i="6"/>
  <c r="B10" i="6"/>
  <c r="C10" i="6"/>
  <c r="D10" i="6"/>
  <c r="E10" i="6"/>
  <c r="B11" i="6"/>
  <c r="C11" i="6"/>
  <c r="D11" i="6"/>
  <c r="E11" i="6"/>
  <c r="B12" i="6"/>
  <c r="C12" i="6"/>
  <c r="D12" i="6"/>
  <c r="E12" i="6"/>
  <c r="E2" i="6"/>
  <c r="D2" i="6"/>
  <c r="C2" i="6"/>
  <c r="B2" i="6"/>
  <c r="D42" i="1"/>
  <c r="C42" i="1"/>
  <c r="D41" i="1"/>
  <c r="C41" i="1"/>
  <c r="D40" i="1"/>
  <c r="C40" i="1"/>
  <c r="D39" i="1"/>
  <c r="C39" i="1"/>
  <c r="D38" i="1"/>
  <c r="C38" i="1"/>
  <c r="D37" i="1"/>
  <c r="C37" i="1"/>
  <c r="F3" i="5"/>
  <c r="F2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2" i="5"/>
  <c r="D36" i="1"/>
  <c r="D35" i="1"/>
  <c r="D34" i="1"/>
  <c r="C36" i="1"/>
  <c r="C35" i="1"/>
  <c r="C34" i="1"/>
  <c r="D33" i="1"/>
  <c r="C33" i="1"/>
  <c r="D32" i="1"/>
  <c r="D31" i="1"/>
  <c r="C32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G2" i="5"/>
  <c r="K2" i="5" s="1" a="1"/>
  <c r="K2" i="5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K1" i="5"/>
  <c r="D23" i="1"/>
  <c r="C23" i="1"/>
  <c r="D22" i="1"/>
  <c r="C22" i="1"/>
  <c r="D21" i="1"/>
  <c r="C21" i="1"/>
  <c r="D8" i="3" a="1"/>
  <c r="D8" i="3"/>
  <c r="D9" i="3"/>
  <c r="D10" i="3"/>
  <c r="D11" i="3"/>
  <c r="D12" i="3"/>
  <c r="D13" i="3"/>
  <c r="D20" i="1"/>
  <c r="C20" i="1"/>
  <c r="D4" i="3"/>
  <c r="D1" i="3"/>
  <c r="D3" i="3"/>
  <c r="D2" i="3"/>
  <c r="D1" i="2"/>
  <c r="E1" i="2"/>
  <c r="F1" i="2"/>
  <c r="G1" i="2"/>
  <c r="H1" i="2"/>
  <c r="D2" i="2"/>
  <c r="E2" i="2"/>
  <c r="F2" i="2"/>
  <c r="G2" i="2"/>
  <c r="H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J3" i="2"/>
  <c r="J1" i="2"/>
  <c r="J2" i="2"/>
  <c r="B1" i="2"/>
  <c r="B2" i="2"/>
  <c r="B5" i="2"/>
  <c r="B10" i="2"/>
  <c r="B9" i="2"/>
  <c r="B8" i="2"/>
  <c r="C19" i="1"/>
  <c r="C18" i="1"/>
  <c r="D19" i="1"/>
  <c r="D18" i="1"/>
  <c r="D17" i="1"/>
  <c r="D16" i="1"/>
  <c r="C17" i="1"/>
  <c r="C16" i="1"/>
  <c r="D15" i="1"/>
  <c r="C15" i="1"/>
</calcChain>
</file>

<file path=xl/sharedStrings.xml><?xml version="1.0" encoding="utf-8"?>
<sst xmlns="http://schemas.openxmlformats.org/spreadsheetml/2006/main" count="414" uniqueCount="318">
  <si>
    <t>林宸旭</t>
  </si>
  <si>
    <t>黃炳璁</t>
  </si>
  <si>
    <t>吳宜真</t>
  </si>
  <si>
    <t>林向宏</t>
  </si>
  <si>
    <t>李琬茹</t>
  </si>
  <si>
    <t>林毓倫</t>
  </si>
  <si>
    <t>陳偉忠</t>
  </si>
  <si>
    <t>王秀惠</t>
  </si>
  <si>
    <t>黃冠儒</t>
  </si>
  <si>
    <t>陳友敬</t>
  </si>
  <si>
    <t>陳玉玲</t>
  </si>
  <si>
    <t>萬衛華</t>
  </si>
  <si>
    <t>姚瞻海</t>
  </si>
  <si>
    <t>林毓修</t>
  </si>
  <si>
    <t>林宸佑</t>
  </si>
  <si>
    <t>林建宏</t>
  </si>
  <si>
    <t>陳國清</t>
  </si>
  <si>
    <t>林宏諭</t>
  </si>
  <si>
    <t>莊慧玲</t>
  </si>
  <si>
    <t>林士璁</t>
  </si>
  <si>
    <t>陳建志</t>
  </si>
  <si>
    <t>謝月嫥</t>
  </si>
  <si>
    <t>黃士哲</t>
  </si>
  <si>
    <t>熊漢琳</t>
  </si>
  <si>
    <t>林黛慧</t>
  </si>
  <si>
    <t>郭美美</t>
  </si>
  <si>
    <t>卲裴莉</t>
  </si>
  <si>
    <t>鄧綺萍</t>
  </si>
  <si>
    <t>許耀豪</t>
  </si>
  <si>
    <t>簡文秀</t>
  </si>
  <si>
    <t>林麗芬</t>
  </si>
  <si>
    <t>張國威</t>
  </si>
  <si>
    <t>黃金印</t>
  </si>
  <si>
    <t>柳伊湄</t>
  </si>
  <si>
    <t>吳若權</t>
  </si>
  <si>
    <t>黃柏誠</t>
  </si>
  <si>
    <t>王清峰</t>
  </si>
  <si>
    <t>吳佩倩</t>
  </si>
  <si>
    <t>顏慎樂</t>
  </si>
  <si>
    <t>劉齊光</t>
  </si>
  <si>
    <t>駱惠美</t>
  </si>
  <si>
    <t>張萊華</t>
  </si>
  <si>
    <t>梁德昭</t>
  </si>
  <si>
    <t>賴澄慧</t>
  </si>
  <si>
    <t>李德治</t>
  </si>
  <si>
    <t>靜安</t>
  </si>
  <si>
    <t>王淑美</t>
  </si>
  <si>
    <t>劉佳瑜</t>
  </si>
  <si>
    <t>何彌亮</t>
  </si>
  <si>
    <t>劉建谷</t>
  </si>
  <si>
    <t>姓名</t>
    <phoneticPr fontId="3" type="noConversion"/>
  </si>
  <si>
    <t>統計學</t>
    <phoneticPr fontId="3" type="noConversion"/>
  </si>
  <si>
    <t>組距</t>
    <phoneticPr fontId="3" type="noConversion"/>
  </si>
  <si>
    <t>統計學與經濟學之學期成績</t>
    <phoneticPr fontId="3" type="noConversion"/>
  </si>
  <si>
    <t>學號</t>
    <phoneticPr fontId="3" type="noConversion"/>
  </si>
  <si>
    <t>姓名</t>
    <phoneticPr fontId="3" type="noConversion"/>
  </si>
  <si>
    <t>統計學</t>
    <phoneticPr fontId="3" type="noConversion"/>
  </si>
  <si>
    <t>經濟學</t>
    <phoneticPr fontId="3" type="noConversion"/>
  </si>
  <si>
    <t>缺考</t>
    <phoneticPr fontId="3" type="noConversion"/>
  </si>
  <si>
    <t>AVEDEV</t>
    <phoneticPr fontId="3" type="noConversion"/>
  </si>
  <si>
    <t>平均(考慮文字)</t>
    <phoneticPr fontId="3" type="noConversion"/>
  </si>
  <si>
    <t>個數</t>
    <phoneticPr fontId="3" type="noConversion"/>
  </si>
  <si>
    <t>個數(考慮文字)</t>
    <phoneticPr fontId="3" type="noConversion"/>
  </si>
  <si>
    <t>資料區域</t>
    <phoneticPr fontId="3" type="noConversion"/>
  </si>
  <si>
    <t>COUNT</t>
    <phoneticPr fontId="3" type="noConversion"/>
  </si>
  <si>
    <t>COUNTA</t>
    <phoneticPr fontId="3" type="noConversion"/>
  </si>
  <si>
    <t>COUNTBLANK</t>
    <phoneticPr fontId="3" type="noConversion"/>
  </si>
  <si>
    <t>數字</t>
    <phoneticPr fontId="3" type="noConversion"/>
  </si>
  <si>
    <t>平均數</t>
  </si>
  <si>
    <t>平均數</t>
    <phoneticPr fontId="3" type="noConversion"/>
  </si>
  <si>
    <t>大於平均數個數</t>
    <phoneticPr fontId="3" type="noConversion"/>
  </si>
  <si>
    <t>直接計算</t>
    <phoneticPr fontId="3" type="noConversion"/>
  </si>
  <si>
    <t>直接計算上題</t>
    <phoneticPr fontId="3" type="noConversion"/>
  </si>
  <si>
    <t>平均數</t>
    <phoneticPr fontId="3" type="noConversion"/>
  </si>
  <si>
    <t>大於平均數個數</t>
    <phoneticPr fontId="3" type="noConversion"/>
  </si>
  <si>
    <t>不及格數</t>
    <phoneticPr fontId="3" type="noConversion"/>
  </si>
  <si>
    <t>DEVSQ</t>
    <phoneticPr fontId="3" type="noConversion"/>
  </si>
  <si>
    <t>人數</t>
    <phoneticPr fontId="3" type="noConversion"/>
  </si>
  <si>
    <r>
      <t>(&lt;</t>
    </r>
    <r>
      <rPr>
        <sz val="12"/>
        <rFont val="新細明體"/>
        <family val="1"/>
        <charset val="136"/>
      </rPr>
      <t>50)</t>
    </r>
    <phoneticPr fontId="3" type="noConversion"/>
  </si>
  <si>
    <r>
      <t>(</t>
    </r>
    <r>
      <rPr>
        <sz val="12"/>
        <rFont val="新細明體"/>
        <family val="1"/>
        <charset val="136"/>
      </rPr>
      <t>50-59)</t>
    </r>
    <phoneticPr fontId="3" type="noConversion"/>
  </si>
  <si>
    <r>
      <t>(</t>
    </r>
    <r>
      <rPr>
        <sz val="12"/>
        <rFont val="新細明體"/>
        <family val="1"/>
        <charset val="136"/>
      </rPr>
      <t>60-69)</t>
    </r>
    <phoneticPr fontId="3" type="noConversion"/>
  </si>
  <si>
    <r>
      <t>(</t>
    </r>
    <r>
      <rPr>
        <sz val="12"/>
        <rFont val="新細明體"/>
        <family val="1"/>
        <charset val="136"/>
      </rPr>
      <t>70-79)</t>
    </r>
    <phoneticPr fontId="3" type="noConversion"/>
  </si>
  <si>
    <r>
      <t>(</t>
    </r>
    <r>
      <rPr>
        <sz val="12"/>
        <rFont val="新細明體"/>
        <family val="1"/>
        <charset val="136"/>
      </rPr>
      <t>80-89)</t>
    </r>
    <phoneticPr fontId="3" type="noConversion"/>
  </si>
  <si>
    <r>
      <t>(</t>
    </r>
    <r>
      <rPr>
        <sz val="12"/>
        <rFont val="新細明體"/>
        <family val="1"/>
        <charset val="136"/>
      </rPr>
      <t>90-99)</t>
    </r>
    <phoneticPr fontId="3" type="noConversion"/>
  </si>
  <si>
    <t>算數平均</t>
    <phoneticPr fontId="3" type="noConversion"/>
  </si>
  <si>
    <t>幾何平均</t>
    <phoneticPr fontId="3" type="noConversion"/>
  </si>
  <si>
    <t>調和平均</t>
    <phoneticPr fontId="3" type="noConversion"/>
  </si>
  <si>
    <t>峰態</t>
    <phoneticPr fontId="3" type="noConversion"/>
  </si>
  <si>
    <t>學號</t>
    <phoneticPr fontId="3" type="noConversion"/>
  </si>
  <si>
    <t>學生姓名</t>
    <phoneticPr fontId="3" type="noConversion"/>
  </si>
  <si>
    <t>第一次</t>
    <phoneticPr fontId="3" type="noConversion"/>
  </si>
  <si>
    <t>第二次</t>
    <phoneticPr fontId="3" type="noConversion"/>
  </si>
  <si>
    <t>第三次</t>
    <phoneticPr fontId="3" type="noConversion"/>
  </si>
  <si>
    <t>A73371</t>
  </si>
  <si>
    <t>陳玉玲</t>
    <phoneticPr fontId="3" type="noConversion"/>
  </si>
  <si>
    <t>A73372</t>
  </si>
  <si>
    <t>林向宏</t>
    <phoneticPr fontId="3" type="noConversion"/>
  </si>
  <si>
    <t>A73373</t>
  </si>
  <si>
    <t>萬衛華</t>
    <phoneticPr fontId="3" type="noConversion"/>
  </si>
  <si>
    <t>A73374</t>
  </si>
  <si>
    <t>陳國清</t>
    <phoneticPr fontId="3" type="noConversion"/>
  </si>
  <si>
    <t>A73375</t>
  </si>
  <si>
    <t>陳建志</t>
    <phoneticPr fontId="3" type="noConversion"/>
  </si>
  <si>
    <t>A73376</t>
  </si>
  <si>
    <t>黃士哲</t>
    <phoneticPr fontId="3" type="noConversion"/>
  </si>
  <si>
    <t>A73377</t>
  </si>
  <si>
    <t>謝月嫥</t>
    <phoneticPr fontId="3" type="noConversion"/>
  </si>
  <si>
    <t>A73378</t>
  </si>
  <si>
    <t>黃冠儒</t>
    <phoneticPr fontId="3" type="noConversion"/>
  </si>
  <si>
    <t>A73379</t>
  </si>
  <si>
    <t>林建宏</t>
    <phoneticPr fontId="3" type="noConversion"/>
  </si>
  <si>
    <t>A73380</t>
  </si>
  <si>
    <t>王秀惠</t>
    <phoneticPr fontId="3" type="noConversion"/>
  </si>
  <si>
    <t>A73381</t>
  </si>
  <si>
    <t xml:space="preserve">黃炳璁 </t>
    <phoneticPr fontId="3" type="noConversion"/>
  </si>
  <si>
    <t>A73382</t>
  </si>
  <si>
    <t>吳嘉玲</t>
    <phoneticPr fontId="3" type="noConversion"/>
  </si>
  <si>
    <t>A73383</t>
  </si>
  <si>
    <t>陳幸華</t>
    <phoneticPr fontId="3" type="noConversion"/>
  </si>
  <si>
    <t>A73384</t>
  </si>
  <si>
    <t>林玉敏</t>
    <phoneticPr fontId="3" type="noConversion"/>
  </si>
  <si>
    <t>A73385</t>
  </si>
  <si>
    <t>陳甘順</t>
    <phoneticPr fontId="3" type="noConversion"/>
  </si>
  <si>
    <t>A73386</t>
  </si>
  <si>
    <t>蔡承諺</t>
    <phoneticPr fontId="3" type="noConversion"/>
  </si>
  <si>
    <t>A73387</t>
  </si>
  <si>
    <t>陳偉忠</t>
    <phoneticPr fontId="3" type="noConversion"/>
  </si>
  <si>
    <t>A73388</t>
  </si>
  <si>
    <t>林毓修</t>
    <phoneticPr fontId="3" type="noConversion"/>
  </si>
  <si>
    <t>A73389</t>
  </si>
  <si>
    <t>林毓倫</t>
    <phoneticPr fontId="3" type="noConversion"/>
  </si>
  <si>
    <t>A73390</t>
  </si>
  <si>
    <t>謝幸安</t>
    <phoneticPr fontId="3" type="noConversion"/>
  </si>
  <si>
    <t>A73391</t>
  </si>
  <si>
    <t>A73392</t>
  </si>
  <si>
    <t>林士璁</t>
    <phoneticPr fontId="3" type="noConversion"/>
  </si>
  <si>
    <t>A73393</t>
  </si>
  <si>
    <t>莊以貞</t>
    <phoneticPr fontId="3" type="noConversion"/>
  </si>
  <si>
    <t>A73394</t>
  </si>
  <si>
    <t>曾金玲</t>
    <phoneticPr fontId="3" type="noConversion"/>
  </si>
  <si>
    <t>A73395</t>
  </si>
  <si>
    <t>連敏雯</t>
    <phoneticPr fontId="3" type="noConversion"/>
  </si>
  <si>
    <t>A73396</t>
  </si>
  <si>
    <t>林淑芳</t>
    <phoneticPr fontId="3" type="noConversion"/>
  </si>
  <si>
    <t>A73397</t>
  </si>
  <si>
    <t>許新玉</t>
    <phoneticPr fontId="3" type="noConversion"/>
  </si>
  <si>
    <t>A73398</t>
  </si>
  <si>
    <t>邱于弦</t>
    <phoneticPr fontId="3" type="noConversion"/>
  </si>
  <si>
    <t>A73399</t>
  </si>
  <si>
    <t>徐慧芹</t>
    <phoneticPr fontId="3" type="noConversion"/>
  </si>
  <si>
    <t>A73400</t>
  </si>
  <si>
    <t>A73401</t>
  </si>
  <si>
    <t>林碧梅</t>
  </si>
  <si>
    <t>A73402</t>
  </si>
  <si>
    <t>蔡政修</t>
  </si>
  <si>
    <t>A73403</t>
  </si>
  <si>
    <t>陳佳甫</t>
  </si>
  <si>
    <t>A73404</t>
  </si>
  <si>
    <t>A73405</t>
  </si>
  <si>
    <t>陳佩君</t>
  </si>
  <si>
    <t>A73406</t>
  </si>
  <si>
    <t>潘振輝</t>
  </si>
  <si>
    <t>A73407</t>
  </si>
  <si>
    <t>A73408</t>
  </si>
  <si>
    <t>A73409</t>
  </si>
  <si>
    <t>蔡佩君</t>
    <phoneticPr fontId="3" type="noConversion"/>
  </si>
  <si>
    <t>A73410</t>
  </si>
  <si>
    <t>曾秋萍</t>
    <phoneticPr fontId="3" type="noConversion"/>
  </si>
  <si>
    <t>前五名總分最高的平均數</t>
    <phoneticPr fontId="3" type="noConversion"/>
  </si>
  <si>
    <t>總分</t>
    <phoneticPr fontId="3" type="noConversion"/>
  </si>
  <si>
    <t>三取二高分平均</t>
    <phoneticPr fontId="3" type="noConversion"/>
  </si>
  <si>
    <t>最大值</t>
    <phoneticPr fontId="3" type="noConversion"/>
  </si>
  <si>
    <t>最小值</t>
    <phoneticPr fontId="3" type="noConversion"/>
  </si>
  <si>
    <t>最大值(考慮文字)</t>
    <phoneticPr fontId="3" type="noConversion"/>
  </si>
  <si>
    <t>最小值(考慮文字)</t>
    <phoneticPr fontId="3" type="noConversion"/>
  </si>
  <si>
    <t>中位數</t>
    <phoneticPr fontId="3" type="noConversion"/>
  </si>
  <si>
    <t>眾數</t>
    <phoneticPr fontId="3" type="noConversion"/>
  </si>
  <si>
    <t>PERCENTILE(0.2)</t>
    <phoneticPr fontId="3" type="noConversion"/>
  </si>
  <si>
    <t>PERCENTILE(0.8)</t>
    <phoneticPr fontId="3" type="noConversion"/>
  </si>
  <si>
    <t>PERCENTILE(0.5)</t>
    <phoneticPr fontId="3" type="noConversion"/>
  </si>
  <si>
    <r>
      <t>80</t>
    </r>
    <r>
      <rPr>
        <sz val="12"/>
        <rFont val="新細明體"/>
        <family val="1"/>
        <charset val="136"/>
      </rPr>
      <t>的百分等級</t>
    </r>
    <phoneticPr fontId="3" type="noConversion"/>
  </si>
  <si>
    <t>第一四分位</t>
    <phoneticPr fontId="3" type="noConversion"/>
  </si>
  <si>
    <t>第三四分位</t>
    <phoneticPr fontId="3" type="noConversion"/>
  </si>
  <si>
    <t>第二四分位</t>
    <phoneticPr fontId="3" type="noConversion"/>
  </si>
  <si>
    <t>排名</t>
    <phoneticPr fontId="3" type="noConversion"/>
  </si>
  <si>
    <t>偏態</t>
    <phoneticPr fontId="3" type="noConversion"/>
  </si>
  <si>
    <t>母體標準差</t>
    <phoneticPr fontId="3" type="noConversion"/>
  </si>
  <si>
    <t>去尾平均數</t>
    <phoneticPr fontId="3" type="noConversion"/>
  </si>
  <si>
    <t>變異數</t>
  </si>
  <si>
    <t>變異數</t>
    <phoneticPr fontId="3" type="noConversion"/>
  </si>
  <si>
    <t>母體變異數</t>
    <phoneticPr fontId="3" type="noConversion"/>
  </si>
  <si>
    <t>標準差</t>
    <phoneticPr fontId="3" type="noConversion"/>
  </si>
  <si>
    <t>工廠生產樣本與母體</t>
    <phoneticPr fontId="3" type="noConversion"/>
  </si>
  <si>
    <t>α=1 β=1</t>
    <phoneticPr fontId="3" type="noConversion"/>
  </si>
  <si>
    <t>α=2 β=2</t>
    <phoneticPr fontId="3" type="noConversion"/>
  </si>
  <si>
    <t>α=1 β=2</t>
    <phoneticPr fontId="3" type="noConversion"/>
  </si>
  <si>
    <t>α=3 β=1</t>
    <phoneticPr fontId="3" type="noConversion"/>
  </si>
  <si>
    <t>α=5 β=5</t>
    <phoneticPr fontId="3" type="noConversion"/>
  </si>
  <si>
    <t>X</t>
    <phoneticPr fontId="3" type="noConversion"/>
  </si>
  <si>
    <t>發芽</t>
  </si>
  <si>
    <t>未發芽</t>
  </si>
  <si>
    <t>合計</t>
  </si>
  <si>
    <t>經過化學處理</t>
  </si>
  <si>
    <t>未經化學處理</t>
  </si>
  <si>
    <t>理論資料</t>
    <phoneticPr fontId="3" type="noConversion"/>
  </si>
  <si>
    <t>實際資料</t>
    <phoneticPr fontId="3" type="noConversion"/>
  </si>
  <si>
    <r>
      <t>χ</t>
    </r>
    <r>
      <rPr>
        <vertAlign val="superscript"/>
        <sz val="10"/>
        <color indexed="9"/>
        <rFont val="Times New Roman"/>
        <family val="1"/>
      </rPr>
      <t>2</t>
    </r>
    <r>
      <rPr>
        <sz val="10"/>
        <color indexed="9"/>
        <rFont val="華康細明體"/>
        <family val="3"/>
        <charset val="136"/>
      </rPr>
      <t>值</t>
    </r>
  </si>
  <si>
    <t>總和</t>
    <phoneticPr fontId="3" type="noConversion"/>
  </si>
  <si>
    <t>CHIDIST()</t>
  </si>
  <si>
    <t>X</t>
    <phoneticPr fontId="3" type="noConversion"/>
  </si>
  <si>
    <t>α=1 β=1</t>
    <phoneticPr fontId="3" type="noConversion"/>
  </si>
  <si>
    <t>α=2 β=2</t>
    <phoneticPr fontId="3" type="noConversion"/>
  </si>
  <si>
    <t>α=4 β=4</t>
    <phoneticPr fontId="3" type="noConversion"/>
  </si>
  <si>
    <t>α=2 β=4</t>
    <phoneticPr fontId="3" type="noConversion"/>
  </si>
  <si>
    <t>α=4 β=2</t>
    <phoneticPr fontId="3" type="noConversion"/>
  </si>
  <si>
    <t>X</t>
    <phoneticPr fontId="3" type="noConversion"/>
  </si>
  <si>
    <t>α=1 β=1</t>
    <phoneticPr fontId="3" type="noConversion"/>
  </si>
  <si>
    <t>α=2 β=2</t>
    <phoneticPr fontId="3" type="noConversion"/>
  </si>
  <si>
    <t>α=1 β=2</t>
    <phoneticPr fontId="3" type="noConversion"/>
  </si>
  <si>
    <t>α=3 β=1</t>
    <phoneticPr fontId="3" type="noConversion"/>
  </si>
  <si>
    <t>α=5 β=5</t>
    <phoneticPr fontId="3" type="noConversion"/>
  </si>
  <si>
    <t>=PROB(A2:A7,B2:B7,1.8,4.2)</t>
    <phoneticPr fontId="3" type="noConversion"/>
  </si>
  <si>
    <t>=PROB(A2:A7,B2:B7,2,3)</t>
    <phoneticPr fontId="3" type="noConversion"/>
  </si>
  <si>
    <t>=PROB(A2:A7,B2:B7,5)</t>
    <phoneticPr fontId="3" type="noConversion"/>
  </si>
  <si>
    <t>X變數</t>
    <phoneticPr fontId="3" type="noConversion"/>
  </si>
  <si>
    <t>發生機率</t>
    <phoneticPr fontId="3" type="noConversion"/>
  </si>
  <si>
    <t>X</t>
    <phoneticPr fontId="3" type="noConversion"/>
  </si>
  <si>
    <t>累計分配</t>
    <phoneticPr fontId="3" type="noConversion"/>
  </si>
  <si>
    <t>機率密度</t>
    <phoneticPr fontId="3" type="noConversion"/>
  </si>
  <si>
    <t>X</t>
    <phoneticPr fontId="3" type="noConversion"/>
  </si>
  <si>
    <t>累計分配(δ=1)</t>
    <phoneticPr fontId="3" type="noConversion"/>
  </si>
  <si>
    <t>機率密度(δ=1)</t>
    <phoneticPr fontId="3" type="noConversion"/>
  </si>
  <si>
    <t>累計分配(δ=2)</t>
    <phoneticPr fontId="3" type="noConversion"/>
  </si>
  <si>
    <t>機率密度(δ=2)</t>
    <phoneticPr fontId="3" type="noConversion"/>
  </si>
  <si>
    <t>電腦裝配時間(分鐘)</t>
  </si>
  <si>
    <t>編號</t>
  </si>
  <si>
    <t>桌上型電腦</t>
  </si>
  <si>
    <t>可攜式電腦</t>
  </si>
  <si>
    <t>=FTEST(B3:B14,C3:C10)</t>
    <phoneticPr fontId="3" type="noConversion"/>
  </si>
  <si>
    <t>雙尾</t>
    <phoneticPr fontId="3" type="noConversion"/>
  </si>
  <si>
    <t>=FTEST(B3:B14,C3:C10)/2</t>
    <phoneticPr fontId="3" type="noConversion"/>
  </si>
  <si>
    <t>單尾</t>
    <phoneticPr fontId="3" type="noConversion"/>
  </si>
  <si>
    <t>F 檢定：兩個常態母體變異數的檢定</t>
  </si>
  <si>
    <t>觀察值個數</t>
  </si>
  <si>
    <t>自由度</t>
  </si>
  <si>
    <t>F</t>
  </si>
  <si>
    <t>P(F&lt;=f) 單尾</t>
  </si>
  <si>
    <t>臨界值：單尾</t>
  </si>
  <si>
    <t>t 檢定：兩個母體平均數差的檢定，假設變異數不相等</t>
  </si>
  <si>
    <t>男</t>
  </si>
  <si>
    <t>女</t>
  </si>
  <si>
    <t>假設的均數差</t>
  </si>
  <si>
    <t>t 統計</t>
  </si>
  <si>
    <t>P(T&lt;=t) 單尾</t>
  </si>
  <si>
    <t>P(T&lt;=t) 雙尾</t>
  </si>
  <si>
    <t>臨界值：雙尾</t>
  </si>
  <si>
    <t>男女睡眠時間(小時)</t>
  </si>
  <si>
    <t>=TTEST(B3:B17,C3:C20,2,3)</t>
    <phoneticPr fontId="3" type="noConversion"/>
  </si>
  <si>
    <t>t 檢定：成對母體平均數差異檢定</t>
  </si>
  <si>
    <t>商品項目</t>
  </si>
  <si>
    <t>A商店</t>
  </si>
  <si>
    <t>B商店</t>
  </si>
  <si>
    <t>皮耳森相關係數</t>
  </si>
  <si>
    <t>商品價格(元)</t>
  </si>
  <si>
    <t>=TTEST(B3:B14,C3:C14,2,1)</t>
    <phoneticPr fontId="3" type="noConversion"/>
  </si>
  <si>
    <t>銷售量</t>
  </si>
  <si>
    <t>廣告成本</t>
  </si>
  <si>
    <t>二月</t>
  </si>
  <si>
    <t>三月</t>
  </si>
  <si>
    <t>四月</t>
  </si>
  <si>
    <t>五月</t>
  </si>
  <si>
    <t>六月</t>
  </si>
  <si>
    <t>七月</t>
  </si>
  <si>
    <t>八月</t>
  </si>
  <si>
    <t>人事費用</t>
  </si>
  <si>
    <t>九月</t>
  </si>
  <si>
    <t>十月</t>
  </si>
  <si>
    <t>十一月</t>
  </si>
  <si>
    <t>十二月</t>
  </si>
  <si>
    <t>月份</t>
    <phoneticPr fontId="3" type="noConversion"/>
  </si>
  <si>
    <t>人事費用</t>
    <phoneticPr fontId="3" type="noConversion"/>
  </si>
  <si>
    <t>銷售量</t>
    <phoneticPr fontId="3" type="noConversion"/>
  </si>
  <si>
    <t>廣告成本</t>
    <phoneticPr fontId="3" type="noConversion"/>
  </si>
  <si>
    <t>一月</t>
    <phoneticPr fontId="3" type="noConversion"/>
  </si>
  <si>
    <t>共變數</t>
    <phoneticPr fontId="3" type="noConversion"/>
  </si>
  <si>
    <t>相關係數</t>
    <phoneticPr fontId="3" type="noConversion"/>
  </si>
  <si>
    <t>=CORREL(D2:D13,C2:C13)</t>
    <phoneticPr fontId="3" type="noConversion"/>
  </si>
  <si>
    <t>=CORREL(B2:B13,C2:C13)</t>
    <phoneticPr fontId="3" type="noConversion"/>
  </si>
  <si>
    <t>=COVAR(B2:B13,C2:C13)</t>
    <phoneticPr fontId="3" type="noConversion"/>
  </si>
  <si>
    <t>=COVAR(D2:D13,C2:C13)</t>
    <phoneticPr fontId="3" type="noConversion"/>
  </si>
  <si>
    <t>=COVAR(D2:D13,B2:B13)</t>
    <phoneticPr fontId="3" type="noConversion"/>
  </si>
  <si>
    <r>
      <t>國清電腦公司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千元</t>
    </r>
    <r>
      <rPr>
        <sz val="12"/>
        <rFont val="Times New Roman"/>
        <family val="1"/>
      </rPr>
      <t>)</t>
    </r>
    <phoneticPr fontId="3" type="noConversion"/>
  </si>
  <si>
    <r>
      <t>廣告量</t>
    </r>
    <r>
      <rPr>
        <sz val="11"/>
        <rFont val="Arial"/>
        <family val="2"/>
      </rPr>
      <t/>
    </r>
    <phoneticPr fontId="3" type="noConversion"/>
  </si>
  <si>
    <r>
      <t>銷售量</t>
    </r>
    <r>
      <rPr>
        <sz val="11"/>
        <rFont val="Arial"/>
        <family val="2"/>
      </rPr>
      <t/>
    </r>
    <phoneticPr fontId="3" type="noConversion"/>
  </si>
  <si>
    <t>預測量</t>
    <phoneticPr fontId="3" type="noConversion"/>
  </si>
  <si>
    <t>銷售量預測</t>
    <phoneticPr fontId="3" type="noConversion"/>
  </si>
  <si>
    <t>月份</t>
    <phoneticPr fontId="3" type="noConversion"/>
  </si>
  <si>
    <t>一月</t>
    <phoneticPr fontId="3" type="noConversion"/>
  </si>
  <si>
    <t>=INTERCEPT($B$3:$B$12,$A$3:$A$12)</t>
    <phoneticPr fontId="3" type="noConversion"/>
  </si>
  <si>
    <t>行駛里數</t>
    <phoneticPr fontId="3" type="noConversion"/>
  </si>
  <si>
    <t>貨運數量</t>
    <phoneticPr fontId="3" type="noConversion"/>
  </si>
  <si>
    <t>駕駛時間</t>
    <phoneticPr fontId="3" type="noConversion"/>
  </si>
  <si>
    <t>X1</t>
    <phoneticPr fontId="3" type="noConversion"/>
  </si>
  <si>
    <t>X2</t>
    <phoneticPr fontId="3" type="noConversion"/>
  </si>
  <si>
    <t>Y</t>
    <phoneticPr fontId="3" type="noConversion"/>
  </si>
  <si>
    <t>月份數</t>
    <phoneticPr fontId="3" type="noConversion"/>
  </si>
  <si>
    <t>= INDEX(LOGEST(B2:B7,A2:A7,TRUE,TRUE),1)</t>
    <phoneticPr fontId="3" type="noConversion"/>
  </si>
  <si>
    <t>= INDEX(LOGEST(B2:B7,A2:A7,TRUE,TRUE),2)</t>
    <phoneticPr fontId="3" type="noConversion"/>
  </si>
  <si>
    <t>=SLOPE(B3:B12,A3:A12)</t>
    <phoneticPr fontId="3" type="noConversion"/>
  </si>
  <si>
    <t>銷售量預測(指數)</t>
    <phoneticPr fontId="3" type="noConversion"/>
  </si>
  <si>
    <t>銷售量預測(直線)</t>
    <phoneticPr fontId="3" type="noConversion"/>
  </si>
  <si>
    <t>日期</t>
  </si>
  <si>
    <t>收盤價格</t>
    <phoneticPr fontId="16" type="noConversion"/>
  </si>
  <si>
    <t>直線回歸</t>
    <phoneticPr fontId="16" type="noConversion"/>
  </si>
  <si>
    <t>指數迴歸</t>
    <phoneticPr fontId="16" type="noConversion"/>
  </si>
  <si>
    <t>=FTEST(B3:B17,C3:C20)</t>
    <phoneticPr fontId="3" type="noConversion"/>
  </si>
  <si>
    <t>使用陣列公式</t>
    <phoneticPr fontId="3" type="noConversion"/>
  </si>
  <si>
    <t>=CORREL(D2:D13,B2:B13)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</si>
</sst>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76" formatCode="[Red][&lt;60]0;[Blue][&gt;=0]0;General"/>
    <numFmt numFmtId="179" formatCode="000\ "/>
    <numFmt numFmtId="180" formatCode="0.00_ "/>
    <numFmt numFmtId="198" formatCode="_-* #,##0_-;\-* #,##0_-;_-* &quot;-&quot;??_-;_-@_-"/>
    <numFmt numFmtId="200" formatCode="&quot;$&quot;#,##0_);[Red]\(&quot;$&quot;#,##0\)"/>
    <numFmt numFmtId="216" formatCode="0.0%"/>
  </numFmts>
  <fonts count="19">
    <font>
      <sz val="12"/>
      <name val="新細明體"/>
      <family val="1"/>
      <charset val="136"/>
    </font>
    <font>
      <sz val="12"/>
      <name val="Arial Rounded MT Bold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name val="Times New Roman"/>
      <family val="1"/>
    </font>
    <font>
      <b/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color indexed="9"/>
      <name val="華康細明體"/>
      <family val="3"/>
      <charset val="136"/>
    </font>
    <font>
      <vertAlign val="superscript"/>
      <sz val="10"/>
      <color indexed="9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12"/>
      <name val="Courier"/>
      <family val="3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200" fontId="15" fillId="0" borderId="0" applyFont="0" applyFill="0" applyBorder="0" applyAlignment="0" applyProtection="0"/>
  </cellStyleXfs>
  <cellXfs count="127">
    <xf numFmtId="0" fontId="0" fillId="0" borderId="0" xfId="0"/>
    <xf numFmtId="0" fontId="2" fillId="0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0" xfId="0" applyFont="1"/>
    <xf numFmtId="0" fontId="7" fillId="0" borderId="0" xfId="0" applyFont="1"/>
    <xf numFmtId="0" fontId="6" fillId="3" borderId="3" xfId="0" applyFont="1" applyFill="1" applyBorder="1" applyAlignment="1">
      <alignment horizontal="center"/>
    </xf>
    <xf numFmtId="176" fontId="6" fillId="3" borderId="3" xfId="0" applyNumberFormat="1" applyFont="1" applyFill="1" applyBorder="1" applyAlignment="1">
      <alignment horizontal="center"/>
    </xf>
    <xf numFmtId="179" fontId="7" fillId="4" borderId="3" xfId="0" applyNumberFormat="1" applyFont="1" applyFill="1" applyBorder="1" applyAlignment="1">
      <alignment horizontal="center"/>
    </xf>
    <xf numFmtId="0" fontId="7" fillId="4" borderId="3" xfId="0" quotePrefix="1" applyNumberFormat="1" applyFont="1" applyFill="1" applyBorder="1" applyAlignment="1">
      <alignment horizontal="center"/>
    </xf>
    <xf numFmtId="176" fontId="7" fillId="4" borderId="3" xfId="0" applyNumberFormat="1" applyFont="1" applyFill="1" applyBorder="1" applyAlignment="1">
      <alignment horizontal="center"/>
    </xf>
    <xf numFmtId="0" fontId="7" fillId="4" borderId="3" xfId="4" applyFont="1" applyFill="1" applyBorder="1" applyAlignment="1">
      <alignment horizontal="center"/>
    </xf>
    <xf numFmtId="1" fontId="7" fillId="4" borderId="3" xfId="2" applyNumberFormat="1" applyFont="1" applyFill="1" applyBorder="1" applyAlignment="1">
      <alignment horizontal="center"/>
    </xf>
    <xf numFmtId="180" fontId="7" fillId="0" borderId="0" xfId="0" applyNumberFormat="1" applyFont="1"/>
    <xf numFmtId="1" fontId="8" fillId="5" borderId="0" xfId="2" applyNumberFormat="1" applyFont="1" applyFill="1" applyBorder="1" applyAlignment="1">
      <alignment horizontal="center"/>
    </xf>
    <xf numFmtId="0" fontId="9" fillId="0" borderId="0" xfId="0" applyFont="1"/>
    <xf numFmtId="0" fontId="7" fillId="0" borderId="0" xfId="0" applyFont="1" applyFill="1" applyBorder="1"/>
    <xf numFmtId="14" fontId="0" fillId="6" borderId="0" xfId="0" applyNumberFormat="1" applyFill="1"/>
    <xf numFmtId="0" fontId="0" fillId="6" borderId="0" xfId="0" applyFill="1"/>
    <xf numFmtId="0" fontId="0" fillId="0" borderId="4" xfId="0" applyBorder="1"/>
    <xf numFmtId="0" fontId="0" fillId="4" borderId="0" xfId="0" applyFill="1"/>
    <xf numFmtId="0" fontId="7" fillId="7" borderId="0" xfId="0" applyFont="1" applyFill="1"/>
    <xf numFmtId="176" fontId="7" fillId="8" borderId="0" xfId="0" applyNumberFormat="1" applyFont="1" applyFill="1"/>
    <xf numFmtId="0" fontId="7" fillId="8" borderId="0" xfId="0" applyFont="1" applyFill="1"/>
    <xf numFmtId="176" fontId="4" fillId="3" borderId="3" xfId="0" applyNumberFormat="1" applyFont="1" applyFill="1" applyBorder="1" applyAlignment="1">
      <alignment horizontal="center"/>
    </xf>
    <xf numFmtId="0" fontId="8" fillId="8" borderId="0" xfId="0" applyFont="1" applyFill="1"/>
    <xf numFmtId="0" fontId="4" fillId="9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/>
    </xf>
    <xf numFmtId="0" fontId="10" fillId="11" borderId="0" xfId="0" applyFont="1" applyFill="1" applyBorder="1" applyAlignment="1"/>
    <xf numFmtId="0" fontId="2" fillId="8" borderId="0" xfId="0" applyFont="1" applyFill="1"/>
    <xf numFmtId="0" fontId="2" fillId="0" borderId="0" xfId="0" applyFont="1"/>
    <xf numFmtId="216" fontId="7" fillId="0" borderId="0" xfId="6" applyNumberFormat="1" applyFont="1"/>
    <xf numFmtId="0" fontId="2" fillId="0" borderId="0" xfId="0" applyFont="1" applyFill="1"/>
    <xf numFmtId="0" fontId="2" fillId="8" borderId="5" xfId="0" applyFont="1" applyFill="1" applyBorder="1" applyAlignment="1">
      <alignment horizontal="justify" vertical="top" wrapText="1"/>
    </xf>
    <xf numFmtId="0" fontId="2" fillId="8" borderId="6" xfId="0" applyFont="1" applyFill="1" applyBorder="1" applyAlignment="1">
      <alignment horizontal="justify" vertical="top" wrapText="1"/>
    </xf>
    <xf numFmtId="0" fontId="2" fillId="4" borderId="6" xfId="0" applyFont="1" applyFill="1" applyBorder="1" applyAlignment="1">
      <alignment horizontal="justify" vertical="top" wrapText="1"/>
    </xf>
    <xf numFmtId="0" fontId="2" fillId="4" borderId="7" xfId="0" applyFont="1" applyFill="1" applyBorder="1" applyAlignment="1">
      <alignment horizontal="right" vertical="top" wrapText="1"/>
    </xf>
    <xf numFmtId="0" fontId="2" fillId="6" borderId="6" xfId="0" applyFont="1" applyFill="1" applyBorder="1" applyAlignment="1">
      <alignment horizontal="justify" vertical="top" wrapText="1"/>
    </xf>
    <xf numFmtId="0" fontId="2" fillId="6" borderId="7" xfId="0" applyFont="1" applyFill="1" applyBorder="1" applyAlignment="1">
      <alignment horizontal="right" vertical="top" wrapText="1"/>
    </xf>
    <xf numFmtId="0" fontId="2" fillId="8" borderId="7" xfId="0" applyFont="1" applyFill="1" applyBorder="1" applyAlignment="1">
      <alignment horizontal="right" vertical="top" wrapText="1"/>
    </xf>
    <xf numFmtId="0" fontId="4" fillId="12" borderId="8" xfId="0" applyFont="1" applyFill="1" applyBorder="1" applyAlignment="1">
      <alignment horizontal="justify" vertical="top" wrapText="1"/>
    </xf>
    <xf numFmtId="0" fontId="11" fillId="12" borderId="0" xfId="0" applyFont="1" applyFill="1"/>
    <xf numFmtId="0" fontId="4" fillId="13" borderId="0" xfId="0" applyFont="1" applyFill="1"/>
    <xf numFmtId="0" fontId="0" fillId="0" borderId="0" xfId="0" quotePrefix="1"/>
    <xf numFmtId="0" fontId="0" fillId="8" borderId="0" xfId="0" applyFill="1"/>
    <xf numFmtId="9" fontId="0" fillId="6" borderId="0" xfId="0" applyNumberFormat="1" applyFill="1"/>
    <xf numFmtId="9" fontId="0" fillId="6" borderId="0" xfId="6" applyFont="1" applyFill="1"/>
    <xf numFmtId="0" fontId="2" fillId="0" borderId="9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centerContinuous" vertical="center"/>
    </xf>
    <xf numFmtId="0" fontId="2" fillId="8" borderId="6" xfId="0" applyFont="1" applyFill="1" applyBorder="1"/>
    <xf numFmtId="0" fontId="2" fillId="4" borderId="7" xfId="0" applyFont="1" applyFill="1" applyBorder="1"/>
    <xf numFmtId="12" fontId="2" fillId="8" borderId="10" xfId="0" applyNumberFormat="1" applyFont="1" applyFill="1" applyBorder="1"/>
    <xf numFmtId="12" fontId="2" fillId="4" borderId="0" xfId="0" applyNumberFormat="1" applyFont="1" applyFill="1"/>
    <xf numFmtId="12" fontId="2" fillId="0" borderId="0" xfId="0" applyNumberFormat="1" applyFont="1"/>
    <xf numFmtId="0" fontId="2" fillId="7" borderId="9" xfId="0" applyFont="1" applyFill="1" applyBorder="1" applyAlignment="1">
      <alignment horizontal="centerContinuous" vertical="center"/>
    </xf>
    <xf numFmtId="0" fontId="2" fillId="7" borderId="4" xfId="0" applyFont="1" applyFill="1" applyBorder="1" applyAlignment="1">
      <alignment horizontal="centerContinuous" vertical="center"/>
    </xf>
    <xf numFmtId="0" fontId="2" fillId="7" borderId="5" xfId="0" applyFont="1" applyFill="1" applyBorder="1" applyAlignment="1">
      <alignment horizontal="centerContinuous" vertical="center"/>
    </xf>
    <xf numFmtId="0" fontId="2" fillId="14" borderId="6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right"/>
    </xf>
    <xf numFmtId="0" fontId="2" fillId="0" borderId="0" xfId="0" applyNumberFormat="1" applyFont="1"/>
    <xf numFmtId="0" fontId="0" fillId="15" borderId="0" xfId="0" applyFill="1" applyBorder="1" applyAlignment="1"/>
    <xf numFmtId="0" fontId="0" fillId="16" borderId="2" xfId="0" applyFill="1" applyBorder="1" applyAlignment="1"/>
    <xf numFmtId="0" fontId="2" fillId="8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8" borderId="10" xfId="0" applyNumberFormat="1" applyFont="1" applyFill="1" applyBorder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0" fontId="2" fillId="15" borderId="0" xfId="0" applyFont="1" applyFill="1" applyBorder="1" applyAlignment="1"/>
    <xf numFmtId="0" fontId="2" fillId="0" borderId="2" xfId="0" applyFont="1" applyFill="1" applyBorder="1" applyAlignment="1"/>
    <xf numFmtId="0" fontId="2" fillId="16" borderId="2" xfId="0" applyFont="1" applyFill="1" applyBorder="1" applyAlignment="1"/>
    <xf numFmtId="0" fontId="2" fillId="0" borderId="10" xfId="0" applyFont="1" applyBorder="1" applyAlignment="1">
      <alignment horizontal="center"/>
    </xf>
    <xf numFmtId="0" fontId="2" fillId="14" borderId="9" xfId="0" applyFont="1" applyFill="1" applyBorder="1" applyAlignment="1">
      <alignment horizontal="centerContinuous" vertical="center"/>
    </xf>
    <xf numFmtId="0" fontId="2" fillId="14" borderId="4" xfId="0" applyFont="1" applyFill="1" applyBorder="1" applyAlignment="1">
      <alignment horizontal="centerContinuous" vertical="center"/>
    </xf>
    <xf numFmtId="0" fontId="2" fillId="14" borderId="5" xfId="0" applyFont="1" applyFill="1" applyBorder="1" applyAlignment="1">
      <alignment horizontal="centerContinuous" vertical="center"/>
    </xf>
    <xf numFmtId="0" fontId="2" fillId="4" borderId="6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0" borderId="6" xfId="0" quotePrefix="1" applyFont="1" applyBorder="1" applyAlignment="1">
      <alignment horizontal="center"/>
    </xf>
    <xf numFmtId="0" fontId="2" fillId="8" borderId="7" xfId="0" quotePrefix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8" borderId="12" xfId="0" applyNumberFormat="1" applyFont="1" applyFill="1" applyBorder="1" applyAlignment="1">
      <alignment horizontal="center"/>
    </xf>
    <xf numFmtId="0" fontId="2" fillId="17" borderId="2" xfId="3" applyFill="1" applyBorder="1" applyAlignment="1">
      <alignment horizontal="center"/>
    </xf>
    <xf numFmtId="0" fontId="2" fillId="4" borderId="2" xfId="3" applyFill="1" applyBorder="1" applyAlignment="1">
      <alignment horizontal="center"/>
    </xf>
    <xf numFmtId="0" fontId="2" fillId="8" borderId="2" xfId="3" applyFill="1" applyBorder="1" applyAlignment="1">
      <alignment horizontal="center"/>
    </xf>
    <xf numFmtId="0" fontId="2" fillId="18" borderId="2" xfId="3" applyFill="1" applyBorder="1" applyAlignment="1">
      <alignment horizontal="center"/>
    </xf>
    <xf numFmtId="0" fontId="2" fillId="0" borderId="0" xfId="3">
      <alignment vertical="center"/>
    </xf>
    <xf numFmtId="0" fontId="2" fillId="17" borderId="0" xfId="3" applyFill="1">
      <alignment vertical="center"/>
    </xf>
    <xf numFmtId="0" fontId="2" fillId="4" borderId="0" xfId="3" applyFill="1">
      <alignment vertical="center"/>
    </xf>
    <xf numFmtId="0" fontId="2" fillId="8" borderId="0" xfId="3" applyFill="1">
      <alignment vertical="center"/>
    </xf>
    <xf numFmtId="0" fontId="2" fillId="18" borderId="0" xfId="3" applyFill="1">
      <alignment vertical="center"/>
    </xf>
    <xf numFmtId="0" fontId="0" fillId="19" borderId="2" xfId="0" applyFill="1" applyBorder="1" applyAlignment="1"/>
    <xf numFmtId="0" fontId="2" fillId="15" borderId="0" xfId="3" applyFont="1" applyFill="1">
      <alignment vertical="center"/>
    </xf>
    <xf numFmtId="0" fontId="0" fillId="19" borderId="0" xfId="0" applyFill="1" applyBorder="1" applyAlignment="1"/>
    <xf numFmtId="0" fontId="2" fillId="17" borderId="2" xfId="3" applyFill="1" applyBorder="1">
      <alignment vertical="center"/>
    </xf>
    <xf numFmtId="0" fontId="2" fillId="4" borderId="2" xfId="3" applyFill="1" applyBorder="1">
      <alignment vertical="center"/>
    </xf>
    <xf numFmtId="0" fontId="2" fillId="8" borderId="2" xfId="3" applyFill="1" applyBorder="1">
      <alignment vertical="center"/>
    </xf>
    <xf numFmtId="0" fontId="2" fillId="18" borderId="2" xfId="3" applyFill="1" applyBorder="1">
      <alignment vertical="center"/>
    </xf>
    <xf numFmtId="0" fontId="0" fillId="0" borderId="0" xfId="3" quotePrefix="1" applyFont="1">
      <alignment vertical="center"/>
    </xf>
    <xf numFmtId="0" fontId="2" fillId="20" borderId="0" xfId="0" applyFont="1" applyFill="1" applyAlignment="1">
      <alignment horizontal="centerContinuous" vertical="center"/>
    </xf>
    <xf numFmtId="0" fontId="13" fillId="20" borderId="0" xfId="0" applyFont="1" applyFill="1" applyAlignment="1">
      <alignment horizontal="centerContinuous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20" borderId="0" xfId="0" applyFill="1" applyAlignment="1"/>
    <xf numFmtId="0" fontId="0" fillId="20" borderId="0" xfId="0" applyFill="1"/>
    <xf numFmtId="0" fontId="0" fillId="7" borderId="0" xfId="0" applyFill="1"/>
    <xf numFmtId="0" fontId="0" fillId="6" borderId="3" xfId="0" applyFill="1" applyBorder="1"/>
    <xf numFmtId="0" fontId="0" fillId="8" borderId="3" xfId="0" applyFill="1" applyBorder="1"/>
    <xf numFmtId="0" fontId="0" fillId="4" borderId="3" xfId="0" applyFill="1" applyBorder="1"/>
    <xf numFmtId="0" fontId="2" fillId="6" borderId="0" xfId="0" applyFont="1" applyFill="1"/>
    <xf numFmtId="198" fontId="0" fillId="4" borderId="0" xfId="5" applyNumberFormat="1" applyFont="1" applyFill="1"/>
    <xf numFmtId="0" fontId="0" fillId="20" borderId="0" xfId="0" applyFill="1" applyAlignment="1">
      <alignment wrapText="1"/>
    </xf>
    <xf numFmtId="0" fontId="7" fillId="0" borderId="0" xfId="1" applyFont="1"/>
    <xf numFmtId="0" fontId="18" fillId="0" borderId="0" xfId="1" applyFont="1"/>
    <xf numFmtId="0" fontId="4" fillId="21" borderId="1" xfId="1" applyFont="1" applyFill="1" applyBorder="1" applyAlignment="1">
      <alignment horizontal="left"/>
    </xf>
    <xf numFmtId="0" fontId="4" fillId="21" borderId="13" xfId="1" applyFont="1" applyFill="1" applyBorder="1" applyAlignment="1">
      <alignment horizontal="right"/>
    </xf>
    <xf numFmtId="0" fontId="4" fillId="21" borderId="1" xfId="1" applyFont="1" applyFill="1" applyBorder="1" applyAlignment="1">
      <alignment horizontal="right"/>
    </xf>
    <xf numFmtId="58" fontId="10" fillId="22" borderId="0" xfId="1" applyNumberFormat="1" applyFont="1" applyFill="1" applyBorder="1" applyAlignment="1">
      <alignment horizontal="left"/>
    </xf>
    <xf numFmtId="0" fontId="17" fillId="0" borderId="0" xfId="1" applyFont="1"/>
    <xf numFmtId="180" fontId="17" fillId="0" borderId="0" xfId="1" applyNumberFormat="1" applyFont="1" applyFill="1" applyBorder="1" applyAlignment="1"/>
    <xf numFmtId="180" fontId="2" fillId="0" borderId="0" xfId="0" applyNumberFormat="1" applyFont="1"/>
    <xf numFmtId="180" fontId="18" fillId="0" borderId="0" xfId="1" applyNumberFormat="1" applyFont="1"/>
    <xf numFmtId="180" fontId="17" fillId="0" borderId="0" xfId="1" applyNumberFormat="1" applyFont="1"/>
    <xf numFmtId="0" fontId="6" fillId="23" borderId="1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11" borderId="0" xfId="0" applyFont="1" applyFill="1" applyBorder="1" applyAlignment="1">
      <alignment horizontal="center" wrapText="1"/>
    </xf>
  </cellXfs>
  <cellStyles count="8">
    <cellStyle name="一般" xfId="0" builtinId="0"/>
    <cellStyle name="一般_CH10進階統計圖表專題" xfId="1"/>
    <cellStyle name="一般_工作表進階專題" xfId="2"/>
    <cellStyle name="一般_相關係數" xfId="3"/>
    <cellStyle name="一般_學生成績" xfId="4"/>
    <cellStyle name="千分位" xfId="5" builtinId="3"/>
    <cellStyle name="百分比" xfId="6" builtinId="5"/>
    <cellStyle name="貨幣[0]_迴歸預測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en-US" altLang="zh-TW"/>
              <a:t>BETADIST</a:t>
            </a:r>
          </a:p>
        </c:rich>
      </c:tx>
      <c:layout>
        <c:manualLayout>
          <c:xMode val="edge"/>
          <c:yMode val="edge"/>
          <c:x val="0.43868813196265782"/>
          <c:y val="3.448281140222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810168748260658E-2"/>
          <c:y val="0.21943607255962322"/>
          <c:w val="0.67703050287150335"/>
          <c:h val="0.69279102908109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BETA!$B$1</c:f>
              <c:strCache>
                <c:ptCount val="1"/>
                <c:pt idx="0">
                  <c:v>α=1 β=1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BETA!$A$2:$A$12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BETA!$B$2:$B$12</c:f>
              <c:numCache>
                <c:formatCode>General</c:formatCode>
                <c:ptCount val="11"/>
                <c:pt idx="0">
                  <c:v>0</c:v>
                </c:pt>
                <c:pt idx="1">
                  <c:v>0.10000000000000002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BETA!$C$1</c:f>
              <c:strCache>
                <c:ptCount val="1"/>
                <c:pt idx="0">
                  <c:v>α=2 β=2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BETA!$A$2:$A$12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BETA!$C$2:$C$12</c:f>
              <c:numCache>
                <c:formatCode>General</c:formatCode>
                <c:ptCount val="11"/>
                <c:pt idx="0">
                  <c:v>0</c:v>
                </c:pt>
                <c:pt idx="1">
                  <c:v>2.8000000000000011E-2</c:v>
                </c:pt>
                <c:pt idx="2">
                  <c:v>0.10400000000000002</c:v>
                </c:pt>
                <c:pt idx="3">
                  <c:v>0.21599999999999994</c:v>
                </c:pt>
                <c:pt idx="4">
                  <c:v>0.35199999999999998</c:v>
                </c:pt>
                <c:pt idx="5">
                  <c:v>0.5</c:v>
                </c:pt>
                <c:pt idx="6">
                  <c:v>0.64800000000000002</c:v>
                </c:pt>
                <c:pt idx="7">
                  <c:v>0.78400000000000003</c:v>
                </c:pt>
                <c:pt idx="8">
                  <c:v>0.89600000000000002</c:v>
                </c:pt>
                <c:pt idx="9">
                  <c:v>0.97199999999999998</c:v>
                </c:pt>
                <c:pt idx="1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BETA!$D$1</c:f>
              <c:strCache>
                <c:ptCount val="1"/>
                <c:pt idx="0">
                  <c:v>α=1 β=2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BETA!$A$2:$A$12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BETA!$D$2:$D$12</c:f>
              <c:numCache>
                <c:formatCode>General</c:formatCode>
                <c:ptCount val="11"/>
                <c:pt idx="0">
                  <c:v>0</c:v>
                </c:pt>
                <c:pt idx="1">
                  <c:v>0.18999999999999995</c:v>
                </c:pt>
                <c:pt idx="2">
                  <c:v>0.36</c:v>
                </c:pt>
                <c:pt idx="3">
                  <c:v>0.51</c:v>
                </c:pt>
                <c:pt idx="4">
                  <c:v>0.64</c:v>
                </c:pt>
                <c:pt idx="5">
                  <c:v>0.75</c:v>
                </c:pt>
                <c:pt idx="6">
                  <c:v>0.84</c:v>
                </c:pt>
                <c:pt idx="7">
                  <c:v>0.90999999999999992</c:v>
                </c:pt>
                <c:pt idx="8">
                  <c:v>0.96</c:v>
                </c:pt>
                <c:pt idx="9">
                  <c:v>0.99</c:v>
                </c:pt>
                <c:pt idx="1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BETA!$E$1</c:f>
              <c:strCache>
                <c:ptCount val="1"/>
                <c:pt idx="0">
                  <c:v>α=3 β=1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BETA!$A$2:$A$12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BETA!$E$2:$E$12</c:f>
              <c:numCache>
                <c:formatCode>General</c:formatCode>
                <c:ptCount val="11"/>
                <c:pt idx="0">
                  <c:v>0</c:v>
                </c:pt>
                <c:pt idx="1">
                  <c:v>1.0000000000000002E-3</c:v>
                </c:pt>
                <c:pt idx="2">
                  <c:v>8.0000000000000036E-3</c:v>
                </c:pt>
                <c:pt idx="3">
                  <c:v>2.6999999999999982E-2</c:v>
                </c:pt>
                <c:pt idx="4">
                  <c:v>6.4000000000000015E-2</c:v>
                </c:pt>
                <c:pt idx="5">
                  <c:v>0.12500000000000003</c:v>
                </c:pt>
                <c:pt idx="6">
                  <c:v>0.21599999999999997</c:v>
                </c:pt>
                <c:pt idx="7">
                  <c:v>0.34299999999999992</c:v>
                </c:pt>
                <c:pt idx="8">
                  <c:v>0.51200000000000012</c:v>
                </c:pt>
                <c:pt idx="9">
                  <c:v>0.72900000000000009</c:v>
                </c:pt>
                <c:pt idx="1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BETA!$F$1</c:f>
              <c:strCache>
                <c:ptCount val="1"/>
                <c:pt idx="0">
                  <c:v>α=5 β=5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BETA!$A$2:$A$12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BETA!$F$2:$F$12</c:f>
              <c:numCache>
                <c:formatCode>General</c:formatCode>
                <c:ptCount val="11"/>
                <c:pt idx="0">
                  <c:v>0</c:v>
                </c:pt>
                <c:pt idx="1">
                  <c:v>8.9092000000000316E-4</c:v>
                </c:pt>
                <c:pt idx="2">
                  <c:v>1.9581439999999999E-2</c:v>
                </c:pt>
                <c:pt idx="3">
                  <c:v>9.8808660000000006E-2</c:v>
                </c:pt>
                <c:pt idx="4">
                  <c:v>0.26656768000000008</c:v>
                </c:pt>
                <c:pt idx="5">
                  <c:v>0.5</c:v>
                </c:pt>
                <c:pt idx="6">
                  <c:v>0.73343231999999992</c:v>
                </c:pt>
                <c:pt idx="7">
                  <c:v>0.90119134000000001</c:v>
                </c:pt>
                <c:pt idx="8">
                  <c:v>0.98041855999999994</c:v>
                </c:pt>
                <c:pt idx="9">
                  <c:v>0.99910907999999998</c:v>
                </c:pt>
                <c:pt idx="1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127712"/>
        <c:axId val="456128104"/>
      </c:scatterChart>
      <c:valAx>
        <c:axId val="456127712"/>
        <c:scaling>
          <c:orientation val="minMax"/>
          <c:max val="1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28104"/>
        <c:crosses val="autoZero"/>
        <c:crossBetween val="midCat"/>
      </c:valAx>
      <c:valAx>
        <c:axId val="456128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277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483728147479738"/>
          <c:y val="0.37617612438792553"/>
          <c:w val="0.18134745612629555"/>
          <c:h val="0.379310925424491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en-US" altLang="zh-TW"/>
              <a:t>GAMMADIST</a:t>
            </a:r>
          </a:p>
        </c:rich>
      </c:tx>
      <c:layout>
        <c:manualLayout>
          <c:xMode val="edge"/>
          <c:yMode val="edge"/>
          <c:x val="0.42141694566491539"/>
          <c:y val="3.43750000000000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810168748260658E-2"/>
          <c:y val="0.21875"/>
          <c:w val="0.68048474013105187"/>
          <c:h val="0.6937499999999999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GAMMA!$B$1</c:f>
              <c:strCache>
                <c:ptCount val="1"/>
                <c:pt idx="0">
                  <c:v>α=1 β=1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GAMMA!$A$2:$A$12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GAMMA!$B$2:$B$12</c:f>
              <c:numCache>
                <c:formatCode>General</c:formatCode>
                <c:ptCount val="11"/>
                <c:pt idx="0">
                  <c:v>0</c:v>
                </c:pt>
                <c:pt idx="1">
                  <c:v>0.63212055882855767</c:v>
                </c:pt>
                <c:pt idx="2">
                  <c:v>0.8646647167633873</c:v>
                </c:pt>
                <c:pt idx="3">
                  <c:v>0.95021293163213605</c:v>
                </c:pt>
                <c:pt idx="4">
                  <c:v>0.98168436111126578</c:v>
                </c:pt>
                <c:pt idx="5">
                  <c:v>0.99326205300091452</c:v>
                </c:pt>
                <c:pt idx="6">
                  <c:v>0.99752124782333362</c:v>
                </c:pt>
                <c:pt idx="7">
                  <c:v>0.99908811803444553</c:v>
                </c:pt>
                <c:pt idx="8">
                  <c:v>0.99966453737209748</c:v>
                </c:pt>
                <c:pt idx="9">
                  <c:v>0.99987659019591335</c:v>
                </c:pt>
                <c:pt idx="10">
                  <c:v>0.99995460007023751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GAMMA!$C$1</c:f>
              <c:strCache>
                <c:ptCount val="1"/>
                <c:pt idx="0">
                  <c:v>α=2 β=2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GAMMA!$A$2:$A$12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GAMMA!$C$2:$C$12</c:f>
              <c:numCache>
                <c:formatCode>General</c:formatCode>
                <c:ptCount val="11"/>
                <c:pt idx="0">
                  <c:v>0</c:v>
                </c:pt>
                <c:pt idx="1">
                  <c:v>9.0204010431049864E-2</c:v>
                </c:pt>
                <c:pt idx="2">
                  <c:v>0.26424111765711522</c:v>
                </c:pt>
                <c:pt idx="3">
                  <c:v>0.44217459962892536</c:v>
                </c:pt>
                <c:pt idx="4">
                  <c:v>0.59399415029016189</c:v>
                </c:pt>
                <c:pt idx="5">
                  <c:v>0.71270250481635422</c:v>
                </c:pt>
                <c:pt idx="6">
                  <c:v>0.80085172652854419</c:v>
                </c:pt>
                <c:pt idx="7">
                  <c:v>0.86411177459956678</c:v>
                </c:pt>
                <c:pt idx="8">
                  <c:v>0.90842180555632912</c:v>
                </c:pt>
                <c:pt idx="9">
                  <c:v>0.93890051903966731</c:v>
                </c:pt>
                <c:pt idx="10">
                  <c:v>0.95957231800548715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GAMMA!$D$1</c:f>
              <c:strCache>
                <c:ptCount val="1"/>
                <c:pt idx="0">
                  <c:v>α=4 β=4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GAMMA!$A$2:$A$12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GAMMA!$D$2:$D$12</c:f>
              <c:numCache>
                <c:formatCode>General</c:formatCode>
                <c:ptCount val="11"/>
                <c:pt idx="0">
                  <c:v>0</c:v>
                </c:pt>
                <c:pt idx="1">
                  <c:v>1.3336965051406239E-4</c:v>
                </c:pt>
                <c:pt idx="2">
                  <c:v>1.7516225562908235E-3</c:v>
                </c:pt>
                <c:pt idx="3">
                  <c:v>7.2921665052112774E-3</c:v>
                </c:pt>
                <c:pt idx="4">
                  <c:v>1.8988156876153805E-2</c:v>
                </c:pt>
                <c:pt idx="5">
                  <c:v>3.8269054289622309E-2</c:v>
                </c:pt>
                <c:pt idx="6">
                  <c:v>6.5642454378450107E-2</c:v>
                </c:pt>
                <c:pt idx="7">
                  <c:v>0.10081034990616029</c:v>
                </c:pt>
                <c:pt idx="8">
                  <c:v>0.14287653950145301</c:v>
                </c:pt>
                <c:pt idx="9">
                  <c:v>0.19056689262255758</c:v>
                </c:pt>
                <c:pt idx="10">
                  <c:v>0.24242386686693401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GAMMA!$E$1</c:f>
              <c:strCache>
                <c:ptCount val="1"/>
                <c:pt idx="0">
                  <c:v>α=2 β=4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GAMMA!$A$2:$A$12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GAMMA!$E$2:$E$12</c:f>
              <c:numCache>
                <c:formatCode>General</c:formatCode>
                <c:ptCount val="11"/>
                <c:pt idx="0">
                  <c:v>0</c:v>
                </c:pt>
                <c:pt idx="1">
                  <c:v>2.6499021160743909E-2</c:v>
                </c:pt>
                <c:pt idx="2">
                  <c:v>9.0204010431049864E-2</c:v>
                </c:pt>
                <c:pt idx="3">
                  <c:v>0.17335853270322427</c:v>
                </c:pt>
                <c:pt idx="4">
                  <c:v>0.26424111765711522</c:v>
                </c:pt>
                <c:pt idx="5">
                  <c:v>0.35536420706457222</c:v>
                </c:pt>
                <c:pt idx="6">
                  <c:v>0.44217459962892536</c:v>
                </c:pt>
                <c:pt idx="7">
                  <c:v>0.52212165551127621</c:v>
                </c:pt>
                <c:pt idx="8">
                  <c:v>0.59399415029016189</c:v>
                </c:pt>
                <c:pt idx="9">
                  <c:v>0.65745252017394096</c:v>
                </c:pt>
                <c:pt idx="10">
                  <c:v>0.71270250481635422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GAMMA!$F$1</c:f>
              <c:strCache>
                <c:ptCount val="1"/>
                <c:pt idx="0">
                  <c:v>α=4 β=2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GAMMA!$A$2:$A$12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GAMMA!$F$2:$F$12</c:f>
              <c:numCache>
                <c:formatCode>General</c:formatCode>
                <c:ptCount val="11"/>
                <c:pt idx="0">
                  <c:v>0</c:v>
                </c:pt>
                <c:pt idx="1">
                  <c:v>1.7516225562908235E-3</c:v>
                </c:pt>
                <c:pt idx="2">
                  <c:v>1.8988156876153805E-2</c:v>
                </c:pt>
                <c:pt idx="3">
                  <c:v>6.5642454378450107E-2</c:v>
                </c:pt>
                <c:pt idx="4">
                  <c:v>0.14287653950145301</c:v>
                </c:pt>
                <c:pt idx="5">
                  <c:v>0.24242386686693401</c:v>
                </c:pt>
                <c:pt idx="6">
                  <c:v>0.35276811121776874</c:v>
                </c:pt>
                <c:pt idx="7">
                  <c:v>0.46336733209921499</c:v>
                </c:pt>
                <c:pt idx="8">
                  <c:v>0.56652987963329104</c:v>
                </c:pt>
                <c:pt idx="9">
                  <c:v>0.65770404416540895</c:v>
                </c:pt>
                <c:pt idx="10">
                  <c:v>0.73497408470263825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128888"/>
        <c:axId val="456129280"/>
      </c:scatterChart>
      <c:valAx>
        <c:axId val="456128888"/>
        <c:scaling>
          <c:orientation val="minMax"/>
          <c:max val="1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29280"/>
        <c:crosses val="autoZero"/>
        <c:crossBetween val="midCat"/>
      </c:valAx>
      <c:valAx>
        <c:axId val="456129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28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483728147479738"/>
          <c:y val="0.37812499999999999"/>
          <c:w val="0.18134745612629555"/>
          <c:h val="0.378124999999999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en-US" altLang="zh-TW"/>
              <a:t>GAMMAINV</a:t>
            </a:r>
          </a:p>
        </c:rich>
      </c:tx>
      <c:layout>
        <c:manualLayout>
          <c:xMode val="edge"/>
          <c:yMode val="edge"/>
          <c:x val="0.42832542018401237"/>
          <c:y val="3.448281140222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355931488712165E-2"/>
          <c:y val="0.21943607255962322"/>
          <c:w val="0.68048474013105187"/>
          <c:h val="0.614421003166945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GAMMAINV!$B$1</c:f>
              <c:strCache>
                <c:ptCount val="1"/>
                <c:pt idx="0">
                  <c:v>α=1 β=1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GAMMAINV!$A$2:$A$12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GAMMAINV!$B$2:$B$12</c:f>
              <c:numCache>
                <c:formatCode>General</c:formatCode>
                <c:ptCount val="11"/>
                <c:pt idx="0">
                  <c:v>0</c:v>
                </c:pt>
                <c:pt idx="1">
                  <c:v>0.10536051565782631</c:v>
                </c:pt>
                <c:pt idx="2">
                  <c:v>0.22314355131420976</c:v>
                </c:pt>
                <c:pt idx="3">
                  <c:v>0.35667494393873239</c:v>
                </c:pt>
                <c:pt idx="4">
                  <c:v>0.51082562376599072</c:v>
                </c:pt>
                <c:pt idx="5">
                  <c:v>0.69314718055994529</c:v>
                </c:pt>
                <c:pt idx="6">
                  <c:v>0.916290731874155</c:v>
                </c:pt>
                <c:pt idx="7">
                  <c:v>1.2039728043259359</c:v>
                </c:pt>
                <c:pt idx="8">
                  <c:v>1.6094379124341005</c:v>
                </c:pt>
                <c:pt idx="9">
                  <c:v>2.3025850929940459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GAMMAINV!$C$1</c:f>
              <c:strCache>
                <c:ptCount val="1"/>
                <c:pt idx="0">
                  <c:v>α=2 β=2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GAMMAINV!$A$2:$A$12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GAMMAINV!$C$2:$C$12</c:f>
              <c:numCache>
                <c:formatCode>General</c:formatCode>
                <c:ptCount val="11"/>
                <c:pt idx="0">
                  <c:v>0</c:v>
                </c:pt>
                <c:pt idx="1">
                  <c:v>1.0636232167792241</c:v>
                </c:pt>
                <c:pt idx="2">
                  <c:v>1.6487766180659693</c:v>
                </c:pt>
                <c:pt idx="3">
                  <c:v>2.1946984214069829</c:v>
                </c:pt>
                <c:pt idx="4">
                  <c:v>2.7528426841257745</c:v>
                </c:pt>
                <c:pt idx="5">
                  <c:v>3.3566939800333215</c:v>
                </c:pt>
                <c:pt idx="6">
                  <c:v>4.0446264906493132</c:v>
                </c:pt>
                <c:pt idx="7">
                  <c:v>4.8784329665604087</c:v>
                </c:pt>
                <c:pt idx="8">
                  <c:v>5.9886166940042447</c:v>
                </c:pt>
                <c:pt idx="9">
                  <c:v>7.779440339734859</c:v>
                </c:pt>
                <c:pt idx="1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GAMMAINV!$D$1</c:f>
              <c:strCache>
                <c:ptCount val="1"/>
                <c:pt idx="0">
                  <c:v>α=1 β=2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GAMMAINV!$A$2:$A$12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GAMMAINV!$D$2:$D$12</c:f>
              <c:numCache>
                <c:formatCode>General</c:formatCode>
                <c:ptCount val="11"/>
                <c:pt idx="0">
                  <c:v>0</c:v>
                </c:pt>
                <c:pt idx="1">
                  <c:v>0.21072103131565262</c:v>
                </c:pt>
                <c:pt idx="2">
                  <c:v>0.44628710262841953</c:v>
                </c:pt>
                <c:pt idx="3">
                  <c:v>0.71334988787746478</c:v>
                </c:pt>
                <c:pt idx="4">
                  <c:v>1.0216512475319814</c:v>
                </c:pt>
                <c:pt idx="5">
                  <c:v>1.3862943611198906</c:v>
                </c:pt>
                <c:pt idx="6">
                  <c:v>1.83258146374831</c:v>
                </c:pt>
                <c:pt idx="7">
                  <c:v>2.4079456086518718</c:v>
                </c:pt>
                <c:pt idx="8">
                  <c:v>3.218875824868201</c:v>
                </c:pt>
                <c:pt idx="9">
                  <c:v>4.6051701859880918</c:v>
                </c:pt>
                <c:pt idx="1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GAMMAINV!$E$1</c:f>
              <c:strCache>
                <c:ptCount val="1"/>
                <c:pt idx="0">
                  <c:v>α=3 β=1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GAMMAINV!$A$2:$A$12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GAMMAINV!$E$2:$E$12</c:f>
              <c:numCache>
                <c:formatCode>General</c:formatCode>
                <c:ptCount val="11"/>
                <c:pt idx="0">
                  <c:v>0</c:v>
                </c:pt>
                <c:pt idx="1">
                  <c:v>1.1020653282493209</c:v>
                </c:pt>
                <c:pt idx="2">
                  <c:v>1.5350442026446436</c:v>
                </c:pt>
                <c:pt idx="3">
                  <c:v>1.9137757941270626</c:v>
                </c:pt>
                <c:pt idx="4">
                  <c:v>2.2850769040033811</c:v>
                </c:pt>
                <c:pt idx="5">
                  <c:v>2.6740603137235608</c:v>
                </c:pt>
                <c:pt idx="6">
                  <c:v>3.1053785972633494</c:v>
                </c:pt>
                <c:pt idx="7">
                  <c:v>3.6155676658659899</c:v>
                </c:pt>
                <c:pt idx="8">
                  <c:v>4.279029860125334</c:v>
                </c:pt>
                <c:pt idx="9">
                  <c:v>5.3223203378342099</c:v>
                </c:pt>
                <c:pt idx="10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GAMMAINV!$F$1</c:f>
              <c:strCache>
                <c:ptCount val="1"/>
                <c:pt idx="0">
                  <c:v>α=5 β=5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GAMMAINV!$A$2:$A$12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GAMMAINV!$F$2:$F$12</c:f>
              <c:numCache>
                <c:formatCode>General</c:formatCode>
                <c:ptCount val="11"/>
                <c:pt idx="0">
                  <c:v>0</c:v>
                </c:pt>
                <c:pt idx="1">
                  <c:v>12.162955129813323</c:v>
                </c:pt>
                <c:pt idx="2">
                  <c:v>15.447698140098481</c:v>
                </c:pt>
                <c:pt idx="3">
                  <c:v>18.168045414819012</c:v>
                </c:pt>
                <c:pt idx="4">
                  <c:v>20.738679402352712</c:v>
                </c:pt>
                <c:pt idx="5">
                  <c:v>23.354544413979916</c:v>
                </c:pt>
                <c:pt idx="6">
                  <c:v>26.183090578488635</c:v>
                </c:pt>
                <c:pt idx="7">
                  <c:v>29.451806568485029</c:v>
                </c:pt>
                <c:pt idx="8">
                  <c:v>33.604893937432784</c:v>
                </c:pt>
                <c:pt idx="9">
                  <c:v>39.967947930263151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130064"/>
        <c:axId val="456130456"/>
      </c:scatterChart>
      <c:valAx>
        <c:axId val="4561300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0456"/>
        <c:crosses val="autoZero"/>
        <c:crossBetween val="midCat"/>
      </c:valAx>
      <c:valAx>
        <c:axId val="456130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00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483728147479738"/>
          <c:y val="0.33855851194913295"/>
          <c:w val="0.18134745612629555"/>
          <c:h val="0.379310925424491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zh-TW" altLang="en-US"/>
              <a:t>標準常態分配與累計分配</a:t>
            </a:r>
          </a:p>
        </c:rich>
      </c:tx>
      <c:layout>
        <c:manualLayout>
          <c:xMode val="edge"/>
          <c:yMode val="edge"/>
          <c:x val="0.31090936692948057"/>
          <c:y val="5.88236138896109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000035511395166E-2"/>
          <c:y val="0.20294146791915774"/>
          <c:w val="0.83272801200995383"/>
          <c:h val="0.641177391396759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標準常態分配!$B$1</c:f>
              <c:strCache>
                <c:ptCount val="1"/>
                <c:pt idx="0">
                  <c:v>累計分配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標準常態分配!$A$2:$A$66</c:f>
              <c:numCache>
                <c:formatCode>General</c:formatCode>
                <c:ptCount val="65"/>
                <c:pt idx="0">
                  <c:v>-3.2</c:v>
                </c:pt>
                <c:pt idx="1">
                  <c:v>-3.1</c:v>
                </c:pt>
                <c:pt idx="2">
                  <c:v>-3</c:v>
                </c:pt>
                <c:pt idx="3">
                  <c:v>-2.9</c:v>
                </c:pt>
                <c:pt idx="4">
                  <c:v>-2.8</c:v>
                </c:pt>
                <c:pt idx="5">
                  <c:v>-2.7</c:v>
                </c:pt>
                <c:pt idx="6">
                  <c:v>-2.6</c:v>
                </c:pt>
                <c:pt idx="7">
                  <c:v>-2.5</c:v>
                </c:pt>
                <c:pt idx="8">
                  <c:v>-2.4</c:v>
                </c:pt>
                <c:pt idx="9">
                  <c:v>-2.2999999999999998</c:v>
                </c:pt>
                <c:pt idx="10">
                  <c:v>-2.2000000000000002</c:v>
                </c:pt>
                <c:pt idx="11">
                  <c:v>-2.1</c:v>
                </c:pt>
                <c:pt idx="12">
                  <c:v>-2</c:v>
                </c:pt>
                <c:pt idx="13">
                  <c:v>-1.9</c:v>
                </c:pt>
                <c:pt idx="14">
                  <c:v>-1.8</c:v>
                </c:pt>
                <c:pt idx="15">
                  <c:v>-1.7</c:v>
                </c:pt>
                <c:pt idx="16">
                  <c:v>-1.6</c:v>
                </c:pt>
                <c:pt idx="17">
                  <c:v>-1.5</c:v>
                </c:pt>
                <c:pt idx="18">
                  <c:v>-1.4</c:v>
                </c:pt>
                <c:pt idx="19">
                  <c:v>-1.3</c:v>
                </c:pt>
                <c:pt idx="20">
                  <c:v>-1.2</c:v>
                </c:pt>
                <c:pt idx="21">
                  <c:v>-1.1000000000000001</c:v>
                </c:pt>
                <c:pt idx="22">
                  <c:v>-1</c:v>
                </c:pt>
                <c:pt idx="23">
                  <c:v>-0.9</c:v>
                </c:pt>
                <c:pt idx="24">
                  <c:v>-0.8</c:v>
                </c:pt>
                <c:pt idx="25">
                  <c:v>-0.7</c:v>
                </c:pt>
                <c:pt idx="26">
                  <c:v>-0.6</c:v>
                </c:pt>
                <c:pt idx="27">
                  <c:v>-0.5</c:v>
                </c:pt>
                <c:pt idx="28">
                  <c:v>-0.4</c:v>
                </c:pt>
                <c:pt idx="29">
                  <c:v>-0.3</c:v>
                </c:pt>
                <c:pt idx="30">
                  <c:v>-0.2</c:v>
                </c:pt>
                <c:pt idx="31">
                  <c:v>-0.1</c:v>
                </c:pt>
                <c:pt idx="32">
                  <c:v>0</c:v>
                </c:pt>
                <c:pt idx="33">
                  <c:v>9.9999999999999603E-2</c:v>
                </c:pt>
                <c:pt idx="34">
                  <c:v>0.2</c:v>
                </c:pt>
                <c:pt idx="35">
                  <c:v>0.3</c:v>
                </c:pt>
                <c:pt idx="36">
                  <c:v>0.4</c:v>
                </c:pt>
                <c:pt idx="37">
                  <c:v>0.5</c:v>
                </c:pt>
                <c:pt idx="38">
                  <c:v>0.6</c:v>
                </c:pt>
                <c:pt idx="39">
                  <c:v>0.7</c:v>
                </c:pt>
                <c:pt idx="40">
                  <c:v>0.8</c:v>
                </c:pt>
                <c:pt idx="41">
                  <c:v>0.89999999999999902</c:v>
                </c:pt>
                <c:pt idx="42">
                  <c:v>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1.4</c:v>
                </c:pt>
                <c:pt idx="47">
                  <c:v>1.5</c:v>
                </c:pt>
                <c:pt idx="48">
                  <c:v>1.6</c:v>
                </c:pt>
                <c:pt idx="49">
                  <c:v>1.7</c:v>
                </c:pt>
                <c:pt idx="50">
                  <c:v>1.8</c:v>
                </c:pt>
                <c:pt idx="51">
                  <c:v>1.9</c:v>
                </c:pt>
                <c:pt idx="52">
                  <c:v>2</c:v>
                </c:pt>
                <c:pt idx="53">
                  <c:v>2.1</c:v>
                </c:pt>
                <c:pt idx="54">
                  <c:v>2.2000000000000002</c:v>
                </c:pt>
                <c:pt idx="55">
                  <c:v>2.30000000000001</c:v>
                </c:pt>
                <c:pt idx="56">
                  <c:v>2.4</c:v>
                </c:pt>
                <c:pt idx="57">
                  <c:v>2.5</c:v>
                </c:pt>
                <c:pt idx="58">
                  <c:v>2.6000000000000099</c:v>
                </c:pt>
                <c:pt idx="59">
                  <c:v>2.7000000000000099</c:v>
                </c:pt>
                <c:pt idx="60">
                  <c:v>2.80000000000001</c:v>
                </c:pt>
                <c:pt idx="61">
                  <c:v>2.9</c:v>
                </c:pt>
                <c:pt idx="62">
                  <c:v>3.0000000000000102</c:v>
                </c:pt>
                <c:pt idx="63">
                  <c:v>3.1000000000000099</c:v>
                </c:pt>
                <c:pt idx="64">
                  <c:v>3.2000000000000099</c:v>
                </c:pt>
              </c:numCache>
            </c:numRef>
          </c:xVal>
          <c:yVal>
            <c:numRef>
              <c:f>標準常態分配!$B$2:$B$66</c:f>
              <c:numCache>
                <c:formatCode>General</c:formatCode>
                <c:ptCount val="65"/>
                <c:pt idx="0">
                  <c:v>6.8713793791584719E-4</c:v>
                </c:pt>
                <c:pt idx="1">
                  <c:v>9.676032132183561E-4</c:v>
                </c:pt>
                <c:pt idx="2">
                  <c:v>1.3498980316300933E-3</c:v>
                </c:pt>
                <c:pt idx="3">
                  <c:v>1.8658133003840378E-3</c:v>
                </c:pt>
                <c:pt idx="4">
                  <c:v>2.5551303304279312E-3</c:v>
                </c:pt>
                <c:pt idx="5">
                  <c:v>3.4669738030406643E-3</c:v>
                </c:pt>
                <c:pt idx="6">
                  <c:v>4.6611880237187476E-3</c:v>
                </c:pt>
                <c:pt idx="7">
                  <c:v>6.2096653257761331E-3</c:v>
                </c:pt>
                <c:pt idx="8">
                  <c:v>8.1975359245961311E-3</c:v>
                </c:pt>
                <c:pt idx="9">
                  <c:v>1.0724110021675811E-2</c:v>
                </c:pt>
                <c:pt idx="10">
                  <c:v>1.3903447513498597E-2</c:v>
                </c:pt>
                <c:pt idx="11">
                  <c:v>1.7864420562816546E-2</c:v>
                </c:pt>
                <c:pt idx="12">
                  <c:v>2.2750131948179191E-2</c:v>
                </c:pt>
                <c:pt idx="13">
                  <c:v>2.87165598160018E-2</c:v>
                </c:pt>
                <c:pt idx="14">
                  <c:v>3.5930319112925789E-2</c:v>
                </c:pt>
                <c:pt idx="15">
                  <c:v>4.4565462758543041E-2</c:v>
                </c:pt>
                <c:pt idx="16">
                  <c:v>5.4799291699557967E-2</c:v>
                </c:pt>
                <c:pt idx="17">
                  <c:v>6.6807201268858057E-2</c:v>
                </c:pt>
                <c:pt idx="18">
                  <c:v>8.0756659233771053E-2</c:v>
                </c:pt>
                <c:pt idx="19">
                  <c:v>9.6800484585610316E-2</c:v>
                </c:pt>
                <c:pt idx="20">
                  <c:v>0.11506967022170828</c:v>
                </c:pt>
                <c:pt idx="21">
                  <c:v>0.13566606094638264</c:v>
                </c:pt>
                <c:pt idx="22">
                  <c:v>0.15865525393145699</c:v>
                </c:pt>
                <c:pt idx="23">
                  <c:v>0.1840601253467595</c:v>
                </c:pt>
                <c:pt idx="24">
                  <c:v>0.21185539858339661</c:v>
                </c:pt>
                <c:pt idx="25">
                  <c:v>0.24196365222307298</c:v>
                </c:pt>
                <c:pt idx="26">
                  <c:v>0.27425311775007355</c:v>
                </c:pt>
                <c:pt idx="27">
                  <c:v>0.30853753872598688</c:v>
                </c:pt>
                <c:pt idx="28">
                  <c:v>0.34457825838967576</c:v>
                </c:pt>
                <c:pt idx="29">
                  <c:v>0.38208857781104733</c:v>
                </c:pt>
                <c:pt idx="30">
                  <c:v>0.42074029056089696</c:v>
                </c:pt>
                <c:pt idx="31">
                  <c:v>0.46017216272297101</c:v>
                </c:pt>
                <c:pt idx="32">
                  <c:v>0.5</c:v>
                </c:pt>
                <c:pt idx="33">
                  <c:v>0.53982783727702888</c:v>
                </c:pt>
                <c:pt idx="34">
                  <c:v>0.57925970943910299</c:v>
                </c:pt>
                <c:pt idx="35">
                  <c:v>0.61791142218895267</c:v>
                </c:pt>
                <c:pt idx="36">
                  <c:v>0.65542174161032429</c:v>
                </c:pt>
                <c:pt idx="37">
                  <c:v>0.69146246127401312</c:v>
                </c:pt>
                <c:pt idx="38">
                  <c:v>0.72574688224992645</c:v>
                </c:pt>
                <c:pt idx="39">
                  <c:v>0.75803634777692697</c:v>
                </c:pt>
                <c:pt idx="40">
                  <c:v>0.78814460141660336</c:v>
                </c:pt>
                <c:pt idx="41">
                  <c:v>0.81593987465324025</c:v>
                </c:pt>
                <c:pt idx="42">
                  <c:v>0.84134474606854304</c:v>
                </c:pt>
                <c:pt idx="43">
                  <c:v>0.86433393905361733</c:v>
                </c:pt>
                <c:pt idx="44">
                  <c:v>0.88493032977829178</c:v>
                </c:pt>
                <c:pt idx="45">
                  <c:v>0.9031995154143897</c:v>
                </c:pt>
                <c:pt idx="46">
                  <c:v>0.91924334076622893</c:v>
                </c:pt>
                <c:pt idx="47">
                  <c:v>0.93319279873114191</c:v>
                </c:pt>
                <c:pt idx="48">
                  <c:v>0.94520070830044201</c:v>
                </c:pt>
                <c:pt idx="49">
                  <c:v>0.95543453724145699</c:v>
                </c:pt>
                <c:pt idx="50">
                  <c:v>0.96406968088707423</c:v>
                </c:pt>
                <c:pt idx="51">
                  <c:v>0.97128344018399815</c:v>
                </c:pt>
                <c:pt idx="52">
                  <c:v>0.97724986805182079</c:v>
                </c:pt>
                <c:pt idx="53">
                  <c:v>0.98213557943718344</c:v>
                </c:pt>
                <c:pt idx="54">
                  <c:v>0.98609655248650141</c:v>
                </c:pt>
                <c:pt idx="55">
                  <c:v>0.9892758899783245</c:v>
                </c:pt>
                <c:pt idx="56">
                  <c:v>0.99180246407540384</c:v>
                </c:pt>
                <c:pt idx="57">
                  <c:v>0.99379033467422384</c:v>
                </c:pt>
                <c:pt idx="58">
                  <c:v>0.99533881197628138</c:v>
                </c:pt>
                <c:pt idx="59">
                  <c:v>0.99653302619695949</c:v>
                </c:pt>
                <c:pt idx="60">
                  <c:v>0.99744486966957213</c:v>
                </c:pt>
                <c:pt idx="61">
                  <c:v>0.99813418669961596</c:v>
                </c:pt>
                <c:pt idx="62">
                  <c:v>0.9986501019683699</c:v>
                </c:pt>
                <c:pt idx="63">
                  <c:v>0.99903239678678168</c:v>
                </c:pt>
                <c:pt idx="64">
                  <c:v>0.99931286206208414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標準常態分配!$C$1</c:f>
              <c:strCache>
                <c:ptCount val="1"/>
                <c:pt idx="0">
                  <c:v>機率密度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標準常態分配!$A$2:$A$66</c:f>
              <c:numCache>
                <c:formatCode>General</c:formatCode>
                <c:ptCount val="65"/>
                <c:pt idx="0">
                  <c:v>-3.2</c:v>
                </c:pt>
                <c:pt idx="1">
                  <c:v>-3.1</c:v>
                </c:pt>
                <c:pt idx="2">
                  <c:v>-3</c:v>
                </c:pt>
                <c:pt idx="3">
                  <c:v>-2.9</c:v>
                </c:pt>
                <c:pt idx="4">
                  <c:v>-2.8</c:v>
                </c:pt>
                <c:pt idx="5">
                  <c:v>-2.7</c:v>
                </c:pt>
                <c:pt idx="6">
                  <c:v>-2.6</c:v>
                </c:pt>
                <c:pt idx="7">
                  <c:v>-2.5</c:v>
                </c:pt>
                <c:pt idx="8">
                  <c:v>-2.4</c:v>
                </c:pt>
                <c:pt idx="9">
                  <c:v>-2.2999999999999998</c:v>
                </c:pt>
                <c:pt idx="10">
                  <c:v>-2.2000000000000002</c:v>
                </c:pt>
                <c:pt idx="11">
                  <c:v>-2.1</c:v>
                </c:pt>
                <c:pt idx="12">
                  <c:v>-2</c:v>
                </c:pt>
                <c:pt idx="13">
                  <c:v>-1.9</c:v>
                </c:pt>
                <c:pt idx="14">
                  <c:v>-1.8</c:v>
                </c:pt>
                <c:pt idx="15">
                  <c:v>-1.7</c:v>
                </c:pt>
                <c:pt idx="16">
                  <c:v>-1.6</c:v>
                </c:pt>
                <c:pt idx="17">
                  <c:v>-1.5</c:v>
                </c:pt>
                <c:pt idx="18">
                  <c:v>-1.4</c:v>
                </c:pt>
                <c:pt idx="19">
                  <c:v>-1.3</c:v>
                </c:pt>
                <c:pt idx="20">
                  <c:v>-1.2</c:v>
                </c:pt>
                <c:pt idx="21">
                  <c:v>-1.1000000000000001</c:v>
                </c:pt>
                <c:pt idx="22">
                  <c:v>-1</c:v>
                </c:pt>
                <c:pt idx="23">
                  <c:v>-0.9</c:v>
                </c:pt>
                <c:pt idx="24">
                  <c:v>-0.8</c:v>
                </c:pt>
                <c:pt idx="25">
                  <c:v>-0.7</c:v>
                </c:pt>
                <c:pt idx="26">
                  <c:v>-0.6</c:v>
                </c:pt>
                <c:pt idx="27">
                  <c:v>-0.5</c:v>
                </c:pt>
                <c:pt idx="28">
                  <c:v>-0.4</c:v>
                </c:pt>
                <c:pt idx="29">
                  <c:v>-0.3</c:v>
                </c:pt>
                <c:pt idx="30">
                  <c:v>-0.2</c:v>
                </c:pt>
                <c:pt idx="31">
                  <c:v>-0.1</c:v>
                </c:pt>
                <c:pt idx="32">
                  <c:v>0</c:v>
                </c:pt>
                <c:pt idx="33">
                  <c:v>9.9999999999999603E-2</c:v>
                </c:pt>
                <c:pt idx="34">
                  <c:v>0.2</c:v>
                </c:pt>
                <c:pt idx="35">
                  <c:v>0.3</c:v>
                </c:pt>
                <c:pt idx="36">
                  <c:v>0.4</c:v>
                </c:pt>
                <c:pt idx="37">
                  <c:v>0.5</c:v>
                </c:pt>
                <c:pt idx="38">
                  <c:v>0.6</c:v>
                </c:pt>
                <c:pt idx="39">
                  <c:v>0.7</c:v>
                </c:pt>
                <c:pt idx="40">
                  <c:v>0.8</c:v>
                </c:pt>
                <c:pt idx="41">
                  <c:v>0.89999999999999902</c:v>
                </c:pt>
                <c:pt idx="42">
                  <c:v>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1.4</c:v>
                </c:pt>
                <c:pt idx="47">
                  <c:v>1.5</c:v>
                </c:pt>
                <c:pt idx="48">
                  <c:v>1.6</c:v>
                </c:pt>
                <c:pt idx="49">
                  <c:v>1.7</c:v>
                </c:pt>
                <c:pt idx="50">
                  <c:v>1.8</c:v>
                </c:pt>
                <c:pt idx="51">
                  <c:v>1.9</c:v>
                </c:pt>
                <c:pt idx="52">
                  <c:v>2</c:v>
                </c:pt>
                <c:pt idx="53">
                  <c:v>2.1</c:v>
                </c:pt>
                <c:pt idx="54">
                  <c:v>2.2000000000000002</c:v>
                </c:pt>
                <c:pt idx="55">
                  <c:v>2.30000000000001</c:v>
                </c:pt>
                <c:pt idx="56">
                  <c:v>2.4</c:v>
                </c:pt>
                <c:pt idx="57">
                  <c:v>2.5</c:v>
                </c:pt>
                <c:pt idx="58">
                  <c:v>2.6000000000000099</c:v>
                </c:pt>
                <c:pt idx="59">
                  <c:v>2.7000000000000099</c:v>
                </c:pt>
                <c:pt idx="60">
                  <c:v>2.80000000000001</c:v>
                </c:pt>
                <c:pt idx="61">
                  <c:v>2.9</c:v>
                </c:pt>
                <c:pt idx="62">
                  <c:v>3.0000000000000102</c:v>
                </c:pt>
                <c:pt idx="63">
                  <c:v>3.1000000000000099</c:v>
                </c:pt>
                <c:pt idx="64">
                  <c:v>3.2000000000000099</c:v>
                </c:pt>
              </c:numCache>
            </c:numRef>
          </c:xVal>
          <c:yVal>
            <c:numRef>
              <c:f>標準常態分配!$C$2:$C$66</c:f>
              <c:numCache>
                <c:formatCode>General</c:formatCode>
                <c:ptCount val="65"/>
                <c:pt idx="0">
                  <c:v>2.3840882014648404E-3</c:v>
                </c:pt>
                <c:pt idx="1">
                  <c:v>3.2668190561999182E-3</c:v>
                </c:pt>
                <c:pt idx="2">
                  <c:v>4.4318484119380075E-3</c:v>
                </c:pt>
                <c:pt idx="3">
                  <c:v>5.9525324197758538E-3</c:v>
                </c:pt>
                <c:pt idx="4">
                  <c:v>7.9154515829799686E-3</c:v>
                </c:pt>
                <c:pt idx="5">
                  <c:v>1.0420934814422592E-2</c:v>
                </c:pt>
                <c:pt idx="6">
                  <c:v>1.3582969233685613E-2</c:v>
                </c:pt>
                <c:pt idx="7">
                  <c:v>1.752830049356854E-2</c:v>
                </c:pt>
                <c:pt idx="8">
                  <c:v>2.2394530294842899E-2</c:v>
                </c:pt>
                <c:pt idx="9">
                  <c:v>2.8327037741601186E-2</c:v>
                </c:pt>
                <c:pt idx="10">
                  <c:v>3.5474592846231424E-2</c:v>
                </c:pt>
                <c:pt idx="11">
                  <c:v>4.3983595980427191E-2</c:v>
                </c:pt>
                <c:pt idx="12">
                  <c:v>5.3990966513188063E-2</c:v>
                </c:pt>
                <c:pt idx="13">
                  <c:v>6.5615814774676595E-2</c:v>
                </c:pt>
                <c:pt idx="14">
                  <c:v>7.8950158300894149E-2</c:v>
                </c:pt>
                <c:pt idx="15">
                  <c:v>9.4049077376886947E-2</c:v>
                </c:pt>
                <c:pt idx="16">
                  <c:v>0.11092083467945554</c:v>
                </c:pt>
                <c:pt idx="17">
                  <c:v>0.12951759566589174</c:v>
                </c:pt>
                <c:pt idx="18">
                  <c:v>0.14972746563574488</c:v>
                </c:pt>
                <c:pt idx="19">
                  <c:v>0.17136859204780736</c:v>
                </c:pt>
                <c:pt idx="20">
                  <c:v>0.19418605498321295</c:v>
                </c:pt>
                <c:pt idx="21">
                  <c:v>0.21785217703255053</c:v>
                </c:pt>
                <c:pt idx="22">
                  <c:v>0.24197072451914337</c:v>
                </c:pt>
                <c:pt idx="23">
                  <c:v>0.26608524989875482</c:v>
                </c:pt>
                <c:pt idx="24">
                  <c:v>0.28969155276148273</c:v>
                </c:pt>
                <c:pt idx="25">
                  <c:v>0.31225393336676127</c:v>
                </c:pt>
                <c:pt idx="26">
                  <c:v>0.33322460289179967</c:v>
                </c:pt>
                <c:pt idx="27">
                  <c:v>0.35206532676429952</c:v>
                </c:pt>
                <c:pt idx="28">
                  <c:v>0.36827014030332333</c:v>
                </c:pt>
                <c:pt idx="29">
                  <c:v>0.38138781546052414</c:v>
                </c:pt>
                <c:pt idx="30">
                  <c:v>0.39104269397545588</c:v>
                </c:pt>
                <c:pt idx="31">
                  <c:v>0.39695254747701181</c:v>
                </c:pt>
                <c:pt idx="32">
                  <c:v>0.3989422804014327</c:v>
                </c:pt>
                <c:pt idx="33">
                  <c:v>0.39695254747701181</c:v>
                </c:pt>
                <c:pt idx="34">
                  <c:v>0.39104269397545588</c:v>
                </c:pt>
                <c:pt idx="35">
                  <c:v>0.38138781546052414</c:v>
                </c:pt>
                <c:pt idx="36">
                  <c:v>0.36827014030332333</c:v>
                </c:pt>
                <c:pt idx="37">
                  <c:v>0.35206532676429952</c:v>
                </c:pt>
                <c:pt idx="38">
                  <c:v>0.33322460289179967</c:v>
                </c:pt>
                <c:pt idx="39">
                  <c:v>0.31225393336676127</c:v>
                </c:pt>
                <c:pt idx="40">
                  <c:v>0.28969155276148273</c:v>
                </c:pt>
                <c:pt idx="41">
                  <c:v>0.26608524989875504</c:v>
                </c:pt>
                <c:pt idx="42">
                  <c:v>0.24197072451914337</c:v>
                </c:pt>
                <c:pt idx="43">
                  <c:v>0.21785217703255053</c:v>
                </c:pt>
                <c:pt idx="44">
                  <c:v>0.19418605498321295</c:v>
                </c:pt>
                <c:pt idx="45">
                  <c:v>0.17136859204780736</c:v>
                </c:pt>
                <c:pt idx="46">
                  <c:v>0.14972746563574488</c:v>
                </c:pt>
                <c:pt idx="47">
                  <c:v>0.12951759566589174</c:v>
                </c:pt>
                <c:pt idx="48">
                  <c:v>0.11092083467945554</c:v>
                </c:pt>
                <c:pt idx="49">
                  <c:v>9.4049077376886947E-2</c:v>
                </c:pt>
                <c:pt idx="50">
                  <c:v>7.8950158300894149E-2</c:v>
                </c:pt>
                <c:pt idx="51">
                  <c:v>6.5615814774676595E-2</c:v>
                </c:pt>
                <c:pt idx="52">
                  <c:v>5.3990966513188063E-2</c:v>
                </c:pt>
                <c:pt idx="53">
                  <c:v>4.3983595980427191E-2</c:v>
                </c:pt>
                <c:pt idx="54">
                  <c:v>3.5474592846231424E-2</c:v>
                </c:pt>
                <c:pt idx="55">
                  <c:v>2.8327037741600516E-2</c:v>
                </c:pt>
                <c:pt idx="56">
                  <c:v>2.2394530294842899E-2</c:v>
                </c:pt>
                <c:pt idx="57">
                  <c:v>1.752830049356854E-2</c:v>
                </c:pt>
                <c:pt idx="58">
                  <c:v>1.3582969233685271E-2</c:v>
                </c:pt>
                <c:pt idx="59">
                  <c:v>1.0420934814422318E-2</c:v>
                </c:pt>
                <c:pt idx="60">
                  <c:v>7.915451582979743E-3</c:v>
                </c:pt>
                <c:pt idx="61">
                  <c:v>5.9525324197758538E-3</c:v>
                </c:pt>
                <c:pt idx="62">
                  <c:v>4.431848411937874E-3</c:v>
                </c:pt>
                <c:pt idx="63">
                  <c:v>3.2668190561998202E-3</c:v>
                </c:pt>
                <c:pt idx="64">
                  <c:v>2.3840882014647662E-3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09320"/>
        <c:axId val="308709712"/>
      </c:scatterChart>
      <c:valAx>
        <c:axId val="3087093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308709712"/>
        <c:crosses val="autoZero"/>
        <c:crossBetween val="midCat"/>
      </c:valAx>
      <c:valAx>
        <c:axId val="308709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3087093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54612441949964"/>
          <c:y val="0.43529474278312097"/>
          <c:w val="0.18363652666595051"/>
          <c:h val="0.1500002154185078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zh-TW" altLang="en-US"/>
              <a:t>常態分配與累計分配</a:t>
            </a:r>
          </a:p>
        </c:rich>
      </c:tx>
      <c:layout>
        <c:manualLayout>
          <c:xMode val="edge"/>
          <c:yMode val="edge"/>
          <c:x val="0.34000030184685887"/>
          <c:y val="5.89972201016895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0000035511395166E-2"/>
          <c:y val="0.20059054834574444"/>
          <c:w val="0.83272801200995383"/>
          <c:h val="0.646019560113500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常態分配!$B$1</c:f>
              <c:strCache>
                <c:ptCount val="1"/>
                <c:pt idx="0">
                  <c:v>累計分配(δ=1)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常態分配!$A$2:$A$66</c:f>
              <c:numCache>
                <c:formatCode>General</c:formatCode>
                <c:ptCount val="65"/>
                <c:pt idx="0">
                  <c:v>-3.2</c:v>
                </c:pt>
                <c:pt idx="1">
                  <c:v>-3.1</c:v>
                </c:pt>
                <c:pt idx="2">
                  <c:v>-3</c:v>
                </c:pt>
                <c:pt idx="3">
                  <c:v>-2.9</c:v>
                </c:pt>
                <c:pt idx="4">
                  <c:v>-2.8</c:v>
                </c:pt>
                <c:pt idx="5">
                  <c:v>-2.7</c:v>
                </c:pt>
                <c:pt idx="6">
                  <c:v>-2.6</c:v>
                </c:pt>
                <c:pt idx="7">
                  <c:v>-2.5</c:v>
                </c:pt>
                <c:pt idx="8">
                  <c:v>-2.4</c:v>
                </c:pt>
                <c:pt idx="9">
                  <c:v>-2.2999999999999998</c:v>
                </c:pt>
                <c:pt idx="10">
                  <c:v>-2.2000000000000002</c:v>
                </c:pt>
                <c:pt idx="11">
                  <c:v>-2.1</c:v>
                </c:pt>
                <c:pt idx="12">
                  <c:v>-2</c:v>
                </c:pt>
                <c:pt idx="13">
                  <c:v>-1.9</c:v>
                </c:pt>
                <c:pt idx="14">
                  <c:v>-1.8</c:v>
                </c:pt>
                <c:pt idx="15">
                  <c:v>-1.7</c:v>
                </c:pt>
                <c:pt idx="16">
                  <c:v>-1.6</c:v>
                </c:pt>
                <c:pt idx="17">
                  <c:v>-1.5</c:v>
                </c:pt>
                <c:pt idx="18">
                  <c:v>-1.4</c:v>
                </c:pt>
                <c:pt idx="19">
                  <c:v>-1.3</c:v>
                </c:pt>
                <c:pt idx="20">
                  <c:v>-1.2</c:v>
                </c:pt>
                <c:pt idx="21">
                  <c:v>-1.1000000000000001</c:v>
                </c:pt>
                <c:pt idx="22">
                  <c:v>-1</c:v>
                </c:pt>
                <c:pt idx="23">
                  <c:v>-0.9</c:v>
                </c:pt>
                <c:pt idx="24">
                  <c:v>-0.8</c:v>
                </c:pt>
                <c:pt idx="25">
                  <c:v>-0.7</c:v>
                </c:pt>
                <c:pt idx="26">
                  <c:v>-0.6</c:v>
                </c:pt>
                <c:pt idx="27">
                  <c:v>-0.5</c:v>
                </c:pt>
                <c:pt idx="28">
                  <c:v>-0.4</c:v>
                </c:pt>
                <c:pt idx="29">
                  <c:v>-0.3</c:v>
                </c:pt>
                <c:pt idx="30">
                  <c:v>-0.2</c:v>
                </c:pt>
                <c:pt idx="31">
                  <c:v>-0.1</c:v>
                </c:pt>
                <c:pt idx="32">
                  <c:v>0</c:v>
                </c:pt>
                <c:pt idx="33">
                  <c:v>9.9999999999999603E-2</c:v>
                </c:pt>
                <c:pt idx="34">
                  <c:v>0.2</c:v>
                </c:pt>
                <c:pt idx="35">
                  <c:v>0.3</c:v>
                </c:pt>
                <c:pt idx="36">
                  <c:v>0.4</c:v>
                </c:pt>
                <c:pt idx="37">
                  <c:v>0.5</c:v>
                </c:pt>
                <c:pt idx="38">
                  <c:v>0.6</c:v>
                </c:pt>
                <c:pt idx="39">
                  <c:v>0.7</c:v>
                </c:pt>
                <c:pt idx="40">
                  <c:v>0.8</c:v>
                </c:pt>
                <c:pt idx="41">
                  <c:v>0.89999999999999902</c:v>
                </c:pt>
                <c:pt idx="42">
                  <c:v>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1.4</c:v>
                </c:pt>
                <c:pt idx="47">
                  <c:v>1.5</c:v>
                </c:pt>
                <c:pt idx="48">
                  <c:v>1.6</c:v>
                </c:pt>
                <c:pt idx="49">
                  <c:v>1.7</c:v>
                </c:pt>
                <c:pt idx="50">
                  <c:v>1.8</c:v>
                </c:pt>
                <c:pt idx="51">
                  <c:v>1.9</c:v>
                </c:pt>
                <c:pt idx="52">
                  <c:v>2</c:v>
                </c:pt>
                <c:pt idx="53">
                  <c:v>2.1</c:v>
                </c:pt>
                <c:pt idx="54">
                  <c:v>2.2000000000000002</c:v>
                </c:pt>
                <c:pt idx="55">
                  <c:v>2.30000000000001</c:v>
                </c:pt>
                <c:pt idx="56">
                  <c:v>2.4</c:v>
                </c:pt>
                <c:pt idx="57">
                  <c:v>2.5</c:v>
                </c:pt>
                <c:pt idx="58">
                  <c:v>2.6000000000000099</c:v>
                </c:pt>
                <c:pt idx="59">
                  <c:v>2.7000000000000099</c:v>
                </c:pt>
                <c:pt idx="60">
                  <c:v>2.80000000000001</c:v>
                </c:pt>
                <c:pt idx="61">
                  <c:v>2.9</c:v>
                </c:pt>
                <c:pt idx="62">
                  <c:v>3.0000000000000102</c:v>
                </c:pt>
                <c:pt idx="63">
                  <c:v>3.1000000000000099</c:v>
                </c:pt>
                <c:pt idx="64">
                  <c:v>3.2000000000000099</c:v>
                </c:pt>
              </c:numCache>
            </c:numRef>
          </c:xVal>
          <c:yVal>
            <c:numRef>
              <c:f>常態分配!$B$2:$B$66</c:f>
              <c:numCache>
                <c:formatCode>General</c:formatCode>
                <c:ptCount val="65"/>
                <c:pt idx="0">
                  <c:v>6.8713793791584719E-4</c:v>
                </c:pt>
                <c:pt idx="1">
                  <c:v>9.676032132183561E-4</c:v>
                </c:pt>
                <c:pt idx="2">
                  <c:v>1.3498980316300933E-3</c:v>
                </c:pt>
                <c:pt idx="3">
                  <c:v>1.8658133003840378E-3</c:v>
                </c:pt>
                <c:pt idx="4">
                  <c:v>2.5551303304279312E-3</c:v>
                </c:pt>
                <c:pt idx="5">
                  <c:v>3.4669738030406643E-3</c:v>
                </c:pt>
                <c:pt idx="6">
                  <c:v>4.6611880237187476E-3</c:v>
                </c:pt>
                <c:pt idx="7">
                  <c:v>6.2096653257761331E-3</c:v>
                </c:pt>
                <c:pt idx="8">
                  <c:v>8.1975359245961311E-3</c:v>
                </c:pt>
                <c:pt idx="9">
                  <c:v>1.0724110021675811E-2</c:v>
                </c:pt>
                <c:pt idx="10">
                  <c:v>1.3903447513498597E-2</c:v>
                </c:pt>
                <c:pt idx="11">
                  <c:v>1.7864420562816546E-2</c:v>
                </c:pt>
                <c:pt idx="12">
                  <c:v>2.2750131948179191E-2</c:v>
                </c:pt>
                <c:pt idx="13">
                  <c:v>2.87165598160018E-2</c:v>
                </c:pt>
                <c:pt idx="14">
                  <c:v>3.5930319112925789E-2</c:v>
                </c:pt>
                <c:pt idx="15">
                  <c:v>4.4565462758543041E-2</c:v>
                </c:pt>
                <c:pt idx="16">
                  <c:v>5.4799291699557967E-2</c:v>
                </c:pt>
                <c:pt idx="17">
                  <c:v>6.6807201268858057E-2</c:v>
                </c:pt>
                <c:pt idx="18">
                  <c:v>8.0756659233771053E-2</c:v>
                </c:pt>
                <c:pt idx="19">
                  <c:v>9.6800484585610316E-2</c:v>
                </c:pt>
                <c:pt idx="20">
                  <c:v>0.11506967022170828</c:v>
                </c:pt>
                <c:pt idx="21">
                  <c:v>0.13566606094638264</c:v>
                </c:pt>
                <c:pt idx="22">
                  <c:v>0.15865525393145699</c:v>
                </c:pt>
                <c:pt idx="23">
                  <c:v>0.1840601253467595</c:v>
                </c:pt>
                <c:pt idx="24">
                  <c:v>0.21185539858339661</c:v>
                </c:pt>
                <c:pt idx="25">
                  <c:v>0.24196365222307298</c:v>
                </c:pt>
                <c:pt idx="26">
                  <c:v>0.27425311775007355</c:v>
                </c:pt>
                <c:pt idx="27">
                  <c:v>0.30853753872598688</c:v>
                </c:pt>
                <c:pt idx="28">
                  <c:v>0.34457825838967576</c:v>
                </c:pt>
                <c:pt idx="29">
                  <c:v>0.38208857781104733</c:v>
                </c:pt>
                <c:pt idx="30">
                  <c:v>0.42074029056089696</c:v>
                </c:pt>
                <c:pt idx="31">
                  <c:v>0.46017216272297101</c:v>
                </c:pt>
                <c:pt idx="32">
                  <c:v>0.5</c:v>
                </c:pt>
                <c:pt idx="33">
                  <c:v>0.53982783727702888</c:v>
                </c:pt>
                <c:pt idx="34">
                  <c:v>0.57925970943910299</c:v>
                </c:pt>
                <c:pt idx="35">
                  <c:v>0.61791142218895267</c:v>
                </c:pt>
                <c:pt idx="36">
                  <c:v>0.65542174161032429</c:v>
                </c:pt>
                <c:pt idx="37">
                  <c:v>0.69146246127401312</c:v>
                </c:pt>
                <c:pt idx="38">
                  <c:v>0.72574688224992645</c:v>
                </c:pt>
                <c:pt idx="39">
                  <c:v>0.75803634777692697</c:v>
                </c:pt>
                <c:pt idx="40">
                  <c:v>0.78814460141660336</c:v>
                </c:pt>
                <c:pt idx="41">
                  <c:v>0.81593987465324025</c:v>
                </c:pt>
                <c:pt idx="42">
                  <c:v>0.84134474606854304</c:v>
                </c:pt>
                <c:pt idx="43">
                  <c:v>0.86433393905361733</c:v>
                </c:pt>
                <c:pt idx="44">
                  <c:v>0.88493032977829178</c:v>
                </c:pt>
                <c:pt idx="45">
                  <c:v>0.9031995154143897</c:v>
                </c:pt>
                <c:pt idx="46">
                  <c:v>0.91924334076622893</c:v>
                </c:pt>
                <c:pt idx="47">
                  <c:v>0.93319279873114191</c:v>
                </c:pt>
                <c:pt idx="48">
                  <c:v>0.94520070830044201</c:v>
                </c:pt>
                <c:pt idx="49">
                  <c:v>0.95543453724145699</c:v>
                </c:pt>
                <c:pt idx="50">
                  <c:v>0.96406968088707423</c:v>
                </c:pt>
                <c:pt idx="51">
                  <c:v>0.97128344018399815</c:v>
                </c:pt>
                <c:pt idx="52">
                  <c:v>0.97724986805182079</c:v>
                </c:pt>
                <c:pt idx="53">
                  <c:v>0.98213557943718344</c:v>
                </c:pt>
                <c:pt idx="54">
                  <c:v>0.98609655248650141</c:v>
                </c:pt>
                <c:pt idx="55">
                  <c:v>0.9892758899783245</c:v>
                </c:pt>
                <c:pt idx="56">
                  <c:v>0.99180246407540384</c:v>
                </c:pt>
                <c:pt idx="57">
                  <c:v>0.99379033467422384</c:v>
                </c:pt>
                <c:pt idx="58">
                  <c:v>0.99533881197628138</c:v>
                </c:pt>
                <c:pt idx="59">
                  <c:v>0.99653302619695949</c:v>
                </c:pt>
                <c:pt idx="60">
                  <c:v>0.99744486966957213</c:v>
                </c:pt>
                <c:pt idx="61">
                  <c:v>0.99813418669961596</c:v>
                </c:pt>
                <c:pt idx="62">
                  <c:v>0.9986501019683699</c:v>
                </c:pt>
                <c:pt idx="63">
                  <c:v>0.99903239678678168</c:v>
                </c:pt>
                <c:pt idx="64">
                  <c:v>0.99931286206208414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常態分配!$C$1</c:f>
              <c:strCache>
                <c:ptCount val="1"/>
                <c:pt idx="0">
                  <c:v>機率密度(δ=1)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常態分配!$A$2:$A$66</c:f>
              <c:numCache>
                <c:formatCode>General</c:formatCode>
                <c:ptCount val="65"/>
                <c:pt idx="0">
                  <c:v>-3.2</c:v>
                </c:pt>
                <c:pt idx="1">
                  <c:v>-3.1</c:v>
                </c:pt>
                <c:pt idx="2">
                  <c:v>-3</c:v>
                </c:pt>
                <c:pt idx="3">
                  <c:v>-2.9</c:v>
                </c:pt>
                <c:pt idx="4">
                  <c:v>-2.8</c:v>
                </c:pt>
                <c:pt idx="5">
                  <c:v>-2.7</c:v>
                </c:pt>
                <c:pt idx="6">
                  <c:v>-2.6</c:v>
                </c:pt>
                <c:pt idx="7">
                  <c:v>-2.5</c:v>
                </c:pt>
                <c:pt idx="8">
                  <c:v>-2.4</c:v>
                </c:pt>
                <c:pt idx="9">
                  <c:v>-2.2999999999999998</c:v>
                </c:pt>
                <c:pt idx="10">
                  <c:v>-2.2000000000000002</c:v>
                </c:pt>
                <c:pt idx="11">
                  <c:v>-2.1</c:v>
                </c:pt>
                <c:pt idx="12">
                  <c:v>-2</c:v>
                </c:pt>
                <c:pt idx="13">
                  <c:v>-1.9</c:v>
                </c:pt>
                <c:pt idx="14">
                  <c:v>-1.8</c:v>
                </c:pt>
                <c:pt idx="15">
                  <c:v>-1.7</c:v>
                </c:pt>
                <c:pt idx="16">
                  <c:v>-1.6</c:v>
                </c:pt>
                <c:pt idx="17">
                  <c:v>-1.5</c:v>
                </c:pt>
                <c:pt idx="18">
                  <c:v>-1.4</c:v>
                </c:pt>
                <c:pt idx="19">
                  <c:v>-1.3</c:v>
                </c:pt>
                <c:pt idx="20">
                  <c:v>-1.2</c:v>
                </c:pt>
                <c:pt idx="21">
                  <c:v>-1.1000000000000001</c:v>
                </c:pt>
                <c:pt idx="22">
                  <c:v>-1</c:v>
                </c:pt>
                <c:pt idx="23">
                  <c:v>-0.9</c:v>
                </c:pt>
                <c:pt idx="24">
                  <c:v>-0.8</c:v>
                </c:pt>
                <c:pt idx="25">
                  <c:v>-0.7</c:v>
                </c:pt>
                <c:pt idx="26">
                  <c:v>-0.6</c:v>
                </c:pt>
                <c:pt idx="27">
                  <c:v>-0.5</c:v>
                </c:pt>
                <c:pt idx="28">
                  <c:v>-0.4</c:v>
                </c:pt>
                <c:pt idx="29">
                  <c:v>-0.3</c:v>
                </c:pt>
                <c:pt idx="30">
                  <c:v>-0.2</c:v>
                </c:pt>
                <c:pt idx="31">
                  <c:v>-0.1</c:v>
                </c:pt>
                <c:pt idx="32">
                  <c:v>0</c:v>
                </c:pt>
                <c:pt idx="33">
                  <c:v>9.9999999999999603E-2</c:v>
                </c:pt>
                <c:pt idx="34">
                  <c:v>0.2</c:v>
                </c:pt>
                <c:pt idx="35">
                  <c:v>0.3</c:v>
                </c:pt>
                <c:pt idx="36">
                  <c:v>0.4</c:v>
                </c:pt>
                <c:pt idx="37">
                  <c:v>0.5</c:v>
                </c:pt>
                <c:pt idx="38">
                  <c:v>0.6</c:v>
                </c:pt>
                <c:pt idx="39">
                  <c:v>0.7</c:v>
                </c:pt>
                <c:pt idx="40">
                  <c:v>0.8</c:v>
                </c:pt>
                <c:pt idx="41">
                  <c:v>0.89999999999999902</c:v>
                </c:pt>
                <c:pt idx="42">
                  <c:v>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1.4</c:v>
                </c:pt>
                <c:pt idx="47">
                  <c:v>1.5</c:v>
                </c:pt>
                <c:pt idx="48">
                  <c:v>1.6</c:v>
                </c:pt>
                <c:pt idx="49">
                  <c:v>1.7</c:v>
                </c:pt>
                <c:pt idx="50">
                  <c:v>1.8</c:v>
                </c:pt>
                <c:pt idx="51">
                  <c:v>1.9</c:v>
                </c:pt>
                <c:pt idx="52">
                  <c:v>2</c:v>
                </c:pt>
                <c:pt idx="53">
                  <c:v>2.1</c:v>
                </c:pt>
                <c:pt idx="54">
                  <c:v>2.2000000000000002</c:v>
                </c:pt>
                <c:pt idx="55">
                  <c:v>2.30000000000001</c:v>
                </c:pt>
                <c:pt idx="56">
                  <c:v>2.4</c:v>
                </c:pt>
                <c:pt idx="57">
                  <c:v>2.5</c:v>
                </c:pt>
                <c:pt idx="58">
                  <c:v>2.6000000000000099</c:v>
                </c:pt>
                <c:pt idx="59">
                  <c:v>2.7000000000000099</c:v>
                </c:pt>
                <c:pt idx="60">
                  <c:v>2.80000000000001</c:v>
                </c:pt>
                <c:pt idx="61">
                  <c:v>2.9</c:v>
                </c:pt>
                <c:pt idx="62">
                  <c:v>3.0000000000000102</c:v>
                </c:pt>
                <c:pt idx="63">
                  <c:v>3.1000000000000099</c:v>
                </c:pt>
                <c:pt idx="64">
                  <c:v>3.2000000000000099</c:v>
                </c:pt>
              </c:numCache>
            </c:numRef>
          </c:xVal>
          <c:yVal>
            <c:numRef>
              <c:f>常態分配!$C$2:$C$66</c:f>
              <c:numCache>
                <c:formatCode>General</c:formatCode>
                <c:ptCount val="65"/>
                <c:pt idx="0">
                  <c:v>2.3840882014648404E-3</c:v>
                </c:pt>
                <c:pt idx="1">
                  <c:v>3.2668190561999182E-3</c:v>
                </c:pt>
                <c:pt idx="2">
                  <c:v>4.4318484119380075E-3</c:v>
                </c:pt>
                <c:pt idx="3">
                  <c:v>5.9525324197758538E-3</c:v>
                </c:pt>
                <c:pt idx="4">
                  <c:v>7.9154515829799686E-3</c:v>
                </c:pt>
                <c:pt idx="5">
                  <c:v>1.0420934814422592E-2</c:v>
                </c:pt>
                <c:pt idx="6">
                  <c:v>1.3582969233685613E-2</c:v>
                </c:pt>
                <c:pt idx="7">
                  <c:v>1.752830049356854E-2</c:v>
                </c:pt>
                <c:pt idx="8">
                  <c:v>2.2394530294842899E-2</c:v>
                </c:pt>
                <c:pt idx="9">
                  <c:v>2.8327037741601186E-2</c:v>
                </c:pt>
                <c:pt idx="10">
                  <c:v>3.5474592846231424E-2</c:v>
                </c:pt>
                <c:pt idx="11">
                  <c:v>4.3983595980427191E-2</c:v>
                </c:pt>
                <c:pt idx="12">
                  <c:v>5.3990966513188063E-2</c:v>
                </c:pt>
                <c:pt idx="13">
                  <c:v>6.5615814774676595E-2</c:v>
                </c:pt>
                <c:pt idx="14">
                  <c:v>7.8950158300894149E-2</c:v>
                </c:pt>
                <c:pt idx="15">
                  <c:v>9.4049077376886947E-2</c:v>
                </c:pt>
                <c:pt idx="16">
                  <c:v>0.11092083467945554</c:v>
                </c:pt>
                <c:pt idx="17">
                  <c:v>0.12951759566589174</c:v>
                </c:pt>
                <c:pt idx="18">
                  <c:v>0.14972746563574488</c:v>
                </c:pt>
                <c:pt idx="19">
                  <c:v>0.17136859204780736</c:v>
                </c:pt>
                <c:pt idx="20">
                  <c:v>0.19418605498321295</c:v>
                </c:pt>
                <c:pt idx="21">
                  <c:v>0.21785217703255053</c:v>
                </c:pt>
                <c:pt idx="22">
                  <c:v>0.24197072451914337</c:v>
                </c:pt>
                <c:pt idx="23">
                  <c:v>0.26608524989875482</c:v>
                </c:pt>
                <c:pt idx="24">
                  <c:v>0.28969155276148273</c:v>
                </c:pt>
                <c:pt idx="25">
                  <c:v>0.31225393336676127</c:v>
                </c:pt>
                <c:pt idx="26">
                  <c:v>0.33322460289179967</c:v>
                </c:pt>
                <c:pt idx="27">
                  <c:v>0.35206532676429952</c:v>
                </c:pt>
                <c:pt idx="28">
                  <c:v>0.36827014030332333</c:v>
                </c:pt>
                <c:pt idx="29">
                  <c:v>0.38138781546052414</c:v>
                </c:pt>
                <c:pt idx="30">
                  <c:v>0.39104269397545588</c:v>
                </c:pt>
                <c:pt idx="31">
                  <c:v>0.39695254747701181</c:v>
                </c:pt>
                <c:pt idx="32">
                  <c:v>0.3989422804014327</c:v>
                </c:pt>
                <c:pt idx="33">
                  <c:v>0.39695254747701181</c:v>
                </c:pt>
                <c:pt idx="34">
                  <c:v>0.39104269397545588</c:v>
                </c:pt>
                <c:pt idx="35">
                  <c:v>0.38138781546052414</c:v>
                </c:pt>
                <c:pt idx="36">
                  <c:v>0.36827014030332333</c:v>
                </c:pt>
                <c:pt idx="37">
                  <c:v>0.35206532676429952</c:v>
                </c:pt>
                <c:pt idx="38">
                  <c:v>0.33322460289179967</c:v>
                </c:pt>
                <c:pt idx="39">
                  <c:v>0.31225393336676127</c:v>
                </c:pt>
                <c:pt idx="40">
                  <c:v>0.28969155276148273</c:v>
                </c:pt>
                <c:pt idx="41">
                  <c:v>0.26608524989875504</c:v>
                </c:pt>
                <c:pt idx="42">
                  <c:v>0.24197072451914337</c:v>
                </c:pt>
                <c:pt idx="43">
                  <c:v>0.21785217703255053</c:v>
                </c:pt>
                <c:pt idx="44">
                  <c:v>0.19418605498321295</c:v>
                </c:pt>
                <c:pt idx="45">
                  <c:v>0.17136859204780736</c:v>
                </c:pt>
                <c:pt idx="46">
                  <c:v>0.14972746563574488</c:v>
                </c:pt>
                <c:pt idx="47">
                  <c:v>0.12951759566589174</c:v>
                </c:pt>
                <c:pt idx="48">
                  <c:v>0.11092083467945554</c:v>
                </c:pt>
                <c:pt idx="49">
                  <c:v>9.4049077376886947E-2</c:v>
                </c:pt>
                <c:pt idx="50">
                  <c:v>7.8950158300894149E-2</c:v>
                </c:pt>
                <c:pt idx="51">
                  <c:v>6.5615814774676595E-2</c:v>
                </c:pt>
                <c:pt idx="52">
                  <c:v>5.3990966513188063E-2</c:v>
                </c:pt>
                <c:pt idx="53">
                  <c:v>4.3983595980427191E-2</c:v>
                </c:pt>
                <c:pt idx="54">
                  <c:v>3.5474592846231424E-2</c:v>
                </c:pt>
                <c:pt idx="55">
                  <c:v>2.8327037741600516E-2</c:v>
                </c:pt>
                <c:pt idx="56">
                  <c:v>2.2394530294842899E-2</c:v>
                </c:pt>
                <c:pt idx="57">
                  <c:v>1.752830049356854E-2</c:v>
                </c:pt>
                <c:pt idx="58">
                  <c:v>1.3582969233685271E-2</c:v>
                </c:pt>
                <c:pt idx="59">
                  <c:v>1.0420934814422318E-2</c:v>
                </c:pt>
                <c:pt idx="60">
                  <c:v>7.915451582979743E-3</c:v>
                </c:pt>
                <c:pt idx="61">
                  <c:v>5.9525324197758538E-3</c:v>
                </c:pt>
                <c:pt idx="62">
                  <c:v>4.431848411937874E-3</c:v>
                </c:pt>
                <c:pt idx="63">
                  <c:v>3.2668190561998202E-3</c:v>
                </c:pt>
                <c:pt idx="64">
                  <c:v>2.3840882014647662E-3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常態分配!$D$1</c:f>
              <c:strCache>
                <c:ptCount val="1"/>
                <c:pt idx="0">
                  <c:v>累計分配(δ=2)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2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常態分配!$A$2:$A$66</c:f>
              <c:numCache>
                <c:formatCode>General</c:formatCode>
                <c:ptCount val="65"/>
                <c:pt idx="0">
                  <c:v>-3.2</c:v>
                </c:pt>
                <c:pt idx="1">
                  <c:v>-3.1</c:v>
                </c:pt>
                <c:pt idx="2">
                  <c:v>-3</c:v>
                </c:pt>
                <c:pt idx="3">
                  <c:v>-2.9</c:v>
                </c:pt>
                <c:pt idx="4">
                  <c:v>-2.8</c:v>
                </c:pt>
                <c:pt idx="5">
                  <c:v>-2.7</c:v>
                </c:pt>
                <c:pt idx="6">
                  <c:v>-2.6</c:v>
                </c:pt>
                <c:pt idx="7">
                  <c:v>-2.5</c:v>
                </c:pt>
                <c:pt idx="8">
                  <c:v>-2.4</c:v>
                </c:pt>
                <c:pt idx="9">
                  <c:v>-2.2999999999999998</c:v>
                </c:pt>
                <c:pt idx="10">
                  <c:v>-2.2000000000000002</c:v>
                </c:pt>
                <c:pt idx="11">
                  <c:v>-2.1</c:v>
                </c:pt>
                <c:pt idx="12">
                  <c:v>-2</c:v>
                </c:pt>
                <c:pt idx="13">
                  <c:v>-1.9</c:v>
                </c:pt>
                <c:pt idx="14">
                  <c:v>-1.8</c:v>
                </c:pt>
                <c:pt idx="15">
                  <c:v>-1.7</c:v>
                </c:pt>
                <c:pt idx="16">
                  <c:v>-1.6</c:v>
                </c:pt>
                <c:pt idx="17">
                  <c:v>-1.5</c:v>
                </c:pt>
                <c:pt idx="18">
                  <c:v>-1.4</c:v>
                </c:pt>
                <c:pt idx="19">
                  <c:v>-1.3</c:v>
                </c:pt>
                <c:pt idx="20">
                  <c:v>-1.2</c:v>
                </c:pt>
                <c:pt idx="21">
                  <c:v>-1.1000000000000001</c:v>
                </c:pt>
                <c:pt idx="22">
                  <c:v>-1</c:v>
                </c:pt>
                <c:pt idx="23">
                  <c:v>-0.9</c:v>
                </c:pt>
                <c:pt idx="24">
                  <c:v>-0.8</c:v>
                </c:pt>
                <c:pt idx="25">
                  <c:v>-0.7</c:v>
                </c:pt>
                <c:pt idx="26">
                  <c:v>-0.6</c:v>
                </c:pt>
                <c:pt idx="27">
                  <c:v>-0.5</c:v>
                </c:pt>
                <c:pt idx="28">
                  <c:v>-0.4</c:v>
                </c:pt>
                <c:pt idx="29">
                  <c:v>-0.3</c:v>
                </c:pt>
                <c:pt idx="30">
                  <c:v>-0.2</c:v>
                </c:pt>
                <c:pt idx="31">
                  <c:v>-0.1</c:v>
                </c:pt>
                <c:pt idx="32">
                  <c:v>0</c:v>
                </c:pt>
                <c:pt idx="33">
                  <c:v>9.9999999999999603E-2</c:v>
                </c:pt>
                <c:pt idx="34">
                  <c:v>0.2</c:v>
                </c:pt>
                <c:pt idx="35">
                  <c:v>0.3</c:v>
                </c:pt>
                <c:pt idx="36">
                  <c:v>0.4</c:v>
                </c:pt>
                <c:pt idx="37">
                  <c:v>0.5</c:v>
                </c:pt>
                <c:pt idx="38">
                  <c:v>0.6</c:v>
                </c:pt>
                <c:pt idx="39">
                  <c:v>0.7</c:v>
                </c:pt>
                <c:pt idx="40">
                  <c:v>0.8</c:v>
                </c:pt>
                <c:pt idx="41">
                  <c:v>0.89999999999999902</c:v>
                </c:pt>
                <c:pt idx="42">
                  <c:v>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1.4</c:v>
                </c:pt>
                <c:pt idx="47">
                  <c:v>1.5</c:v>
                </c:pt>
                <c:pt idx="48">
                  <c:v>1.6</c:v>
                </c:pt>
                <c:pt idx="49">
                  <c:v>1.7</c:v>
                </c:pt>
                <c:pt idx="50">
                  <c:v>1.8</c:v>
                </c:pt>
                <c:pt idx="51">
                  <c:v>1.9</c:v>
                </c:pt>
                <c:pt idx="52">
                  <c:v>2</c:v>
                </c:pt>
                <c:pt idx="53">
                  <c:v>2.1</c:v>
                </c:pt>
                <c:pt idx="54">
                  <c:v>2.2000000000000002</c:v>
                </c:pt>
                <c:pt idx="55">
                  <c:v>2.30000000000001</c:v>
                </c:pt>
                <c:pt idx="56">
                  <c:v>2.4</c:v>
                </c:pt>
                <c:pt idx="57">
                  <c:v>2.5</c:v>
                </c:pt>
                <c:pt idx="58">
                  <c:v>2.6000000000000099</c:v>
                </c:pt>
                <c:pt idx="59">
                  <c:v>2.7000000000000099</c:v>
                </c:pt>
                <c:pt idx="60">
                  <c:v>2.80000000000001</c:v>
                </c:pt>
                <c:pt idx="61">
                  <c:v>2.9</c:v>
                </c:pt>
                <c:pt idx="62">
                  <c:v>3.0000000000000102</c:v>
                </c:pt>
                <c:pt idx="63">
                  <c:v>3.1000000000000099</c:v>
                </c:pt>
                <c:pt idx="64">
                  <c:v>3.2000000000000099</c:v>
                </c:pt>
              </c:numCache>
            </c:numRef>
          </c:xVal>
          <c:yVal>
            <c:numRef>
              <c:f>常態分配!$D$2:$D$66</c:f>
              <c:numCache>
                <c:formatCode>General</c:formatCode>
                <c:ptCount val="65"/>
                <c:pt idx="0">
                  <c:v>5.4799291699557967E-2</c:v>
                </c:pt>
                <c:pt idx="1">
                  <c:v>6.057075800205898E-2</c:v>
                </c:pt>
                <c:pt idx="2">
                  <c:v>6.6807201268858057E-2</c:v>
                </c:pt>
                <c:pt idx="3">
                  <c:v>7.3529259609648373E-2</c:v>
                </c:pt>
                <c:pt idx="4">
                  <c:v>8.0756659233771053E-2</c:v>
                </c:pt>
                <c:pt idx="5">
                  <c:v>8.8507991437401998E-2</c:v>
                </c:pt>
                <c:pt idx="6">
                  <c:v>9.6800484585610316E-2</c:v>
                </c:pt>
                <c:pt idx="7">
                  <c:v>0.10564977366685525</c:v>
                </c:pt>
                <c:pt idx="8">
                  <c:v>0.11506967022170828</c:v>
                </c:pt>
                <c:pt idx="9">
                  <c:v>0.12507193563715024</c:v>
                </c:pt>
                <c:pt idx="10">
                  <c:v>0.13566606094638264</c:v>
                </c:pt>
                <c:pt idx="11">
                  <c:v>0.14685905637589594</c:v>
                </c:pt>
                <c:pt idx="12">
                  <c:v>0.15865525393145699</c:v>
                </c:pt>
                <c:pt idx="13">
                  <c:v>0.17105612630848185</c:v>
                </c:pt>
                <c:pt idx="14">
                  <c:v>0.1840601253467595</c:v>
                </c:pt>
                <c:pt idx="15">
                  <c:v>0.19766254312269238</c:v>
                </c:pt>
                <c:pt idx="16">
                  <c:v>0.21185539858339661</c:v>
                </c:pt>
                <c:pt idx="17">
                  <c:v>0.22662735237686821</c:v>
                </c:pt>
                <c:pt idx="18">
                  <c:v>0.24196365222307298</c:v>
                </c:pt>
                <c:pt idx="19">
                  <c:v>0.25784611080586467</c:v>
                </c:pt>
                <c:pt idx="20">
                  <c:v>0.27425311775007355</c:v>
                </c:pt>
                <c:pt idx="21">
                  <c:v>0.29115968678834636</c:v>
                </c:pt>
                <c:pt idx="22">
                  <c:v>0.30853753872598688</c:v>
                </c:pt>
                <c:pt idx="23">
                  <c:v>0.32635522028791997</c:v>
                </c:pt>
                <c:pt idx="24">
                  <c:v>0.34457825838967576</c:v>
                </c:pt>
                <c:pt idx="25">
                  <c:v>0.3631693488243809</c:v>
                </c:pt>
                <c:pt idx="26">
                  <c:v>0.38208857781104733</c:v>
                </c:pt>
                <c:pt idx="27">
                  <c:v>0.4012936743170763</c:v>
                </c:pt>
                <c:pt idx="28">
                  <c:v>0.42074029056089696</c:v>
                </c:pt>
                <c:pt idx="29">
                  <c:v>0.4403823076297575</c:v>
                </c:pt>
                <c:pt idx="30">
                  <c:v>0.46017216272297101</c:v>
                </c:pt>
                <c:pt idx="31">
                  <c:v>0.48006119416162751</c:v>
                </c:pt>
                <c:pt idx="32">
                  <c:v>0.5</c:v>
                </c:pt>
                <c:pt idx="33">
                  <c:v>0.51993880583837238</c:v>
                </c:pt>
                <c:pt idx="34">
                  <c:v>0.53982783727702899</c:v>
                </c:pt>
                <c:pt idx="35">
                  <c:v>0.5596176923702425</c:v>
                </c:pt>
                <c:pt idx="36">
                  <c:v>0.57925970943910299</c:v>
                </c:pt>
                <c:pt idx="37">
                  <c:v>0.5987063256829237</c:v>
                </c:pt>
                <c:pt idx="38">
                  <c:v>0.61791142218895267</c:v>
                </c:pt>
                <c:pt idx="39">
                  <c:v>0.6368306511756191</c:v>
                </c:pt>
                <c:pt idx="40">
                  <c:v>0.65542174161032429</c:v>
                </c:pt>
                <c:pt idx="41">
                  <c:v>0.67364477971207981</c:v>
                </c:pt>
                <c:pt idx="42">
                  <c:v>0.69146246127401312</c:v>
                </c:pt>
                <c:pt idx="43">
                  <c:v>0.70884031321165364</c:v>
                </c:pt>
                <c:pt idx="44">
                  <c:v>0.72574688224992645</c:v>
                </c:pt>
                <c:pt idx="45">
                  <c:v>0.74215388919413527</c:v>
                </c:pt>
                <c:pt idx="46">
                  <c:v>0.75803634777692697</c:v>
                </c:pt>
                <c:pt idx="47">
                  <c:v>0.77337264762313174</c:v>
                </c:pt>
                <c:pt idx="48">
                  <c:v>0.78814460141660336</c:v>
                </c:pt>
                <c:pt idx="49">
                  <c:v>0.80233745687730762</c:v>
                </c:pt>
                <c:pt idx="50">
                  <c:v>0.81593987465324047</c:v>
                </c:pt>
                <c:pt idx="51">
                  <c:v>0.82894387369151812</c:v>
                </c:pt>
                <c:pt idx="52">
                  <c:v>0.84134474606854304</c:v>
                </c:pt>
                <c:pt idx="53">
                  <c:v>0.85314094362410409</c:v>
                </c:pt>
                <c:pt idx="54">
                  <c:v>0.86433393905361733</c:v>
                </c:pt>
                <c:pt idx="55">
                  <c:v>0.87492806436285075</c:v>
                </c:pt>
                <c:pt idx="56">
                  <c:v>0.88493032977829178</c:v>
                </c:pt>
                <c:pt idx="57">
                  <c:v>0.89435022633314476</c:v>
                </c:pt>
                <c:pt idx="58">
                  <c:v>0.90319951541439047</c:v>
                </c:pt>
                <c:pt idx="59">
                  <c:v>0.91149200856259882</c:v>
                </c:pt>
                <c:pt idx="60">
                  <c:v>0.91924334076622971</c:v>
                </c:pt>
                <c:pt idx="61">
                  <c:v>0.9264707403903516</c:v>
                </c:pt>
                <c:pt idx="62">
                  <c:v>0.93319279873114258</c:v>
                </c:pt>
                <c:pt idx="63">
                  <c:v>0.93942924199794164</c:v>
                </c:pt>
                <c:pt idx="64">
                  <c:v>0.94520070830044256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常態分配!$E$1</c:f>
              <c:strCache>
                <c:ptCount val="1"/>
                <c:pt idx="0">
                  <c:v>機率密度(δ=2)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2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常態分配!$A$2:$A$66</c:f>
              <c:numCache>
                <c:formatCode>General</c:formatCode>
                <c:ptCount val="65"/>
                <c:pt idx="0">
                  <c:v>-3.2</c:v>
                </c:pt>
                <c:pt idx="1">
                  <c:v>-3.1</c:v>
                </c:pt>
                <c:pt idx="2">
                  <c:v>-3</c:v>
                </c:pt>
                <c:pt idx="3">
                  <c:v>-2.9</c:v>
                </c:pt>
                <c:pt idx="4">
                  <c:v>-2.8</c:v>
                </c:pt>
                <c:pt idx="5">
                  <c:v>-2.7</c:v>
                </c:pt>
                <c:pt idx="6">
                  <c:v>-2.6</c:v>
                </c:pt>
                <c:pt idx="7">
                  <c:v>-2.5</c:v>
                </c:pt>
                <c:pt idx="8">
                  <c:v>-2.4</c:v>
                </c:pt>
                <c:pt idx="9">
                  <c:v>-2.2999999999999998</c:v>
                </c:pt>
                <c:pt idx="10">
                  <c:v>-2.2000000000000002</c:v>
                </c:pt>
                <c:pt idx="11">
                  <c:v>-2.1</c:v>
                </c:pt>
                <c:pt idx="12">
                  <c:v>-2</c:v>
                </c:pt>
                <c:pt idx="13">
                  <c:v>-1.9</c:v>
                </c:pt>
                <c:pt idx="14">
                  <c:v>-1.8</c:v>
                </c:pt>
                <c:pt idx="15">
                  <c:v>-1.7</c:v>
                </c:pt>
                <c:pt idx="16">
                  <c:v>-1.6</c:v>
                </c:pt>
                <c:pt idx="17">
                  <c:v>-1.5</c:v>
                </c:pt>
                <c:pt idx="18">
                  <c:v>-1.4</c:v>
                </c:pt>
                <c:pt idx="19">
                  <c:v>-1.3</c:v>
                </c:pt>
                <c:pt idx="20">
                  <c:v>-1.2</c:v>
                </c:pt>
                <c:pt idx="21">
                  <c:v>-1.1000000000000001</c:v>
                </c:pt>
                <c:pt idx="22">
                  <c:v>-1</c:v>
                </c:pt>
                <c:pt idx="23">
                  <c:v>-0.9</c:v>
                </c:pt>
                <c:pt idx="24">
                  <c:v>-0.8</c:v>
                </c:pt>
                <c:pt idx="25">
                  <c:v>-0.7</c:v>
                </c:pt>
                <c:pt idx="26">
                  <c:v>-0.6</c:v>
                </c:pt>
                <c:pt idx="27">
                  <c:v>-0.5</c:v>
                </c:pt>
                <c:pt idx="28">
                  <c:v>-0.4</c:v>
                </c:pt>
                <c:pt idx="29">
                  <c:v>-0.3</c:v>
                </c:pt>
                <c:pt idx="30">
                  <c:v>-0.2</c:v>
                </c:pt>
                <c:pt idx="31">
                  <c:v>-0.1</c:v>
                </c:pt>
                <c:pt idx="32">
                  <c:v>0</c:v>
                </c:pt>
                <c:pt idx="33">
                  <c:v>9.9999999999999603E-2</c:v>
                </c:pt>
                <c:pt idx="34">
                  <c:v>0.2</c:v>
                </c:pt>
                <c:pt idx="35">
                  <c:v>0.3</c:v>
                </c:pt>
                <c:pt idx="36">
                  <c:v>0.4</c:v>
                </c:pt>
                <c:pt idx="37">
                  <c:v>0.5</c:v>
                </c:pt>
                <c:pt idx="38">
                  <c:v>0.6</c:v>
                </c:pt>
                <c:pt idx="39">
                  <c:v>0.7</c:v>
                </c:pt>
                <c:pt idx="40">
                  <c:v>0.8</c:v>
                </c:pt>
                <c:pt idx="41">
                  <c:v>0.89999999999999902</c:v>
                </c:pt>
                <c:pt idx="42">
                  <c:v>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1.4</c:v>
                </c:pt>
                <c:pt idx="47">
                  <c:v>1.5</c:v>
                </c:pt>
                <c:pt idx="48">
                  <c:v>1.6</c:v>
                </c:pt>
                <c:pt idx="49">
                  <c:v>1.7</c:v>
                </c:pt>
                <c:pt idx="50">
                  <c:v>1.8</c:v>
                </c:pt>
                <c:pt idx="51">
                  <c:v>1.9</c:v>
                </c:pt>
                <c:pt idx="52">
                  <c:v>2</c:v>
                </c:pt>
                <c:pt idx="53">
                  <c:v>2.1</c:v>
                </c:pt>
                <c:pt idx="54">
                  <c:v>2.2000000000000002</c:v>
                </c:pt>
                <c:pt idx="55">
                  <c:v>2.30000000000001</c:v>
                </c:pt>
                <c:pt idx="56">
                  <c:v>2.4</c:v>
                </c:pt>
                <c:pt idx="57">
                  <c:v>2.5</c:v>
                </c:pt>
                <c:pt idx="58">
                  <c:v>2.6000000000000099</c:v>
                </c:pt>
                <c:pt idx="59">
                  <c:v>2.7000000000000099</c:v>
                </c:pt>
                <c:pt idx="60">
                  <c:v>2.80000000000001</c:v>
                </c:pt>
                <c:pt idx="61">
                  <c:v>2.9</c:v>
                </c:pt>
                <c:pt idx="62">
                  <c:v>3.0000000000000102</c:v>
                </c:pt>
                <c:pt idx="63">
                  <c:v>3.1000000000000099</c:v>
                </c:pt>
                <c:pt idx="64">
                  <c:v>3.2000000000000099</c:v>
                </c:pt>
              </c:numCache>
            </c:numRef>
          </c:xVal>
          <c:yVal>
            <c:numRef>
              <c:f>常態分配!$E$2:$E$66</c:f>
              <c:numCache>
                <c:formatCode>General</c:formatCode>
                <c:ptCount val="65"/>
                <c:pt idx="0">
                  <c:v>5.5460417339727772E-2</c:v>
                </c:pt>
                <c:pt idx="1">
                  <c:v>6.0004500348492792E-2</c:v>
                </c:pt>
                <c:pt idx="2">
                  <c:v>6.4758797832945872E-2</c:v>
                </c:pt>
                <c:pt idx="3">
                  <c:v>6.9715283222680141E-2</c:v>
                </c:pt>
                <c:pt idx="4">
                  <c:v>7.4863732817872439E-2</c:v>
                </c:pt>
                <c:pt idx="5">
                  <c:v>8.0191663670959798E-2</c:v>
                </c:pt>
                <c:pt idx="6">
                  <c:v>8.5684296023903678E-2</c:v>
                </c:pt>
                <c:pt idx="7">
                  <c:v>9.1324542694510957E-2</c:v>
                </c:pt>
                <c:pt idx="8">
                  <c:v>9.7093027491606476E-2</c:v>
                </c:pt>
                <c:pt idx="9">
                  <c:v>0.10296813435998739</c:v>
                </c:pt>
                <c:pt idx="10">
                  <c:v>0.10892608851627526</c:v>
                </c:pt>
                <c:pt idx="11">
                  <c:v>0.11494107034211651</c:v>
                </c:pt>
                <c:pt idx="12">
                  <c:v>0.12098536225957168</c:v>
                </c:pt>
                <c:pt idx="13">
                  <c:v>0.12702952823459451</c:v>
                </c:pt>
                <c:pt idx="14">
                  <c:v>0.13304262494937741</c:v>
                </c:pt>
                <c:pt idx="15">
                  <c:v>0.13899244306549824</c:v>
                </c:pt>
                <c:pt idx="16">
                  <c:v>0.14484577638074136</c:v>
                </c:pt>
                <c:pt idx="17">
                  <c:v>0.15056871607740221</c:v>
                </c:pt>
                <c:pt idx="18">
                  <c:v>0.15612696668338064</c:v>
                </c:pt>
                <c:pt idx="19">
                  <c:v>0.16148617983395713</c:v>
                </c:pt>
                <c:pt idx="20">
                  <c:v>0.16661230144589984</c:v>
                </c:pt>
                <c:pt idx="21">
                  <c:v>0.17147192750969195</c:v>
                </c:pt>
                <c:pt idx="22">
                  <c:v>0.17603266338214976</c:v>
                </c:pt>
                <c:pt idx="23">
                  <c:v>0.18026348123082397</c:v>
                </c:pt>
                <c:pt idx="24">
                  <c:v>0.18413507015166167</c:v>
                </c:pt>
                <c:pt idx="25">
                  <c:v>0.18762017345846896</c:v>
                </c:pt>
                <c:pt idx="26">
                  <c:v>0.19069390773026207</c:v>
                </c:pt>
                <c:pt idx="27">
                  <c:v>0.19333405840142462</c:v>
                </c:pt>
                <c:pt idx="28">
                  <c:v>0.19552134698772794</c:v>
                </c:pt>
                <c:pt idx="29">
                  <c:v>0.19723966545394447</c:v>
                </c:pt>
                <c:pt idx="30">
                  <c:v>0.1984762737385059</c:v>
                </c:pt>
                <c:pt idx="31">
                  <c:v>0.19922195704738202</c:v>
                </c:pt>
                <c:pt idx="32">
                  <c:v>0.19947114020071635</c:v>
                </c:pt>
                <c:pt idx="33">
                  <c:v>0.19922195704738202</c:v>
                </c:pt>
                <c:pt idx="34">
                  <c:v>0.1984762737385059</c:v>
                </c:pt>
                <c:pt idx="35">
                  <c:v>0.19723966545394447</c:v>
                </c:pt>
                <c:pt idx="36">
                  <c:v>0.19552134698772794</c:v>
                </c:pt>
                <c:pt idx="37">
                  <c:v>0.19333405840142462</c:v>
                </c:pt>
                <c:pt idx="38">
                  <c:v>0.19069390773026207</c:v>
                </c:pt>
                <c:pt idx="39">
                  <c:v>0.18762017345846896</c:v>
                </c:pt>
                <c:pt idx="40">
                  <c:v>0.18413507015166167</c:v>
                </c:pt>
                <c:pt idx="41">
                  <c:v>0.18026348123082403</c:v>
                </c:pt>
                <c:pt idx="42">
                  <c:v>0.17603266338214976</c:v>
                </c:pt>
                <c:pt idx="43">
                  <c:v>0.17147192750969195</c:v>
                </c:pt>
                <c:pt idx="44">
                  <c:v>0.16661230144589984</c:v>
                </c:pt>
                <c:pt idx="45">
                  <c:v>0.16148617983395713</c:v>
                </c:pt>
                <c:pt idx="46">
                  <c:v>0.15612696668338064</c:v>
                </c:pt>
                <c:pt idx="47">
                  <c:v>0.15056871607740221</c:v>
                </c:pt>
                <c:pt idx="48">
                  <c:v>0.14484577638074136</c:v>
                </c:pt>
                <c:pt idx="49">
                  <c:v>0.13899244306549824</c:v>
                </c:pt>
                <c:pt idx="50">
                  <c:v>0.13304262494937741</c:v>
                </c:pt>
                <c:pt idx="51">
                  <c:v>0.12702952823459451</c:v>
                </c:pt>
                <c:pt idx="52">
                  <c:v>0.12098536225957168</c:v>
                </c:pt>
                <c:pt idx="53">
                  <c:v>0.11494107034211651</c:v>
                </c:pt>
                <c:pt idx="54">
                  <c:v>0.10892608851627526</c:v>
                </c:pt>
                <c:pt idx="55">
                  <c:v>0.10296813435998679</c:v>
                </c:pt>
                <c:pt idx="56">
                  <c:v>9.7093027491606476E-2</c:v>
                </c:pt>
                <c:pt idx="57">
                  <c:v>9.1324542694510957E-2</c:v>
                </c:pt>
                <c:pt idx="58">
                  <c:v>8.5684296023903136E-2</c:v>
                </c:pt>
                <c:pt idx="59">
                  <c:v>8.0191663670959271E-2</c:v>
                </c:pt>
                <c:pt idx="60">
                  <c:v>7.4863732817871911E-2</c:v>
                </c:pt>
                <c:pt idx="61">
                  <c:v>6.9715283222680141E-2</c:v>
                </c:pt>
                <c:pt idx="62">
                  <c:v>6.4758797832945386E-2</c:v>
                </c:pt>
                <c:pt idx="63">
                  <c:v>6.0004500348492334E-2</c:v>
                </c:pt>
                <c:pt idx="64">
                  <c:v>5.5460417339727341E-2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132416"/>
        <c:axId val="456132808"/>
      </c:scatterChart>
      <c:valAx>
        <c:axId val="4561324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2808"/>
        <c:crosses val="autoZero"/>
        <c:crossBetween val="midCat"/>
      </c:valAx>
      <c:valAx>
        <c:axId val="456132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24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636427234044064"/>
          <c:y val="0.35988304262030624"/>
          <c:w val="0.26000023082406853"/>
          <c:h val="0.297935961513532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zh-TW" altLang="en-US"/>
              <a:t>回歸分析</a:t>
            </a:r>
          </a:p>
        </c:rich>
      </c:tx>
      <c:layout>
        <c:manualLayout>
          <c:xMode val="edge"/>
          <c:yMode val="edge"/>
          <c:x val="0.43818220719301065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27282250783249"/>
          <c:y val="0.24535315985130113"/>
          <c:w val="0.67636423682904545"/>
          <c:h val="0.5278810408921933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簡單迴歸!$B$2</c:f>
              <c:strCache>
                <c:ptCount val="1"/>
                <c:pt idx="0">
                  <c:v>銷售量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簡單迴歸!$A$3:$A$12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20</c:v>
                </c:pt>
                <c:pt idx="8">
                  <c:v>22</c:v>
                </c:pt>
                <c:pt idx="9">
                  <c:v>26</c:v>
                </c:pt>
              </c:numCache>
            </c:numRef>
          </c:xVal>
          <c:yVal>
            <c:numRef>
              <c:f>簡單迴歸!$B$3:$B$12</c:f>
              <c:numCache>
                <c:formatCode>General</c:formatCode>
                <c:ptCount val="10"/>
                <c:pt idx="0">
                  <c:v>58</c:v>
                </c:pt>
                <c:pt idx="1">
                  <c:v>105</c:v>
                </c:pt>
                <c:pt idx="2">
                  <c:v>88</c:v>
                </c:pt>
                <c:pt idx="3">
                  <c:v>118</c:v>
                </c:pt>
                <c:pt idx="4">
                  <c:v>117</c:v>
                </c:pt>
                <c:pt idx="5">
                  <c:v>137</c:v>
                </c:pt>
                <c:pt idx="6">
                  <c:v>157</c:v>
                </c:pt>
                <c:pt idx="7">
                  <c:v>169</c:v>
                </c:pt>
                <c:pt idx="8">
                  <c:v>149</c:v>
                </c:pt>
                <c:pt idx="9">
                  <c:v>202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簡單迴歸!$C$2</c:f>
              <c:strCache>
                <c:ptCount val="1"/>
                <c:pt idx="0">
                  <c:v>銷售量預測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簡單迴歸!$A$3:$A$12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20</c:v>
                </c:pt>
                <c:pt idx="8">
                  <c:v>22</c:v>
                </c:pt>
                <c:pt idx="9">
                  <c:v>26</c:v>
                </c:pt>
              </c:numCache>
            </c:numRef>
          </c:xVal>
          <c:yVal>
            <c:numRef>
              <c:f>簡單迴歸!$C$3:$C$12</c:f>
              <c:numCache>
                <c:formatCode>General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100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160</c:v>
                </c:pt>
                <c:pt idx="8">
                  <c:v>170</c:v>
                </c:pt>
                <c:pt idx="9">
                  <c:v>190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10496"/>
        <c:axId val="308710888"/>
      </c:scatterChart>
      <c:valAx>
        <c:axId val="3087104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308710888"/>
        <c:crosses val="autoZero"/>
        <c:crossBetween val="midCat"/>
      </c:valAx>
      <c:valAx>
        <c:axId val="308710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3087104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636430785183584"/>
          <c:y val="0.40892193308550184"/>
          <c:w val="0.2200001953126734"/>
          <c:h val="0.18959107806691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zh-TW" altLang="en-US"/>
              <a:t>回歸分析</a:t>
            </a:r>
          </a:p>
        </c:rich>
      </c:tx>
      <c:layout>
        <c:manualLayout>
          <c:xMode val="edge"/>
          <c:yMode val="edge"/>
          <c:x val="0.43818220719301065"/>
          <c:y val="3.84616041261543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000071022790331E-2"/>
          <c:y val="0.22377660582489795"/>
          <c:w val="0.70727335517875989"/>
          <c:h val="0.59091009975637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GROWTH!$E$1</c:f>
              <c:strCache>
                <c:ptCount val="1"/>
                <c:pt idx="0">
                  <c:v>銷售量預測(指數)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GROWTH!$D$2:$D$13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GROWTH!$E$2:$E$13</c:f>
              <c:numCache>
                <c:formatCode>General</c:formatCode>
                <c:ptCount val="12"/>
                <c:pt idx="0">
                  <c:v>3.6121722722462071</c:v>
                </c:pt>
                <c:pt idx="1">
                  <c:v>4.2479197651936529</c:v>
                </c:pt>
                <c:pt idx="2">
                  <c:v>4.9955597273609085</c:v>
                </c:pt>
                <c:pt idx="3">
                  <c:v>5.874785393573112</c:v>
                </c:pt>
                <c:pt idx="4">
                  <c:v>6.9087560361875253</c:v>
                </c:pt>
                <c:pt idx="5">
                  <c:v>8.1247069926629418</c:v>
                </c:pt>
                <c:pt idx="6">
                  <c:v>9.5546670588549247</c:v>
                </c:pt>
                <c:pt idx="7">
                  <c:v>11.236302144558426</c:v>
                </c:pt>
                <c:pt idx="8">
                  <c:v>13.213907413634066</c:v>
                </c:pt>
                <c:pt idx="9">
                  <c:v>15.539574042217533</c:v>
                </c:pt>
                <c:pt idx="10">
                  <c:v>18.274561328044751</c:v>
                </c:pt>
                <c:pt idx="11">
                  <c:v>21.490910292983294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GROWTH!$F$1</c:f>
              <c:strCache>
                <c:ptCount val="1"/>
                <c:pt idx="0">
                  <c:v>銷售量預測(直線)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GROWTH!$D$2:$D$13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GROWTH!$F$2:$F$13</c:f>
              <c:numCache>
                <c:formatCode>General</c:formatCode>
                <c:ptCount val="12"/>
                <c:pt idx="0">
                  <c:v>0.82126489459211505</c:v>
                </c:pt>
                <c:pt idx="1">
                  <c:v>2.479376718606781</c:v>
                </c:pt>
                <c:pt idx="2">
                  <c:v>4.1374885426214467</c:v>
                </c:pt>
                <c:pt idx="3">
                  <c:v>5.7956003666361129</c:v>
                </c:pt>
                <c:pt idx="4">
                  <c:v>7.4537121906507782</c:v>
                </c:pt>
                <c:pt idx="5">
                  <c:v>9.1118240146654443</c:v>
                </c:pt>
                <c:pt idx="6">
                  <c:v>10.769935838680111</c:v>
                </c:pt>
                <c:pt idx="7">
                  <c:v>12.428047662694777</c:v>
                </c:pt>
                <c:pt idx="8">
                  <c:v>14.086159486709443</c:v>
                </c:pt>
                <c:pt idx="9">
                  <c:v>15.744271310724107</c:v>
                </c:pt>
                <c:pt idx="10">
                  <c:v>17.402383134738777</c:v>
                </c:pt>
                <c:pt idx="11">
                  <c:v>19.060494958753438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131240"/>
        <c:axId val="456131632"/>
      </c:scatterChart>
      <c:valAx>
        <c:axId val="45613124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1632"/>
        <c:crosses val="autoZero"/>
        <c:crossBetween val="midCat"/>
      </c:valAx>
      <c:valAx>
        <c:axId val="456131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12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636425458474305"/>
          <c:y val="0.4265741548537117"/>
          <c:w val="0.29636389947079145"/>
          <c:h val="0.178321982766715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zh-TW" altLang="en-US"/>
              <a:t>股票預測</a:t>
            </a:r>
          </a:p>
        </c:rich>
      </c:tx>
      <c:layout>
        <c:manualLayout>
          <c:xMode val="edge"/>
          <c:yMode val="edge"/>
          <c:x val="0.43703782739769131"/>
          <c:y val="3.33334168004226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48180968209215"/>
          <c:y val="0.17435941095605709"/>
          <c:w val="0.7518532115400961"/>
          <c:h val="0.48205248911380488"/>
        </c:manualLayout>
      </c:layout>
      <c:lineChart>
        <c:grouping val="standard"/>
        <c:varyColors val="0"/>
        <c:ser>
          <c:idx val="0"/>
          <c:order val="0"/>
          <c:tx>
            <c:strRef>
              <c:f>綜合練習!$B$1</c:f>
              <c:strCache>
                <c:ptCount val="1"/>
                <c:pt idx="0">
                  <c:v>收盤價格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綜合練習!$A$2:$A$30</c:f>
              <c:numCache>
                <c:formatCode>[$-404]m"月"d"日"e"年"</c:formatCode>
                <c:ptCount val="29"/>
                <c:pt idx="0">
                  <c:v>38384</c:v>
                </c:pt>
                <c:pt idx="1">
                  <c:v>38412</c:v>
                </c:pt>
                <c:pt idx="2">
                  <c:v>38443</c:v>
                </c:pt>
                <c:pt idx="3">
                  <c:v>38473</c:v>
                </c:pt>
                <c:pt idx="4">
                  <c:v>38504</c:v>
                </c:pt>
                <c:pt idx="5">
                  <c:v>38534</c:v>
                </c:pt>
                <c:pt idx="6">
                  <c:v>38565</c:v>
                </c:pt>
                <c:pt idx="7">
                  <c:v>38596</c:v>
                </c:pt>
                <c:pt idx="8">
                  <c:v>38626</c:v>
                </c:pt>
                <c:pt idx="9">
                  <c:v>38657</c:v>
                </c:pt>
                <c:pt idx="10">
                  <c:v>38687</c:v>
                </c:pt>
                <c:pt idx="11">
                  <c:v>38718</c:v>
                </c:pt>
                <c:pt idx="12">
                  <c:v>38749</c:v>
                </c:pt>
                <c:pt idx="13">
                  <c:v>38777</c:v>
                </c:pt>
                <c:pt idx="14">
                  <c:v>38808</c:v>
                </c:pt>
                <c:pt idx="15">
                  <c:v>38838</c:v>
                </c:pt>
                <c:pt idx="16">
                  <c:v>38869</c:v>
                </c:pt>
                <c:pt idx="17">
                  <c:v>38899</c:v>
                </c:pt>
                <c:pt idx="18">
                  <c:v>38930</c:v>
                </c:pt>
                <c:pt idx="19">
                  <c:v>38961</c:v>
                </c:pt>
                <c:pt idx="20">
                  <c:v>38991</c:v>
                </c:pt>
                <c:pt idx="21">
                  <c:v>39022</c:v>
                </c:pt>
                <c:pt idx="22">
                  <c:v>39052</c:v>
                </c:pt>
                <c:pt idx="23">
                  <c:v>39083</c:v>
                </c:pt>
                <c:pt idx="24">
                  <c:v>39114</c:v>
                </c:pt>
                <c:pt idx="25">
                  <c:v>39142</c:v>
                </c:pt>
                <c:pt idx="26">
                  <c:v>39173</c:v>
                </c:pt>
                <c:pt idx="27">
                  <c:v>39203</c:v>
                </c:pt>
                <c:pt idx="28">
                  <c:v>39234</c:v>
                </c:pt>
              </c:numCache>
            </c:numRef>
          </c:cat>
          <c:val>
            <c:numRef>
              <c:f>綜合練習!$B$2:$B$30</c:f>
              <c:numCache>
                <c:formatCode>0.00_ </c:formatCode>
                <c:ptCount val="29"/>
                <c:pt idx="0">
                  <c:v>29.8</c:v>
                </c:pt>
                <c:pt idx="1">
                  <c:v>32.700000000000003</c:v>
                </c:pt>
                <c:pt idx="2">
                  <c:v>34.1</c:v>
                </c:pt>
                <c:pt idx="3">
                  <c:v>35.700000000000003</c:v>
                </c:pt>
                <c:pt idx="4">
                  <c:v>40.299999999999997</c:v>
                </c:pt>
                <c:pt idx="5">
                  <c:v>38.700000000000003</c:v>
                </c:pt>
                <c:pt idx="6">
                  <c:v>38.9</c:v>
                </c:pt>
                <c:pt idx="7">
                  <c:v>42.6</c:v>
                </c:pt>
                <c:pt idx="8">
                  <c:v>41.9</c:v>
                </c:pt>
                <c:pt idx="9">
                  <c:v>41.7</c:v>
                </c:pt>
                <c:pt idx="10">
                  <c:v>44.4</c:v>
                </c:pt>
                <c:pt idx="11">
                  <c:v>41.8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綜合練習!$C$1</c:f>
              <c:strCache>
                <c:ptCount val="1"/>
                <c:pt idx="0">
                  <c:v>直線回歸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綜合練習!$A$2:$A$30</c:f>
              <c:numCache>
                <c:formatCode>[$-404]m"月"d"日"e"年"</c:formatCode>
                <c:ptCount val="29"/>
                <c:pt idx="0">
                  <c:v>38384</c:v>
                </c:pt>
                <c:pt idx="1">
                  <c:v>38412</c:v>
                </c:pt>
                <c:pt idx="2">
                  <c:v>38443</c:v>
                </c:pt>
                <c:pt idx="3">
                  <c:v>38473</c:v>
                </c:pt>
                <c:pt idx="4">
                  <c:v>38504</c:v>
                </c:pt>
                <c:pt idx="5">
                  <c:v>38534</c:v>
                </c:pt>
                <c:pt idx="6">
                  <c:v>38565</c:v>
                </c:pt>
                <c:pt idx="7">
                  <c:v>38596</c:v>
                </c:pt>
                <c:pt idx="8">
                  <c:v>38626</c:v>
                </c:pt>
                <c:pt idx="9">
                  <c:v>38657</c:v>
                </c:pt>
                <c:pt idx="10">
                  <c:v>38687</c:v>
                </c:pt>
                <c:pt idx="11">
                  <c:v>38718</c:v>
                </c:pt>
                <c:pt idx="12">
                  <c:v>38749</c:v>
                </c:pt>
                <c:pt idx="13">
                  <c:v>38777</c:v>
                </c:pt>
                <c:pt idx="14">
                  <c:v>38808</c:v>
                </c:pt>
                <c:pt idx="15">
                  <c:v>38838</c:v>
                </c:pt>
                <c:pt idx="16">
                  <c:v>38869</c:v>
                </c:pt>
                <c:pt idx="17">
                  <c:v>38899</c:v>
                </c:pt>
                <c:pt idx="18">
                  <c:v>38930</c:v>
                </c:pt>
                <c:pt idx="19">
                  <c:v>38961</c:v>
                </c:pt>
                <c:pt idx="20">
                  <c:v>38991</c:v>
                </c:pt>
                <c:pt idx="21">
                  <c:v>39022</c:v>
                </c:pt>
                <c:pt idx="22">
                  <c:v>39052</c:v>
                </c:pt>
                <c:pt idx="23">
                  <c:v>39083</c:v>
                </c:pt>
                <c:pt idx="24">
                  <c:v>39114</c:v>
                </c:pt>
                <c:pt idx="25">
                  <c:v>39142</c:v>
                </c:pt>
                <c:pt idx="26">
                  <c:v>39173</c:v>
                </c:pt>
                <c:pt idx="27">
                  <c:v>39203</c:v>
                </c:pt>
                <c:pt idx="28">
                  <c:v>39234</c:v>
                </c:pt>
              </c:numCache>
            </c:numRef>
          </c:cat>
          <c:val>
            <c:numRef>
              <c:f>綜合練習!$C$2:$C$30</c:f>
              <c:numCache>
                <c:formatCode>0.00_ </c:formatCode>
                <c:ptCount val="29"/>
                <c:pt idx="0">
                  <c:v>32.304324452773926</c:v>
                </c:pt>
                <c:pt idx="1">
                  <c:v>33.358341019257068</c:v>
                </c:pt>
                <c:pt idx="2">
                  <c:v>34.52528793214924</c:v>
                </c:pt>
                <c:pt idx="3">
                  <c:v>35.654591396238175</c:v>
                </c:pt>
                <c:pt idx="4">
                  <c:v>36.821538309130347</c:v>
                </c:pt>
                <c:pt idx="5">
                  <c:v>37.950841773219508</c:v>
                </c:pt>
                <c:pt idx="6">
                  <c:v>39.11778868611168</c:v>
                </c:pt>
                <c:pt idx="7">
                  <c:v>40.284735599003625</c:v>
                </c:pt>
                <c:pt idx="8">
                  <c:v>41.414039063092787</c:v>
                </c:pt>
                <c:pt idx="9">
                  <c:v>42.580985975984959</c:v>
                </c:pt>
                <c:pt idx="10">
                  <c:v>43.710289440074121</c:v>
                </c:pt>
                <c:pt idx="11">
                  <c:v>44.877236352966065</c:v>
                </c:pt>
                <c:pt idx="12">
                  <c:v>46.044183265858237</c:v>
                </c:pt>
                <c:pt idx="13">
                  <c:v>47.098199832341379</c:v>
                </c:pt>
                <c:pt idx="14">
                  <c:v>48.265146745233551</c:v>
                </c:pt>
                <c:pt idx="15">
                  <c:v>49.394450209322713</c:v>
                </c:pt>
                <c:pt idx="16">
                  <c:v>50.561397122214657</c:v>
                </c:pt>
                <c:pt idx="17">
                  <c:v>51.690700586303819</c:v>
                </c:pt>
                <c:pt idx="18">
                  <c:v>52.857647499195991</c:v>
                </c:pt>
                <c:pt idx="19">
                  <c:v>54.024594412088163</c:v>
                </c:pt>
                <c:pt idx="20">
                  <c:v>55.153897876177325</c:v>
                </c:pt>
                <c:pt idx="21">
                  <c:v>56.32084478906927</c:v>
                </c:pt>
                <c:pt idx="22">
                  <c:v>57.450148253158432</c:v>
                </c:pt>
                <c:pt idx="23">
                  <c:v>58.617095166050603</c:v>
                </c:pt>
                <c:pt idx="24">
                  <c:v>59.784042078942548</c:v>
                </c:pt>
                <c:pt idx="25">
                  <c:v>60.838058645425917</c:v>
                </c:pt>
                <c:pt idx="26">
                  <c:v>62.005005558317862</c:v>
                </c:pt>
                <c:pt idx="27">
                  <c:v>63.134309022407024</c:v>
                </c:pt>
                <c:pt idx="28">
                  <c:v>64.301255935299196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綜合練習!$D$1</c:f>
              <c:strCache>
                <c:ptCount val="1"/>
                <c:pt idx="0">
                  <c:v>指數迴歸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2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綜合練習!$A$2:$A$30</c:f>
              <c:numCache>
                <c:formatCode>[$-404]m"月"d"日"e"年"</c:formatCode>
                <c:ptCount val="29"/>
                <c:pt idx="0">
                  <c:v>38384</c:v>
                </c:pt>
                <c:pt idx="1">
                  <c:v>38412</c:v>
                </c:pt>
                <c:pt idx="2">
                  <c:v>38443</c:v>
                </c:pt>
                <c:pt idx="3">
                  <c:v>38473</c:v>
                </c:pt>
                <c:pt idx="4">
                  <c:v>38504</c:v>
                </c:pt>
                <c:pt idx="5">
                  <c:v>38534</c:v>
                </c:pt>
                <c:pt idx="6">
                  <c:v>38565</c:v>
                </c:pt>
                <c:pt idx="7">
                  <c:v>38596</c:v>
                </c:pt>
                <c:pt idx="8">
                  <c:v>38626</c:v>
                </c:pt>
                <c:pt idx="9">
                  <c:v>38657</c:v>
                </c:pt>
                <c:pt idx="10">
                  <c:v>38687</c:v>
                </c:pt>
                <c:pt idx="11">
                  <c:v>38718</c:v>
                </c:pt>
                <c:pt idx="12">
                  <c:v>38749</c:v>
                </c:pt>
                <c:pt idx="13">
                  <c:v>38777</c:v>
                </c:pt>
                <c:pt idx="14">
                  <c:v>38808</c:v>
                </c:pt>
                <c:pt idx="15">
                  <c:v>38838</c:v>
                </c:pt>
                <c:pt idx="16">
                  <c:v>38869</c:v>
                </c:pt>
                <c:pt idx="17">
                  <c:v>38899</c:v>
                </c:pt>
                <c:pt idx="18">
                  <c:v>38930</c:v>
                </c:pt>
                <c:pt idx="19">
                  <c:v>38961</c:v>
                </c:pt>
                <c:pt idx="20">
                  <c:v>38991</c:v>
                </c:pt>
                <c:pt idx="21">
                  <c:v>39022</c:v>
                </c:pt>
                <c:pt idx="22">
                  <c:v>39052</c:v>
                </c:pt>
                <c:pt idx="23">
                  <c:v>39083</c:v>
                </c:pt>
                <c:pt idx="24">
                  <c:v>39114</c:v>
                </c:pt>
                <c:pt idx="25">
                  <c:v>39142</c:v>
                </c:pt>
                <c:pt idx="26">
                  <c:v>39173</c:v>
                </c:pt>
                <c:pt idx="27">
                  <c:v>39203</c:v>
                </c:pt>
                <c:pt idx="28">
                  <c:v>39234</c:v>
                </c:pt>
              </c:numCache>
            </c:numRef>
          </c:cat>
          <c:val>
            <c:numRef>
              <c:f>綜合練習!$D$2:$D$30</c:f>
              <c:numCache>
                <c:formatCode>0.00_ </c:formatCode>
                <c:ptCount val="29"/>
                <c:pt idx="0">
                  <c:v>32.362473851656823</c:v>
                </c:pt>
                <c:pt idx="1">
                  <c:v>33.294676526424965</c:v>
                </c:pt>
                <c:pt idx="2">
                  <c:v>34.358111870249523</c:v>
                </c:pt>
                <c:pt idx="3">
                  <c:v>35.419572209130251</c:v>
                </c:pt>
                <c:pt idx="4">
                  <c:v>36.550876936492301</c:v>
                </c:pt>
                <c:pt idx="5">
                  <c:v>37.680080612349457</c:v>
                </c:pt>
                <c:pt idx="6">
                  <c:v>38.88358620729128</c:v>
                </c:pt>
                <c:pt idx="7">
                  <c:v>40.125531892952878</c:v>
                </c:pt>
                <c:pt idx="8">
                  <c:v>41.365171045467925</c:v>
                </c:pt>
                <c:pt idx="9">
                  <c:v>42.686378802455614</c:v>
                </c:pt>
                <c:pt idx="10">
                  <c:v>44.005132821312756</c:v>
                </c:pt>
                <c:pt idx="11">
                  <c:v>45.410661225072673</c:v>
                </c:pt>
                <c:pt idx="12">
                  <c:v>46.861082348547406</c:v>
                </c:pt>
                <c:pt idx="13">
                  <c:v>48.210918164810579</c:v>
                </c:pt>
                <c:pt idx="14">
                  <c:v>49.750779778844091</c:v>
                </c:pt>
                <c:pt idx="15">
                  <c:v>51.287781572279265</c:v>
                </c:pt>
                <c:pt idx="16">
                  <c:v>52.925918515494203</c:v>
                </c:pt>
                <c:pt idx="17">
                  <c:v>54.561013121832623</c:v>
                </c:pt>
                <c:pt idx="18">
                  <c:v>56.303697412595888</c:v>
                </c:pt>
                <c:pt idx="19">
                  <c:v>58.10204321628725</c:v>
                </c:pt>
                <c:pt idx="20">
                  <c:v>59.897049144288346</c:v>
                </c:pt>
                <c:pt idx="21">
                  <c:v>61.810166966600832</c:v>
                </c:pt>
                <c:pt idx="22">
                  <c:v>63.719731759404162</c:v>
                </c:pt>
                <c:pt idx="23">
                  <c:v>65.754946452005413</c:v>
                </c:pt>
                <c:pt idx="24">
                  <c:v>67.855166108227962</c:v>
                </c:pt>
                <c:pt idx="25">
                  <c:v>69.809737555171694</c:v>
                </c:pt>
                <c:pt idx="26">
                  <c:v>72.039467650323161</c:v>
                </c:pt>
                <c:pt idx="27">
                  <c:v>74.265056705788496</c:v>
                </c:pt>
                <c:pt idx="28">
                  <c:v>76.637090146311863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133592"/>
        <c:axId val="456133984"/>
      </c:lineChart>
      <c:dateAx>
        <c:axId val="456133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華康華綜體W5(P)"/>
                    <a:ea typeface="華康華綜體W5(P)"/>
                    <a:cs typeface="華康華綜體W5(P)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52407502183706212"/>
              <c:y val="0.88718170868817281"/>
            </c:manualLayout>
          </c:layout>
          <c:overlay val="0"/>
          <c:spPr>
            <a:noFill/>
            <a:ln w="25400">
              <a:noFill/>
            </a:ln>
          </c:spPr>
        </c:title>
        <c:numFmt formatCode="e&quot;年&quot;m&quot;月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3984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456133984"/>
        <c:scaling>
          <c:orientation val="minMax"/>
          <c:max val="80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華康華綜體W5(P)"/>
                    <a:ea typeface="華康華綜體W5(P)"/>
                    <a:cs typeface="華康華綜體W5(P)"/>
                  </a:defRPr>
                </a:pPr>
                <a:r>
                  <a:rPr lang="zh-TW" altLang="en-US"/>
                  <a:t>股價</a:t>
                </a:r>
              </a:p>
            </c:rich>
          </c:tx>
          <c:layout>
            <c:manualLayout>
              <c:xMode val="edge"/>
              <c:yMode val="edge"/>
              <c:x val="9.2592760041883757E-3"/>
              <c:y val="0.36923169378929732"/>
            </c:manualLayout>
          </c:layout>
          <c:overlay val="0"/>
          <c:spPr>
            <a:noFill/>
            <a:ln w="25400">
              <a:noFill/>
            </a:ln>
          </c:spPr>
        </c:title>
        <c:numFmt formatCode="0.0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4561335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222343790407602"/>
          <c:y val="0.46923194419056541"/>
          <c:w val="0.18703737528460518"/>
          <c:h val="0.194872282833240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zh-TW" altLang="en-US"/>
              <a:t>股票預測</a:t>
            </a:r>
          </a:p>
        </c:rich>
      </c:tx>
      <c:layout>
        <c:manualLayout>
          <c:xMode val="edge"/>
          <c:yMode val="edge"/>
          <c:x val="0.43750039268977686"/>
          <c:y val="3.47003154574132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9129691745257"/>
          <c:y val="0.20504731861198738"/>
          <c:w val="0.77205951651137095"/>
          <c:h val="0.39747634069400634"/>
        </c:manualLayout>
      </c:layout>
      <c:lineChart>
        <c:grouping val="standard"/>
        <c:varyColors val="0"/>
        <c:ser>
          <c:idx val="0"/>
          <c:order val="0"/>
          <c:tx>
            <c:strRef>
              <c:f>綜合練習!$B$1</c:f>
              <c:strCache>
                <c:ptCount val="1"/>
                <c:pt idx="0">
                  <c:v>收盤價格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6600"/>
                </a:solidFill>
                <a:prstDash val="solid"/>
              </a:ln>
            </c:spPr>
            <c:trendlineType val="linear"/>
            <c:forward val="3"/>
            <c:dispRSqr val="0"/>
            <c:dispEq val="1"/>
            <c:trendlineLbl>
              <c:layout>
                <c:manualLayout>
                  <c:x val="0.10178138078356813"/>
                  <c:y val="0.1258630368364837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華康華綜體W5(P)"/>
                      <a:ea typeface="華康華綜體W5(P)"/>
                      <a:cs typeface="華康華綜體W5(P)"/>
                    </a:defRPr>
                  </a:pPr>
                  <a:endParaRPr lang="zh-TW"/>
                </a:p>
              </c:txPr>
            </c:trendlineLbl>
          </c:trendline>
          <c:trendline>
            <c:spPr>
              <a:ln w="25400">
                <a:solidFill>
                  <a:srgbClr val="33CCCC"/>
                </a:solidFill>
                <a:prstDash val="solid"/>
              </a:ln>
            </c:spPr>
            <c:trendlineType val="exp"/>
            <c:forward val="3"/>
            <c:dispRSqr val="0"/>
            <c:dispEq val="1"/>
            <c:trendlineLbl>
              <c:layout>
                <c:manualLayout>
                  <c:x val="5.1217663543157266E-2"/>
                  <c:y val="-0.1261829652996845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華康華綜體W5(P)"/>
                      <a:ea typeface="華康華綜體W5(P)"/>
                      <a:cs typeface="華康華綜體W5(P)"/>
                    </a:defRPr>
                  </a:pPr>
                  <a:endParaRPr lang="zh-TW"/>
                </a:p>
              </c:txPr>
            </c:trendlineLbl>
          </c:trendline>
          <c:cat>
            <c:numRef>
              <c:f>綜合練習!$A$2:$A$30</c:f>
              <c:numCache>
                <c:formatCode>[$-404]m"月"d"日"e"年"</c:formatCode>
                <c:ptCount val="29"/>
                <c:pt idx="0">
                  <c:v>38384</c:v>
                </c:pt>
                <c:pt idx="1">
                  <c:v>38412</c:v>
                </c:pt>
                <c:pt idx="2">
                  <c:v>38443</c:v>
                </c:pt>
                <c:pt idx="3">
                  <c:v>38473</c:v>
                </c:pt>
                <c:pt idx="4">
                  <c:v>38504</c:v>
                </c:pt>
                <c:pt idx="5">
                  <c:v>38534</c:v>
                </c:pt>
                <c:pt idx="6">
                  <c:v>38565</c:v>
                </c:pt>
                <c:pt idx="7">
                  <c:v>38596</c:v>
                </c:pt>
                <c:pt idx="8">
                  <c:v>38626</c:v>
                </c:pt>
                <c:pt idx="9">
                  <c:v>38657</c:v>
                </c:pt>
                <c:pt idx="10">
                  <c:v>38687</c:v>
                </c:pt>
                <c:pt idx="11">
                  <c:v>38718</c:v>
                </c:pt>
                <c:pt idx="12">
                  <c:v>38749</c:v>
                </c:pt>
                <c:pt idx="13">
                  <c:v>38777</c:v>
                </c:pt>
                <c:pt idx="14">
                  <c:v>38808</c:v>
                </c:pt>
                <c:pt idx="15">
                  <c:v>38838</c:v>
                </c:pt>
                <c:pt idx="16">
                  <c:v>38869</c:v>
                </c:pt>
                <c:pt idx="17">
                  <c:v>38899</c:v>
                </c:pt>
                <c:pt idx="18">
                  <c:v>38930</c:v>
                </c:pt>
                <c:pt idx="19">
                  <c:v>38961</c:v>
                </c:pt>
                <c:pt idx="20">
                  <c:v>38991</c:v>
                </c:pt>
                <c:pt idx="21">
                  <c:v>39022</c:v>
                </c:pt>
                <c:pt idx="22">
                  <c:v>39052</c:v>
                </c:pt>
                <c:pt idx="23">
                  <c:v>39083</c:v>
                </c:pt>
                <c:pt idx="24">
                  <c:v>39114</c:v>
                </c:pt>
                <c:pt idx="25">
                  <c:v>39142</c:v>
                </c:pt>
                <c:pt idx="26">
                  <c:v>39173</c:v>
                </c:pt>
                <c:pt idx="27">
                  <c:v>39203</c:v>
                </c:pt>
                <c:pt idx="28">
                  <c:v>39234</c:v>
                </c:pt>
              </c:numCache>
            </c:numRef>
          </c:cat>
          <c:val>
            <c:numRef>
              <c:f>綜合練習!$B$2:$B$30</c:f>
              <c:numCache>
                <c:formatCode>0.00_ </c:formatCode>
                <c:ptCount val="29"/>
                <c:pt idx="0">
                  <c:v>29.8</c:v>
                </c:pt>
                <c:pt idx="1">
                  <c:v>32.700000000000003</c:v>
                </c:pt>
                <c:pt idx="2">
                  <c:v>34.1</c:v>
                </c:pt>
                <c:pt idx="3">
                  <c:v>35.700000000000003</c:v>
                </c:pt>
                <c:pt idx="4">
                  <c:v>40.299999999999997</c:v>
                </c:pt>
                <c:pt idx="5">
                  <c:v>38.700000000000003</c:v>
                </c:pt>
                <c:pt idx="6">
                  <c:v>38.9</c:v>
                </c:pt>
                <c:pt idx="7">
                  <c:v>42.6</c:v>
                </c:pt>
                <c:pt idx="8">
                  <c:v>41.9</c:v>
                </c:pt>
                <c:pt idx="9">
                  <c:v>41.7</c:v>
                </c:pt>
                <c:pt idx="10">
                  <c:v>44.4</c:v>
                </c:pt>
                <c:pt idx="11">
                  <c:v>41.8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708144"/>
        <c:axId val="308708536"/>
      </c:lineChart>
      <c:dateAx>
        <c:axId val="30870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華康華綜體W5(P)"/>
                    <a:ea typeface="華康華綜體W5(P)"/>
                    <a:cs typeface="華康華綜體W5(P)"/>
                  </a:defRPr>
                </a:pPr>
                <a:r>
                  <a:rPr lang="zh-TW" altLang="en-US"/>
                  <a:t>日期</a:t>
                </a:r>
              </a:p>
            </c:rich>
          </c:tx>
          <c:layout>
            <c:manualLayout>
              <c:xMode val="edge"/>
              <c:yMode val="edge"/>
              <c:x val="0.48713279017979355"/>
              <c:y val="0.88643533123028395"/>
            </c:manualLayout>
          </c:layout>
          <c:overlay val="0"/>
          <c:spPr>
            <a:noFill/>
            <a:ln w="25400">
              <a:noFill/>
            </a:ln>
          </c:spPr>
        </c:title>
        <c:numFmt formatCode="e&quot;年&quot;m&quot;月&quot;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308708536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308708536"/>
        <c:scaling>
          <c:orientation val="minMax"/>
          <c:max val="80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華康華綜體W5(P)"/>
                    <a:ea typeface="華康華綜體W5(P)"/>
                    <a:cs typeface="華康華綜體W5(P)"/>
                  </a:defRPr>
                </a:pPr>
                <a:r>
                  <a:rPr lang="zh-TW" altLang="en-US"/>
                  <a:t>股價</a:t>
                </a:r>
              </a:p>
            </c:rich>
          </c:tx>
          <c:layout>
            <c:manualLayout>
              <c:xMode val="edge"/>
              <c:yMode val="edge"/>
              <c:x val="9.1911847203734638E-3"/>
              <c:y val="0.34700315457413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308708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727956191079704"/>
          <c:y val="0.13880126182965299"/>
          <c:w val="0.27205906772305455"/>
          <c:h val="0.239747634069400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0</xdr:row>
      <xdr:rowOff>57150</xdr:rowOff>
    </xdr:from>
    <xdr:to>
      <xdr:col>15</xdr:col>
      <xdr:colOff>0</xdr:colOff>
      <xdr:row>14</xdr:row>
      <xdr:rowOff>161925</xdr:rowOff>
    </xdr:to>
    <xdr:graphicFrame macro="">
      <xdr:nvGraphicFramePr>
        <xdr:cNvPr id="2049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161925</xdr:rowOff>
    </xdr:from>
    <xdr:to>
      <xdr:col>14</xdr:col>
      <xdr:colOff>609600</xdr:colOff>
      <xdr:row>15</xdr:row>
      <xdr:rowOff>66675</xdr:rowOff>
    </xdr:to>
    <xdr:graphicFrame macro="">
      <xdr:nvGraphicFramePr>
        <xdr:cNvPr id="3073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0</xdr:row>
      <xdr:rowOff>57150</xdr:rowOff>
    </xdr:from>
    <xdr:to>
      <xdr:col>14</xdr:col>
      <xdr:colOff>447675</xdr:colOff>
      <xdr:row>14</xdr:row>
      <xdr:rowOff>161925</xdr:rowOff>
    </xdr:to>
    <xdr:graphicFrame macro="">
      <xdr:nvGraphicFramePr>
        <xdr:cNvPr id="5121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104775</xdr:rowOff>
    </xdr:from>
    <xdr:to>
      <xdr:col>11</xdr:col>
      <xdr:colOff>257175</xdr:colOff>
      <xdr:row>15</xdr:row>
      <xdr:rowOff>200025</xdr:rowOff>
    </xdr:to>
    <xdr:graphicFrame macro="">
      <xdr:nvGraphicFramePr>
        <xdr:cNvPr id="6145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142875</xdr:rowOff>
    </xdr:from>
    <xdr:to>
      <xdr:col>13</xdr:col>
      <xdr:colOff>533400</xdr:colOff>
      <xdr:row>16</xdr:row>
      <xdr:rowOff>19050</xdr:rowOff>
    </xdr:to>
    <xdr:graphicFrame macro="">
      <xdr:nvGraphicFramePr>
        <xdr:cNvPr id="7169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57150</xdr:rowOff>
    </xdr:from>
    <xdr:to>
      <xdr:col>10</xdr:col>
      <xdr:colOff>590550</xdr:colOff>
      <xdr:row>12</xdr:row>
      <xdr:rowOff>104775</xdr:rowOff>
    </xdr:to>
    <xdr:graphicFrame macro="">
      <xdr:nvGraphicFramePr>
        <xdr:cNvPr id="12290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266700</xdr:rowOff>
    </xdr:from>
    <xdr:to>
      <xdr:col>13</xdr:col>
      <xdr:colOff>523875</xdr:colOff>
      <xdr:row>13</xdr:row>
      <xdr:rowOff>57150</xdr:rowOff>
    </xdr:to>
    <xdr:graphicFrame macro="">
      <xdr:nvGraphicFramePr>
        <xdr:cNvPr id="13313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66675</xdr:rowOff>
    </xdr:from>
    <xdr:to>
      <xdr:col>9</xdr:col>
      <xdr:colOff>866775</xdr:colOff>
      <xdr:row>18</xdr:row>
      <xdr:rowOff>9525</xdr:rowOff>
    </xdr:to>
    <xdr:graphicFrame macro="">
      <xdr:nvGraphicFramePr>
        <xdr:cNvPr id="14337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18</xdr:row>
      <xdr:rowOff>85725</xdr:rowOff>
    </xdr:from>
    <xdr:to>
      <xdr:col>10</xdr:col>
      <xdr:colOff>57150</xdr:colOff>
      <xdr:row>32</xdr:row>
      <xdr:rowOff>171450</xdr:rowOff>
    </xdr:to>
    <xdr:graphicFrame macro="">
      <xdr:nvGraphicFramePr>
        <xdr:cNvPr id="14339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57150</xdr:colOff>
      <xdr:row>30</xdr:row>
      <xdr:rowOff>171450</xdr:rowOff>
    </xdr:from>
    <xdr:to>
      <xdr:col>10</xdr:col>
      <xdr:colOff>352425</xdr:colOff>
      <xdr:row>37</xdr:row>
      <xdr:rowOff>133350</xdr:rowOff>
    </xdr:to>
    <xdr:pic>
      <xdr:nvPicPr>
        <xdr:cNvPr id="14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6457950"/>
          <a:ext cx="2924175" cy="1428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H18" sqref="H18"/>
    </sheetView>
  </sheetViews>
  <sheetFormatPr defaultColWidth="8.875" defaultRowHeight="16.5"/>
  <cols>
    <col min="1" max="1" width="16.75" style="6" bestFit="1" customWidth="1"/>
    <col min="2" max="2" width="10.625" style="15" customWidth="1"/>
    <col min="3" max="4" width="10.625" style="16" customWidth="1"/>
    <col min="5" max="5" width="8.875" style="16"/>
    <col min="6" max="6" width="11.625" style="16" bestFit="1" customWidth="1"/>
    <col min="7" max="16384" width="8.875" style="16"/>
  </cols>
  <sheetData>
    <row r="1" spans="1:8" s="6" customFormat="1" ht="21" customHeight="1">
      <c r="A1" s="124" t="s">
        <v>53</v>
      </c>
      <c r="B1" s="124"/>
      <c r="C1" s="124"/>
      <c r="D1" s="124"/>
      <c r="F1" s="5"/>
      <c r="H1" s="6" t="s">
        <v>192</v>
      </c>
    </row>
    <row r="2" spans="1:8" s="6" customFormat="1">
      <c r="A2" s="7" t="s">
        <v>54</v>
      </c>
      <c r="B2" s="7" t="s">
        <v>55</v>
      </c>
      <c r="C2" s="8" t="s">
        <v>56</v>
      </c>
      <c r="D2" s="8" t="s">
        <v>57</v>
      </c>
      <c r="H2" s="6">
        <v>5.4</v>
      </c>
    </row>
    <row r="3" spans="1:8" s="6" customFormat="1">
      <c r="A3" s="9">
        <v>1</v>
      </c>
      <c r="B3" s="10" t="s">
        <v>0</v>
      </c>
      <c r="C3" s="11">
        <v>60</v>
      </c>
      <c r="D3" s="11">
        <v>71</v>
      </c>
      <c r="H3" s="6">
        <v>6</v>
      </c>
    </row>
    <row r="4" spans="1:8" s="6" customFormat="1">
      <c r="A4" s="9">
        <v>2</v>
      </c>
      <c r="B4" s="10" t="s">
        <v>1</v>
      </c>
      <c r="C4" s="11">
        <v>99</v>
      </c>
      <c r="D4" s="11">
        <v>66</v>
      </c>
      <c r="H4" s="6">
        <v>7</v>
      </c>
    </row>
    <row r="5" spans="1:8" s="6" customFormat="1">
      <c r="A5" s="9">
        <v>3</v>
      </c>
      <c r="B5" s="10" t="s">
        <v>2</v>
      </c>
      <c r="C5" s="11">
        <v>92</v>
      </c>
      <c r="D5" s="11">
        <v>72</v>
      </c>
      <c r="H5" s="6">
        <v>8.1999999999999993</v>
      </c>
    </row>
    <row r="6" spans="1:8" s="6" customFormat="1">
      <c r="A6" s="9">
        <v>4</v>
      </c>
      <c r="B6" s="12" t="s">
        <v>3</v>
      </c>
      <c r="C6" s="11" t="s">
        <v>58</v>
      </c>
      <c r="D6" s="11">
        <v>98</v>
      </c>
      <c r="H6" s="6">
        <v>6.8</v>
      </c>
    </row>
    <row r="7" spans="1:8" s="6" customFormat="1">
      <c r="A7" s="9">
        <v>5</v>
      </c>
      <c r="B7" s="10" t="s">
        <v>4</v>
      </c>
      <c r="C7" s="11">
        <v>97</v>
      </c>
      <c r="D7" s="11" t="s">
        <v>58</v>
      </c>
      <c r="H7" s="6">
        <v>7.5</v>
      </c>
    </row>
    <row r="8" spans="1:8" s="6" customFormat="1">
      <c r="A8" s="9">
        <v>6</v>
      </c>
      <c r="B8" s="10" t="s">
        <v>14</v>
      </c>
      <c r="C8" s="11">
        <v>62</v>
      </c>
      <c r="D8" s="11">
        <v>74</v>
      </c>
      <c r="H8" s="6">
        <v>8</v>
      </c>
    </row>
    <row r="9" spans="1:8" s="6" customFormat="1">
      <c r="A9" s="9">
        <v>7</v>
      </c>
      <c r="B9" s="10" t="s">
        <v>6</v>
      </c>
      <c r="C9" s="11">
        <v>79</v>
      </c>
      <c r="D9" s="11">
        <v>91</v>
      </c>
      <c r="H9" s="6">
        <v>8.5</v>
      </c>
    </row>
    <row r="10" spans="1:8" s="6" customFormat="1">
      <c r="A10" s="9">
        <v>8</v>
      </c>
      <c r="B10" s="10" t="s">
        <v>7</v>
      </c>
      <c r="C10" s="11">
        <v>97</v>
      </c>
      <c r="D10" s="11" t="s">
        <v>58</v>
      </c>
      <c r="H10" s="6">
        <v>8</v>
      </c>
    </row>
    <row r="11" spans="1:8" s="6" customFormat="1">
      <c r="A11" s="9">
        <v>9</v>
      </c>
      <c r="B11" s="13" t="s">
        <v>8</v>
      </c>
      <c r="C11" s="11">
        <v>70</v>
      </c>
      <c r="D11" s="11">
        <v>95</v>
      </c>
      <c r="H11" s="6">
        <v>90</v>
      </c>
    </row>
    <row r="12" spans="1:8" s="6" customFormat="1">
      <c r="A12" s="9">
        <v>10</v>
      </c>
      <c r="B12" s="10" t="s">
        <v>9</v>
      </c>
      <c r="C12" s="11">
        <v>71</v>
      </c>
      <c r="D12" s="11">
        <v>66</v>
      </c>
    </row>
    <row r="13" spans="1:8" s="6" customFormat="1">
      <c r="A13" s="9">
        <v>11</v>
      </c>
      <c r="B13" s="10" t="s">
        <v>10</v>
      </c>
      <c r="C13" s="11">
        <v>90</v>
      </c>
      <c r="D13" s="11">
        <v>70</v>
      </c>
    </row>
    <row r="14" spans="1:8" s="6" customFormat="1"/>
    <row r="15" spans="1:8" s="6" customFormat="1">
      <c r="A15" s="6" t="s">
        <v>59</v>
      </c>
      <c r="C15" s="14">
        <f>AVEDEV(C3:C13)</f>
        <v>13.3</v>
      </c>
      <c r="D15" s="14">
        <f>AVEDEV(D3:D13)</f>
        <v>11.037037037037038</v>
      </c>
    </row>
    <row r="16" spans="1:8" s="6" customFormat="1">
      <c r="A16" s="6" t="s">
        <v>84</v>
      </c>
      <c r="C16" s="14">
        <f>AVERAGE(統計學)</f>
        <v>81.7</v>
      </c>
      <c r="D16" s="14">
        <f>AVERAGE(經濟學)</f>
        <v>78.111111111111114</v>
      </c>
    </row>
    <row r="17" spans="1:4" s="6" customFormat="1">
      <c r="A17" s="6" t="s">
        <v>60</v>
      </c>
      <c r="C17" s="14">
        <f>AVERAGEA(統計學)</f>
        <v>74.272727272727266</v>
      </c>
      <c r="D17" s="14">
        <f>AVERAGEA(經濟學)</f>
        <v>63.909090909090907</v>
      </c>
    </row>
    <row r="18" spans="1:4" s="6" customFormat="1">
      <c r="A18" s="17" t="s">
        <v>61</v>
      </c>
      <c r="C18" s="6">
        <f>COUNT(統計學)</f>
        <v>10</v>
      </c>
      <c r="D18" s="6">
        <f>COUNT(經濟學)</f>
        <v>9</v>
      </c>
    </row>
    <row r="19" spans="1:4" s="6" customFormat="1">
      <c r="A19" s="6" t="s">
        <v>62</v>
      </c>
      <c r="C19" s="6">
        <f>COUNTA(統計學)</f>
        <v>11</v>
      </c>
      <c r="D19" s="6">
        <f>COUNTA(經濟學)</f>
        <v>11</v>
      </c>
    </row>
    <row r="20" spans="1:4" s="6" customFormat="1">
      <c r="A20" s="6" t="s">
        <v>76</v>
      </c>
      <c r="C20" s="6">
        <f>DEVSQ(統計學)</f>
        <v>2060.1</v>
      </c>
      <c r="D20" s="6">
        <f>DEVSQ(經濟學)</f>
        <v>1310.8888888888889</v>
      </c>
    </row>
    <row r="21" spans="1:4" s="6" customFormat="1">
      <c r="A21" s="6" t="s">
        <v>85</v>
      </c>
      <c r="C21" s="6">
        <f>GEOMEAN(統計學)</f>
        <v>80.384727151235651</v>
      </c>
      <c r="D21" s="6">
        <f>GEOMEAN(經濟學)</f>
        <v>77.228522766592818</v>
      </c>
    </row>
    <row r="22" spans="1:4" s="6" customFormat="1">
      <c r="A22" s="6" t="s">
        <v>86</v>
      </c>
      <c r="C22" s="6">
        <f>HARMEAN(統計學)</f>
        <v>79.036143961487127</v>
      </c>
      <c r="D22" s="6">
        <f>HARMEAN(經濟學)</f>
        <v>76.403881565388119</v>
      </c>
    </row>
    <row r="23" spans="1:4" s="6" customFormat="1">
      <c r="A23" s="6" t="s">
        <v>87</v>
      </c>
      <c r="C23" s="6">
        <f>KURT(統計學)</f>
        <v>-1.7590592909615395</v>
      </c>
      <c r="D23" s="6">
        <f>KURT(經濟學)</f>
        <v>-1.4088236178810369</v>
      </c>
    </row>
    <row r="24" spans="1:4" s="6" customFormat="1">
      <c r="A24" s="6" t="s">
        <v>171</v>
      </c>
      <c r="C24" s="6">
        <f>MAX(統計學)</f>
        <v>99</v>
      </c>
      <c r="D24" s="6">
        <f>MAX(經濟學)</f>
        <v>98</v>
      </c>
    </row>
    <row r="25" spans="1:4" s="6" customFormat="1">
      <c r="A25" s="6" t="s">
        <v>173</v>
      </c>
      <c r="C25" s="6">
        <f>MAXA(統計學)</f>
        <v>99</v>
      </c>
      <c r="D25" s="6">
        <f>MAXA(經濟學)</f>
        <v>98</v>
      </c>
    </row>
    <row r="26" spans="1:4" s="6" customFormat="1">
      <c r="A26" s="6" t="s">
        <v>172</v>
      </c>
      <c r="C26" s="6">
        <f>MIN(統計學)</f>
        <v>60</v>
      </c>
      <c r="D26" s="6">
        <f>MIN(經濟學)</f>
        <v>66</v>
      </c>
    </row>
    <row r="27" spans="1:4" s="6" customFormat="1">
      <c r="A27" s="6" t="s">
        <v>174</v>
      </c>
      <c r="C27" s="6">
        <f>MINA(統計學)</f>
        <v>0</v>
      </c>
      <c r="D27" s="6">
        <f>MINA(經濟學)</f>
        <v>0</v>
      </c>
    </row>
    <row r="28" spans="1:4" s="6" customFormat="1">
      <c r="A28" s="6" t="s">
        <v>175</v>
      </c>
      <c r="C28" s="6">
        <f>MEDIAN(統計學)</f>
        <v>84.5</v>
      </c>
      <c r="D28" s="6">
        <f>MEDIAN(經濟學)</f>
        <v>72</v>
      </c>
    </row>
    <row r="29" spans="1:4" s="6" customFormat="1">
      <c r="A29" s="6" t="s">
        <v>176</v>
      </c>
      <c r="C29" s="6">
        <f>MODE(統計學)</f>
        <v>97</v>
      </c>
      <c r="D29" s="6">
        <f>MODE(經濟學)</f>
        <v>66</v>
      </c>
    </row>
    <row r="30" spans="1:4" s="6" customFormat="1">
      <c r="A30" s="6" t="s">
        <v>177</v>
      </c>
      <c r="C30" s="6">
        <f>PERCENTILE(統計學,0.2)</f>
        <v>68.400000000000006</v>
      </c>
      <c r="D30" s="6">
        <f>PERCENTILE(經濟學,0.2)</f>
        <v>68.400000000000006</v>
      </c>
    </row>
    <row r="31" spans="1:4" s="6" customFormat="1">
      <c r="A31" s="6" t="s">
        <v>179</v>
      </c>
      <c r="C31" s="6">
        <f>PERCENTILE(統計學,0.5)</f>
        <v>84.5</v>
      </c>
      <c r="D31" s="6">
        <f>PERCENTILE(經濟學,0.5)</f>
        <v>72</v>
      </c>
    </row>
    <row r="32" spans="1:4" s="6" customFormat="1">
      <c r="A32" s="6" t="s">
        <v>178</v>
      </c>
      <c r="C32" s="6">
        <f>PERCENTILE(統計學,0.8)</f>
        <v>97</v>
      </c>
      <c r="D32" s="6">
        <f>PERCENTILE(經濟學,0.8)</f>
        <v>92.6</v>
      </c>
    </row>
    <row r="33" spans="1:4" s="6" customFormat="1">
      <c r="A33" s="6" t="s">
        <v>180</v>
      </c>
      <c r="C33" s="32">
        <f>PERCENTRANK(統計學,80)</f>
        <v>0.45400000000000001</v>
      </c>
      <c r="D33" s="32">
        <f>PERCENTRANK(經濟學,80)</f>
        <v>0.66900000000000004</v>
      </c>
    </row>
    <row r="34" spans="1:4" s="6" customFormat="1">
      <c r="A34" s="6" t="s">
        <v>181</v>
      </c>
      <c r="C34" s="6">
        <f>QUARTILE(統計學,1)</f>
        <v>70.25</v>
      </c>
      <c r="D34" s="6">
        <f>QUARTILE(經濟學,1)</f>
        <v>70</v>
      </c>
    </row>
    <row r="35" spans="1:4" s="6" customFormat="1">
      <c r="A35" s="6" t="s">
        <v>183</v>
      </c>
      <c r="C35" s="6">
        <f>QUARTILE(統計學,2)</f>
        <v>84.5</v>
      </c>
      <c r="D35" s="6">
        <f>QUARTILE(經濟學,2)</f>
        <v>72</v>
      </c>
    </row>
    <row r="36" spans="1:4" s="6" customFormat="1">
      <c r="A36" s="6" t="s">
        <v>182</v>
      </c>
      <c r="C36" s="6">
        <f>QUARTILE(統計學,3)</f>
        <v>95.75</v>
      </c>
      <c r="D36" s="6">
        <f>QUARTILE(經濟學,3)</f>
        <v>91</v>
      </c>
    </row>
    <row r="37" spans="1:4" s="6" customFormat="1">
      <c r="A37" s="6" t="s">
        <v>185</v>
      </c>
      <c r="C37" s="6">
        <f>SKEW(統計學)</f>
        <v>-0.26888976915377261</v>
      </c>
      <c r="D37" s="6">
        <f>SKEW(經濟學)</f>
        <v>0.77248204899571016</v>
      </c>
    </row>
    <row r="38" spans="1:4" s="6" customFormat="1">
      <c r="A38" s="6" t="s">
        <v>191</v>
      </c>
      <c r="C38" s="6">
        <f>STDEV(統計學)</f>
        <v>15.12944149663168</v>
      </c>
      <c r="D38" s="6">
        <f>STDEV(經濟學)</f>
        <v>12.800824626214958</v>
      </c>
    </row>
    <row r="39" spans="1:4" s="6" customFormat="1">
      <c r="A39" s="6" t="s">
        <v>186</v>
      </c>
      <c r="C39" s="6">
        <f>STDEVP(統計學)</f>
        <v>14.353048456686823</v>
      </c>
      <c r="D39" s="6">
        <f>STDEVP(經濟學)</f>
        <v>12.068733197301793</v>
      </c>
    </row>
    <row r="40" spans="1:4" s="6" customFormat="1">
      <c r="A40" s="6" t="s">
        <v>187</v>
      </c>
      <c r="C40" s="6">
        <f>TRIMMEAN(統計學,0.2)</f>
        <v>82.25</v>
      </c>
      <c r="D40" s="6">
        <f>TRIMMEAN(經濟學,0.2)</f>
        <v>78.111111111111114</v>
      </c>
    </row>
    <row r="41" spans="1:4" s="6" customFormat="1">
      <c r="A41" s="6" t="s">
        <v>189</v>
      </c>
      <c r="C41" s="6">
        <f>VAR(統計學)</f>
        <v>228.90000000000066</v>
      </c>
      <c r="D41" s="6">
        <f>VAR(經濟學)</f>
        <v>163.86111111111131</v>
      </c>
    </row>
    <row r="42" spans="1:4" s="6" customFormat="1">
      <c r="A42" s="6" t="s">
        <v>190</v>
      </c>
      <c r="C42" s="6">
        <f>VARP(統計學)</f>
        <v>206.01</v>
      </c>
      <c r="D42" s="6">
        <f>VARP(經濟學)</f>
        <v>145.65432098765433</v>
      </c>
    </row>
    <row r="43" spans="1:4" s="6" customFormat="1"/>
    <row r="44" spans="1:4" s="6" customFormat="1"/>
    <row r="45" spans="1:4" s="6" customFormat="1"/>
    <row r="46" spans="1:4" s="6" customFormat="1"/>
    <row r="47" spans="1:4" s="6" customFormat="1"/>
    <row r="48" spans="1:4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</sheetData>
  <mergeCells count="1">
    <mergeCell ref="A1:D1"/>
  </mergeCells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8" sqref="B8"/>
    </sheetView>
  </sheetViews>
  <sheetFormatPr defaultRowHeight="16.5"/>
  <cols>
    <col min="1" max="1" width="16.75" bestFit="1" customWidth="1"/>
    <col min="2" max="2" width="10.5" bestFit="1" customWidth="1"/>
    <col min="9" max="9" width="17.75" bestFit="1" customWidth="1"/>
  </cols>
  <sheetData>
    <row r="1" spans="1:10">
      <c r="A1" s="125" t="s">
        <v>63</v>
      </c>
      <c r="B1" s="18">
        <f ca="1">TODAY()</f>
        <v>41533</v>
      </c>
      <c r="D1" s="21">
        <f ca="1">ROUND(RAND()*100,0)</f>
        <v>51</v>
      </c>
      <c r="E1" s="21">
        <f ca="1">ROUND(RAND()*100,0)</f>
        <v>14</v>
      </c>
      <c r="F1" s="21">
        <f ca="1">ROUND(RAND()*100,0)</f>
        <v>90</v>
      </c>
      <c r="G1" s="21">
        <f ca="1">ROUND(RAND()*100,0)</f>
        <v>69</v>
      </c>
      <c r="H1" s="21">
        <f ca="1">ROUND(RAND()*100,0)</f>
        <v>44</v>
      </c>
      <c r="I1" t="s">
        <v>69</v>
      </c>
      <c r="J1" s="21">
        <f ca="1">AVERAGE(D1:H20)</f>
        <v>45.69</v>
      </c>
    </row>
    <row r="2" spans="1:10">
      <c r="A2" s="125"/>
      <c r="B2" s="19" t="e">
        <f>999^9999</f>
        <v>#NUM!</v>
      </c>
      <c r="D2" s="21">
        <f t="shared" ref="D2:H20" ca="1" si="0">ROUND(RAND()*100,0)</f>
        <v>27</v>
      </c>
      <c r="E2" s="21">
        <f t="shared" ca="1" si="0"/>
        <v>58</v>
      </c>
      <c r="F2" s="21">
        <f t="shared" ca="1" si="0"/>
        <v>86</v>
      </c>
      <c r="G2" s="21">
        <f t="shared" ca="1" si="0"/>
        <v>46</v>
      </c>
      <c r="H2" s="21">
        <f t="shared" ca="1" si="0"/>
        <v>1</v>
      </c>
      <c r="I2" t="s">
        <v>70</v>
      </c>
      <c r="J2" s="21">
        <f ca="1" xml:space="preserve"> COUNTIF(D1:H20,"&gt;"&amp;CELL("CONTENTS",J1))</f>
        <v>47</v>
      </c>
    </row>
    <row r="3" spans="1:10">
      <c r="A3" s="125"/>
      <c r="B3" s="19">
        <v>100</v>
      </c>
      <c r="D3" s="21">
        <f t="shared" ca="1" si="0"/>
        <v>49</v>
      </c>
      <c r="E3" s="21">
        <f t="shared" ca="1" si="0"/>
        <v>4</v>
      </c>
      <c r="F3" s="21">
        <f t="shared" ca="1" si="0"/>
        <v>72</v>
      </c>
      <c r="G3" s="21">
        <f t="shared" ca="1" si="0"/>
        <v>20</v>
      </c>
      <c r="H3" s="21">
        <f t="shared" ca="1" si="0"/>
        <v>46</v>
      </c>
      <c r="I3" t="s">
        <v>71</v>
      </c>
      <c r="J3" s="21">
        <f ca="1" xml:space="preserve"> COUNTIF(D1:H20,"&gt;"&amp;AVERAGE(D1:H20))</f>
        <v>47</v>
      </c>
    </row>
    <row r="4" spans="1:10">
      <c r="A4" s="125"/>
      <c r="B4" s="19">
        <v>200</v>
      </c>
      <c r="D4" s="21">
        <f t="shared" ca="1" si="0"/>
        <v>86</v>
      </c>
      <c r="E4" s="21">
        <f t="shared" ca="1" si="0"/>
        <v>78</v>
      </c>
      <c r="F4" s="21">
        <f t="shared" ca="1" si="0"/>
        <v>5</v>
      </c>
      <c r="G4" s="21">
        <f t="shared" ca="1" si="0"/>
        <v>51</v>
      </c>
      <c r="H4" s="21">
        <f t="shared" ca="1" si="0"/>
        <v>99</v>
      </c>
    </row>
    <row r="5" spans="1:10">
      <c r="A5" s="125"/>
      <c r="B5" s="19" t="str">
        <f>""</f>
        <v/>
      </c>
      <c r="D5" s="21">
        <f t="shared" ca="1" si="0"/>
        <v>52</v>
      </c>
      <c r="E5" s="21">
        <f t="shared" ca="1" si="0"/>
        <v>11</v>
      </c>
      <c r="F5" s="21">
        <f t="shared" ca="1" si="0"/>
        <v>28</v>
      </c>
      <c r="G5" s="21">
        <f t="shared" ca="1" si="0"/>
        <v>84</v>
      </c>
      <c r="H5" s="21">
        <f t="shared" ca="1" si="0"/>
        <v>97</v>
      </c>
    </row>
    <row r="6" spans="1:10">
      <c r="A6" s="125"/>
      <c r="B6" s="19"/>
      <c r="D6" s="21">
        <f t="shared" ca="1" si="0"/>
        <v>79</v>
      </c>
      <c r="E6" s="21">
        <f t="shared" ca="1" si="0"/>
        <v>61</v>
      </c>
      <c r="F6" s="21">
        <f t="shared" ca="1" si="0"/>
        <v>10</v>
      </c>
      <c r="G6" s="21">
        <f t="shared" ca="1" si="0"/>
        <v>20</v>
      </c>
      <c r="H6" s="21">
        <f t="shared" ca="1" si="0"/>
        <v>83</v>
      </c>
    </row>
    <row r="7" spans="1:10" ht="17.25" thickBot="1">
      <c r="A7" s="125"/>
      <c r="B7" s="19" t="s">
        <v>67</v>
      </c>
      <c r="D7" s="21">
        <f t="shared" ca="1" si="0"/>
        <v>33</v>
      </c>
      <c r="E7" s="21">
        <f t="shared" ca="1" si="0"/>
        <v>21</v>
      </c>
      <c r="F7" s="21">
        <f t="shared" ca="1" si="0"/>
        <v>88</v>
      </c>
      <c r="G7" s="21">
        <f t="shared" ca="1" si="0"/>
        <v>32</v>
      </c>
      <c r="H7" s="21">
        <f t="shared" ca="1" si="0"/>
        <v>25</v>
      </c>
    </row>
    <row r="8" spans="1:10" ht="17.25" thickBot="1">
      <c r="A8" s="20" t="s">
        <v>64</v>
      </c>
      <c r="B8" s="20">
        <f ca="1">COUNT(B1:B7)</f>
        <v>3</v>
      </c>
      <c r="D8" s="21">
        <f t="shared" ca="1" si="0"/>
        <v>45</v>
      </c>
      <c r="E8" s="21">
        <f t="shared" ca="1" si="0"/>
        <v>4</v>
      </c>
      <c r="F8" s="21">
        <f t="shared" ca="1" si="0"/>
        <v>94</v>
      </c>
      <c r="G8" s="21">
        <f t="shared" ca="1" si="0"/>
        <v>10</v>
      </c>
      <c r="H8" s="21">
        <f t="shared" ca="1" si="0"/>
        <v>26</v>
      </c>
    </row>
    <row r="9" spans="1:10" ht="17.25" thickBot="1">
      <c r="A9" s="20" t="s">
        <v>65</v>
      </c>
      <c r="B9" s="20">
        <f ca="1">COUNTA(B1:B7)</f>
        <v>6</v>
      </c>
      <c r="D9" s="21">
        <f t="shared" ca="1" si="0"/>
        <v>35</v>
      </c>
      <c r="E9" s="21">
        <f t="shared" ca="1" si="0"/>
        <v>23</v>
      </c>
      <c r="F9" s="21">
        <f t="shared" ca="1" si="0"/>
        <v>90</v>
      </c>
      <c r="G9" s="21">
        <f t="shared" ca="1" si="0"/>
        <v>17</v>
      </c>
      <c r="H9" s="21">
        <f t="shared" ca="1" si="0"/>
        <v>11</v>
      </c>
    </row>
    <row r="10" spans="1:10" ht="17.25" thickBot="1">
      <c r="A10" s="20" t="s">
        <v>66</v>
      </c>
      <c r="B10" s="20">
        <f ca="1">COUNTBLANK(B1:B7)</f>
        <v>2</v>
      </c>
      <c r="D10" s="21">
        <f t="shared" ca="1" si="0"/>
        <v>69</v>
      </c>
      <c r="E10" s="21">
        <f t="shared" ca="1" si="0"/>
        <v>2</v>
      </c>
      <c r="F10" s="21">
        <f t="shared" ca="1" si="0"/>
        <v>14</v>
      </c>
      <c r="G10" s="21">
        <f t="shared" ca="1" si="0"/>
        <v>48</v>
      </c>
      <c r="H10" s="21">
        <f t="shared" ca="1" si="0"/>
        <v>29</v>
      </c>
    </row>
    <row r="11" spans="1:10">
      <c r="D11" s="21">
        <f t="shared" ca="1" si="0"/>
        <v>20</v>
      </c>
      <c r="E11" s="21">
        <f t="shared" ca="1" si="0"/>
        <v>45</v>
      </c>
      <c r="F11" s="21">
        <f t="shared" ca="1" si="0"/>
        <v>28</v>
      </c>
      <c r="G11" s="21">
        <f t="shared" ca="1" si="0"/>
        <v>4</v>
      </c>
      <c r="H11" s="21">
        <f t="shared" ca="1" si="0"/>
        <v>28</v>
      </c>
    </row>
    <row r="12" spans="1:10">
      <c r="D12" s="21">
        <f t="shared" ca="1" si="0"/>
        <v>23</v>
      </c>
      <c r="E12" s="21">
        <f t="shared" ca="1" si="0"/>
        <v>22</v>
      </c>
      <c r="F12" s="21">
        <f t="shared" ca="1" si="0"/>
        <v>59</v>
      </c>
      <c r="G12" s="21">
        <f t="shared" ca="1" si="0"/>
        <v>83</v>
      </c>
      <c r="H12" s="21">
        <f t="shared" ca="1" si="0"/>
        <v>43</v>
      </c>
    </row>
    <row r="13" spans="1:10">
      <c r="D13" s="21">
        <f t="shared" ca="1" si="0"/>
        <v>53</v>
      </c>
      <c r="E13" s="21">
        <f t="shared" ca="1" si="0"/>
        <v>32</v>
      </c>
      <c r="F13" s="21">
        <f t="shared" ca="1" si="0"/>
        <v>31</v>
      </c>
      <c r="G13" s="21">
        <f t="shared" ca="1" si="0"/>
        <v>18</v>
      </c>
      <c r="H13" s="21">
        <f t="shared" ca="1" si="0"/>
        <v>1</v>
      </c>
    </row>
    <row r="14" spans="1:10">
      <c r="D14" s="21">
        <f t="shared" ca="1" si="0"/>
        <v>41</v>
      </c>
      <c r="E14" s="21">
        <f t="shared" ca="1" si="0"/>
        <v>22</v>
      </c>
      <c r="F14" s="21">
        <f t="shared" ca="1" si="0"/>
        <v>40</v>
      </c>
      <c r="G14" s="21">
        <f t="shared" ca="1" si="0"/>
        <v>43</v>
      </c>
      <c r="H14" s="21">
        <f t="shared" ca="1" si="0"/>
        <v>59</v>
      </c>
    </row>
    <row r="15" spans="1:10">
      <c r="D15" s="21">
        <f t="shared" ca="1" si="0"/>
        <v>28</v>
      </c>
      <c r="E15" s="21">
        <f t="shared" ca="1" si="0"/>
        <v>28</v>
      </c>
      <c r="F15" s="21">
        <f t="shared" ca="1" si="0"/>
        <v>76</v>
      </c>
      <c r="G15" s="21">
        <f t="shared" ca="1" si="0"/>
        <v>18</v>
      </c>
      <c r="H15" s="21">
        <f t="shared" ca="1" si="0"/>
        <v>84</v>
      </c>
    </row>
    <row r="16" spans="1:10">
      <c r="D16" s="21">
        <f t="shared" ca="1" si="0"/>
        <v>70</v>
      </c>
      <c r="E16" s="21">
        <f t="shared" ca="1" si="0"/>
        <v>36</v>
      </c>
      <c r="F16" s="21">
        <f t="shared" ca="1" si="0"/>
        <v>82</v>
      </c>
      <c r="G16" s="21">
        <f t="shared" ca="1" si="0"/>
        <v>47</v>
      </c>
      <c r="H16" s="21">
        <f t="shared" ca="1" si="0"/>
        <v>15</v>
      </c>
    </row>
    <row r="17" spans="4:8">
      <c r="D17" s="21">
        <f t="shared" ca="1" si="0"/>
        <v>88</v>
      </c>
      <c r="E17" s="21">
        <f t="shared" ca="1" si="0"/>
        <v>93</v>
      </c>
      <c r="F17" s="21">
        <f t="shared" ca="1" si="0"/>
        <v>47</v>
      </c>
      <c r="G17" s="21">
        <f t="shared" ca="1" si="0"/>
        <v>86</v>
      </c>
      <c r="H17" s="21">
        <f t="shared" ca="1" si="0"/>
        <v>62</v>
      </c>
    </row>
    <row r="18" spans="4:8">
      <c r="D18" s="21">
        <f t="shared" ca="1" si="0"/>
        <v>50</v>
      </c>
      <c r="E18" s="21">
        <f t="shared" ca="1" si="0"/>
        <v>79</v>
      </c>
      <c r="F18" s="21">
        <f t="shared" ca="1" si="0"/>
        <v>2</v>
      </c>
      <c r="G18" s="21">
        <f t="shared" ca="1" si="0"/>
        <v>22</v>
      </c>
      <c r="H18" s="21">
        <f t="shared" ca="1" si="0"/>
        <v>54</v>
      </c>
    </row>
    <row r="19" spans="4:8">
      <c r="D19" s="21">
        <f t="shared" ca="1" si="0"/>
        <v>40</v>
      </c>
      <c r="E19" s="21">
        <f t="shared" ca="1" si="0"/>
        <v>31</v>
      </c>
      <c r="F19" s="21">
        <f t="shared" ca="1" si="0"/>
        <v>83</v>
      </c>
      <c r="G19" s="21">
        <f t="shared" ca="1" si="0"/>
        <v>41</v>
      </c>
      <c r="H19" s="21">
        <f t="shared" ca="1" si="0"/>
        <v>71</v>
      </c>
    </row>
    <row r="20" spans="4:8">
      <c r="D20" s="21">
        <f t="shared" ca="1" si="0"/>
        <v>51</v>
      </c>
      <c r="E20" s="21">
        <f t="shared" ca="1" si="0"/>
        <v>82</v>
      </c>
      <c r="F20" s="21">
        <f t="shared" ca="1" si="0"/>
        <v>45</v>
      </c>
      <c r="G20" s="21">
        <f t="shared" ca="1" si="0"/>
        <v>63</v>
      </c>
      <c r="H20" s="21">
        <f t="shared" ca="1" si="0"/>
        <v>63</v>
      </c>
    </row>
  </sheetData>
  <mergeCells count="1">
    <mergeCell ref="A1:A7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16" sqref="D16"/>
    </sheetView>
  </sheetViews>
  <sheetFormatPr defaultColWidth="8.875" defaultRowHeight="16.5"/>
  <cols>
    <col min="1" max="1" width="10.625" style="15" customWidth="1"/>
    <col min="2" max="2" width="10.625" style="16" customWidth="1"/>
    <col min="3" max="3" width="17.75" style="16" bestFit="1" customWidth="1"/>
    <col min="4" max="4" width="9.625" style="16" bestFit="1" customWidth="1"/>
    <col min="5" max="16384" width="8.875" style="16"/>
  </cols>
  <sheetData>
    <row r="1" spans="1:5" s="6" customFormat="1">
      <c r="A1" s="7" t="s">
        <v>50</v>
      </c>
      <c r="B1" s="8" t="s">
        <v>51</v>
      </c>
      <c r="C1" s="22" t="s">
        <v>73</v>
      </c>
      <c r="D1" s="23">
        <f>AVERAGE(統計學)</f>
        <v>67.959999999999994</v>
      </c>
    </row>
    <row r="2" spans="1:5" s="6" customFormat="1">
      <c r="A2" s="10" t="s">
        <v>0</v>
      </c>
      <c r="B2" s="11">
        <v>60</v>
      </c>
      <c r="C2" s="22" t="s">
        <v>75</v>
      </c>
      <c r="D2" s="24">
        <f>COUNTIF(統計學,"&lt;60")</f>
        <v>13</v>
      </c>
    </row>
    <row r="3" spans="1:5" s="6" customFormat="1">
      <c r="A3" s="10" t="s">
        <v>1</v>
      </c>
      <c r="B3" s="11">
        <v>99</v>
      </c>
      <c r="C3" s="22" t="s">
        <v>74</v>
      </c>
      <c r="D3" s="24">
        <f ca="1" xml:space="preserve"> COUNTIF(統計學,"&gt;"&amp;CELL("CONTENTS",D1))</f>
        <v>26</v>
      </c>
    </row>
    <row r="4" spans="1:5" s="6" customFormat="1">
      <c r="A4" s="10" t="s">
        <v>2</v>
      </c>
      <c r="B4" s="11">
        <v>92</v>
      </c>
      <c r="C4" s="22" t="s">
        <v>72</v>
      </c>
      <c r="D4" s="24">
        <f>COUNTIF(統計學,"&gt;"&amp;AVERAGE(統計學))</f>
        <v>26</v>
      </c>
    </row>
    <row r="5" spans="1:5" s="6" customFormat="1">
      <c r="A5" s="12" t="s">
        <v>3</v>
      </c>
      <c r="B5" s="11">
        <v>68</v>
      </c>
    </row>
    <row r="6" spans="1:5" s="6" customFormat="1">
      <c r="A6" s="10" t="s">
        <v>4</v>
      </c>
      <c r="B6" s="11">
        <v>97</v>
      </c>
    </row>
    <row r="7" spans="1:5" s="6" customFormat="1">
      <c r="A7" s="10" t="s">
        <v>5</v>
      </c>
      <c r="B7" s="11">
        <v>62</v>
      </c>
      <c r="C7" s="25" t="s">
        <v>52</v>
      </c>
      <c r="D7" s="25" t="s">
        <v>77</v>
      </c>
    </row>
    <row r="8" spans="1:5" s="6" customFormat="1">
      <c r="A8" s="10" t="s">
        <v>6</v>
      </c>
      <c r="B8" s="11">
        <v>79</v>
      </c>
      <c r="C8" s="26">
        <v>49</v>
      </c>
      <c r="D8" s="2">
        <f t="array" ref="D8:D13">FREQUENCY(統計學,組距)</f>
        <v>4</v>
      </c>
      <c r="E8" s="6" t="s">
        <v>78</v>
      </c>
    </row>
    <row r="9" spans="1:5" s="6" customFormat="1">
      <c r="A9" s="10" t="s">
        <v>7</v>
      </c>
      <c r="B9" s="11">
        <v>97</v>
      </c>
      <c r="C9" s="26">
        <v>59</v>
      </c>
      <c r="D9" s="2">
        <v>9</v>
      </c>
      <c r="E9" s="6" t="s">
        <v>79</v>
      </c>
    </row>
    <row r="10" spans="1:5" s="6" customFormat="1">
      <c r="A10" s="13" t="s">
        <v>8</v>
      </c>
      <c r="B10" s="11">
        <v>70</v>
      </c>
      <c r="C10" s="26">
        <v>69</v>
      </c>
      <c r="D10" s="2">
        <v>16</v>
      </c>
      <c r="E10" s="6" t="s">
        <v>80</v>
      </c>
    </row>
    <row r="11" spans="1:5" s="6" customFormat="1">
      <c r="A11" s="10" t="s">
        <v>9</v>
      </c>
      <c r="B11" s="11">
        <v>71</v>
      </c>
      <c r="C11" s="26">
        <v>79</v>
      </c>
      <c r="D11" s="2">
        <v>10</v>
      </c>
      <c r="E11" s="17" t="s">
        <v>81</v>
      </c>
    </row>
    <row r="12" spans="1:5" s="6" customFormat="1">
      <c r="A12" s="10" t="s">
        <v>10</v>
      </c>
      <c r="B12" s="11">
        <v>90</v>
      </c>
      <c r="C12" s="26">
        <v>89</v>
      </c>
      <c r="D12" s="2">
        <v>5</v>
      </c>
      <c r="E12" s="17" t="s">
        <v>82</v>
      </c>
    </row>
    <row r="13" spans="1:5" s="6" customFormat="1">
      <c r="A13" s="10" t="s">
        <v>11</v>
      </c>
      <c r="B13" s="11">
        <v>88</v>
      </c>
      <c r="C13" s="26">
        <v>99</v>
      </c>
      <c r="D13" s="2">
        <v>6</v>
      </c>
      <c r="E13" s="17" t="s">
        <v>83</v>
      </c>
    </row>
    <row r="14" spans="1:5" s="6" customFormat="1">
      <c r="A14" s="10" t="s">
        <v>12</v>
      </c>
      <c r="B14" s="11">
        <v>62</v>
      </c>
    </row>
    <row r="15" spans="1:5" s="6" customFormat="1">
      <c r="A15" s="10" t="s">
        <v>13</v>
      </c>
      <c r="B15" s="11">
        <v>63</v>
      </c>
    </row>
    <row r="16" spans="1:5" s="6" customFormat="1">
      <c r="A16" s="10" t="s">
        <v>14</v>
      </c>
      <c r="B16" s="11">
        <v>45</v>
      </c>
    </row>
    <row r="17" spans="1:2" s="6" customFormat="1">
      <c r="A17" s="10" t="s">
        <v>15</v>
      </c>
      <c r="B17" s="11">
        <v>61</v>
      </c>
    </row>
    <row r="18" spans="1:2" s="6" customFormat="1">
      <c r="A18" s="10" t="s">
        <v>16</v>
      </c>
      <c r="B18" s="11">
        <v>54</v>
      </c>
    </row>
    <row r="19" spans="1:2" s="6" customFormat="1">
      <c r="A19" s="13" t="s">
        <v>17</v>
      </c>
      <c r="B19" s="11">
        <v>88</v>
      </c>
    </row>
    <row r="20" spans="1:2" s="6" customFormat="1">
      <c r="A20" s="10" t="s">
        <v>18</v>
      </c>
      <c r="B20" s="11">
        <v>58</v>
      </c>
    </row>
    <row r="21" spans="1:2" s="6" customFormat="1">
      <c r="A21" s="10" t="s">
        <v>19</v>
      </c>
      <c r="B21" s="11">
        <v>69</v>
      </c>
    </row>
    <row r="22" spans="1:2" s="6" customFormat="1">
      <c r="A22" s="10" t="s">
        <v>20</v>
      </c>
      <c r="B22" s="11">
        <v>54</v>
      </c>
    </row>
    <row r="23" spans="1:2" s="6" customFormat="1">
      <c r="A23" s="13" t="s">
        <v>21</v>
      </c>
      <c r="B23" s="11">
        <v>78</v>
      </c>
    </row>
    <row r="24" spans="1:2" s="6" customFormat="1">
      <c r="A24" s="10" t="s">
        <v>22</v>
      </c>
      <c r="B24" s="11">
        <v>55</v>
      </c>
    </row>
    <row r="25" spans="1:2" s="6" customFormat="1">
      <c r="A25" s="10" t="s">
        <v>23</v>
      </c>
      <c r="B25" s="11">
        <v>88</v>
      </c>
    </row>
    <row r="26" spans="1:2" s="6" customFormat="1">
      <c r="A26" s="13" t="s">
        <v>24</v>
      </c>
      <c r="B26" s="11">
        <v>59</v>
      </c>
    </row>
    <row r="27" spans="1:2" s="6" customFormat="1">
      <c r="A27" s="10" t="s">
        <v>25</v>
      </c>
      <c r="B27" s="11">
        <v>65</v>
      </c>
    </row>
    <row r="28" spans="1:2" s="6" customFormat="1">
      <c r="A28" s="10" t="s">
        <v>26</v>
      </c>
      <c r="B28" s="11">
        <v>27</v>
      </c>
    </row>
    <row r="29" spans="1:2" s="6" customFormat="1">
      <c r="A29" s="10" t="s">
        <v>27</v>
      </c>
      <c r="B29" s="11">
        <v>79</v>
      </c>
    </row>
    <row r="30" spans="1:2" s="6" customFormat="1">
      <c r="A30" s="10" t="s">
        <v>28</v>
      </c>
      <c r="B30" s="11">
        <v>63</v>
      </c>
    </row>
    <row r="31" spans="1:2" s="6" customFormat="1">
      <c r="A31" s="10" t="s">
        <v>29</v>
      </c>
      <c r="B31" s="11">
        <v>74</v>
      </c>
    </row>
    <row r="32" spans="1:2" s="6" customFormat="1">
      <c r="A32" s="10" t="s">
        <v>30</v>
      </c>
      <c r="B32" s="11">
        <v>67</v>
      </c>
    </row>
    <row r="33" spans="1:2" s="6" customFormat="1">
      <c r="A33" s="10" t="s">
        <v>31</v>
      </c>
      <c r="B33" s="11">
        <v>30</v>
      </c>
    </row>
    <row r="34" spans="1:2" s="6" customFormat="1">
      <c r="A34" s="10" t="s">
        <v>32</v>
      </c>
      <c r="B34" s="11">
        <v>30</v>
      </c>
    </row>
    <row r="35" spans="1:2" s="6" customFormat="1">
      <c r="A35" s="10" t="s">
        <v>33</v>
      </c>
      <c r="B35" s="11">
        <v>50</v>
      </c>
    </row>
    <row r="36" spans="1:2" s="6" customFormat="1">
      <c r="A36" s="10" t="s">
        <v>34</v>
      </c>
      <c r="B36" s="11">
        <v>81</v>
      </c>
    </row>
    <row r="37" spans="1:2" s="6" customFormat="1">
      <c r="A37" s="13" t="s">
        <v>35</v>
      </c>
      <c r="B37" s="11">
        <v>70</v>
      </c>
    </row>
    <row r="38" spans="1:2" s="6" customFormat="1">
      <c r="A38" s="10" t="s">
        <v>36</v>
      </c>
      <c r="B38" s="11">
        <v>75</v>
      </c>
    </row>
    <row r="39" spans="1:2" s="6" customFormat="1">
      <c r="A39" s="10" t="s">
        <v>37</v>
      </c>
      <c r="B39" s="11">
        <v>62</v>
      </c>
    </row>
    <row r="40" spans="1:2" s="6" customFormat="1">
      <c r="A40" s="10" t="s">
        <v>38</v>
      </c>
      <c r="B40" s="11">
        <v>83</v>
      </c>
    </row>
    <row r="41" spans="1:2" s="6" customFormat="1">
      <c r="A41" s="10" t="s">
        <v>39</v>
      </c>
      <c r="B41" s="11">
        <v>61</v>
      </c>
    </row>
    <row r="42" spans="1:2" s="6" customFormat="1">
      <c r="A42" s="10" t="s">
        <v>40</v>
      </c>
      <c r="B42" s="11">
        <v>53</v>
      </c>
    </row>
    <row r="43" spans="1:2" s="6" customFormat="1">
      <c r="A43" s="12" t="s">
        <v>41</v>
      </c>
      <c r="B43" s="11">
        <v>69</v>
      </c>
    </row>
    <row r="44" spans="1:2" s="6" customFormat="1">
      <c r="A44" s="10" t="s">
        <v>42</v>
      </c>
      <c r="B44" s="11">
        <v>57</v>
      </c>
    </row>
    <row r="45" spans="1:2" s="6" customFormat="1">
      <c r="A45" s="10" t="s">
        <v>43</v>
      </c>
      <c r="B45" s="11">
        <v>70</v>
      </c>
    </row>
    <row r="46" spans="1:2" s="6" customFormat="1">
      <c r="A46" s="10" t="s">
        <v>44</v>
      </c>
      <c r="B46" s="11">
        <v>75</v>
      </c>
    </row>
    <row r="47" spans="1:2" s="6" customFormat="1">
      <c r="A47" s="10" t="s">
        <v>45</v>
      </c>
      <c r="B47" s="11">
        <v>53</v>
      </c>
    </row>
    <row r="48" spans="1:2" s="6" customFormat="1">
      <c r="A48" s="10" t="s">
        <v>46</v>
      </c>
      <c r="B48" s="11">
        <v>69</v>
      </c>
    </row>
    <row r="49" spans="1:2" s="6" customFormat="1">
      <c r="A49" s="13" t="s">
        <v>47</v>
      </c>
      <c r="B49" s="11">
        <v>69</v>
      </c>
    </row>
    <row r="50" spans="1:2" s="6" customFormat="1">
      <c r="A50" s="12" t="s">
        <v>48</v>
      </c>
      <c r="B50" s="11">
        <v>61</v>
      </c>
    </row>
    <row r="51" spans="1:2" s="6" customFormat="1">
      <c r="A51" s="10" t="s">
        <v>49</v>
      </c>
      <c r="B51" s="11">
        <v>98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K1" sqref="K1"/>
    </sheetView>
  </sheetViews>
  <sheetFormatPr defaultRowHeight="16.5"/>
  <cols>
    <col min="1" max="1" width="15.375" style="31" bestFit="1" customWidth="1"/>
    <col min="2" max="2" width="8.75" style="31" bestFit="1" customWidth="1"/>
    <col min="3" max="3" width="9.625" style="31" bestFit="1" customWidth="1"/>
    <col min="4" max="5" width="8.25" style="31" bestFit="1" customWidth="1"/>
    <col min="6" max="6" width="10.125" style="31" customWidth="1"/>
    <col min="7" max="8" width="6" style="31" bestFit="1" customWidth="1"/>
  </cols>
  <sheetData>
    <row r="1" spans="1:12" ht="33">
      <c r="A1" s="27" t="s">
        <v>88</v>
      </c>
      <c r="B1" s="27" t="s">
        <v>89</v>
      </c>
      <c r="C1" s="27" t="s">
        <v>90</v>
      </c>
      <c r="D1" s="27" t="s">
        <v>91</v>
      </c>
      <c r="E1" s="27" t="s">
        <v>92</v>
      </c>
      <c r="F1" s="27" t="s">
        <v>170</v>
      </c>
      <c r="G1" s="27" t="s">
        <v>169</v>
      </c>
      <c r="H1" s="27" t="s">
        <v>184</v>
      </c>
      <c r="I1" s="126" t="s">
        <v>168</v>
      </c>
      <c r="J1" s="126"/>
      <c r="K1" s="30">
        <f>AVERAGE(LARGE(G2:G41,1),LARGE(G2:G41,2),LARGE(G2:G41,3),LARGE(G2:G41,4),LARGE(G2:G41,5))</f>
        <v>269.60000000000002</v>
      </c>
    </row>
    <row r="2" spans="1:12">
      <c r="A2" s="28" t="s">
        <v>93</v>
      </c>
      <c r="B2" s="29" t="s">
        <v>94</v>
      </c>
      <c r="C2" s="30">
        <v>94</v>
      </c>
      <c r="D2" s="30">
        <v>67</v>
      </c>
      <c r="E2" s="30">
        <v>96</v>
      </c>
      <c r="F2" s="30">
        <f>AVERAGE(LARGE(C2:E2,1),LARGE(C2:E2,2))</f>
        <v>95</v>
      </c>
      <c r="G2" s="30">
        <f t="shared" ref="G2:G41" si="0">SUM(C2:E2)</f>
        <v>257</v>
      </c>
      <c r="H2" s="30">
        <f>RANK(F2,$F$2:$F$41)</f>
        <v>4</v>
      </c>
      <c r="K2" s="30">
        <f t="array" ref="K2">AVERAGE(LARGE(G2:G41,ROW(A1:A5)))</f>
        <v>269.60000000000002</v>
      </c>
      <c r="L2" t="s">
        <v>316</v>
      </c>
    </row>
    <row r="3" spans="1:12">
      <c r="A3" s="28" t="s">
        <v>95</v>
      </c>
      <c r="B3" s="29" t="s">
        <v>96</v>
      </c>
      <c r="C3" s="30">
        <v>97</v>
      </c>
      <c r="D3" s="30">
        <v>71</v>
      </c>
      <c r="E3" s="30">
        <v>52</v>
      </c>
      <c r="F3" s="30">
        <f t="shared" ref="F3:F41" si="1">AVERAGE(LARGE(C3:E3,1),LARGE(C3:E3,2))</f>
        <v>84</v>
      </c>
      <c r="G3" s="30">
        <f t="shared" si="0"/>
        <v>220</v>
      </c>
      <c r="H3" s="30">
        <f t="shared" ref="H3:H41" si="2">RANK(F3,$F$2:$F$41)</f>
        <v>17</v>
      </c>
    </row>
    <row r="4" spans="1:12">
      <c r="A4" s="28" t="s">
        <v>97</v>
      </c>
      <c r="B4" s="29" t="s">
        <v>98</v>
      </c>
      <c r="C4" s="30">
        <v>69</v>
      </c>
      <c r="D4" s="30">
        <v>64</v>
      </c>
      <c r="E4" s="30">
        <v>58</v>
      </c>
      <c r="F4" s="30">
        <f t="shared" si="1"/>
        <v>66.5</v>
      </c>
      <c r="G4" s="30">
        <f t="shared" si="0"/>
        <v>191</v>
      </c>
      <c r="H4" s="30">
        <f t="shared" si="2"/>
        <v>36</v>
      </c>
    </row>
    <row r="5" spans="1:12">
      <c r="A5" s="28" t="s">
        <v>99</v>
      </c>
      <c r="B5" s="29" t="s">
        <v>100</v>
      </c>
      <c r="C5" s="30">
        <v>56</v>
      </c>
      <c r="D5" s="30">
        <v>70</v>
      </c>
      <c r="E5" s="30">
        <v>66</v>
      </c>
      <c r="F5" s="30">
        <f t="shared" si="1"/>
        <v>68</v>
      </c>
      <c r="G5" s="30">
        <f t="shared" si="0"/>
        <v>192</v>
      </c>
      <c r="H5" s="30">
        <f t="shared" si="2"/>
        <v>35</v>
      </c>
    </row>
    <row r="6" spans="1:12">
      <c r="A6" s="28" t="s">
        <v>101</v>
      </c>
      <c r="B6" s="29" t="s">
        <v>102</v>
      </c>
      <c r="C6" s="30">
        <v>81</v>
      </c>
      <c r="D6" s="30">
        <v>89</v>
      </c>
      <c r="E6" s="30">
        <v>56</v>
      </c>
      <c r="F6" s="30">
        <f t="shared" si="1"/>
        <v>85</v>
      </c>
      <c r="G6" s="30">
        <f t="shared" si="0"/>
        <v>226</v>
      </c>
      <c r="H6" s="30">
        <f t="shared" si="2"/>
        <v>16</v>
      </c>
    </row>
    <row r="7" spans="1:12">
      <c r="A7" s="28" t="s">
        <v>103</v>
      </c>
      <c r="B7" s="29" t="s">
        <v>104</v>
      </c>
      <c r="C7" s="30">
        <v>58</v>
      </c>
      <c r="D7" s="30">
        <v>67</v>
      </c>
      <c r="E7" s="30">
        <v>63</v>
      </c>
      <c r="F7" s="30">
        <f t="shared" si="1"/>
        <v>65</v>
      </c>
      <c r="G7" s="30">
        <f t="shared" si="0"/>
        <v>188</v>
      </c>
      <c r="H7" s="30">
        <f t="shared" si="2"/>
        <v>38</v>
      </c>
    </row>
    <row r="8" spans="1:12">
      <c r="A8" s="28" t="s">
        <v>105</v>
      </c>
      <c r="B8" s="29" t="s">
        <v>106</v>
      </c>
      <c r="C8" s="30">
        <v>96</v>
      </c>
      <c r="D8" s="30">
        <v>100</v>
      </c>
      <c r="E8" s="30">
        <v>81</v>
      </c>
      <c r="F8" s="30">
        <f t="shared" si="1"/>
        <v>98</v>
      </c>
      <c r="G8" s="30">
        <f t="shared" si="0"/>
        <v>277</v>
      </c>
      <c r="H8" s="30">
        <f t="shared" si="2"/>
        <v>1</v>
      </c>
    </row>
    <row r="9" spans="1:12">
      <c r="A9" s="28" t="s">
        <v>107</v>
      </c>
      <c r="B9" s="29" t="s">
        <v>108</v>
      </c>
      <c r="C9" s="30">
        <v>50</v>
      </c>
      <c r="D9" s="30">
        <v>93</v>
      </c>
      <c r="E9" s="30">
        <v>72</v>
      </c>
      <c r="F9" s="30">
        <f t="shared" si="1"/>
        <v>82.5</v>
      </c>
      <c r="G9" s="30">
        <f t="shared" si="0"/>
        <v>215</v>
      </c>
      <c r="H9" s="30">
        <f t="shared" si="2"/>
        <v>20</v>
      </c>
    </row>
    <row r="10" spans="1:12">
      <c r="A10" s="28" t="s">
        <v>109</v>
      </c>
      <c r="B10" s="29" t="s">
        <v>110</v>
      </c>
      <c r="C10" s="30">
        <v>84</v>
      </c>
      <c r="D10" s="30">
        <v>89</v>
      </c>
      <c r="E10" s="30">
        <v>91</v>
      </c>
      <c r="F10" s="30">
        <f t="shared" si="1"/>
        <v>90</v>
      </c>
      <c r="G10" s="30">
        <f t="shared" si="0"/>
        <v>264</v>
      </c>
      <c r="H10" s="30">
        <f t="shared" si="2"/>
        <v>9</v>
      </c>
    </row>
    <row r="11" spans="1:12">
      <c r="A11" s="28" t="s">
        <v>111</v>
      </c>
      <c r="B11" s="29" t="s">
        <v>112</v>
      </c>
      <c r="C11" s="30">
        <v>77</v>
      </c>
      <c r="D11" s="30">
        <v>84</v>
      </c>
      <c r="E11" s="30">
        <v>89</v>
      </c>
      <c r="F11" s="30">
        <f t="shared" si="1"/>
        <v>86.5</v>
      </c>
      <c r="G11" s="30">
        <f t="shared" si="0"/>
        <v>250</v>
      </c>
      <c r="H11" s="30">
        <f t="shared" si="2"/>
        <v>14</v>
      </c>
    </row>
    <row r="12" spans="1:12">
      <c r="A12" s="28" t="s">
        <v>113</v>
      </c>
      <c r="B12" s="29" t="s">
        <v>114</v>
      </c>
      <c r="C12" s="30">
        <v>65</v>
      </c>
      <c r="D12" s="30">
        <v>52</v>
      </c>
      <c r="E12" s="30">
        <v>68</v>
      </c>
      <c r="F12" s="30">
        <f t="shared" si="1"/>
        <v>66.5</v>
      </c>
      <c r="G12" s="30">
        <f t="shared" si="0"/>
        <v>185</v>
      </c>
      <c r="H12" s="30">
        <f t="shared" si="2"/>
        <v>36</v>
      </c>
    </row>
    <row r="13" spans="1:12">
      <c r="A13" s="28" t="s">
        <v>115</v>
      </c>
      <c r="B13" s="29" t="s">
        <v>116</v>
      </c>
      <c r="C13" s="30">
        <v>72</v>
      </c>
      <c r="D13" s="30">
        <v>68</v>
      </c>
      <c r="E13" s="30">
        <v>84</v>
      </c>
      <c r="F13" s="30">
        <f t="shared" si="1"/>
        <v>78</v>
      </c>
      <c r="G13" s="30">
        <f t="shared" si="0"/>
        <v>224</v>
      </c>
      <c r="H13" s="30">
        <f t="shared" si="2"/>
        <v>27</v>
      </c>
    </row>
    <row r="14" spans="1:12">
      <c r="A14" s="28" t="s">
        <v>117</v>
      </c>
      <c r="B14" s="29" t="s">
        <v>118</v>
      </c>
      <c r="C14" s="30">
        <v>85</v>
      </c>
      <c r="D14" s="30">
        <v>58</v>
      </c>
      <c r="E14" s="30">
        <v>59</v>
      </c>
      <c r="F14" s="30">
        <f t="shared" si="1"/>
        <v>72</v>
      </c>
      <c r="G14" s="30">
        <f t="shared" si="0"/>
        <v>202</v>
      </c>
      <c r="H14" s="30">
        <f t="shared" si="2"/>
        <v>31</v>
      </c>
    </row>
    <row r="15" spans="1:12">
      <c r="A15" s="28" t="s">
        <v>119</v>
      </c>
      <c r="B15" s="29" t="s">
        <v>120</v>
      </c>
      <c r="C15" s="30">
        <v>87</v>
      </c>
      <c r="D15" s="30">
        <v>52</v>
      </c>
      <c r="E15" s="30">
        <v>65</v>
      </c>
      <c r="F15" s="30">
        <f t="shared" si="1"/>
        <v>76</v>
      </c>
      <c r="G15" s="30">
        <f t="shared" si="0"/>
        <v>204</v>
      </c>
      <c r="H15" s="30">
        <f t="shared" si="2"/>
        <v>28</v>
      </c>
    </row>
    <row r="16" spans="1:12">
      <c r="A16" s="28" t="s">
        <v>121</v>
      </c>
      <c r="B16" s="29" t="s">
        <v>122</v>
      </c>
      <c r="C16" s="30">
        <v>91</v>
      </c>
      <c r="D16" s="30">
        <v>66</v>
      </c>
      <c r="E16" s="30">
        <v>66</v>
      </c>
      <c r="F16" s="30">
        <f t="shared" si="1"/>
        <v>78.5</v>
      </c>
      <c r="G16" s="30">
        <f t="shared" si="0"/>
        <v>223</v>
      </c>
      <c r="H16" s="30">
        <f t="shared" si="2"/>
        <v>26</v>
      </c>
    </row>
    <row r="17" spans="1:8">
      <c r="A17" s="28" t="s">
        <v>123</v>
      </c>
      <c r="B17" s="29" t="s">
        <v>124</v>
      </c>
      <c r="C17" s="30">
        <v>71</v>
      </c>
      <c r="D17" s="30">
        <v>67</v>
      </c>
      <c r="E17" s="30">
        <v>69</v>
      </c>
      <c r="F17" s="30">
        <f t="shared" si="1"/>
        <v>70</v>
      </c>
      <c r="G17" s="30">
        <f t="shared" si="0"/>
        <v>207</v>
      </c>
      <c r="H17" s="30">
        <f t="shared" si="2"/>
        <v>33</v>
      </c>
    </row>
    <row r="18" spans="1:8">
      <c r="A18" s="28" t="s">
        <v>125</v>
      </c>
      <c r="B18" s="29" t="s">
        <v>126</v>
      </c>
      <c r="C18" s="30">
        <v>85</v>
      </c>
      <c r="D18" s="30">
        <v>88</v>
      </c>
      <c r="E18" s="30">
        <v>100</v>
      </c>
      <c r="F18" s="30">
        <f t="shared" si="1"/>
        <v>94</v>
      </c>
      <c r="G18" s="30">
        <f t="shared" si="0"/>
        <v>273</v>
      </c>
      <c r="H18" s="30">
        <f t="shared" si="2"/>
        <v>5</v>
      </c>
    </row>
    <row r="19" spans="1:8">
      <c r="A19" s="28" t="s">
        <v>127</v>
      </c>
      <c r="B19" s="29" t="s">
        <v>128</v>
      </c>
      <c r="C19" s="30">
        <v>94</v>
      </c>
      <c r="D19" s="30">
        <v>74</v>
      </c>
      <c r="E19" s="30">
        <v>81</v>
      </c>
      <c r="F19" s="30">
        <f t="shared" si="1"/>
        <v>87.5</v>
      </c>
      <c r="G19" s="30">
        <f t="shared" si="0"/>
        <v>249</v>
      </c>
      <c r="H19" s="30">
        <f t="shared" si="2"/>
        <v>12</v>
      </c>
    </row>
    <row r="20" spans="1:8">
      <c r="A20" s="28" t="s">
        <v>129</v>
      </c>
      <c r="B20" s="29" t="s">
        <v>130</v>
      </c>
      <c r="C20" s="30">
        <v>92</v>
      </c>
      <c r="D20" s="30">
        <v>51</v>
      </c>
      <c r="E20" s="30">
        <v>85</v>
      </c>
      <c r="F20" s="30">
        <f t="shared" si="1"/>
        <v>88.5</v>
      </c>
      <c r="G20" s="30">
        <f t="shared" si="0"/>
        <v>228</v>
      </c>
      <c r="H20" s="30">
        <f t="shared" si="2"/>
        <v>11</v>
      </c>
    </row>
    <row r="21" spans="1:8">
      <c r="A21" s="28" t="s">
        <v>131</v>
      </c>
      <c r="B21" s="29" t="s">
        <v>132</v>
      </c>
      <c r="C21" s="30">
        <v>89</v>
      </c>
      <c r="D21" s="30">
        <v>59</v>
      </c>
      <c r="E21" s="30">
        <v>94</v>
      </c>
      <c r="F21" s="30">
        <f t="shared" si="1"/>
        <v>91.5</v>
      </c>
      <c r="G21" s="30">
        <f t="shared" si="0"/>
        <v>242</v>
      </c>
      <c r="H21" s="30">
        <f t="shared" si="2"/>
        <v>7</v>
      </c>
    </row>
    <row r="22" spans="1:8">
      <c r="A22" s="28" t="s">
        <v>133</v>
      </c>
      <c r="B22" s="29" t="s">
        <v>114</v>
      </c>
      <c r="C22" s="30">
        <v>78</v>
      </c>
      <c r="D22" s="30">
        <v>80</v>
      </c>
      <c r="E22" s="30">
        <v>59</v>
      </c>
      <c r="F22" s="30">
        <f t="shared" si="1"/>
        <v>79</v>
      </c>
      <c r="G22" s="30">
        <f t="shared" si="0"/>
        <v>217</v>
      </c>
      <c r="H22" s="30">
        <f t="shared" si="2"/>
        <v>24</v>
      </c>
    </row>
    <row r="23" spans="1:8">
      <c r="A23" s="28" t="s">
        <v>134</v>
      </c>
      <c r="B23" s="29" t="s">
        <v>135</v>
      </c>
      <c r="C23" s="30">
        <v>61</v>
      </c>
      <c r="D23" s="30">
        <v>55</v>
      </c>
      <c r="E23" s="30">
        <v>59</v>
      </c>
      <c r="F23" s="30">
        <f t="shared" si="1"/>
        <v>60</v>
      </c>
      <c r="G23" s="30">
        <f t="shared" si="0"/>
        <v>175</v>
      </c>
      <c r="H23" s="30">
        <f t="shared" si="2"/>
        <v>39</v>
      </c>
    </row>
    <row r="24" spans="1:8">
      <c r="A24" s="28" t="s">
        <v>136</v>
      </c>
      <c r="B24" s="29" t="s">
        <v>137</v>
      </c>
      <c r="C24" s="30">
        <v>58</v>
      </c>
      <c r="D24" s="30">
        <v>59</v>
      </c>
      <c r="E24" s="30">
        <v>55</v>
      </c>
      <c r="F24" s="30">
        <f t="shared" si="1"/>
        <v>58.5</v>
      </c>
      <c r="G24" s="30">
        <f t="shared" si="0"/>
        <v>172</v>
      </c>
      <c r="H24" s="30">
        <f t="shared" si="2"/>
        <v>40</v>
      </c>
    </row>
    <row r="25" spans="1:8">
      <c r="A25" s="28" t="s">
        <v>138</v>
      </c>
      <c r="B25" s="29" t="s">
        <v>139</v>
      </c>
      <c r="C25" s="30">
        <v>87</v>
      </c>
      <c r="D25" s="30">
        <v>99</v>
      </c>
      <c r="E25" s="30">
        <v>49</v>
      </c>
      <c r="F25" s="30">
        <f t="shared" si="1"/>
        <v>93</v>
      </c>
      <c r="G25" s="30">
        <f t="shared" si="0"/>
        <v>235</v>
      </c>
      <c r="H25" s="30">
        <f t="shared" si="2"/>
        <v>6</v>
      </c>
    </row>
    <row r="26" spans="1:8">
      <c r="A26" s="28" t="s">
        <v>140</v>
      </c>
      <c r="B26" s="29" t="s">
        <v>141</v>
      </c>
      <c r="C26" s="30">
        <v>97</v>
      </c>
      <c r="D26" s="30">
        <v>94</v>
      </c>
      <c r="E26" s="30">
        <v>80</v>
      </c>
      <c r="F26" s="30">
        <f t="shared" si="1"/>
        <v>95.5</v>
      </c>
      <c r="G26" s="30">
        <f t="shared" si="0"/>
        <v>271</v>
      </c>
      <c r="H26" s="30">
        <f t="shared" si="2"/>
        <v>3</v>
      </c>
    </row>
    <row r="27" spans="1:8">
      <c r="A27" s="28" t="s">
        <v>142</v>
      </c>
      <c r="B27" s="29" t="s">
        <v>143</v>
      </c>
      <c r="C27" s="30">
        <v>73</v>
      </c>
      <c r="D27" s="30">
        <v>74</v>
      </c>
      <c r="E27" s="30">
        <v>98</v>
      </c>
      <c r="F27" s="30">
        <f t="shared" si="1"/>
        <v>86</v>
      </c>
      <c r="G27" s="30">
        <f t="shared" si="0"/>
        <v>245</v>
      </c>
      <c r="H27" s="30">
        <f t="shared" si="2"/>
        <v>15</v>
      </c>
    </row>
    <row r="28" spans="1:8">
      <c r="A28" s="28" t="s">
        <v>144</v>
      </c>
      <c r="B28" s="29" t="s">
        <v>145</v>
      </c>
      <c r="C28" s="30">
        <v>94</v>
      </c>
      <c r="D28" s="30">
        <v>49</v>
      </c>
      <c r="E28" s="30">
        <v>89</v>
      </c>
      <c r="F28" s="30">
        <f t="shared" si="1"/>
        <v>91.5</v>
      </c>
      <c r="G28" s="30">
        <f t="shared" si="0"/>
        <v>232</v>
      </c>
      <c r="H28" s="30">
        <f t="shared" si="2"/>
        <v>7</v>
      </c>
    </row>
    <row r="29" spans="1:8">
      <c r="A29" s="28" t="s">
        <v>146</v>
      </c>
      <c r="B29" s="29" t="s">
        <v>147</v>
      </c>
      <c r="C29" s="30">
        <v>83</v>
      </c>
      <c r="D29" s="30">
        <v>70</v>
      </c>
      <c r="E29" s="30">
        <v>83</v>
      </c>
      <c r="F29" s="30">
        <f t="shared" si="1"/>
        <v>83</v>
      </c>
      <c r="G29" s="30">
        <f t="shared" si="0"/>
        <v>236</v>
      </c>
      <c r="H29" s="30">
        <f t="shared" si="2"/>
        <v>18</v>
      </c>
    </row>
    <row r="30" spans="1:8">
      <c r="A30" s="28" t="s">
        <v>148</v>
      </c>
      <c r="B30" s="29" t="s">
        <v>149</v>
      </c>
      <c r="C30" s="30">
        <v>52</v>
      </c>
      <c r="D30" s="30">
        <v>86</v>
      </c>
      <c r="E30" s="30">
        <v>72</v>
      </c>
      <c r="F30" s="30">
        <f t="shared" si="1"/>
        <v>79</v>
      </c>
      <c r="G30" s="30">
        <f t="shared" si="0"/>
        <v>210</v>
      </c>
      <c r="H30" s="30">
        <f t="shared" si="2"/>
        <v>24</v>
      </c>
    </row>
    <row r="31" spans="1:8">
      <c r="A31" s="28" t="s">
        <v>150</v>
      </c>
      <c r="B31" s="29" t="s">
        <v>35</v>
      </c>
      <c r="C31" s="30">
        <v>50</v>
      </c>
      <c r="D31" s="30">
        <v>89</v>
      </c>
      <c r="E31" s="30">
        <v>70</v>
      </c>
      <c r="F31" s="30">
        <f t="shared" si="1"/>
        <v>79.5</v>
      </c>
      <c r="G31" s="30">
        <f t="shared" si="0"/>
        <v>209</v>
      </c>
      <c r="H31" s="30">
        <f t="shared" si="2"/>
        <v>22</v>
      </c>
    </row>
    <row r="32" spans="1:8">
      <c r="A32" s="28" t="s">
        <v>151</v>
      </c>
      <c r="B32" s="29" t="s">
        <v>152</v>
      </c>
      <c r="C32" s="30">
        <v>69</v>
      </c>
      <c r="D32" s="30">
        <v>100</v>
      </c>
      <c r="E32" s="30">
        <v>94</v>
      </c>
      <c r="F32" s="30">
        <f t="shared" si="1"/>
        <v>97</v>
      </c>
      <c r="G32" s="30">
        <f t="shared" si="0"/>
        <v>263</v>
      </c>
      <c r="H32" s="30">
        <f t="shared" si="2"/>
        <v>2</v>
      </c>
    </row>
    <row r="33" spans="1:8">
      <c r="A33" s="28" t="s">
        <v>153</v>
      </c>
      <c r="B33" s="29" t="s">
        <v>154</v>
      </c>
      <c r="C33" s="30">
        <v>81</v>
      </c>
      <c r="D33" s="30">
        <v>85</v>
      </c>
      <c r="E33" s="30">
        <v>71</v>
      </c>
      <c r="F33" s="30">
        <f t="shared" si="1"/>
        <v>83</v>
      </c>
      <c r="G33" s="30">
        <f t="shared" si="0"/>
        <v>237</v>
      </c>
      <c r="H33" s="30">
        <f t="shared" si="2"/>
        <v>18</v>
      </c>
    </row>
    <row r="34" spans="1:8">
      <c r="A34" s="28" t="s">
        <v>155</v>
      </c>
      <c r="B34" s="29" t="s">
        <v>156</v>
      </c>
      <c r="C34" s="30">
        <v>49</v>
      </c>
      <c r="D34" s="30">
        <v>53</v>
      </c>
      <c r="E34" s="30">
        <v>92</v>
      </c>
      <c r="F34" s="30">
        <f t="shared" si="1"/>
        <v>72.5</v>
      </c>
      <c r="G34" s="30">
        <f t="shared" si="0"/>
        <v>194</v>
      </c>
      <c r="H34" s="30">
        <f t="shared" si="2"/>
        <v>30</v>
      </c>
    </row>
    <row r="35" spans="1:8">
      <c r="A35" s="28" t="s">
        <v>157</v>
      </c>
      <c r="B35" s="29" t="s">
        <v>4</v>
      </c>
      <c r="C35" s="30">
        <v>68</v>
      </c>
      <c r="D35" s="30">
        <v>58</v>
      </c>
      <c r="E35" s="30">
        <v>94</v>
      </c>
      <c r="F35" s="30">
        <f t="shared" si="1"/>
        <v>81</v>
      </c>
      <c r="G35" s="30">
        <f t="shared" si="0"/>
        <v>220</v>
      </c>
      <c r="H35" s="30">
        <f t="shared" si="2"/>
        <v>21</v>
      </c>
    </row>
    <row r="36" spans="1:8">
      <c r="A36" s="28" t="s">
        <v>158</v>
      </c>
      <c r="B36" s="29" t="s">
        <v>159</v>
      </c>
      <c r="C36" s="30">
        <v>97</v>
      </c>
      <c r="D36" s="30">
        <v>77</v>
      </c>
      <c r="E36" s="30">
        <v>74</v>
      </c>
      <c r="F36" s="30">
        <f t="shared" si="1"/>
        <v>87</v>
      </c>
      <c r="G36" s="30">
        <f t="shared" si="0"/>
        <v>248</v>
      </c>
      <c r="H36" s="30">
        <f t="shared" si="2"/>
        <v>13</v>
      </c>
    </row>
    <row r="37" spans="1:8">
      <c r="A37" s="28" t="s">
        <v>160</v>
      </c>
      <c r="B37" s="29" t="s">
        <v>161</v>
      </c>
      <c r="C37" s="30">
        <v>63</v>
      </c>
      <c r="D37" s="30">
        <v>61</v>
      </c>
      <c r="E37" s="30">
        <v>80</v>
      </c>
      <c r="F37" s="30">
        <f t="shared" si="1"/>
        <v>71.5</v>
      </c>
      <c r="G37" s="30">
        <f t="shared" si="0"/>
        <v>204</v>
      </c>
      <c r="H37" s="30">
        <f t="shared" si="2"/>
        <v>32</v>
      </c>
    </row>
    <row r="38" spans="1:8">
      <c r="A38" s="28" t="s">
        <v>162</v>
      </c>
      <c r="B38" s="29" t="s">
        <v>32</v>
      </c>
      <c r="C38" s="30">
        <v>97</v>
      </c>
      <c r="D38" s="30">
        <v>68</v>
      </c>
      <c r="E38" s="30">
        <v>83</v>
      </c>
      <c r="F38" s="30">
        <f t="shared" si="1"/>
        <v>90</v>
      </c>
      <c r="G38" s="30">
        <f t="shared" si="0"/>
        <v>248</v>
      </c>
      <c r="H38" s="30">
        <f t="shared" si="2"/>
        <v>9</v>
      </c>
    </row>
    <row r="39" spans="1:8">
      <c r="A39" s="28" t="s">
        <v>163</v>
      </c>
      <c r="B39" s="29" t="s">
        <v>19</v>
      </c>
      <c r="C39" s="30">
        <v>49</v>
      </c>
      <c r="D39" s="30">
        <v>69</v>
      </c>
      <c r="E39" s="30">
        <v>68</v>
      </c>
      <c r="F39" s="30">
        <f t="shared" si="1"/>
        <v>68.5</v>
      </c>
      <c r="G39" s="30">
        <f t="shared" si="0"/>
        <v>186</v>
      </c>
      <c r="H39" s="30">
        <f t="shared" si="2"/>
        <v>34</v>
      </c>
    </row>
    <row r="40" spans="1:8">
      <c r="A40" s="28" t="s">
        <v>164</v>
      </c>
      <c r="B40" s="29" t="s">
        <v>165</v>
      </c>
      <c r="C40" s="30">
        <v>51</v>
      </c>
      <c r="D40" s="30">
        <v>86</v>
      </c>
      <c r="E40" s="30">
        <v>66</v>
      </c>
      <c r="F40" s="30">
        <f t="shared" si="1"/>
        <v>76</v>
      </c>
      <c r="G40" s="30">
        <f t="shared" si="0"/>
        <v>203</v>
      </c>
      <c r="H40" s="30">
        <f t="shared" si="2"/>
        <v>28</v>
      </c>
    </row>
    <row r="41" spans="1:8">
      <c r="A41" s="28" t="s">
        <v>166</v>
      </c>
      <c r="B41" s="29" t="s">
        <v>167</v>
      </c>
      <c r="C41" s="30">
        <v>93</v>
      </c>
      <c r="D41" s="30">
        <v>56</v>
      </c>
      <c r="E41" s="30">
        <v>66</v>
      </c>
      <c r="F41" s="30">
        <f t="shared" si="1"/>
        <v>79.5</v>
      </c>
      <c r="G41" s="30">
        <f t="shared" si="0"/>
        <v>215</v>
      </c>
      <c r="H41" s="30">
        <f t="shared" si="2"/>
        <v>22</v>
      </c>
    </row>
  </sheetData>
  <mergeCells count="1">
    <mergeCell ref="I1:J1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5" sqref="D15"/>
    </sheetView>
  </sheetViews>
  <sheetFormatPr defaultRowHeight="16.5"/>
  <cols>
    <col min="1" max="1" width="4.5" bestFit="1" customWidth="1"/>
    <col min="2" max="5" width="11.125" bestFit="1" customWidth="1"/>
    <col min="6" max="6" width="11.625" bestFit="1" customWidth="1"/>
  </cols>
  <sheetData>
    <row r="1" spans="1:6">
      <c r="A1" t="s">
        <v>198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>
      <c r="A2" s="5">
        <v>0</v>
      </c>
      <c r="B2">
        <f>BETADIST(A2,1,1)</f>
        <v>0</v>
      </c>
      <c r="C2">
        <f>BETADIST(A2,2,2)</f>
        <v>0</v>
      </c>
      <c r="D2">
        <f>BETADIST(A2,1,2)</f>
        <v>0</v>
      </c>
      <c r="E2">
        <f>BETADIST(A2,3,1)</f>
        <v>0</v>
      </c>
      <c r="F2">
        <f>BETADIST(A2,5,5)</f>
        <v>0</v>
      </c>
    </row>
    <row r="3" spans="1:6">
      <c r="A3">
        <v>0.1</v>
      </c>
      <c r="B3">
        <f t="shared" ref="B3:B12" si="0">BETADIST(A3,1,1)</f>
        <v>0.10000000000000002</v>
      </c>
      <c r="C3">
        <f t="shared" ref="C3:C12" si="1">BETADIST(A3,2,2)</f>
        <v>2.8000000000000011E-2</v>
      </c>
      <c r="D3">
        <f t="shared" ref="D3:D12" si="2">BETADIST(A3,1,2)</f>
        <v>0.18999999999999995</v>
      </c>
      <c r="E3">
        <f t="shared" ref="E3:E12" si="3">BETADIST(A3,3,1)</f>
        <v>1.0000000000000002E-3</v>
      </c>
      <c r="F3">
        <f t="shared" ref="F3:F12" si="4">BETADIST(A3,5,5)</f>
        <v>8.9092000000000316E-4</v>
      </c>
    </row>
    <row r="4" spans="1:6">
      <c r="A4" s="5">
        <v>0.2</v>
      </c>
      <c r="B4">
        <f t="shared" si="0"/>
        <v>0.2</v>
      </c>
      <c r="C4">
        <f t="shared" si="1"/>
        <v>0.10400000000000002</v>
      </c>
      <c r="D4">
        <f t="shared" si="2"/>
        <v>0.36</v>
      </c>
      <c r="E4">
        <f t="shared" si="3"/>
        <v>8.0000000000000036E-3</v>
      </c>
      <c r="F4">
        <f t="shared" si="4"/>
        <v>1.9581439999999999E-2</v>
      </c>
    </row>
    <row r="5" spans="1:6">
      <c r="A5">
        <v>0.3</v>
      </c>
      <c r="B5">
        <f t="shared" si="0"/>
        <v>0.3</v>
      </c>
      <c r="C5">
        <f t="shared" si="1"/>
        <v>0.21599999999999994</v>
      </c>
      <c r="D5">
        <f t="shared" si="2"/>
        <v>0.51</v>
      </c>
      <c r="E5">
        <f t="shared" si="3"/>
        <v>2.6999999999999982E-2</v>
      </c>
      <c r="F5">
        <f t="shared" si="4"/>
        <v>9.8808660000000006E-2</v>
      </c>
    </row>
    <row r="6" spans="1:6">
      <c r="A6" s="5">
        <v>0.4</v>
      </c>
      <c r="B6">
        <f t="shared" si="0"/>
        <v>0.4</v>
      </c>
      <c r="C6">
        <f t="shared" si="1"/>
        <v>0.35199999999999998</v>
      </c>
      <c r="D6">
        <f t="shared" si="2"/>
        <v>0.64</v>
      </c>
      <c r="E6">
        <f t="shared" si="3"/>
        <v>6.4000000000000015E-2</v>
      </c>
      <c r="F6">
        <f t="shared" si="4"/>
        <v>0.26656768000000008</v>
      </c>
    </row>
    <row r="7" spans="1:6">
      <c r="A7">
        <v>0.5</v>
      </c>
      <c r="B7">
        <f t="shared" si="0"/>
        <v>0.5</v>
      </c>
      <c r="C7">
        <f t="shared" si="1"/>
        <v>0.5</v>
      </c>
      <c r="D7">
        <f t="shared" si="2"/>
        <v>0.75</v>
      </c>
      <c r="E7">
        <f t="shared" si="3"/>
        <v>0.12500000000000003</v>
      </c>
      <c r="F7">
        <f t="shared" si="4"/>
        <v>0.5</v>
      </c>
    </row>
    <row r="8" spans="1:6">
      <c r="A8" s="5">
        <v>0.6</v>
      </c>
      <c r="B8">
        <f t="shared" si="0"/>
        <v>0.6</v>
      </c>
      <c r="C8">
        <f t="shared" si="1"/>
        <v>0.64800000000000002</v>
      </c>
      <c r="D8">
        <f t="shared" si="2"/>
        <v>0.84</v>
      </c>
      <c r="E8">
        <f t="shared" si="3"/>
        <v>0.21599999999999997</v>
      </c>
      <c r="F8">
        <f t="shared" si="4"/>
        <v>0.73343231999999992</v>
      </c>
    </row>
    <row r="9" spans="1:6">
      <c r="A9">
        <v>0.7</v>
      </c>
      <c r="B9">
        <f t="shared" si="0"/>
        <v>0.7</v>
      </c>
      <c r="C9">
        <f t="shared" si="1"/>
        <v>0.78400000000000003</v>
      </c>
      <c r="D9">
        <f t="shared" si="2"/>
        <v>0.90999999999999992</v>
      </c>
      <c r="E9">
        <f t="shared" si="3"/>
        <v>0.34299999999999992</v>
      </c>
      <c r="F9">
        <f t="shared" si="4"/>
        <v>0.90119134000000001</v>
      </c>
    </row>
    <row r="10" spans="1:6">
      <c r="A10" s="5">
        <v>0.8</v>
      </c>
      <c r="B10">
        <f t="shared" si="0"/>
        <v>0.8</v>
      </c>
      <c r="C10">
        <f t="shared" si="1"/>
        <v>0.89600000000000002</v>
      </c>
      <c r="D10">
        <f t="shared" si="2"/>
        <v>0.96</v>
      </c>
      <c r="E10">
        <f t="shared" si="3"/>
        <v>0.51200000000000012</v>
      </c>
      <c r="F10">
        <f t="shared" si="4"/>
        <v>0.98041855999999994</v>
      </c>
    </row>
    <row r="11" spans="1:6">
      <c r="A11">
        <v>0.9</v>
      </c>
      <c r="B11">
        <f t="shared" si="0"/>
        <v>0.9</v>
      </c>
      <c r="C11">
        <f t="shared" si="1"/>
        <v>0.97199999999999998</v>
      </c>
      <c r="D11">
        <f t="shared" si="2"/>
        <v>0.99</v>
      </c>
      <c r="E11">
        <f t="shared" si="3"/>
        <v>0.72900000000000009</v>
      </c>
      <c r="F11">
        <f t="shared" si="4"/>
        <v>0.99910907999999998</v>
      </c>
    </row>
    <row r="12" spans="1:6">
      <c r="A12" s="5">
        <v>1</v>
      </c>
      <c r="B12">
        <f t="shared" si="0"/>
        <v>1</v>
      </c>
      <c r="C12">
        <f t="shared" si="1"/>
        <v>1</v>
      </c>
      <c r="D12">
        <f t="shared" si="2"/>
        <v>1</v>
      </c>
      <c r="E12">
        <f t="shared" si="3"/>
        <v>1</v>
      </c>
      <c r="F12">
        <f t="shared" si="4"/>
        <v>1</v>
      </c>
    </row>
    <row r="15" spans="1:6">
      <c r="B15" t="str">
        <f t="shared" ref="B15:B26" si="5">F1</f>
        <v>α=5 β=5</v>
      </c>
      <c r="C15" t="s">
        <v>198</v>
      </c>
    </row>
    <row r="16" spans="1:6">
      <c r="B16">
        <f t="shared" si="5"/>
        <v>0</v>
      </c>
      <c r="C16" t="e">
        <f>BETAINV(B16,5,5)</f>
        <v>#NUM!</v>
      </c>
    </row>
    <row r="17" spans="2:3">
      <c r="B17">
        <f t="shared" si="5"/>
        <v>8.9092000000000316E-4</v>
      </c>
      <c r="C17">
        <f t="shared" ref="C17:C26" si="6">BETAINV(B17,5,5)</f>
        <v>0.10000000000000002</v>
      </c>
    </row>
    <row r="18" spans="2:3">
      <c r="B18">
        <f t="shared" si="5"/>
        <v>1.9581439999999999E-2</v>
      </c>
      <c r="C18">
        <f t="shared" si="6"/>
        <v>0.2</v>
      </c>
    </row>
    <row r="19" spans="2:3">
      <c r="B19">
        <f t="shared" si="5"/>
        <v>9.8808660000000006E-2</v>
      </c>
      <c r="C19">
        <f t="shared" si="6"/>
        <v>0.3</v>
      </c>
    </row>
    <row r="20" spans="2:3">
      <c r="B20">
        <f t="shared" si="5"/>
        <v>0.26656768000000008</v>
      </c>
      <c r="C20">
        <f t="shared" si="6"/>
        <v>0.4</v>
      </c>
    </row>
    <row r="21" spans="2:3">
      <c r="B21">
        <f t="shared" si="5"/>
        <v>0.5</v>
      </c>
      <c r="C21">
        <f t="shared" si="6"/>
        <v>0.5</v>
      </c>
    </row>
    <row r="22" spans="2:3">
      <c r="B22">
        <f t="shared" si="5"/>
        <v>0.73343231999999992</v>
      </c>
      <c r="C22">
        <f t="shared" si="6"/>
        <v>0.6</v>
      </c>
    </row>
    <row r="23" spans="2:3">
      <c r="B23">
        <f t="shared" si="5"/>
        <v>0.90119134000000001</v>
      </c>
      <c r="C23">
        <f t="shared" si="6"/>
        <v>0.7</v>
      </c>
    </row>
    <row r="24" spans="2:3">
      <c r="B24">
        <f t="shared" si="5"/>
        <v>0.98041855999999994</v>
      </c>
      <c r="C24">
        <f t="shared" si="6"/>
        <v>0.79999999999999982</v>
      </c>
    </row>
    <row r="25" spans="2:3">
      <c r="B25">
        <f t="shared" si="5"/>
        <v>0.99910907999999998</v>
      </c>
      <c r="C25">
        <f t="shared" si="6"/>
        <v>0.89999999999999969</v>
      </c>
    </row>
    <row r="26" spans="2:3">
      <c r="B26">
        <f t="shared" si="5"/>
        <v>1</v>
      </c>
      <c r="C26" t="e">
        <f t="shared" si="6"/>
        <v>#NUM!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5" sqref="F15"/>
    </sheetView>
  </sheetViews>
  <sheetFormatPr defaultColWidth="8.875" defaultRowHeight="16.5"/>
  <cols>
    <col min="1" max="1" width="16.375" style="31" customWidth="1"/>
    <col min="2" max="2" width="8.25" style="31" customWidth="1"/>
    <col min="3" max="3" width="12.375" style="31" bestFit="1" customWidth="1"/>
    <col min="4" max="4" width="8.25" style="31" customWidth="1"/>
    <col min="5" max="16384" width="8.875" style="31"/>
  </cols>
  <sheetData>
    <row r="1" spans="1:4" s="33" customFormat="1" ht="17.25" thickBot="1">
      <c r="A1" s="41" t="s">
        <v>205</v>
      </c>
      <c r="B1" s="34" t="s">
        <v>199</v>
      </c>
      <c r="C1" s="34" t="s">
        <v>200</v>
      </c>
      <c r="D1" s="34" t="s">
        <v>201</v>
      </c>
    </row>
    <row r="2" spans="1:4" ht="17.25" thickBot="1">
      <c r="A2" s="36" t="s">
        <v>202</v>
      </c>
      <c r="B2" s="37">
        <v>84</v>
      </c>
      <c r="C2" s="37">
        <v>16</v>
      </c>
      <c r="D2" s="37">
        <v>100</v>
      </c>
    </row>
    <row r="3" spans="1:4" ht="17.25" thickBot="1">
      <c r="A3" s="38" t="s">
        <v>203</v>
      </c>
      <c r="B3" s="39">
        <v>132</v>
      </c>
      <c r="C3" s="39">
        <v>18</v>
      </c>
      <c r="D3" s="39">
        <v>150</v>
      </c>
    </row>
    <row r="4" spans="1:4" ht="17.25" thickBot="1">
      <c r="A4" s="35" t="s">
        <v>201</v>
      </c>
      <c r="B4" s="40">
        <v>216</v>
      </c>
      <c r="C4" s="40">
        <v>34</v>
      </c>
      <c r="D4" s="40">
        <v>250</v>
      </c>
    </row>
    <row r="5" spans="1:4" ht="17.25" thickBot="1"/>
    <row r="6" spans="1:4" ht="17.25" thickBot="1">
      <c r="A6" s="41" t="s">
        <v>204</v>
      </c>
      <c r="B6" s="34" t="s">
        <v>199</v>
      </c>
      <c r="C6" s="34" t="s">
        <v>200</v>
      </c>
      <c r="D6" s="34" t="s">
        <v>201</v>
      </c>
    </row>
    <row r="7" spans="1:4" ht="17.25" thickBot="1">
      <c r="A7" s="36" t="s">
        <v>202</v>
      </c>
      <c r="B7" s="37">
        <f>B4*D2/D4</f>
        <v>86.4</v>
      </c>
      <c r="C7" s="37">
        <f>C4*D2/D4</f>
        <v>13.6</v>
      </c>
      <c r="D7" s="37">
        <f>SUM(B7:C7)</f>
        <v>100</v>
      </c>
    </row>
    <row r="8" spans="1:4" ht="17.25" thickBot="1">
      <c r="A8" s="38" t="s">
        <v>203</v>
      </c>
      <c r="B8" s="39">
        <f>B4*D3/D4</f>
        <v>129.6</v>
      </c>
      <c r="C8" s="39">
        <f>C4*D3/D4</f>
        <v>20.399999999999999</v>
      </c>
      <c r="D8" s="39">
        <f>SUM(B8:C8)</f>
        <v>150</v>
      </c>
    </row>
    <row r="9" spans="1:4" ht="17.25" thickBot="1">
      <c r="A9" s="35" t="s">
        <v>201</v>
      </c>
      <c r="B9" s="40">
        <v>216</v>
      </c>
      <c r="C9" s="40">
        <f>SUM(C7:C8)</f>
        <v>34</v>
      </c>
      <c r="D9" s="40">
        <v>250</v>
      </c>
    </row>
    <row r="10" spans="1:4" ht="17.25" thickBot="1"/>
    <row r="11" spans="1:4" ht="17.25" thickBot="1">
      <c r="A11" s="42" t="s">
        <v>206</v>
      </c>
      <c r="B11" s="34" t="s">
        <v>199</v>
      </c>
      <c r="C11" s="34" t="s">
        <v>200</v>
      </c>
    </row>
    <row r="12" spans="1:4" ht="17.25" thickBot="1">
      <c r="A12" s="36" t="s">
        <v>202</v>
      </c>
      <c r="B12" s="37">
        <f>(B7-B2)^2/B7</f>
        <v>6.6666666666666985E-2</v>
      </c>
      <c r="C12" s="37">
        <f>(C7-C2)^2/C7</f>
        <v>0.42352941176470599</v>
      </c>
    </row>
    <row r="13" spans="1:4" ht="17.25" thickBot="1">
      <c r="A13" s="38" t="s">
        <v>203</v>
      </c>
      <c r="B13" s="37">
        <f>(B8-B3)^2/B8</f>
        <v>4.4444444444444654E-2</v>
      </c>
      <c r="C13" s="37">
        <f>(C8-C3)^2/C8</f>
        <v>0.28235294117647031</v>
      </c>
    </row>
    <row r="14" spans="1:4">
      <c r="C14" s="43" t="s">
        <v>207</v>
      </c>
      <c r="D14" s="43">
        <f>SUM(B12:C13)</f>
        <v>0.81699346405228801</v>
      </c>
    </row>
    <row r="15" spans="1:4">
      <c r="C15" s="5" t="s">
        <v>208</v>
      </c>
      <c r="D15" s="31">
        <f>CHIDIST(D14,1)</f>
        <v>0.36606067525626157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5" sqref="D15"/>
    </sheetView>
  </sheetViews>
  <sheetFormatPr defaultRowHeight="16.5"/>
  <cols>
    <col min="1" max="1" width="4.5" bestFit="1" customWidth="1"/>
    <col min="2" max="5" width="11.125" bestFit="1" customWidth="1"/>
    <col min="6" max="6" width="11.625" bestFit="1" customWidth="1"/>
  </cols>
  <sheetData>
    <row r="1" spans="1:6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 spans="1:6">
      <c r="A2">
        <v>0</v>
      </c>
      <c r="B2">
        <f>GAMMADIST(A2,1,1,1)</f>
        <v>0</v>
      </c>
      <c r="C2">
        <f>GAMMADIST(A2,2,2,1)</f>
        <v>0</v>
      </c>
      <c r="D2">
        <f>GAMMADIST(A2,4,4,1)</f>
        <v>0</v>
      </c>
      <c r="E2">
        <f>GAMMADIST(A2,2,4,1)</f>
        <v>0</v>
      </c>
      <c r="F2">
        <f>GAMMADIST(A2,4,2,1)</f>
        <v>0</v>
      </c>
    </row>
    <row r="3" spans="1:6">
      <c r="A3">
        <v>1</v>
      </c>
      <c r="B3">
        <f t="shared" ref="B3:B12" si="0">GAMMADIST(A3,1,1,1)</f>
        <v>0.63212055882855767</v>
      </c>
      <c r="C3">
        <f t="shared" ref="C3:C12" si="1">GAMMADIST(A3,2,2,1)</f>
        <v>9.0204010431049864E-2</v>
      </c>
      <c r="D3">
        <f t="shared" ref="D3:D12" si="2">GAMMADIST(A3,4,4,1)</f>
        <v>1.3336965051406239E-4</v>
      </c>
      <c r="E3">
        <f t="shared" ref="E3:E12" si="3">GAMMADIST(A3,2,4,1)</f>
        <v>2.6499021160743909E-2</v>
      </c>
      <c r="F3">
        <f t="shared" ref="F3:F12" si="4">GAMMADIST(A3,4,2,1)</f>
        <v>1.7516225562908235E-3</v>
      </c>
    </row>
    <row r="4" spans="1:6">
      <c r="A4">
        <v>2</v>
      </c>
      <c r="B4">
        <f t="shared" si="0"/>
        <v>0.8646647167633873</v>
      </c>
      <c r="C4">
        <f t="shared" si="1"/>
        <v>0.26424111765711522</v>
      </c>
      <c r="D4">
        <f t="shared" si="2"/>
        <v>1.7516225562908235E-3</v>
      </c>
      <c r="E4">
        <f t="shared" si="3"/>
        <v>9.0204010431049864E-2</v>
      </c>
      <c r="F4">
        <f t="shared" si="4"/>
        <v>1.8988156876153805E-2</v>
      </c>
    </row>
    <row r="5" spans="1:6">
      <c r="A5">
        <v>3</v>
      </c>
      <c r="B5">
        <f t="shared" si="0"/>
        <v>0.95021293163213605</v>
      </c>
      <c r="C5">
        <f t="shared" si="1"/>
        <v>0.44217459962892536</v>
      </c>
      <c r="D5">
        <f t="shared" si="2"/>
        <v>7.2921665052112774E-3</v>
      </c>
      <c r="E5">
        <f t="shared" si="3"/>
        <v>0.17335853270322427</v>
      </c>
      <c r="F5">
        <f t="shared" si="4"/>
        <v>6.5642454378450107E-2</v>
      </c>
    </row>
    <row r="6" spans="1:6">
      <c r="A6">
        <v>4</v>
      </c>
      <c r="B6">
        <f t="shared" si="0"/>
        <v>0.98168436111126578</v>
      </c>
      <c r="C6">
        <f t="shared" si="1"/>
        <v>0.59399415029016189</v>
      </c>
      <c r="D6">
        <f t="shared" si="2"/>
        <v>1.8988156876153805E-2</v>
      </c>
      <c r="E6">
        <f t="shared" si="3"/>
        <v>0.26424111765711522</v>
      </c>
      <c r="F6">
        <f t="shared" si="4"/>
        <v>0.14287653950145301</v>
      </c>
    </row>
    <row r="7" spans="1:6">
      <c r="A7">
        <v>5</v>
      </c>
      <c r="B7">
        <f t="shared" si="0"/>
        <v>0.99326205300091452</v>
      </c>
      <c r="C7">
        <f t="shared" si="1"/>
        <v>0.71270250481635422</v>
      </c>
      <c r="D7">
        <f t="shared" si="2"/>
        <v>3.8269054289622309E-2</v>
      </c>
      <c r="E7">
        <f t="shared" si="3"/>
        <v>0.35536420706457222</v>
      </c>
      <c r="F7">
        <f t="shared" si="4"/>
        <v>0.24242386686693401</v>
      </c>
    </row>
    <row r="8" spans="1:6">
      <c r="A8">
        <v>6</v>
      </c>
      <c r="B8">
        <f t="shared" si="0"/>
        <v>0.99752124782333362</v>
      </c>
      <c r="C8">
        <f t="shared" si="1"/>
        <v>0.80085172652854419</v>
      </c>
      <c r="D8">
        <f t="shared" si="2"/>
        <v>6.5642454378450107E-2</v>
      </c>
      <c r="E8">
        <f t="shared" si="3"/>
        <v>0.44217459962892536</v>
      </c>
      <c r="F8">
        <f t="shared" si="4"/>
        <v>0.35276811121776874</v>
      </c>
    </row>
    <row r="9" spans="1:6">
      <c r="A9">
        <v>7</v>
      </c>
      <c r="B9">
        <f t="shared" si="0"/>
        <v>0.99908811803444553</v>
      </c>
      <c r="C9">
        <f t="shared" si="1"/>
        <v>0.86411177459956678</v>
      </c>
      <c r="D9">
        <f t="shared" si="2"/>
        <v>0.10081034990616029</v>
      </c>
      <c r="E9">
        <f t="shared" si="3"/>
        <v>0.52212165551127621</v>
      </c>
      <c r="F9">
        <f t="shared" si="4"/>
        <v>0.46336733209921499</v>
      </c>
    </row>
    <row r="10" spans="1:6">
      <c r="A10">
        <v>8</v>
      </c>
      <c r="B10">
        <f t="shared" si="0"/>
        <v>0.99966453737209748</v>
      </c>
      <c r="C10">
        <f t="shared" si="1"/>
        <v>0.90842180555632912</v>
      </c>
      <c r="D10">
        <f t="shared" si="2"/>
        <v>0.14287653950145301</v>
      </c>
      <c r="E10">
        <f t="shared" si="3"/>
        <v>0.59399415029016189</v>
      </c>
      <c r="F10">
        <f t="shared" si="4"/>
        <v>0.56652987963329104</v>
      </c>
    </row>
    <row r="11" spans="1:6">
      <c r="A11">
        <v>9</v>
      </c>
      <c r="B11">
        <f t="shared" si="0"/>
        <v>0.99987659019591335</v>
      </c>
      <c r="C11">
        <f t="shared" si="1"/>
        <v>0.93890051903966731</v>
      </c>
      <c r="D11">
        <f t="shared" si="2"/>
        <v>0.19056689262255758</v>
      </c>
      <c r="E11">
        <f t="shared" si="3"/>
        <v>0.65745252017394096</v>
      </c>
      <c r="F11">
        <f t="shared" si="4"/>
        <v>0.65770404416540895</v>
      </c>
    </row>
    <row r="12" spans="1:6">
      <c r="A12">
        <v>10</v>
      </c>
      <c r="B12">
        <f t="shared" si="0"/>
        <v>0.99995460007023751</v>
      </c>
      <c r="C12">
        <f t="shared" si="1"/>
        <v>0.95957231800548715</v>
      </c>
      <c r="D12">
        <f t="shared" si="2"/>
        <v>0.24242386686693401</v>
      </c>
      <c r="E12">
        <f t="shared" si="3"/>
        <v>0.71270250481635422</v>
      </c>
      <c r="F12">
        <f t="shared" si="4"/>
        <v>0.73497408470263825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8" sqref="I18"/>
    </sheetView>
  </sheetViews>
  <sheetFormatPr defaultRowHeight="16.5"/>
  <cols>
    <col min="1" max="1" width="4.5" bestFit="1" customWidth="1"/>
    <col min="2" max="5" width="11.125" bestFit="1" customWidth="1"/>
    <col min="6" max="6" width="11.625" bestFit="1" customWidth="1"/>
  </cols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>
        <v>0</v>
      </c>
      <c r="B2">
        <f t="shared" ref="B2:B12" si="0">GAMMAINV(A2,1,1)</f>
        <v>0</v>
      </c>
      <c r="C2">
        <f t="shared" ref="C2:C12" si="1">GAMMAINV(A2,2,2)</f>
        <v>0</v>
      </c>
      <c r="D2">
        <f t="shared" ref="D2:D12" si="2">GAMMAINV(A2,1,2)</f>
        <v>0</v>
      </c>
      <c r="E2">
        <f t="shared" ref="E2:E12" si="3">GAMMAINV(A2,3,1)</f>
        <v>0</v>
      </c>
      <c r="F2">
        <f t="shared" ref="F2:F12" si="4">GAMMAINV(A2,5,5)</f>
        <v>0</v>
      </c>
    </row>
    <row r="3" spans="1:6">
      <c r="A3">
        <v>0.1</v>
      </c>
      <c r="B3">
        <f t="shared" si="0"/>
        <v>0.10536051565782631</v>
      </c>
      <c r="C3">
        <f t="shared" si="1"/>
        <v>1.0636232167792241</v>
      </c>
      <c r="D3">
        <f t="shared" si="2"/>
        <v>0.21072103131565262</v>
      </c>
      <c r="E3">
        <f t="shared" si="3"/>
        <v>1.1020653282493209</v>
      </c>
      <c r="F3">
        <f t="shared" si="4"/>
        <v>12.162955129813323</v>
      </c>
    </row>
    <row r="4" spans="1:6">
      <c r="A4">
        <v>0.2</v>
      </c>
      <c r="B4">
        <f t="shared" si="0"/>
        <v>0.22314355131420976</v>
      </c>
      <c r="C4">
        <f t="shared" si="1"/>
        <v>1.6487766180659693</v>
      </c>
      <c r="D4">
        <f t="shared" si="2"/>
        <v>0.44628710262841953</v>
      </c>
      <c r="E4">
        <f t="shared" si="3"/>
        <v>1.5350442026446436</v>
      </c>
      <c r="F4">
        <f t="shared" si="4"/>
        <v>15.447698140098481</v>
      </c>
    </row>
    <row r="5" spans="1:6">
      <c r="A5">
        <v>0.3</v>
      </c>
      <c r="B5">
        <f t="shared" si="0"/>
        <v>0.35667494393873239</v>
      </c>
      <c r="C5">
        <f t="shared" si="1"/>
        <v>2.1946984214069829</v>
      </c>
      <c r="D5">
        <f t="shared" si="2"/>
        <v>0.71334988787746478</v>
      </c>
      <c r="E5">
        <f t="shared" si="3"/>
        <v>1.9137757941270626</v>
      </c>
      <c r="F5">
        <f t="shared" si="4"/>
        <v>18.168045414819012</v>
      </c>
    </row>
    <row r="6" spans="1:6">
      <c r="A6">
        <v>0.4</v>
      </c>
      <c r="B6">
        <f t="shared" si="0"/>
        <v>0.51082562376599072</v>
      </c>
      <c r="C6">
        <f t="shared" si="1"/>
        <v>2.7528426841257745</v>
      </c>
      <c r="D6">
        <f t="shared" si="2"/>
        <v>1.0216512475319814</v>
      </c>
      <c r="E6">
        <f t="shared" si="3"/>
        <v>2.2850769040033811</v>
      </c>
      <c r="F6">
        <f t="shared" si="4"/>
        <v>20.738679402352712</v>
      </c>
    </row>
    <row r="7" spans="1:6">
      <c r="A7">
        <v>0.5</v>
      </c>
      <c r="B7">
        <f t="shared" si="0"/>
        <v>0.69314718055994529</v>
      </c>
      <c r="C7">
        <f t="shared" si="1"/>
        <v>3.3566939800333215</v>
      </c>
      <c r="D7">
        <f t="shared" si="2"/>
        <v>1.3862943611198906</v>
      </c>
      <c r="E7">
        <f t="shared" si="3"/>
        <v>2.6740603137235608</v>
      </c>
      <c r="F7">
        <f t="shared" si="4"/>
        <v>23.354544413979916</v>
      </c>
    </row>
    <row r="8" spans="1:6">
      <c r="A8">
        <v>0.6</v>
      </c>
      <c r="B8">
        <f t="shared" si="0"/>
        <v>0.916290731874155</v>
      </c>
      <c r="C8">
        <f t="shared" si="1"/>
        <v>4.0446264906493132</v>
      </c>
      <c r="D8">
        <f t="shared" si="2"/>
        <v>1.83258146374831</v>
      </c>
      <c r="E8">
        <f t="shared" si="3"/>
        <v>3.1053785972633494</v>
      </c>
      <c r="F8">
        <f t="shared" si="4"/>
        <v>26.183090578488635</v>
      </c>
    </row>
    <row r="9" spans="1:6">
      <c r="A9">
        <v>0.7</v>
      </c>
      <c r="B9">
        <f t="shared" si="0"/>
        <v>1.2039728043259359</v>
      </c>
      <c r="C9">
        <f t="shared" si="1"/>
        <v>4.8784329665604087</v>
      </c>
      <c r="D9">
        <f t="shared" si="2"/>
        <v>2.4079456086518718</v>
      </c>
      <c r="E9">
        <f t="shared" si="3"/>
        <v>3.6155676658659899</v>
      </c>
      <c r="F9">
        <f t="shared" si="4"/>
        <v>29.451806568485029</v>
      </c>
    </row>
    <row r="10" spans="1:6">
      <c r="A10">
        <v>0.8</v>
      </c>
      <c r="B10">
        <f t="shared" si="0"/>
        <v>1.6094379124341005</v>
      </c>
      <c r="C10">
        <f t="shared" si="1"/>
        <v>5.9886166940042447</v>
      </c>
      <c r="D10">
        <f t="shared" si="2"/>
        <v>3.218875824868201</v>
      </c>
      <c r="E10">
        <f t="shared" si="3"/>
        <v>4.279029860125334</v>
      </c>
      <c r="F10">
        <f t="shared" si="4"/>
        <v>33.604893937432784</v>
      </c>
    </row>
    <row r="11" spans="1:6">
      <c r="A11">
        <v>0.9</v>
      </c>
      <c r="B11">
        <f t="shared" si="0"/>
        <v>2.3025850929940459</v>
      </c>
      <c r="C11">
        <f t="shared" si="1"/>
        <v>7.779440339734859</v>
      </c>
      <c r="D11">
        <f t="shared" si="2"/>
        <v>4.6051701859880918</v>
      </c>
      <c r="E11">
        <f t="shared" si="3"/>
        <v>5.3223203378342099</v>
      </c>
      <c r="F11">
        <f t="shared" si="4"/>
        <v>39.967947930263151</v>
      </c>
    </row>
    <row r="12" spans="1:6">
      <c r="A12">
        <v>1</v>
      </c>
      <c r="B12" t="e">
        <f t="shared" si="0"/>
        <v>#NUM!</v>
      </c>
      <c r="C12" t="e">
        <f t="shared" si="1"/>
        <v>#NUM!</v>
      </c>
      <c r="D12" t="e">
        <f t="shared" si="2"/>
        <v>#NUM!</v>
      </c>
      <c r="E12" t="e">
        <f t="shared" si="3"/>
        <v>#NUM!</v>
      </c>
      <c r="F12" t="e">
        <f t="shared" si="4"/>
        <v>#NUM!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M5" sqref="M5"/>
    </sheetView>
  </sheetViews>
  <sheetFormatPr defaultRowHeight="16.5"/>
  <cols>
    <col min="2" max="2" width="13.5" customWidth="1"/>
    <col min="3" max="3" width="12.75" bestFit="1" customWidth="1"/>
  </cols>
  <sheetData>
    <row r="1" spans="1:3">
      <c r="A1" t="s">
        <v>226</v>
      </c>
      <c r="B1" t="s">
        <v>227</v>
      </c>
      <c r="C1" t="s">
        <v>228</v>
      </c>
    </row>
    <row r="2" spans="1:3">
      <c r="A2">
        <v>-3.2</v>
      </c>
      <c r="B2">
        <f>NORMSDIST(A2)</f>
        <v>6.8713793791584719E-4</v>
      </c>
      <c r="C2">
        <f>NORMDIST(A2,0,1,0)</f>
        <v>2.3840882014648404E-3</v>
      </c>
    </row>
    <row r="3" spans="1:3">
      <c r="A3">
        <v>-3.1</v>
      </c>
      <c r="B3">
        <f t="shared" ref="B3:B66" si="0">NORMSDIST(A3)</f>
        <v>9.676032132183561E-4</v>
      </c>
      <c r="C3">
        <f t="shared" ref="C3:C66" si="1">NORMDIST(A3,0,1,0)</f>
        <v>3.2668190561999182E-3</v>
      </c>
    </row>
    <row r="4" spans="1:3">
      <c r="A4">
        <v>-3</v>
      </c>
      <c r="B4">
        <f t="shared" si="0"/>
        <v>1.3498980316300933E-3</v>
      </c>
      <c r="C4">
        <f t="shared" si="1"/>
        <v>4.4318484119380075E-3</v>
      </c>
    </row>
    <row r="5" spans="1:3">
      <c r="A5">
        <v>-2.9</v>
      </c>
      <c r="B5">
        <f t="shared" si="0"/>
        <v>1.8658133003840378E-3</v>
      </c>
      <c r="C5">
        <f t="shared" si="1"/>
        <v>5.9525324197758538E-3</v>
      </c>
    </row>
    <row r="6" spans="1:3">
      <c r="A6">
        <v>-2.8</v>
      </c>
      <c r="B6">
        <f t="shared" si="0"/>
        <v>2.5551303304279312E-3</v>
      </c>
      <c r="C6">
        <f t="shared" si="1"/>
        <v>7.9154515829799686E-3</v>
      </c>
    </row>
    <row r="7" spans="1:3">
      <c r="A7">
        <v>-2.7</v>
      </c>
      <c r="B7">
        <f t="shared" si="0"/>
        <v>3.4669738030406643E-3</v>
      </c>
      <c r="C7">
        <f t="shared" si="1"/>
        <v>1.0420934814422592E-2</v>
      </c>
    </row>
    <row r="8" spans="1:3">
      <c r="A8">
        <v>-2.6</v>
      </c>
      <c r="B8">
        <f t="shared" si="0"/>
        <v>4.6611880237187476E-3</v>
      </c>
      <c r="C8">
        <f t="shared" si="1"/>
        <v>1.3582969233685613E-2</v>
      </c>
    </row>
    <row r="9" spans="1:3">
      <c r="A9">
        <v>-2.5</v>
      </c>
      <c r="B9">
        <f t="shared" si="0"/>
        <v>6.2096653257761331E-3</v>
      </c>
      <c r="C9">
        <f t="shared" si="1"/>
        <v>1.752830049356854E-2</v>
      </c>
    </row>
    <row r="10" spans="1:3">
      <c r="A10">
        <v>-2.4</v>
      </c>
      <c r="B10">
        <f t="shared" si="0"/>
        <v>8.1975359245961311E-3</v>
      </c>
      <c r="C10">
        <f t="shared" si="1"/>
        <v>2.2394530294842899E-2</v>
      </c>
    </row>
    <row r="11" spans="1:3">
      <c r="A11">
        <v>-2.2999999999999998</v>
      </c>
      <c r="B11">
        <f t="shared" si="0"/>
        <v>1.0724110021675811E-2</v>
      </c>
      <c r="C11">
        <f t="shared" si="1"/>
        <v>2.8327037741601186E-2</v>
      </c>
    </row>
    <row r="12" spans="1:3">
      <c r="A12">
        <v>-2.2000000000000002</v>
      </c>
      <c r="B12">
        <f t="shared" si="0"/>
        <v>1.3903447513498597E-2</v>
      </c>
      <c r="C12">
        <f t="shared" si="1"/>
        <v>3.5474592846231424E-2</v>
      </c>
    </row>
    <row r="13" spans="1:3">
      <c r="A13">
        <v>-2.1</v>
      </c>
      <c r="B13">
        <f t="shared" si="0"/>
        <v>1.7864420562816546E-2</v>
      </c>
      <c r="C13">
        <f t="shared" si="1"/>
        <v>4.3983595980427191E-2</v>
      </c>
    </row>
    <row r="14" spans="1:3">
      <c r="A14">
        <v>-2</v>
      </c>
      <c r="B14">
        <f t="shared" si="0"/>
        <v>2.2750131948179191E-2</v>
      </c>
      <c r="C14">
        <f t="shared" si="1"/>
        <v>5.3990966513188063E-2</v>
      </c>
    </row>
    <row r="15" spans="1:3">
      <c r="A15">
        <v>-1.9</v>
      </c>
      <c r="B15">
        <f t="shared" si="0"/>
        <v>2.87165598160018E-2</v>
      </c>
      <c r="C15">
        <f t="shared" si="1"/>
        <v>6.5615814774676595E-2</v>
      </c>
    </row>
    <row r="16" spans="1:3">
      <c r="A16">
        <v>-1.8</v>
      </c>
      <c r="B16">
        <f t="shared" si="0"/>
        <v>3.5930319112925789E-2</v>
      </c>
      <c r="C16">
        <f t="shared" si="1"/>
        <v>7.8950158300894149E-2</v>
      </c>
    </row>
    <row r="17" spans="1:3">
      <c r="A17">
        <v>-1.7</v>
      </c>
      <c r="B17">
        <f t="shared" si="0"/>
        <v>4.4565462758543041E-2</v>
      </c>
      <c r="C17">
        <f t="shared" si="1"/>
        <v>9.4049077376886947E-2</v>
      </c>
    </row>
    <row r="18" spans="1:3">
      <c r="A18">
        <v>-1.6</v>
      </c>
      <c r="B18">
        <f t="shared" si="0"/>
        <v>5.4799291699557967E-2</v>
      </c>
      <c r="C18">
        <f t="shared" si="1"/>
        <v>0.11092083467945554</v>
      </c>
    </row>
    <row r="19" spans="1:3">
      <c r="A19">
        <v>-1.5</v>
      </c>
      <c r="B19">
        <f t="shared" si="0"/>
        <v>6.6807201268858057E-2</v>
      </c>
      <c r="C19">
        <f t="shared" si="1"/>
        <v>0.12951759566589174</v>
      </c>
    </row>
    <row r="20" spans="1:3">
      <c r="A20">
        <v>-1.4</v>
      </c>
      <c r="B20">
        <f t="shared" si="0"/>
        <v>8.0756659233771053E-2</v>
      </c>
      <c r="C20">
        <f t="shared" si="1"/>
        <v>0.14972746563574488</v>
      </c>
    </row>
    <row r="21" spans="1:3">
      <c r="A21">
        <v>-1.3</v>
      </c>
      <c r="B21">
        <f t="shared" si="0"/>
        <v>9.6800484585610316E-2</v>
      </c>
      <c r="C21">
        <f t="shared" si="1"/>
        <v>0.17136859204780736</v>
      </c>
    </row>
    <row r="22" spans="1:3">
      <c r="A22">
        <v>-1.2</v>
      </c>
      <c r="B22">
        <f t="shared" si="0"/>
        <v>0.11506967022170828</v>
      </c>
      <c r="C22">
        <f t="shared" si="1"/>
        <v>0.19418605498321295</v>
      </c>
    </row>
    <row r="23" spans="1:3">
      <c r="A23">
        <v>-1.1000000000000001</v>
      </c>
      <c r="B23">
        <f t="shared" si="0"/>
        <v>0.13566606094638264</v>
      </c>
      <c r="C23">
        <f t="shared" si="1"/>
        <v>0.21785217703255053</v>
      </c>
    </row>
    <row r="24" spans="1:3">
      <c r="A24">
        <v>-1</v>
      </c>
      <c r="B24">
        <f t="shared" si="0"/>
        <v>0.15865525393145699</v>
      </c>
      <c r="C24">
        <f t="shared" si="1"/>
        <v>0.24197072451914337</v>
      </c>
    </row>
    <row r="25" spans="1:3">
      <c r="A25">
        <v>-0.9</v>
      </c>
      <c r="B25">
        <f t="shared" si="0"/>
        <v>0.1840601253467595</v>
      </c>
      <c r="C25">
        <f t="shared" si="1"/>
        <v>0.26608524989875482</v>
      </c>
    </row>
    <row r="26" spans="1:3">
      <c r="A26">
        <v>-0.8</v>
      </c>
      <c r="B26">
        <f t="shared" si="0"/>
        <v>0.21185539858339661</v>
      </c>
      <c r="C26">
        <f t="shared" si="1"/>
        <v>0.28969155276148273</v>
      </c>
    </row>
    <row r="27" spans="1:3">
      <c r="A27">
        <v>-0.7</v>
      </c>
      <c r="B27">
        <f t="shared" si="0"/>
        <v>0.24196365222307298</v>
      </c>
      <c r="C27">
        <f t="shared" si="1"/>
        <v>0.31225393336676127</v>
      </c>
    </row>
    <row r="28" spans="1:3">
      <c r="A28">
        <v>-0.6</v>
      </c>
      <c r="B28">
        <f t="shared" si="0"/>
        <v>0.27425311775007355</v>
      </c>
      <c r="C28">
        <f t="shared" si="1"/>
        <v>0.33322460289179967</v>
      </c>
    </row>
    <row r="29" spans="1:3">
      <c r="A29">
        <v>-0.5</v>
      </c>
      <c r="B29">
        <f t="shared" si="0"/>
        <v>0.30853753872598688</v>
      </c>
      <c r="C29">
        <f t="shared" si="1"/>
        <v>0.35206532676429952</v>
      </c>
    </row>
    <row r="30" spans="1:3">
      <c r="A30">
        <v>-0.4</v>
      </c>
      <c r="B30">
        <f t="shared" si="0"/>
        <v>0.34457825838967576</v>
      </c>
      <c r="C30">
        <f t="shared" si="1"/>
        <v>0.36827014030332333</v>
      </c>
    </row>
    <row r="31" spans="1:3">
      <c r="A31">
        <v>-0.3</v>
      </c>
      <c r="B31">
        <f t="shared" si="0"/>
        <v>0.38208857781104733</v>
      </c>
      <c r="C31">
        <f t="shared" si="1"/>
        <v>0.38138781546052414</v>
      </c>
    </row>
    <row r="32" spans="1:3">
      <c r="A32">
        <v>-0.2</v>
      </c>
      <c r="B32">
        <f t="shared" si="0"/>
        <v>0.42074029056089696</v>
      </c>
      <c r="C32">
        <f t="shared" si="1"/>
        <v>0.39104269397545588</v>
      </c>
    </row>
    <row r="33" spans="1:3">
      <c r="A33">
        <v>-0.1</v>
      </c>
      <c r="B33">
        <f t="shared" si="0"/>
        <v>0.46017216272297101</v>
      </c>
      <c r="C33">
        <f t="shared" si="1"/>
        <v>0.39695254747701181</v>
      </c>
    </row>
    <row r="34" spans="1:3">
      <c r="A34">
        <v>0</v>
      </c>
      <c r="B34">
        <f t="shared" si="0"/>
        <v>0.5</v>
      </c>
      <c r="C34">
        <f t="shared" si="1"/>
        <v>0.3989422804014327</v>
      </c>
    </row>
    <row r="35" spans="1:3">
      <c r="A35">
        <v>9.9999999999999603E-2</v>
      </c>
      <c r="B35">
        <f t="shared" si="0"/>
        <v>0.53982783727702888</v>
      </c>
      <c r="C35">
        <f t="shared" si="1"/>
        <v>0.39695254747701181</v>
      </c>
    </row>
    <row r="36" spans="1:3">
      <c r="A36">
        <v>0.2</v>
      </c>
      <c r="B36">
        <f t="shared" si="0"/>
        <v>0.57925970943910299</v>
      </c>
      <c r="C36">
        <f t="shared" si="1"/>
        <v>0.39104269397545588</v>
      </c>
    </row>
    <row r="37" spans="1:3">
      <c r="A37">
        <v>0.3</v>
      </c>
      <c r="B37">
        <f t="shared" si="0"/>
        <v>0.61791142218895267</v>
      </c>
      <c r="C37">
        <f t="shared" si="1"/>
        <v>0.38138781546052414</v>
      </c>
    </row>
    <row r="38" spans="1:3">
      <c r="A38">
        <v>0.4</v>
      </c>
      <c r="B38">
        <f t="shared" si="0"/>
        <v>0.65542174161032429</v>
      </c>
      <c r="C38">
        <f t="shared" si="1"/>
        <v>0.36827014030332333</v>
      </c>
    </row>
    <row r="39" spans="1:3">
      <c r="A39">
        <v>0.5</v>
      </c>
      <c r="B39">
        <f t="shared" si="0"/>
        <v>0.69146246127401312</v>
      </c>
      <c r="C39">
        <f t="shared" si="1"/>
        <v>0.35206532676429952</v>
      </c>
    </row>
    <row r="40" spans="1:3">
      <c r="A40">
        <v>0.6</v>
      </c>
      <c r="B40">
        <f t="shared" si="0"/>
        <v>0.72574688224992645</v>
      </c>
      <c r="C40">
        <f t="shared" si="1"/>
        <v>0.33322460289179967</v>
      </c>
    </row>
    <row r="41" spans="1:3">
      <c r="A41">
        <v>0.7</v>
      </c>
      <c r="B41">
        <f t="shared" si="0"/>
        <v>0.75803634777692697</v>
      </c>
      <c r="C41">
        <f t="shared" si="1"/>
        <v>0.31225393336676127</v>
      </c>
    </row>
    <row r="42" spans="1:3">
      <c r="A42">
        <v>0.8</v>
      </c>
      <c r="B42">
        <f t="shared" si="0"/>
        <v>0.78814460141660336</v>
      </c>
      <c r="C42">
        <f t="shared" si="1"/>
        <v>0.28969155276148273</v>
      </c>
    </row>
    <row r="43" spans="1:3">
      <c r="A43">
        <v>0.89999999999999902</v>
      </c>
      <c r="B43">
        <f t="shared" si="0"/>
        <v>0.81593987465324025</v>
      </c>
      <c r="C43">
        <f t="shared" si="1"/>
        <v>0.26608524989875504</v>
      </c>
    </row>
    <row r="44" spans="1:3">
      <c r="A44">
        <v>1</v>
      </c>
      <c r="B44">
        <f t="shared" si="0"/>
        <v>0.84134474606854304</v>
      </c>
      <c r="C44">
        <f t="shared" si="1"/>
        <v>0.24197072451914337</v>
      </c>
    </row>
    <row r="45" spans="1:3">
      <c r="A45">
        <v>1.1000000000000001</v>
      </c>
      <c r="B45">
        <f t="shared" si="0"/>
        <v>0.86433393905361733</v>
      </c>
      <c r="C45">
        <f t="shared" si="1"/>
        <v>0.21785217703255053</v>
      </c>
    </row>
    <row r="46" spans="1:3">
      <c r="A46">
        <v>1.2</v>
      </c>
      <c r="B46">
        <f t="shared" si="0"/>
        <v>0.88493032977829178</v>
      </c>
      <c r="C46">
        <f t="shared" si="1"/>
        <v>0.19418605498321295</v>
      </c>
    </row>
    <row r="47" spans="1:3">
      <c r="A47">
        <v>1.3</v>
      </c>
      <c r="B47">
        <f t="shared" si="0"/>
        <v>0.9031995154143897</v>
      </c>
      <c r="C47">
        <f t="shared" si="1"/>
        <v>0.17136859204780736</v>
      </c>
    </row>
    <row r="48" spans="1:3">
      <c r="A48">
        <v>1.4</v>
      </c>
      <c r="B48">
        <f t="shared" si="0"/>
        <v>0.91924334076622893</v>
      </c>
      <c r="C48">
        <f t="shared" si="1"/>
        <v>0.14972746563574488</v>
      </c>
    </row>
    <row r="49" spans="1:3">
      <c r="A49">
        <v>1.5</v>
      </c>
      <c r="B49">
        <f t="shared" si="0"/>
        <v>0.93319279873114191</v>
      </c>
      <c r="C49">
        <f t="shared" si="1"/>
        <v>0.12951759566589174</v>
      </c>
    </row>
    <row r="50" spans="1:3">
      <c r="A50">
        <v>1.6</v>
      </c>
      <c r="B50">
        <f t="shared" si="0"/>
        <v>0.94520070830044201</v>
      </c>
      <c r="C50">
        <f t="shared" si="1"/>
        <v>0.11092083467945554</v>
      </c>
    </row>
    <row r="51" spans="1:3">
      <c r="A51">
        <v>1.7</v>
      </c>
      <c r="B51">
        <f t="shared" si="0"/>
        <v>0.95543453724145699</v>
      </c>
      <c r="C51">
        <f t="shared" si="1"/>
        <v>9.4049077376886947E-2</v>
      </c>
    </row>
    <row r="52" spans="1:3">
      <c r="A52">
        <v>1.8</v>
      </c>
      <c r="B52">
        <f t="shared" si="0"/>
        <v>0.96406968088707423</v>
      </c>
      <c r="C52">
        <f t="shared" si="1"/>
        <v>7.8950158300894149E-2</v>
      </c>
    </row>
    <row r="53" spans="1:3">
      <c r="A53">
        <v>1.9</v>
      </c>
      <c r="B53">
        <f t="shared" si="0"/>
        <v>0.97128344018399815</v>
      </c>
      <c r="C53">
        <f t="shared" si="1"/>
        <v>6.5615814774676595E-2</v>
      </c>
    </row>
    <row r="54" spans="1:3">
      <c r="A54">
        <v>2</v>
      </c>
      <c r="B54">
        <f t="shared" si="0"/>
        <v>0.97724986805182079</v>
      </c>
      <c r="C54">
        <f t="shared" si="1"/>
        <v>5.3990966513188063E-2</v>
      </c>
    </row>
    <row r="55" spans="1:3">
      <c r="A55">
        <v>2.1</v>
      </c>
      <c r="B55">
        <f t="shared" si="0"/>
        <v>0.98213557943718344</v>
      </c>
      <c r="C55">
        <f t="shared" si="1"/>
        <v>4.3983595980427191E-2</v>
      </c>
    </row>
    <row r="56" spans="1:3">
      <c r="A56">
        <v>2.2000000000000002</v>
      </c>
      <c r="B56">
        <f t="shared" si="0"/>
        <v>0.98609655248650141</v>
      </c>
      <c r="C56">
        <f t="shared" si="1"/>
        <v>3.5474592846231424E-2</v>
      </c>
    </row>
    <row r="57" spans="1:3">
      <c r="A57">
        <v>2.30000000000001</v>
      </c>
      <c r="B57">
        <f t="shared" si="0"/>
        <v>0.9892758899783245</v>
      </c>
      <c r="C57">
        <f t="shared" si="1"/>
        <v>2.8327037741600516E-2</v>
      </c>
    </row>
    <row r="58" spans="1:3">
      <c r="A58">
        <v>2.4</v>
      </c>
      <c r="B58">
        <f t="shared" si="0"/>
        <v>0.99180246407540384</v>
      </c>
      <c r="C58">
        <f t="shared" si="1"/>
        <v>2.2394530294842899E-2</v>
      </c>
    </row>
    <row r="59" spans="1:3">
      <c r="A59">
        <v>2.5</v>
      </c>
      <c r="B59">
        <f t="shared" si="0"/>
        <v>0.99379033467422384</v>
      </c>
      <c r="C59">
        <f t="shared" si="1"/>
        <v>1.752830049356854E-2</v>
      </c>
    </row>
    <row r="60" spans="1:3">
      <c r="A60">
        <v>2.6000000000000099</v>
      </c>
      <c r="B60">
        <f t="shared" si="0"/>
        <v>0.99533881197628138</v>
      </c>
      <c r="C60">
        <f t="shared" si="1"/>
        <v>1.3582969233685271E-2</v>
      </c>
    </row>
    <row r="61" spans="1:3">
      <c r="A61">
        <v>2.7000000000000099</v>
      </c>
      <c r="B61">
        <f t="shared" si="0"/>
        <v>0.99653302619695949</v>
      </c>
      <c r="C61">
        <f t="shared" si="1"/>
        <v>1.0420934814422318E-2</v>
      </c>
    </row>
    <row r="62" spans="1:3">
      <c r="A62">
        <v>2.80000000000001</v>
      </c>
      <c r="B62">
        <f t="shared" si="0"/>
        <v>0.99744486966957213</v>
      </c>
      <c r="C62">
        <f t="shared" si="1"/>
        <v>7.915451582979743E-3</v>
      </c>
    </row>
    <row r="63" spans="1:3">
      <c r="A63">
        <v>2.9</v>
      </c>
      <c r="B63">
        <f t="shared" si="0"/>
        <v>0.99813418669961596</v>
      </c>
      <c r="C63">
        <f t="shared" si="1"/>
        <v>5.9525324197758538E-3</v>
      </c>
    </row>
    <row r="64" spans="1:3">
      <c r="A64">
        <v>3.0000000000000102</v>
      </c>
      <c r="B64">
        <f t="shared" si="0"/>
        <v>0.9986501019683699</v>
      </c>
      <c r="C64">
        <f t="shared" si="1"/>
        <v>4.431848411937874E-3</v>
      </c>
    </row>
    <row r="65" spans="1:3">
      <c r="A65">
        <v>3.1000000000000099</v>
      </c>
      <c r="B65">
        <f t="shared" si="0"/>
        <v>0.99903239678678168</v>
      </c>
      <c r="C65">
        <f t="shared" si="1"/>
        <v>3.2668190561998202E-3</v>
      </c>
    </row>
    <row r="66" spans="1:3">
      <c r="A66">
        <v>3.2000000000000099</v>
      </c>
      <c r="B66">
        <f t="shared" si="0"/>
        <v>0.99931286206208414</v>
      </c>
      <c r="C66">
        <f t="shared" si="1"/>
        <v>2.3840882014647662E-3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D4" sqref="D4"/>
    </sheetView>
  </sheetViews>
  <sheetFormatPr defaultRowHeight="16.5"/>
  <cols>
    <col min="2" max="2" width="13.5" customWidth="1"/>
    <col min="3" max="3" width="12.75" bestFit="1" customWidth="1"/>
  </cols>
  <sheetData>
    <row r="1" spans="1:5">
      <c r="A1" t="s">
        <v>229</v>
      </c>
      <c r="B1" t="s">
        <v>230</v>
      </c>
      <c r="C1" t="s">
        <v>231</v>
      </c>
      <c r="D1" t="s">
        <v>232</v>
      </c>
      <c r="E1" t="s">
        <v>233</v>
      </c>
    </row>
    <row r="2" spans="1:5">
      <c r="A2">
        <v>-3.2</v>
      </c>
      <c r="B2">
        <f>NORMDIST(A2,0,1,1)</f>
        <v>6.8713793791584719E-4</v>
      </c>
      <c r="C2">
        <f>NORMDIST(A2,0,1,0)</f>
        <v>2.3840882014648404E-3</v>
      </c>
      <c r="D2">
        <f>NORMDIST(A2,0,2,1)</f>
        <v>5.4799291699557967E-2</v>
      </c>
      <c r="E2">
        <f>NORMDIST(A2,0,2,0)</f>
        <v>5.5460417339727772E-2</v>
      </c>
    </row>
    <row r="3" spans="1:5">
      <c r="A3">
        <v>-3.1</v>
      </c>
      <c r="B3">
        <f t="shared" ref="B3:B66" si="0">NORMDIST(A3,0,1,1)</f>
        <v>9.676032132183561E-4</v>
      </c>
      <c r="C3">
        <f t="shared" ref="C3:C66" si="1">NORMDIST(A3,0,1,0)</f>
        <v>3.2668190561999182E-3</v>
      </c>
      <c r="D3">
        <f t="shared" ref="D3:D66" si="2">NORMDIST(A3,0,2,1)</f>
        <v>6.057075800205898E-2</v>
      </c>
      <c r="E3">
        <f t="shared" ref="E3:E66" si="3">NORMDIST(A3,0,2,0)</f>
        <v>6.0004500348492792E-2</v>
      </c>
    </row>
    <row r="4" spans="1:5">
      <c r="A4">
        <v>-3</v>
      </c>
      <c r="B4">
        <f t="shared" si="0"/>
        <v>1.3498980316300933E-3</v>
      </c>
      <c r="C4">
        <f t="shared" si="1"/>
        <v>4.4318484119380075E-3</v>
      </c>
      <c r="D4">
        <f t="shared" si="2"/>
        <v>6.6807201268858057E-2</v>
      </c>
      <c r="E4">
        <f t="shared" si="3"/>
        <v>6.4758797832945872E-2</v>
      </c>
    </row>
    <row r="5" spans="1:5">
      <c r="A5">
        <v>-2.9</v>
      </c>
      <c r="B5">
        <f t="shared" si="0"/>
        <v>1.8658133003840378E-3</v>
      </c>
      <c r="C5">
        <f t="shared" si="1"/>
        <v>5.9525324197758538E-3</v>
      </c>
      <c r="D5">
        <f t="shared" si="2"/>
        <v>7.3529259609648373E-2</v>
      </c>
      <c r="E5">
        <f t="shared" si="3"/>
        <v>6.9715283222680141E-2</v>
      </c>
    </row>
    <row r="6" spans="1:5">
      <c r="A6">
        <v>-2.8</v>
      </c>
      <c r="B6">
        <f t="shared" si="0"/>
        <v>2.5551303304279312E-3</v>
      </c>
      <c r="C6">
        <f t="shared" si="1"/>
        <v>7.9154515829799686E-3</v>
      </c>
      <c r="D6">
        <f t="shared" si="2"/>
        <v>8.0756659233771053E-2</v>
      </c>
      <c r="E6">
        <f t="shared" si="3"/>
        <v>7.4863732817872439E-2</v>
      </c>
    </row>
    <row r="7" spans="1:5">
      <c r="A7">
        <v>-2.7</v>
      </c>
      <c r="B7">
        <f t="shared" si="0"/>
        <v>3.4669738030406643E-3</v>
      </c>
      <c r="C7">
        <f t="shared" si="1"/>
        <v>1.0420934814422592E-2</v>
      </c>
      <c r="D7">
        <f t="shared" si="2"/>
        <v>8.8507991437401998E-2</v>
      </c>
      <c r="E7">
        <f t="shared" si="3"/>
        <v>8.0191663670959798E-2</v>
      </c>
    </row>
    <row r="8" spans="1:5">
      <c r="A8">
        <v>-2.6</v>
      </c>
      <c r="B8">
        <f t="shared" si="0"/>
        <v>4.6611880237187476E-3</v>
      </c>
      <c r="C8">
        <f t="shared" si="1"/>
        <v>1.3582969233685613E-2</v>
      </c>
      <c r="D8">
        <f t="shared" si="2"/>
        <v>9.6800484585610316E-2</v>
      </c>
      <c r="E8">
        <f t="shared" si="3"/>
        <v>8.5684296023903678E-2</v>
      </c>
    </row>
    <row r="9" spans="1:5">
      <c r="A9">
        <v>-2.5</v>
      </c>
      <c r="B9">
        <f t="shared" si="0"/>
        <v>6.2096653257761331E-3</v>
      </c>
      <c r="C9">
        <f t="shared" si="1"/>
        <v>1.752830049356854E-2</v>
      </c>
      <c r="D9">
        <f t="shared" si="2"/>
        <v>0.10564977366685525</v>
      </c>
      <c r="E9">
        <f t="shared" si="3"/>
        <v>9.1324542694510957E-2</v>
      </c>
    </row>
    <row r="10" spans="1:5">
      <c r="A10">
        <v>-2.4</v>
      </c>
      <c r="B10">
        <f t="shared" si="0"/>
        <v>8.1975359245961311E-3</v>
      </c>
      <c r="C10">
        <f t="shared" si="1"/>
        <v>2.2394530294842899E-2</v>
      </c>
      <c r="D10">
        <f t="shared" si="2"/>
        <v>0.11506967022170828</v>
      </c>
      <c r="E10">
        <f t="shared" si="3"/>
        <v>9.7093027491606476E-2</v>
      </c>
    </row>
    <row r="11" spans="1:5">
      <c r="A11">
        <v>-2.2999999999999998</v>
      </c>
      <c r="B11">
        <f t="shared" si="0"/>
        <v>1.0724110021675811E-2</v>
      </c>
      <c r="C11">
        <f t="shared" si="1"/>
        <v>2.8327037741601186E-2</v>
      </c>
      <c r="D11">
        <f t="shared" si="2"/>
        <v>0.12507193563715024</v>
      </c>
      <c r="E11">
        <f t="shared" si="3"/>
        <v>0.10296813435998739</v>
      </c>
    </row>
    <row r="12" spans="1:5">
      <c r="A12">
        <v>-2.2000000000000002</v>
      </c>
      <c r="B12">
        <f t="shared" si="0"/>
        <v>1.3903447513498597E-2</v>
      </c>
      <c r="C12">
        <f t="shared" si="1"/>
        <v>3.5474592846231424E-2</v>
      </c>
      <c r="D12">
        <f t="shared" si="2"/>
        <v>0.13566606094638264</v>
      </c>
      <c r="E12">
        <f t="shared" si="3"/>
        <v>0.10892608851627526</v>
      </c>
    </row>
    <row r="13" spans="1:5">
      <c r="A13">
        <v>-2.1</v>
      </c>
      <c r="B13">
        <f t="shared" si="0"/>
        <v>1.7864420562816546E-2</v>
      </c>
      <c r="C13">
        <f t="shared" si="1"/>
        <v>4.3983595980427191E-2</v>
      </c>
      <c r="D13">
        <f t="shared" si="2"/>
        <v>0.14685905637589594</v>
      </c>
      <c r="E13">
        <f t="shared" si="3"/>
        <v>0.11494107034211651</v>
      </c>
    </row>
    <row r="14" spans="1:5">
      <c r="A14">
        <v>-2</v>
      </c>
      <c r="B14">
        <f t="shared" si="0"/>
        <v>2.2750131948179191E-2</v>
      </c>
      <c r="C14">
        <f t="shared" si="1"/>
        <v>5.3990966513188063E-2</v>
      </c>
      <c r="D14">
        <f t="shared" si="2"/>
        <v>0.15865525393145699</v>
      </c>
      <c r="E14">
        <f t="shared" si="3"/>
        <v>0.12098536225957168</v>
      </c>
    </row>
    <row r="15" spans="1:5">
      <c r="A15">
        <v>-1.9</v>
      </c>
      <c r="B15">
        <f t="shared" si="0"/>
        <v>2.87165598160018E-2</v>
      </c>
      <c r="C15">
        <f t="shared" si="1"/>
        <v>6.5615814774676595E-2</v>
      </c>
      <c r="D15">
        <f t="shared" si="2"/>
        <v>0.17105612630848185</v>
      </c>
      <c r="E15">
        <f t="shared" si="3"/>
        <v>0.12702952823459451</v>
      </c>
    </row>
    <row r="16" spans="1:5">
      <c r="A16">
        <v>-1.8</v>
      </c>
      <c r="B16">
        <f t="shared" si="0"/>
        <v>3.5930319112925789E-2</v>
      </c>
      <c r="C16">
        <f t="shared" si="1"/>
        <v>7.8950158300894149E-2</v>
      </c>
      <c r="D16">
        <f t="shared" si="2"/>
        <v>0.1840601253467595</v>
      </c>
      <c r="E16">
        <f t="shared" si="3"/>
        <v>0.13304262494937741</v>
      </c>
    </row>
    <row r="17" spans="1:5">
      <c r="A17">
        <v>-1.7</v>
      </c>
      <c r="B17">
        <f t="shared" si="0"/>
        <v>4.4565462758543041E-2</v>
      </c>
      <c r="C17">
        <f t="shared" si="1"/>
        <v>9.4049077376886947E-2</v>
      </c>
      <c r="D17">
        <f t="shared" si="2"/>
        <v>0.19766254312269238</v>
      </c>
      <c r="E17">
        <f t="shared" si="3"/>
        <v>0.13899244306549824</v>
      </c>
    </row>
    <row r="18" spans="1:5">
      <c r="A18">
        <v>-1.6</v>
      </c>
      <c r="B18">
        <f t="shared" si="0"/>
        <v>5.4799291699557967E-2</v>
      </c>
      <c r="C18">
        <f t="shared" si="1"/>
        <v>0.11092083467945554</v>
      </c>
      <c r="D18">
        <f t="shared" si="2"/>
        <v>0.21185539858339661</v>
      </c>
      <c r="E18">
        <f t="shared" si="3"/>
        <v>0.14484577638074136</v>
      </c>
    </row>
    <row r="19" spans="1:5">
      <c r="A19">
        <v>-1.5</v>
      </c>
      <c r="B19">
        <f t="shared" si="0"/>
        <v>6.6807201268858057E-2</v>
      </c>
      <c r="C19">
        <f t="shared" si="1"/>
        <v>0.12951759566589174</v>
      </c>
      <c r="D19">
        <f t="shared" si="2"/>
        <v>0.22662735237686821</v>
      </c>
      <c r="E19">
        <f t="shared" si="3"/>
        <v>0.15056871607740221</v>
      </c>
    </row>
    <row r="20" spans="1:5">
      <c r="A20">
        <v>-1.4</v>
      </c>
      <c r="B20">
        <f t="shared" si="0"/>
        <v>8.0756659233771053E-2</v>
      </c>
      <c r="C20">
        <f t="shared" si="1"/>
        <v>0.14972746563574488</v>
      </c>
      <c r="D20">
        <f t="shared" si="2"/>
        <v>0.24196365222307298</v>
      </c>
      <c r="E20">
        <f t="shared" si="3"/>
        <v>0.15612696668338064</v>
      </c>
    </row>
    <row r="21" spans="1:5">
      <c r="A21">
        <v>-1.3</v>
      </c>
      <c r="B21">
        <f t="shared" si="0"/>
        <v>9.6800484585610316E-2</v>
      </c>
      <c r="C21">
        <f t="shared" si="1"/>
        <v>0.17136859204780736</v>
      </c>
      <c r="D21">
        <f t="shared" si="2"/>
        <v>0.25784611080586467</v>
      </c>
      <c r="E21">
        <f t="shared" si="3"/>
        <v>0.16148617983395713</v>
      </c>
    </row>
    <row r="22" spans="1:5">
      <c r="A22">
        <v>-1.2</v>
      </c>
      <c r="B22">
        <f t="shared" si="0"/>
        <v>0.11506967022170828</v>
      </c>
      <c r="C22">
        <f t="shared" si="1"/>
        <v>0.19418605498321295</v>
      </c>
      <c r="D22">
        <f t="shared" si="2"/>
        <v>0.27425311775007355</v>
      </c>
      <c r="E22">
        <f t="shared" si="3"/>
        <v>0.16661230144589984</v>
      </c>
    </row>
    <row r="23" spans="1:5">
      <c r="A23">
        <v>-1.1000000000000001</v>
      </c>
      <c r="B23">
        <f t="shared" si="0"/>
        <v>0.13566606094638264</v>
      </c>
      <c r="C23">
        <f t="shared" si="1"/>
        <v>0.21785217703255053</v>
      </c>
      <c r="D23">
        <f t="shared" si="2"/>
        <v>0.29115968678834636</v>
      </c>
      <c r="E23">
        <f t="shared" si="3"/>
        <v>0.17147192750969195</v>
      </c>
    </row>
    <row r="24" spans="1:5">
      <c r="A24">
        <v>-1</v>
      </c>
      <c r="B24">
        <f t="shared" si="0"/>
        <v>0.15865525393145699</v>
      </c>
      <c r="C24">
        <f t="shared" si="1"/>
        <v>0.24197072451914337</v>
      </c>
      <c r="D24">
        <f t="shared" si="2"/>
        <v>0.30853753872598688</v>
      </c>
      <c r="E24">
        <f t="shared" si="3"/>
        <v>0.17603266338214976</v>
      </c>
    </row>
    <row r="25" spans="1:5">
      <c r="A25">
        <v>-0.9</v>
      </c>
      <c r="B25">
        <f t="shared" si="0"/>
        <v>0.1840601253467595</v>
      </c>
      <c r="C25">
        <f t="shared" si="1"/>
        <v>0.26608524989875482</v>
      </c>
      <c r="D25">
        <f t="shared" si="2"/>
        <v>0.32635522028791997</v>
      </c>
      <c r="E25">
        <f t="shared" si="3"/>
        <v>0.18026348123082397</v>
      </c>
    </row>
    <row r="26" spans="1:5">
      <c r="A26">
        <v>-0.8</v>
      </c>
      <c r="B26">
        <f t="shared" si="0"/>
        <v>0.21185539858339661</v>
      </c>
      <c r="C26">
        <f t="shared" si="1"/>
        <v>0.28969155276148273</v>
      </c>
      <c r="D26">
        <f t="shared" si="2"/>
        <v>0.34457825838967576</v>
      </c>
      <c r="E26">
        <f t="shared" si="3"/>
        <v>0.18413507015166167</v>
      </c>
    </row>
    <row r="27" spans="1:5">
      <c r="A27">
        <v>-0.7</v>
      </c>
      <c r="B27">
        <f t="shared" si="0"/>
        <v>0.24196365222307298</v>
      </c>
      <c r="C27">
        <f t="shared" si="1"/>
        <v>0.31225393336676127</v>
      </c>
      <c r="D27">
        <f t="shared" si="2"/>
        <v>0.3631693488243809</v>
      </c>
      <c r="E27">
        <f t="shared" si="3"/>
        <v>0.18762017345846896</v>
      </c>
    </row>
    <row r="28" spans="1:5">
      <c r="A28">
        <v>-0.6</v>
      </c>
      <c r="B28">
        <f t="shared" si="0"/>
        <v>0.27425311775007355</v>
      </c>
      <c r="C28">
        <f t="shared" si="1"/>
        <v>0.33322460289179967</v>
      </c>
      <c r="D28">
        <f t="shared" si="2"/>
        <v>0.38208857781104733</v>
      </c>
      <c r="E28">
        <f t="shared" si="3"/>
        <v>0.19069390773026207</v>
      </c>
    </row>
    <row r="29" spans="1:5">
      <c r="A29">
        <v>-0.5</v>
      </c>
      <c r="B29">
        <f t="shared" si="0"/>
        <v>0.30853753872598688</v>
      </c>
      <c r="C29">
        <f t="shared" si="1"/>
        <v>0.35206532676429952</v>
      </c>
      <c r="D29">
        <f t="shared" si="2"/>
        <v>0.4012936743170763</v>
      </c>
      <c r="E29">
        <f t="shared" si="3"/>
        <v>0.19333405840142462</v>
      </c>
    </row>
    <row r="30" spans="1:5">
      <c r="A30">
        <v>-0.4</v>
      </c>
      <c r="B30">
        <f t="shared" si="0"/>
        <v>0.34457825838967576</v>
      </c>
      <c r="C30">
        <f t="shared" si="1"/>
        <v>0.36827014030332333</v>
      </c>
      <c r="D30">
        <f t="shared" si="2"/>
        <v>0.42074029056089696</v>
      </c>
      <c r="E30">
        <f t="shared" si="3"/>
        <v>0.19552134698772794</v>
      </c>
    </row>
    <row r="31" spans="1:5">
      <c r="A31">
        <v>-0.3</v>
      </c>
      <c r="B31">
        <f t="shared" si="0"/>
        <v>0.38208857781104733</v>
      </c>
      <c r="C31">
        <f t="shared" si="1"/>
        <v>0.38138781546052414</v>
      </c>
      <c r="D31">
        <f t="shared" si="2"/>
        <v>0.4403823076297575</v>
      </c>
      <c r="E31">
        <f t="shared" si="3"/>
        <v>0.19723966545394447</v>
      </c>
    </row>
    <row r="32" spans="1:5">
      <c r="A32">
        <v>-0.2</v>
      </c>
      <c r="B32">
        <f t="shared" si="0"/>
        <v>0.42074029056089696</v>
      </c>
      <c r="C32">
        <f t="shared" si="1"/>
        <v>0.39104269397545588</v>
      </c>
      <c r="D32">
        <f t="shared" si="2"/>
        <v>0.46017216272297101</v>
      </c>
      <c r="E32">
        <f t="shared" si="3"/>
        <v>0.1984762737385059</v>
      </c>
    </row>
    <row r="33" spans="1:5">
      <c r="A33">
        <v>-0.1</v>
      </c>
      <c r="B33">
        <f t="shared" si="0"/>
        <v>0.46017216272297101</v>
      </c>
      <c r="C33">
        <f t="shared" si="1"/>
        <v>0.39695254747701181</v>
      </c>
      <c r="D33">
        <f t="shared" si="2"/>
        <v>0.48006119416162751</v>
      </c>
      <c r="E33">
        <f t="shared" si="3"/>
        <v>0.19922195704738202</v>
      </c>
    </row>
    <row r="34" spans="1:5">
      <c r="A34">
        <v>0</v>
      </c>
      <c r="B34">
        <f t="shared" si="0"/>
        <v>0.5</v>
      </c>
      <c r="C34">
        <f t="shared" si="1"/>
        <v>0.3989422804014327</v>
      </c>
      <c r="D34">
        <f t="shared" si="2"/>
        <v>0.5</v>
      </c>
      <c r="E34">
        <f t="shared" si="3"/>
        <v>0.19947114020071635</v>
      </c>
    </row>
    <row r="35" spans="1:5">
      <c r="A35">
        <v>9.9999999999999603E-2</v>
      </c>
      <c r="B35">
        <f t="shared" si="0"/>
        <v>0.53982783727702888</v>
      </c>
      <c r="C35">
        <f t="shared" si="1"/>
        <v>0.39695254747701181</v>
      </c>
      <c r="D35">
        <f t="shared" si="2"/>
        <v>0.51993880583837238</v>
      </c>
      <c r="E35">
        <f t="shared" si="3"/>
        <v>0.19922195704738202</v>
      </c>
    </row>
    <row r="36" spans="1:5">
      <c r="A36">
        <v>0.2</v>
      </c>
      <c r="B36">
        <f t="shared" si="0"/>
        <v>0.57925970943910299</v>
      </c>
      <c r="C36">
        <f t="shared" si="1"/>
        <v>0.39104269397545588</v>
      </c>
      <c r="D36">
        <f t="shared" si="2"/>
        <v>0.53982783727702899</v>
      </c>
      <c r="E36">
        <f t="shared" si="3"/>
        <v>0.1984762737385059</v>
      </c>
    </row>
    <row r="37" spans="1:5">
      <c r="A37">
        <v>0.3</v>
      </c>
      <c r="B37">
        <f t="shared" si="0"/>
        <v>0.61791142218895267</v>
      </c>
      <c r="C37">
        <f t="shared" si="1"/>
        <v>0.38138781546052414</v>
      </c>
      <c r="D37">
        <f t="shared" si="2"/>
        <v>0.5596176923702425</v>
      </c>
      <c r="E37">
        <f t="shared" si="3"/>
        <v>0.19723966545394447</v>
      </c>
    </row>
    <row r="38" spans="1:5">
      <c r="A38">
        <v>0.4</v>
      </c>
      <c r="B38">
        <f t="shared" si="0"/>
        <v>0.65542174161032429</v>
      </c>
      <c r="C38">
        <f t="shared" si="1"/>
        <v>0.36827014030332333</v>
      </c>
      <c r="D38">
        <f t="shared" si="2"/>
        <v>0.57925970943910299</v>
      </c>
      <c r="E38">
        <f t="shared" si="3"/>
        <v>0.19552134698772794</v>
      </c>
    </row>
    <row r="39" spans="1:5">
      <c r="A39">
        <v>0.5</v>
      </c>
      <c r="B39">
        <f t="shared" si="0"/>
        <v>0.69146246127401312</v>
      </c>
      <c r="C39">
        <f t="shared" si="1"/>
        <v>0.35206532676429952</v>
      </c>
      <c r="D39">
        <f t="shared" si="2"/>
        <v>0.5987063256829237</v>
      </c>
      <c r="E39">
        <f t="shared" si="3"/>
        <v>0.19333405840142462</v>
      </c>
    </row>
    <row r="40" spans="1:5">
      <c r="A40">
        <v>0.6</v>
      </c>
      <c r="B40">
        <f t="shared" si="0"/>
        <v>0.72574688224992645</v>
      </c>
      <c r="C40">
        <f t="shared" si="1"/>
        <v>0.33322460289179967</v>
      </c>
      <c r="D40">
        <f t="shared" si="2"/>
        <v>0.61791142218895267</v>
      </c>
      <c r="E40">
        <f t="shared" si="3"/>
        <v>0.19069390773026207</v>
      </c>
    </row>
    <row r="41" spans="1:5">
      <c r="A41">
        <v>0.7</v>
      </c>
      <c r="B41">
        <f t="shared" si="0"/>
        <v>0.75803634777692697</v>
      </c>
      <c r="C41">
        <f t="shared" si="1"/>
        <v>0.31225393336676127</v>
      </c>
      <c r="D41">
        <f t="shared" si="2"/>
        <v>0.6368306511756191</v>
      </c>
      <c r="E41">
        <f t="shared" si="3"/>
        <v>0.18762017345846896</v>
      </c>
    </row>
    <row r="42" spans="1:5">
      <c r="A42">
        <v>0.8</v>
      </c>
      <c r="B42">
        <f t="shared" si="0"/>
        <v>0.78814460141660336</v>
      </c>
      <c r="C42">
        <f t="shared" si="1"/>
        <v>0.28969155276148273</v>
      </c>
      <c r="D42">
        <f t="shared" si="2"/>
        <v>0.65542174161032429</v>
      </c>
      <c r="E42">
        <f t="shared" si="3"/>
        <v>0.18413507015166167</v>
      </c>
    </row>
    <row r="43" spans="1:5">
      <c r="A43">
        <v>0.89999999999999902</v>
      </c>
      <c r="B43">
        <f t="shared" si="0"/>
        <v>0.81593987465324025</v>
      </c>
      <c r="C43">
        <f t="shared" si="1"/>
        <v>0.26608524989875504</v>
      </c>
      <c r="D43">
        <f t="shared" si="2"/>
        <v>0.67364477971207981</v>
      </c>
      <c r="E43">
        <f t="shared" si="3"/>
        <v>0.18026348123082403</v>
      </c>
    </row>
    <row r="44" spans="1:5">
      <c r="A44">
        <v>1</v>
      </c>
      <c r="B44">
        <f t="shared" si="0"/>
        <v>0.84134474606854304</v>
      </c>
      <c r="C44">
        <f t="shared" si="1"/>
        <v>0.24197072451914337</v>
      </c>
      <c r="D44">
        <f t="shared" si="2"/>
        <v>0.69146246127401312</v>
      </c>
      <c r="E44">
        <f t="shared" si="3"/>
        <v>0.17603266338214976</v>
      </c>
    </row>
    <row r="45" spans="1:5">
      <c r="A45">
        <v>1.1000000000000001</v>
      </c>
      <c r="B45">
        <f t="shared" si="0"/>
        <v>0.86433393905361733</v>
      </c>
      <c r="C45">
        <f t="shared" si="1"/>
        <v>0.21785217703255053</v>
      </c>
      <c r="D45">
        <f t="shared" si="2"/>
        <v>0.70884031321165364</v>
      </c>
      <c r="E45">
        <f t="shared" si="3"/>
        <v>0.17147192750969195</v>
      </c>
    </row>
    <row r="46" spans="1:5">
      <c r="A46">
        <v>1.2</v>
      </c>
      <c r="B46">
        <f t="shared" si="0"/>
        <v>0.88493032977829178</v>
      </c>
      <c r="C46">
        <f t="shared" si="1"/>
        <v>0.19418605498321295</v>
      </c>
      <c r="D46">
        <f t="shared" si="2"/>
        <v>0.72574688224992645</v>
      </c>
      <c r="E46">
        <f t="shared" si="3"/>
        <v>0.16661230144589984</v>
      </c>
    </row>
    <row r="47" spans="1:5">
      <c r="A47">
        <v>1.3</v>
      </c>
      <c r="B47">
        <f t="shared" si="0"/>
        <v>0.9031995154143897</v>
      </c>
      <c r="C47">
        <f t="shared" si="1"/>
        <v>0.17136859204780736</v>
      </c>
      <c r="D47">
        <f t="shared" si="2"/>
        <v>0.74215388919413527</v>
      </c>
      <c r="E47">
        <f t="shared" si="3"/>
        <v>0.16148617983395713</v>
      </c>
    </row>
    <row r="48" spans="1:5">
      <c r="A48">
        <v>1.4</v>
      </c>
      <c r="B48">
        <f t="shared" si="0"/>
        <v>0.91924334076622893</v>
      </c>
      <c r="C48">
        <f t="shared" si="1"/>
        <v>0.14972746563574488</v>
      </c>
      <c r="D48">
        <f t="shared" si="2"/>
        <v>0.75803634777692697</v>
      </c>
      <c r="E48">
        <f t="shared" si="3"/>
        <v>0.15612696668338064</v>
      </c>
    </row>
    <row r="49" spans="1:5">
      <c r="A49">
        <v>1.5</v>
      </c>
      <c r="B49">
        <f t="shared" si="0"/>
        <v>0.93319279873114191</v>
      </c>
      <c r="C49">
        <f t="shared" si="1"/>
        <v>0.12951759566589174</v>
      </c>
      <c r="D49">
        <f t="shared" si="2"/>
        <v>0.77337264762313174</v>
      </c>
      <c r="E49">
        <f t="shared" si="3"/>
        <v>0.15056871607740221</v>
      </c>
    </row>
    <row r="50" spans="1:5">
      <c r="A50">
        <v>1.6</v>
      </c>
      <c r="B50">
        <f t="shared" si="0"/>
        <v>0.94520070830044201</v>
      </c>
      <c r="C50">
        <f t="shared" si="1"/>
        <v>0.11092083467945554</v>
      </c>
      <c r="D50">
        <f t="shared" si="2"/>
        <v>0.78814460141660336</v>
      </c>
      <c r="E50">
        <f t="shared" si="3"/>
        <v>0.14484577638074136</v>
      </c>
    </row>
    <row r="51" spans="1:5">
      <c r="A51">
        <v>1.7</v>
      </c>
      <c r="B51">
        <f t="shared" si="0"/>
        <v>0.95543453724145699</v>
      </c>
      <c r="C51">
        <f t="shared" si="1"/>
        <v>9.4049077376886947E-2</v>
      </c>
      <c r="D51">
        <f t="shared" si="2"/>
        <v>0.80233745687730762</v>
      </c>
      <c r="E51">
        <f t="shared" si="3"/>
        <v>0.13899244306549824</v>
      </c>
    </row>
    <row r="52" spans="1:5">
      <c r="A52">
        <v>1.8</v>
      </c>
      <c r="B52">
        <f t="shared" si="0"/>
        <v>0.96406968088707423</v>
      </c>
      <c r="C52">
        <f t="shared" si="1"/>
        <v>7.8950158300894149E-2</v>
      </c>
      <c r="D52">
        <f t="shared" si="2"/>
        <v>0.81593987465324047</v>
      </c>
      <c r="E52">
        <f t="shared" si="3"/>
        <v>0.13304262494937741</v>
      </c>
    </row>
    <row r="53" spans="1:5">
      <c r="A53">
        <v>1.9</v>
      </c>
      <c r="B53">
        <f t="shared" si="0"/>
        <v>0.97128344018399815</v>
      </c>
      <c r="C53">
        <f t="shared" si="1"/>
        <v>6.5615814774676595E-2</v>
      </c>
      <c r="D53">
        <f t="shared" si="2"/>
        <v>0.82894387369151812</v>
      </c>
      <c r="E53">
        <f t="shared" si="3"/>
        <v>0.12702952823459451</v>
      </c>
    </row>
    <row r="54" spans="1:5">
      <c r="A54">
        <v>2</v>
      </c>
      <c r="B54">
        <f t="shared" si="0"/>
        <v>0.97724986805182079</v>
      </c>
      <c r="C54">
        <f t="shared" si="1"/>
        <v>5.3990966513188063E-2</v>
      </c>
      <c r="D54">
        <f t="shared" si="2"/>
        <v>0.84134474606854304</v>
      </c>
      <c r="E54">
        <f t="shared" si="3"/>
        <v>0.12098536225957168</v>
      </c>
    </row>
    <row r="55" spans="1:5">
      <c r="A55">
        <v>2.1</v>
      </c>
      <c r="B55">
        <f t="shared" si="0"/>
        <v>0.98213557943718344</v>
      </c>
      <c r="C55">
        <f t="shared" si="1"/>
        <v>4.3983595980427191E-2</v>
      </c>
      <c r="D55">
        <f t="shared" si="2"/>
        <v>0.85314094362410409</v>
      </c>
      <c r="E55">
        <f t="shared" si="3"/>
        <v>0.11494107034211651</v>
      </c>
    </row>
    <row r="56" spans="1:5">
      <c r="A56">
        <v>2.2000000000000002</v>
      </c>
      <c r="B56">
        <f t="shared" si="0"/>
        <v>0.98609655248650141</v>
      </c>
      <c r="C56">
        <f t="shared" si="1"/>
        <v>3.5474592846231424E-2</v>
      </c>
      <c r="D56">
        <f t="shared" si="2"/>
        <v>0.86433393905361733</v>
      </c>
      <c r="E56">
        <f t="shared" si="3"/>
        <v>0.10892608851627526</v>
      </c>
    </row>
    <row r="57" spans="1:5">
      <c r="A57">
        <v>2.30000000000001</v>
      </c>
      <c r="B57">
        <f t="shared" si="0"/>
        <v>0.9892758899783245</v>
      </c>
      <c r="C57">
        <f t="shared" si="1"/>
        <v>2.8327037741600516E-2</v>
      </c>
      <c r="D57">
        <f t="shared" si="2"/>
        <v>0.87492806436285075</v>
      </c>
      <c r="E57">
        <f t="shared" si="3"/>
        <v>0.10296813435998679</v>
      </c>
    </row>
    <row r="58" spans="1:5">
      <c r="A58">
        <v>2.4</v>
      </c>
      <c r="B58">
        <f t="shared" si="0"/>
        <v>0.99180246407540384</v>
      </c>
      <c r="C58">
        <f t="shared" si="1"/>
        <v>2.2394530294842899E-2</v>
      </c>
      <c r="D58">
        <f t="shared" si="2"/>
        <v>0.88493032977829178</v>
      </c>
      <c r="E58">
        <f t="shared" si="3"/>
        <v>9.7093027491606476E-2</v>
      </c>
    </row>
    <row r="59" spans="1:5">
      <c r="A59">
        <v>2.5</v>
      </c>
      <c r="B59">
        <f t="shared" si="0"/>
        <v>0.99379033467422384</v>
      </c>
      <c r="C59">
        <f t="shared" si="1"/>
        <v>1.752830049356854E-2</v>
      </c>
      <c r="D59">
        <f t="shared" si="2"/>
        <v>0.89435022633314476</v>
      </c>
      <c r="E59">
        <f t="shared" si="3"/>
        <v>9.1324542694510957E-2</v>
      </c>
    </row>
    <row r="60" spans="1:5">
      <c r="A60">
        <v>2.6000000000000099</v>
      </c>
      <c r="B60">
        <f t="shared" si="0"/>
        <v>0.99533881197628138</v>
      </c>
      <c r="C60">
        <f t="shared" si="1"/>
        <v>1.3582969233685271E-2</v>
      </c>
      <c r="D60">
        <f t="shared" si="2"/>
        <v>0.90319951541439047</v>
      </c>
      <c r="E60">
        <f t="shared" si="3"/>
        <v>8.5684296023903136E-2</v>
      </c>
    </row>
    <row r="61" spans="1:5">
      <c r="A61">
        <v>2.7000000000000099</v>
      </c>
      <c r="B61">
        <f t="shared" si="0"/>
        <v>0.99653302619695949</v>
      </c>
      <c r="C61">
        <f t="shared" si="1"/>
        <v>1.0420934814422318E-2</v>
      </c>
      <c r="D61">
        <f t="shared" si="2"/>
        <v>0.91149200856259882</v>
      </c>
      <c r="E61">
        <f t="shared" si="3"/>
        <v>8.0191663670959271E-2</v>
      </c>
    </row>
    <row r="62" spans="1:5">
      <c r="A62">
        <v>2.80000000000001</v>
      </c>
      <c r="B62">
        <f t="shared" si="0"/>
        <v>0.99744486966957213</v>
      </c>
      <c r="C62">
        <f t="shared" si="1"/>
        <v>7.915451582979743E-3</v>
      </c>
      <c r="D62">
        <f t="shared" si="2"/>
        <v>0.91924334076622971</v>
      </c>
      <c r="E62">
        <f t="shared" si="3"/>
        <v>7.4863732817871911E-2</v>
      </c>
    </row>
    <row r="63" spans="1:5">
      <c r="A63">
        <v>2.9</v>
      </c>
      <c r="B63">
        <f t="shared" si="0"/>
        <v>0.99813418669961596</v>
      </c>
      <c r="C63">
        <f t="shared" si="1"/>
        <v>5.9525324197758538E-3</v>
      </c>
      <c r="D63">
        <f t="shared" si="2"/>
        <v>0.9264707403903516</v>
      </c>
      <c r="E63">
        <f t="shared" si="3"/>
        <v>6.9715283222680141E-2</v>
      </c>
    </row>
    <row r="64" spans="1:5">
      <c r="A64">
        <v>3.0000000000000102</v>
      </c>
      <c r="B64">
        <f t="shared" si="0"/>
        <v>0.9986501019683699</v>
      </c>
      <c r="C64">
        <f t="shared" si="1"/>
        <v>4.431848411937874E-3</v>
      </c>
      <c r="D64">
        <f t="shared" si="2"/>
        <v>0.93319279873114258</v>
      </c>
      <c r="E64">
        <f t="shared" si="3"/>
        <v>6.4758797832945386E-2</v>
      </c>
    </row>
    <row r="65" spans="1:5">
      <c r="A65">
        <v>3.1000000000000099</v>
      </c>
      <c r="B65">
        <f t="shared" si="0"/>
        <v>0.99903239678678168</v>
      </c>
      <c r="C65">
        <f t="shared" si="1"/>
        <v>3.2668190561998202E-3</v>
      </c>
      <c r="D65">
        <f t="shared" si="2"/>
        <v>0.93942924199794164</v>
      </c>
      <c r="E65">
        <f t="shared" si="3"/>
        <v>6.0004500348492334E-2</v>
      </c>
    </row>
    <row r="66" spans="1:5">
      <c r="A66">
        <v>3.2000000000000099</v>
      </c>
      <c r="B66">
        <f t="shared" si="0"/>
        <v>0.99931286206208414</v>
      </c>
      <c r="C66">
        <f t="shared" si="1"/>
        <v>2.3840882014647662E-3</v>
      </c>
      <c r="D66">
        <f t="shared" si="2"/>
        <v>0.94520070830044256</v>
      </c>
      <c r="E66">
        <f t="shared" si="3"/>
        <v>5.5460417339727341E-2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6.5"/>
  <cols>
    <col min="2" max="2" width="10.5" bestFit="1" customWidth="1"/>
  </cols>
  <sheetData>
    <row r="1" spans="1:2">
      <c r="A1" s="43" t="s">
        <v>224</v>
      </c>
      <c r="B1" s="43" t="s">
        <v>225</v>
      </c>
    </row>
    <row r="2" spans="1:2">
      <c r="A2" s="45">
        <v>1</v>
      </c>
      <c r="B2" s="46">
        <v>0.13</v>
      </c>
    </row>
    <row r="3" spans="1:2">
      <c r="A3" s="45">
        <v>2</v>
      </c>
      <c r="B3" s="46">
        <v>0.14000000000000001</v>
      </c>
    </row>
    <row r="4" spans="1:2">
      <c r="A4" s="45">
        <v>3</v>
      </c>
      <c r="B4" s="46">
        <v>0.2</v>
      </c>
    </row>
    <row r="5" spans="1:2">
      <c r="A5" s="45">
        <v>4</v>
      </c>
      <c r="B5" s="46">
        <v>7.0000000000000007E-2</v>
      </c>
    </row>
    <row r="6" spans="1:2">
      <c r="A6" s="45">
        <v>5</v>
      </c>
      <c r="B6" s="46">
        <v>0.16</v>
      </c>
    </row>
    <row r="7" spans="1:2">
      <c r="A7" s="45">
        <v>6</v>
      </c>
      <c r="B7" s="46">
        <v>0.3</v>
      </c>
    </row>
    <row r="9" spans="1:2">
      <c r="A9" s="47">
        <f>PROB(A2:A7,B2:B7,1.8,4.2)</f>
        <v>0.41000000000000003</v>
      </c>
      <c r="B9" s="44" t="s">
        <v>221</v>
      </c>
    </row>
    <row r="10" spans="1:2">
      <c r="A10" s="47">
        <f>PROB(A2:A7,B2:B7,2,3)</f>
        <v>0.34</v>
      </c>
      <c r="B10" s="44" t="s">
        <v>222</v>
      </c>
    </row>
    <row r="11" spans="1:2">
      <c r="A11" s="47">
        <f>PROB(A2:A7,B2:B7,5)</f>
        <v>0.16</v>
      </c>
      <c r="B11" s="44" t="s">
        <v>223</v>
      </c>
    </row>
  </sheetData>
  <phoneticPr fontId="3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"/>
    </sheetView>
  </sheetViews>
  <sheetFormatPr defaultColWidth="8.875" defaultRowHeight="16.5"/>
  <cols>
    <col min="1" max="1" width="8.25" style="31" customWidth="1"/>
    <col min="2" max="3" width="12.875" style="31" bestFit="1" customWidth="1"/>
    <col min="4" max="4" width="8.875" style="31"/>
    <col min="5" max="5" width="5" style="31" customWidth="1"/>
    <col min="6" max="6" width="16.25" style="31" customWidth="1"/>
    <col min="7" max="8" width="12.875" style="31" bestFit="1" customWidth="1"/>
    <col min="9" max="16384" width="8.875" style="31"/>
  </cols>
  <sheetData>
    <row r="1" spans="1:8" ht="17.25" thickBot="1">
      <c r="A1" s="56" t="s">
        <v>234</v>
      </c>
      <c r="B1" s="57"/>
      <c r="C1" s="58"/>
      <c r="F1" t="s">
        <v>242</v>
      </c>
      <c r="G1"/>
      <c r="H1"/>
    </row>
    <row r="2" spans="1:8" ht="17.25" thickBot="1">
      <c r="A2" s="59" t="s">
        <v>235</v>
      </c>
      <c r="B2" s="51" t="s">
        <v>236</v>
      </c>
      <c r="C2" s="52" t="s">
        <v>237</v>
      </c>
      <c r="F2"/>
      <c r="G2"/>
      <c r="H2"/>
    </row>
    <row r="3" spans="1:8">
      <c r="A3" s="60">
        <v>1</v>
      </c>
      <c r="B3" s="53">
        <v>383</v>
      </c>
      <c r="C3" s="54">
        <v>369</v>
      </c>
      <c r="F3" s="1"/>
      <c r="G3" s="1" t="s">
        <v>236</v>
      </c>
      <c r="H3" s="1" t="s">
        <v>237</v>
      </c>
    </row>
    <row r="4" spans="1:8">
      <c r="A4" s="60">
        <v>2</v>
      </c>
      <c r="B4" s="53">
        <v>400</v>
      </c>
      <c r="C4" s="54">
        <v>385</v>
      </c>
      <c r="F4" s="3" t="s">
        <v>68</v>
      </c>
      <c r="G4" s="3">
        <v>392.58333333333331</v>
      </c>
      <c r="H4" s="3">
        <v>394.125</v>
      </c>
    </row>
    <row r="5" spans="1:8">
      <c r="A5" s="60">
        <v>3</v>
      </c>
      <c r="B5" s="53">
        <v>495</v>
      </c>
      <c r="C5" s="54">
        <v>356</v>
      </c>
      <c r="F5" s="3" t="s">
        <v>188</v>
      </c>
      <c r="G5" s="3">
        <v>3358.4469696969768</v>
      </c>
      <c r="H5" s="3">
        <v>2541.2678571428573</v>
      </c>
    </row>
    <row r="6" spans="1:8">
      <c r="A6" s="60">
        <v>4</v>
      </c>
      <c r="B6" s="53">
        <v>417</v>
      </c>
      <c r="C6" s="54">
        <v>448</v>
      </c>
      <c r="F6" s="3" t="s">
        <v>243</v>
      </c>
      <c r="G6" s="3">
        <v>12</v>
      </c>
      <c r="H6" s="3">
        <v>8</v>
      </c>
    </row>
    <row r="7" spans="1:8">
      <c r="A7" s="60">
        <v>5</v>
      </c>
      <c r="B7" s="53">
        <v>388</v>
      </c>
      <c r="C7" s="54">
        <v>338</v>
      </c>
      <c r="F7" s="3" t="s">
        <v>244</v>
      </c>
      <c r="G7" s="3">
        <v>11</v>
      </c>
      <c r="H7" s="3">
        <v>7</v>
      </c>
    </row>
    <row r="8" spans="1:8">
      <c r="A8" s="60">
        <v>6</v>
      </c>
      <c r="B8" s="53">
        <v>370</v>
      </c>
      <c r="C8" s="54">
        <v>355</v>
      </c>
      <c r="F8" s="3" t="s">
        <v>245</v>
      </c>
      <c r="G8" s="62">
        <v>1.3215635495712257</v>
      </c>
      <c r="H8" s="3"/>
    </row>
    <row r="9" spans="1:8">
      <c r="A9" s="60">
        <v>7</v>
      </c>
      <c r="B9" s="53">
        <v>331</v>
      </c>
      <c r="C9" s="54">
        <v>479</v>
      </c>
      <c r="F9" s="3" t="s">
        <v>246</v>
      </c>
      <c r="G9" s="3">
        <v>0.36676334318732123</v>
      </c>
      <c r="H9" s="3"/>
    </row>
    <row r="10" spans="1:8" ht="17.25" thickBot="1">
      <c r="A10" s="60">
        <v>8</v>
      </c>
      <c r="B10" s="53">
        <v>427</v>
      </c>
      <c r="C10" s="54">
        <v>423</v>
      </c>
      <c r="F10" s="4" t="s">
        <v>247</v>
      </c>
      <c r="G10" s="63">
        <v>3.6030343153470312</v>
      </c>
      <c r="H10" s="4"/>
    </row>
    <row r="11" spans="1:8">
      <c r="A11" s="60">
        <v>9</v>
      </c>
      <c r="B11" s="53">
        <v>315</v>
      </c>
      <c r="C11" s="55"/>
    </row>
    <row r="12" spans="1:8">
      <c r="A12" s="60">
        <v>10</v>
      </c>
      <c r="B12" s="53">
        <v>389</v>
      </c>
      <c r="C12" s="55"/>
    </row>
    <row r="13" spans="1:8">
      <c r="A13" s="60">
        <v>11</v>
      </c>
      <c r="B13" s="53">
        <v>482</v>
      </c>
      <c r="C13" s="55"/>
    </row>
    <row r="14" spans="1:8">
      <c r="A14" s="60">
        <v>12</v>
      </c>
      <c r="B14" s="53">
        <v>314</v>
      </c>
      <c r="C14" s="55"/>
    </row>
    <row r="16" spans="1:8">
      <c r="A16" s="44">
        <f>FTEST(B3:B14,C3:C10)</f>
        <v>0.73352668629864959</v>
      </c>
      <c r="B16" s="44" t="s">
        <v>238</v>
      </c>
      <c r="D16" s="31" t="s">
        <v>239</v>
      </c>
    </row>
    <row r="17" spans="1:4">
      <c r="A17" s="61">
        <f>FTEST(B3:B14,C3:C10)/2</f>
        <v>0.36676334314932479</v>
      </c>
      <c r="B17" s="44" t="s">
        <v>240</v>
      </c>
      <c r="D17" s="31" t="s">
        <v>241</v>
      </c>
    </row>
    <row r="19" spans="1:4">
      <c r="A19" s="5">
        <f>TTEST(B3:B14,C3:C10,2,2)</f>
        <v>0.95183270715015533</v>
      </c>
    </row>
  </sheetData>
  <phoneticPr fontId="3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3" sqref="A23"/>
    </sheetView>
  </sheetViews>
  <sheetFormatPr defaultRowHeight="16.5"/>
  <cols>
    <col min="1" max="1" width="7.875" style="31" customWidth="1"/>
    <col min="2" max="4" width="9" style="31" customWidth="1"/>
    <col min="5" max="5" width="13" style="31" customWidth="1"/>
    <col min="6" max="6" width="10" style="31" customWidth="1"/>
    <col min="7" max="8" width="9" style="31" customWidth="1"/>
    <col min="9" max="9" width="13.5" style="31" customWidth="1"/>
    <col min="10" max="11" width="10.625" style="31" customWidth="1"/>
    <col min="12" max="12" width="13.75" style="31" customWidth="1"/>
    <col min="13" max="16384" width="9" style="31"/>
  </cols>
  <sheetData>
    <row r="1" spans="1:11" ht="17.25" thickBot="1">
      <c r="A1" s="73" t="s">
        <v>256</v>
      </c>
      <c r="B1" s="74"/>
      <c r="C1" s="75"/>
      <c r="E1" s="31" t="s">
        <v>242</v>
      </c>
      <c r="I1" s="31" t="s">
        <v>248</v>
      </c>
    </row>
    <row r="2" spans="1:11" ht="17.25" thickBot="1">
      <c r="A2" s="76" t="s">
        <v>235</v>
      </c>
      <c r="B2" s="64" t="s">
        <v>249</v>
      </c>
      <c r="C2" s="65" t="s">
        <v>250</v>
      </c>
    </row>
    <row r="3" spans="1:11">
      <c r="A3" s="77">
        <v>1</v>
      </c>
      <c r="B3" s="66">
        <v>7</v>
      </c>
      <c r="C3" s="67">
        <v>9</v>
      </c>
      <c r="E3" s="1"/>
      <c r="F3" s="1" t="s">
        <v>249</v>
      </c>
      <c r="G3" s="1" t="s">
        <v>250</v>
      </c>
      <c r="I3" s="1"/>
      <c r="J3" s="1" t="s">
        <v>249</v>
      </c>
      <c r="K3" s="1" t="s">
        <v>250</v>
      </c>
    </row>
    <row r="4" spans="1:11">
      <c r="A4" s="77">
        <v>2</v>
      </c>
      <c r="B4" s="66">
        <v>5.5</v>
      </c>
      <c r="C4" s="67">
        <v>8.5</v>
      </c>
      <c r="E4" s="68" t="s">
        <v>68</v>
      </c>
      <c r="F4" s="68">
        <v>7.1</v>
      </c>
      <c r="G4" s="68">
        <v>8.1944444444444446</v>
      </c>
      <c r="I4" s="68" t="s">
        <v>68</v>
      </c>
      <c r="J4" s="68">
        <v>7.1</v>
      </c>
      <c r="K4" s="68">
        <v>8.1944444444444446</v>
      </c>
    </row>
    <row r="5" spans="1:11">
      <c r="A5" s="77">
        <v>3</v>
      </c>
      <c r="B5" s="66">
        <v>9</v>
      </c>
      <c r="C5" s="67">
        <v>9.5</v>
      </c>
      <c r="E5" s="68" t="s">
        <v>188</v>
      </c>
      <c r="F5" s="68">
        <v>2.5785714285714301</v>
      </c>
      <c r="G5" s="68">
        <v>0.62173202614378487</v>
      </c>
      <c r="I5" s="68" t="s">
        <v>188</v>
      </c>
      <c r="J5" s="68">
        <v>2.5785714285714301</v>
      </c>
      <c r="K5" s="68">
        <v>0.62173202614378487</v>
      </c>
    </row>
    <row r="6" spans="1:11">
      <c r="A6" s="77">
        <v>4</v>
      </c>
      <c r="B6" s="66">
        <v>6.5</v>
      </c>
      <c r="C6" s="67">
        <v>9</v>
      </c>
      <c r="E6" s="68" t="s">
        <v>243</v>
      </c>
      <c r="F6" s="68">
        <v>15</v>
      </c>
      <c r="G6" s="68">
        <v>18</v>
      </c>
      <c r="I6" s="68" t="s">
        <v>243</v>
      </c>
      <c r="J6" s="68">
        <v>15</v>
      </c>
      <c r="K6" s="68">
        <v>18</v>
      </c>
    </row>
    <row r="7" spans="1:11">
      <c r="A7" s="77">
        <v>5</v>
      </c>
      <c r="B7" s="66">
        <v>6</v>
      </c>
      <c r="C7" s="67">
        <v>6.5</v>
      </c>
      <c r="E7" s="68" t="s">
        <v>244</v>
      </c>
      <c r="F7" s="68">
        <v>14</v>
      </c>
      <c r="G7" s="68">
        <v>17</v>
      </c>
      <c r="I7" s="68" t="s">
        <v>251</v>
      </c>
      <c r="J7" s="68">
        <v>0</v>
      </c>
      <c r="K7" s="68"/>
    </row>
    <row r="8" spans="1:11">
      <c r="A8" s="77">
        <v>6</v>
      </c>
      <c r="B8" s="66">
        <v>9</v>
      </c>
      <c r="C8" s="67">
        <v>8</v>
      </c>
      <c r="E8" s="68" t="s">
        <v>245</v>
      </c>
      <c r="F8" s="69">
        <v>4.1474000375446263</v>
      </c>
      <c r="G8" s="68"/>
      <c r="I8" s="68" t="s">
        <v>244</v>
      </c>
      <c r="J8" s="68">
        <v>20</v>
      </c>
      <c r="K8" s="68"/>
    </row>
    <row r="9" spans="1:11">
      <c r="A9" s="77">
        <v>7</v>
      </c>
      <c r="B9" s="66">
        <v>7.5</v>
      </c>
      <c r="C9" s="67">
        <v>7.5</v>
      </c>
      <c r="E9" s="68" t="s">
        <v>246</v>
      </c>
      <c r="F9" s="68">
        <v>3.3377078855103075E-3</v>
      </c>
      <c r="G9" s="68"/>
      <c r="I9" s="68" t="s">
        <v>252</v>
      </c>
      <c r="J9" s="69">
        <v>-2.408746431551021</v>
      </c>
      <c r="K9" s="68"/>
    </row>
    <row r="10" spans="1:11" ht="17.25" thickBot="1">
      <c r="A10" s="77">
        <v>8</v>
      </c>
      <c r="B10" s="66">
        <v>8</v>
      </c>
      <c r="C10" s="67">
        <v>8</v>
      </c>
      <c r="E10" s="70" t="s">
        <v>247</v>
      </c>
      <c r="F10" s="71">
        <v>2.328953030428238</v>
      </c>
      <c r="G10" s="70"/>
      <c r="I10" s="68" t="s">
        <v>253</v>
      </c>
      <c r="J10" s="68">
        <v>1.2884837958515815E-2</v>
      </c>
      <c r="K10" s="68"/>
    </row>
    <row r="11" spans="1:11">
      <c r="A11" s="77">
        <v>9</v>
      </c>
      <c r="B11" s="66">
        <v>7</v>
      </c>
      <c r="C11" s="67">
        <v>8</v>
      </c>
      <c r="I11" s="68" t="s">
        <v>247</v>
      </c>
      <c r="J11" s="68">
        <v>1.724718003970338</v>
      </c>
      <c r="K11" s="68"/>
    </row>
    <row r="12" spans="1:11">
      <c r="A12" s="77">
        <v>10</v>
      </c>
      <c r="B12" s="66">
        <v>9</v>
      </c>
      <c r="C12" s="67">
        <v>9</v>
      </c>
      <c r="I12" s="68" t="s">
        <v>254</v>
      </c>
      <c r="J12" s="68">
        <v>2.576967591703163E-2</v>
      </c>
      <c r="K12" s="68"/>
    </row>
    <row r="13" spans="1:11" ht="17.25" thickBot="1">
      <c r="A13" s="77">
        <v>11</v>
      </c>
      <c r="B13" s="66">
        <v>6</v>
      </c>
      <c r="C13" s="67">
        <v>7.5</v>
      </c>
      <c r="I13" s="70" t="s">
        <v>255</v>
      </c>
      <c r="J13" s="71">
        <v>2.0859624783042818</v>
      </c>
      <c r="K13" s="70"/>
    </row>
    <row r="14" spans="1:11">
      <c r="A14" s="77">
        <v>12</v>
      </c>
      <c r="B14" s="66">
        <v>4.5</v>
      </c>
      <c r="C14" s="67">
        <v>8</v>
      </c>
    </row>
    <row r="15" spans="1:11">
      <c r="A15" s="77">
        <v>13</v>
      </c>
      <c r="B15" s="66">
        <v>6</v>
      </c>
      <c r="C15" s="67">
        <v>9</v>
      </c>
    </row>
    <row r="16" spans="1:11">
      <c r="A16" s="77">
        <v>14</v>
      </c>
      <c r="B16" s="66">
        <v>5.5</v>
      </c>
      <c r="C16" s="67">
        <v>9</v>
      </c>
    </row>
    <row r="17" spans="1:3">
      <c r="A17" s="77">
        <v>15</v>
      </c>
      <c r="B17" s="66">
        <v>10</v>
      </c>
      <c r="C17" s="67">
        <v>8</v>
      </c>
    </row>
    <row r="18" spans="1:3">
      <c r="A18" s="77">
        <v>16</v>
      </c>
      <c r="B18" s="72"/>
      <c r="C18" s="67">
        <v>7</v>
      </c>
    </row>
    <row r="19" spans="1:3">
      <c r="A19" s="77">
        <v>17</v>
      </c>
      <c r="B19" s="72"/>
      <c r="C19" s="67">
        <v>8</v>
      </c>
    </row>
    <row r="20" spans="1:3">
      <c r="A20" s="77">
        <v>18</v>
      </c>
      <c r="B20" s="72"/>
      <c r="C20" s="67">
        <v>8</v>
      </c>
    </row>
    <row r="22" spans="1:3">
      <c r="A22" s="44">
        <f>FTEST(B3:B17,C3:C20)</f>
        <v>6.6754157698300223E-3</v>
      </c>
      <c r="B22" s="44" t="s">
        <v>315</v>
      </c>
    </row>
    <row r="23" spans="1:3">
      <c r="A23" s="44">
        <f>TTEST(B3:B17,C3:C20,2,3)</f>
        <v>2.6015275622777979E-2</v>
      </c>
      <c r="B23" s="44" t="s">
        <v>257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sqref="A16"/>
    </sheetView>
  </sheetViews>
  <sheetFormatPr defaultRowHeight="16.5"/>
  <cols>
    <col min="1" max="4" width="9" style="31" customWidth="1"/>
    <col min="5" max="5" width="15.5" style="31" customWidth="1"/>
    <col min="6" max="7" width="8.625" style="31" customWidth="1"/>
    <col min="8" max="16384" width="9" style="31"/>
  </cols>
  <sheetData>
    <row r="1" spans="1:7" ht="17.25" thickBot="1">
      <c r="A1" s="48" t="s">
        <v>263</v>
      </c>
      <c r="B1" s="49"/>
      <c r="C1" s="50"/>
      <c r="E1" s="31" t="s">
        <v>258</v>
      </c>
    </row>
    <row r="2" spans="1:7" ht="17.25" thickBot="1">
      <c r="A2" s="78" t="s">
        <v>259</v>
      </c>
      <c r="B2" s="76" t="s">
        <v>260</v>
      </c>
      <c r="C2" s="79" t="s">
        <v>261</v>
      </c>
    </row>
    <row r="3" spans="1:7">
      <c r="A3" s="80">
        <v>1</v>
      </c>
      <c r="B3" s="81">
        <v>89</v>
      </c>
      <c r="C3" s="82">
        <v>95</v>
      </c>
      <c r="E3" s="1"/>
      <c r="F3" s="1" t="s">
        <v>260</v>
      </c>
      <c r="G3" s="1" t="s">
        <v>261</v>
      </c>
    </row>
    <row r="4" spans="1:7">
      <c r="A4" s="80">
        <v>2</v>
      </c>
      <c r="B4" s="81">
        <v>59</v>
      </c>
      <c r="C4" s="82">
        <v>55</v>
      </c>
      <c r="E4" s="68" t="s">
        <v>68</v>
      </c>
      <c r="F4" s="68">
        <v>141</v>
      </c>
      <c r="G4" s="68">
        <v>148.33333333333334</v>
      </c>
    </row>
    <row r="5" spans="1:7">
      <c r="A5" s="80">
        <v>3</v>
      </c>
      <c r="B5" s="81">
        <v>129</v>
      </c>
      <c r="C5" s="82">
        <v>149</v>
      </c>
      <c r="E5" s="68" t="s">
        <v>188</v>
      </c>
      <c r="F5" s="68">
        <v>4760.545454545455</v>
      </c>
      <c r="G5" s="68">
        <v>4740.6060606060628</v>
      </c>
    </row>
    <row r="6" spans="1:7">
      <c r="A6" s="80">
        <v>4</v>
      </c>
      <c r="B6" s="81">
        <v>150</v>
      </c>
      <c r="C6" s="82">
        <v>169</v>
      </c>
      <c r="E6" s="68" t="s">
        <v>243</v>
      </c>
      <c r="F6" s="68">
        <v>12</v>
      </c>
      <c r="G6" s="68">
        <v>12</v>
      </c>
    </row>
    <row r="7" spans="1:7">
      <c r="A7" s="80">
        <v>5</v>
      </c>
      <c r="B7" s="81">
        <v>249</v>
      </c>
      <c r="C7" s="82">
        <v>239</v>
      </c>
      <c r="E7" s="68" t="s">
        <v>262</v>
      </c>
      <c r="F7" s="68">
        <v>0.98143343910622394</v>
      </c>
      <c r="G7" s="68"/>
    </row>
    <row r="8" spans="1:7">
      <c r="A8" s="80">
        <v>6</v>
      </c>
      <c r="B8" s="81">
        <v>65</v>
      </c>
      <c r="C8" s="82">
        <v>79</v>
      </c>
      <c r="E8" s="68" t="s">
        <v>251</v>
      </c>
      <c r="F8" s="68">
        <v>0</v>
      </c>
      <c r="G8" s="68"/>
    </row>
    <row r="9" spans="1:7">
      <c r="A9" s="80">
        <v>7</v>
      </c>
      <c r="B9" s="81">
        <v>99</v>
      </c>
      <c r="C9" s="82">
        <v>99</v>
      </c>
      <c r="E9" s="68" t="s">
        <v>244</v>
      </c>
      <c r="F9" s="68">
        <v>11</v>
      </c>
      <c r="G9" s="68"/>
    </row>
    <row r="10" spans="1:7">
      <c r="A10" s="80">
        <v>8</v>
      </c>
      <c r="B10" s="81">
        <v>199</v>
      </c>
      <c r="C10" s="82">
        <v>179</v>
      </c>
      <c r="E10" s="68" t="s">
        <v>252</v>
      </c>
      <c r="F10" s="69">
        <v>-1.912550531683239</v>
      </c>
      <c r="G10" s="68"/>
    </row>
    <row r="11" spans="1:7">
      <c r="A11" s="80">
        <v>9</v>
      </c>
      <c r="B11" s="81">
        <v>225</v>
      </c>
      <c r="C11" s="82">
        <v>239</v>
      </c>
      <c r="E11" s="68" t="s">
        <v>253</v>
      </c>
      <c r="F11" s="68">
        <v>4.1092301681940412E-2</v>
      </c>
      <c r="G11" s="68"/>
    </row>
    <row r="12" spans="1:7">
      <c r="A12" s="80">
        <v>10</v>
      </c>
      <c r="B12" s="81">
        <v>50</v>
      </c>
      <c r="C12" s="82">
        <v>59</v>
      </c>
      <c r="E12" s="68" t="s">
        <v>247</v>
      </c>
      <c r="F12" s="68">
        <v>1.7958836906473152</v>
      </c>
      <c r="G12" s="68"/>
    </row>
    <row r="13" spans="1:7">
      <c r="A13" s="80">
        <v>11</v>
      </c>
      <c r="B13" s="81">
        <v>199</v>
      </c>
      <c r="C13" s="82">
        <v>219</v>
      </c>
      <c r="E13" s="68" t="s">
        <v>254</v>
      </c>
      <c r="F13" s="68">
        <v>8.2184603363880823E-2</v>
      </c>
      <c r="G13" s="68"/>
    </row>
    <row r="14" spans="1:7" ht="17.25" thickBot="1">
      <c r="A14" s="80">
        <v>12</v>
      </c>
      <c r="B14" s="81">
        <v>179</v>
      </c>
      <c r="C14" s="82">
        <v>199</v>
      </c>
      <c r="E14" s="70" t="s">
        <v>255</v>
      </c>
      <c r="F14" s="71">
        <v>2.2009862732375041</v>
      </c>
      <c r="G14" s="70"/>
    </row>
    <row r="16" spans="1:7">
      <c r="A16" s="44">
        <f>TTEST(B3:B14,C3:C14,2,1)</f>
        <v>8.2184605304667396E-2</v>
      </c>
      <c r="B16" s="44" t="s">
        <v>264</v>
      </c>
    </row>
  </sheetData>
  <phoneticPr fontId="3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1" sqref="A21"/>
    </sheetView>
  </sheetViews>
  <sheetFormatPr defaultColWidth="8.875" defaultRowHeight="16.5"/>
  <cols>
    <col min="1" max="5" width="8.875" style="87"/>
    <col min="6" max="6" width="10.5" style="87" bestFit="1" customWidth="1"/>
    <col min="7" max="8" width="12.75" style="87" bestFit="1" customWidth="1"/>
    <col min="9" max="10" width="10.5" style="87" bestFit="1" customWidth="1"/>
    <col min="11" max="16384" width="8.875" style="87"/>
  </cols>
  <sheetData>
    <row r="1" spans="1:10" ht="17.25" thickBot="1">
      <c r="A1" s="83" t="s">
        <v>279</v>
      </c>
      <c r="B1" s="84" t="s">
        <v>280</v>
      </c>
      <c r="C1" s="85" t="s">
        <v>281</v>
      </c>
      <c r="D1" s="86" t="s">
        <v>282</v>
      </c>
      <c r="F1" s="1"/>
      <c r="G1" s="1" t="s">
        <v>265</v>
      </c>
      <c r="H1" s="1" t="s">
        <v>266</v>
      </c>
    </row>
    <row r="2" spans="1:10">
      <c r="A2" s="88" t="s">
        <v>283</v>
      </c>
      <c r="B2" s="89">
        <v>6</v>
      </c>
      <c r="C2" s="90">
        <v>51</v>
      </c>
      <c r="D2" s="91">
        <v>3</v>
      </c>
      <c r="F2" s="3" t="s">
        <v>265</v>
      </c>
      <c r="G2" s="3">
        <f>VARP(相關係數!$C$2:$C$13)</f>
        <v>221.91666666666666</v>
      </c>
      <c r="H2" s="3"/>
    </row>
    <row r="3" spans="1:10" ht="17.25" thickBot="1">
      <c r="A3" s="88" t="s">
        <v>267</v>
      </c>
      <c r="B3" s="89">
        <v>8</v>
      </c>
      <c r="C3" s="90">
        <v>82</v>
      </c>
      <c r="D3" s="91">
        <v>8</v>
      </c>
      <c r="F3" s="4" t="s">
        <v>266</v>
      </c>
      <c r="G3" s="92">
        <v>22.791666666666668</v>
      </c>
      <c r="H3" s="4">
        <f>VARP(相關係數!$D$2:$D$13)</f>
        <v>4.2430555555555554</v>
      </c>
      <c r="I3" s="93" t="s">
        <v>284</v>
      </c>
    </row>
    <row r="4" spans="1:10" ht="17.25" thickBot="1">
      <c r="A4" s="88" t="s">
        <v>268</v>
      </c>
      <c r="B4" s="89">
        <v>4</v>
      </c>
      <c r="C4" s="90">
        <v>59</v>
      </c>
      <c r="D4" s="91">
        <v>4</v>
      </c>
    </row>
    <row r="5" spans="1:10">
      <c r="A5" s="88" t="s">
        <v>269</v>
      </c>
      <c r="B5" s="89">
        <v>3</v>
      </c>
      <c r="C5" s="90">
        <v>68</v>
      </c>
      <c r="D5" s="91">
        <v>7</v>
      </c>
      <c r="F5" s="1"/>
      <c r="G5" s="1" t="s">
        <v>265</v>
      </c>
      <c r="H5" s="1" t="s">
        <v>266</v>
      </c>
    </row>
    <row r="6" spans="1:10">
      <c r="A6" s="88" t="s">
        <v>270</v>
      </c>
      <c r="B6" s="89">
        <v>3</v>
      </c>
      <c r="C6" s="90">
        <v>55</v>
      </c>
      <c r="D6" s="91">
        <v>6</v>
      </c>
      <c r="F6" s="3" t="s">
        <v>265</v>
      </c>
      <c r="G6" s="3">
        <v>1</v>
      </c>
      <c r="H6" s="3"/>
    </row>
    <row r="7" spans="1:10" ht="17.25" thickBot="1">
      <c r="A7" s="88" t="s">
        <v>271</v>
      </c>
      <c r="B7" s="89">
        <v>12</v>
      </c>
      <c r="C7" s="90">
        <v>78</v>
      </c>
      <c r="D7" s="91">
        <v>8</v>
      </c>
      <c r="F7" s="4" t="s">
        <v>266</v>
      </c>
      <c r="G7" s="92">
        <v>0.74274846912155246</v>
      </c>
      <c r="H7" s="4">
        <v>1</v>
      </c>
      <c r="I7" s="93" t="s">
        <v>285</v>
      </c>
    </row>
    <row r="8" spans="1:10" ht="17.25" thickBot="1">
      <c r="A8" s="88" t="s">
        <v>272</v>
      </c>
      <c r="B8" s="89">
        <v>9</v>
      </c>
      <c r="C8" s="90">
        <v>45</v>
      </c>
      <c r="D8" s="91">
        <v>5</v>
      </c>
    </row>
    <row r="9" spans="1:10">
      <c r="A9" s="88" t="s">
        <v>273</v>
      </c>
      <c r="B9" s="89">
        <v>7</v>
      </c>
      <c r="C9" s="90">
        <v>44</v>
      </c>
      <c r="D9" s="91">
        <v>4</v>
      </c>
      <c r="F9" s="1"/>
      <c r="G9" s="1" t="s">
        <v>274</v>
      </c>
      <c r="H9" s="1" t="s">
        <v>265</v>
      </c>
      <c r="I9" s="1" t="s">
        <v>266</v>
      </c>
    </row>
    <row r="10" spans="1:10">
      <c r="A10" s="88" t="s">
        <v>275</v>
      </c>
      <c r="B10" s="89">
        <v>8</v>
      </c>
      <c r="C10" s="90">
        <v>52</v>
      </c>
      <c r="D10" s="91">
        <v>6</v>
      </c>
      <c r="F10" s="3" t="s">
        <v>274</v>
      </c>
      <c r="G10" s="3">
        <f>VARP(相關係數!$B$2:$B$13)</f>
        <v>8.7430555555555554</v>
      </c>
      <c r="H10" s="3"/>
      <c r="I10" s="3"/>
    </row>
    <row r="11" spans="1:10">
      <c r="A11" s="88" t="s">
        <v>276</v>
      </c>
      <c r="B11" s="89">
        <v>9</v>
      </c>
      <c r="C11" s="90">
        <v>89</v>
      </c>
      <c r="D11" s="91">
        <v>7</v>
      </c>
      <c r="F11" s="3" t="s">
        <v>265</v>
      </c>
      <c r="G11" s="94">
        <v>18.708333333333332</v>
      </c>
      <c r="H11" s="3">
        <f>VARP(相關係數!$C$2:$C$13)</f>
        <v>221.91666666666666</v>
      </c>
      <c r="I11" s="3"/>
    </row>
    <row r="12" spans="1:10" ht="17.25" thickBot="1">
      <c r="A12" s="88" t="s">
        <v>277</v>
      </c>
      <c r="B12" s="89">
        <v>11</v>
      </c>
      <c r="C12" s="90">
        <v>70</v>
      </c>
      <c r="D12" s="91">
        <v>10</v>
      </c>
      <c r="F12" s="4" t="s">
        <v>266</v>
      </c>
      <c r="G12" s="92">
        <v>3.5069444444444442</v>
      </c>
      <c r="H12" s="92">
        <v>22.791666666666668</v>
      </c>
      <c r="I12" s="4">
        <f>VARP(相關係數!$D$2:$D$13)</f>
        <v>4.2430555555555554</v>
      </c>
      <c r="J12" s="93" t="s">
        <v>284</v>
      </c>
    </row>
    <row r="13" spans="1:10" ht="17.25" thickBot="1">
      <c r="A13" s="95" t="s">
        <v>278</v>
      </c>
      <c r="B13" s="96">
        <v>11</v>
      </c>
      <c r="C13" s="97">
        <v>81</v>
      </c>
      <c r="D13" s="98">
        <v>9</v>
      </c>
    </row>
    <row r="14" spans="1:10">
      <c r="F14" s="1"/>
      <c r="G14" s="1" t="s">
        <v>274</v>
      </c>
      <c r="H14" s="1" t="s">
        <v>265</v>
      </c>
      <c r="I14" s="1" t="s">
        <v>266</v>
      </c>
    </row>
    <row r="15" spans="1:10">
      <c r="A15" s="99">
        <f>CORREL(B2:B13,C2:C13)</f>
        <v>0.42472567975648151</v>
      </c>
      <c r="B15" s="99" t="s">
        <v>287</v>
      </c>
      <c r="F15" s="3" t="s">
        <v>274</v>
      </c>
      <c r="G15" s="3">
        <v>1</v>
      </c>
      <c r="H15" s="3"/>
      <c r="I15" s="3"/>
    </row>
    <row r="16" spans="1:10">
      <c r="A16" s="99">
        <f>CORREL(D2:D13,C2:C13)</f>
        <v>0.74274846912155246</v>
      </c>
      <c r="B16" s="99" t="s">
        <v>286</v>
      </c>
      <c r="F16" s="3" t="s">
        <v>265</v>
      </c>
      <c r="G16" s="94">
        <v>0.42472567975648151</v>
      </c>
      <c r="H16" s="3">
        <v>1</v>
      </c>
      <c r="I16" s="3"/>
    </row>
    <row r="17" spans="1:10" ht="17.25" thickBot="1">
      <c r="A17" s="99">
        <f>CORREL(D2:D13,B2:B13)</f>
        <v>0.57578176670155512</v>
      </c>
      <c r="B17" s="99" t="s">
        <v>317</v>
      </c>
      <c r="F17" s="4" t="s">
        <v>266</v>
      </c>
      <c r="G17" s="92">
        <v>0.57578176670155512</v>
      </c>
      <c r="H17" s="92">
        <v>0.74274846912155246</v>
      </c>
      <c r="I17" s="4">
        <v>1</v>
      </c>
      <c r="J17" s="93" t="s">
        <v>285</v>
      </c>
    </row>
    <row r="19" spans="1:10">
      <c r="A19" s="99">
        <f>COVAR(B2:B13,C2:C13)</f>
        <v>18.708333333333332</v>
      </c>
      <c r="B19" s="99" t="s">
        <v>288</v>
      </c>
    </row>
    <row r="20" spans="1:10">
      <c r="A20" s="99">
        <f>COVAR(D2:D13,C2:C13)</f>
        <v>22.791666666666668</v>
      </c>
      <c r="B20" s="99" t="s">
        <v>289</v>
      </c>
    </row>
    <row r="21" spans="1:10">
      <c r="A21" s="99">
        <f>COVAR(D2:D13,B2:B13)</f>
        <v>3.5069444444444442</v>
      </c>
      <c r="B21" s="99" t="s">
        <v>290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4" sqref="A14"/>
    </sheetView>
  </sheetViews>
  <sheetFormatPr defaultRowHeight="16.5"/>
  <cols>
    <col min="1" max="1" width="11.875" customWidth="1"/>
    <col min="2" max="2" width="8.25" bestFit="1" customWidth="1"/>
    <col min="3" max="3" width="12.875" bestFit="1" customWidth="1"/>
  </cols>
  <sheetData>
    <row r="1" spans="1:3">
      <c r="A1" s="100" t="s">
        <v>291</v>
      </c>
      <c r="B1" s="101"/>
      <c r="C1" s="104" t="s">
        <v>294</v>
      </c>
    </row>
    <row r="2" spans="1:3">
      <c r="A2" s="102" t="s">
        <v>292</v>
      </c>
      <c r="B2" s="103" t="s">
        <v>293</v>
      </c>
      <c r="C2" s="103" t="s">
        <v>295</v>
      </c>
    </row>
    <row r="3" spans="1:3">
      <c r="A3" s="102">
        <v>2</v>
      </c>
      <c r="B3" s="103">
        <v>58</v>
      </c>
      <c r="C3" s="103">
        <f>FORECAST(A3,$B$3:$B$12,$A$3:$A$12)</f>
        <v>70</v>
      </c>
    </row>
    <row r="4" spans="1:3">
      <c r="A4" s="102">
        <v>6</v>
      </c>
      <c r="B4" s="103">
        <v>105</v>
      </c>
      <c r="C4" s="103">
        <f t="shared" ref="C4:C12" si="0">FORECAST(A4,$B$3:$B$12,$A$3:$A$12)</f>
        <v>90</v>
      </c>
    </row>
    <row r="5" spans="1:3">
      <c r="A5" s="102">
        <v>8</v>
      </c>
      <c r="B5" s="103">
        <v>88</v>
      </c>
      <c r="C5" s="103">
        <f t="shared" si="0"/>
        <v>100</v>
      </c>
    </row>
    <row r="6" spans="1:3">
      <c r="A6" s="102">
        <v>8</v>
      </c>
      <c r="B6" s="103">
        <v>118</v>
      </c>
      <c r="C6" s="103">
        <f t="shared" si="0"/>
        <v>100</v>
      </c>
    </row>
    <row r="7" spans="1:3">
      <c r="A7" s="102">
        <v>12</v>
      </c>
      <c r="B7" s="103">
        <v>117</v>
      </c>
      <c r="C7" s="103">
        <f t="shared" si="0"/>
        <v>120</v>
      </c>
    </row>
    <row r="8" spans="1:3">
      <c r="A8" s="102">
        <v>16</v>
      </c>
      <c r="B8" s="103">
        <v>137</v>
      </c>
      <c r="C8" s="103">
        <f t="shared" si="0"/>
        <v>140</v>
      </c>
    </row>
    <row r="9" spans="1:3">
      <c r="A9" s="102">
        <v>20</v>
      </c>
      <c r="B9" s="103">
        <v>157</v>
      </c>
      <c r="C9" s="103">
        <f t="shared" si="0"/>
        <v>160</v>
      </c>
    </row>
    <row r="10" spans="1:3">
      <c r="A10" s="102">
        <v>20</v>
      </c>
      <c r="B10" s="103">
        <v>169</v>
      </c>
      <c r="C10" s="103">
        <f t="shared" si="0"/>
        <v>160</v>
      </c>
    </row>
    <row r="11" spans="1:3">
      <c r="A11" s="102">
        <v>22</v>
      </c>
      <c r="B11" s="103">
        <v>149</v>
      </c>
      <c r="C11" s="103">
        <f t="shared" si="0"/>
        <v>170</v>
      </c>
    </row>
    <row r="12" spans="1:3">
      <c r="A12" s="102">
        <v>26</v>
      </c>
      <c r="B12" s="103">
        <v>202</v>
      </c>
      <c r="C12" s="103">
        <f t="shared" si="0"/>
        <v>190</v>
      </c>
    </row>
    <row r="13" spans="1:3">
      <c r="A13" s="31"/>
      <c r="B13" s="31"/>
    </row>
    <row r="14" spans="1:3">
      <c r="A14" s="102">
        <f>INTERCEPT($B$3:$B$12,$A$3:$A$12)</f>
        <v>60</v>
      </c>
      <c r="B14" s="44" t="s">
        <v>298</v>
      </c>
    </row>
    <row r="15" spans="1:3">
      <c r="A15" s="102">
        <f>SLOPE(B3:B12,A3:A12)</f>
        <v>5</v>
      </c>
      <c r="B15" s="44" t="s">
        <v>308</v>
      </c>
    </row>
    <row r="16" spans="1:3">
      <c r="A16" s="31"/>
      <c r="B16" s="31"/>
    </row>
    <row r="17" spans="1:2">
      <c r="A17" s="31"/>
      <c r="B17" s="31"/>
    </row>
    <row r="18" spans="1:2">
      <c r="A18" s="31"/>
      <c r="B18" s="31"/>
    </row>
    <row r="19" spans="1:2">
      <c r="A19" s="31"/>
      <c r="B19" s="31"/>
    </row>
    <row r="20" spans="1:2">
      <c r="A20" s="31"/>
      <c r="B20" s="31"/>
    </row>
    <row r="21" spans="1:2">
      <c r="A21" s="31"/>
      <c r="B21" s="31"/>
    </row>
    <row r="22" spans="1:2">
      <c r="A22" s="31"/>
      <c r="B22" s="31"/>
    </row>
    <row r="23" spans="1:2">
      <c r="A23" s="31"/>
      <c r="B23" s="31"/>
    </row>
    <row r="24" spans="1:2">
      <c r="A24" s="31"/>
      <c r="B24" s="31"/>
    </row>
    <row r="25" spans="1:2">
      <c r="A25" s="31"/>
      <c r="B25" s="31"/>
    </row>
    <row r="26" spans="1:2">
      <c r="A26" s="31"/>
      <c r="B26" s="31"/>
    </row>
    <row r="27" spans="1:2">
      <c r="A27" s="31"/>
      <c r="B27" s="31"/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workbookViewId="0">
      <selection activeCell="P2" sqref="P2:P7"/>
    </sheetView>
  </sheetViews>
  <sheetFormatPr defaultRowHeight="16.5"/>
  <cols>
    <col min="2" max="2" width="10.5" bestFit="1" customWidth="1"/>
    <col min="3" max="3" width="8.25" bestFit="1" customWidth="1"/>
    <col min="5" max="5" width="12.875" bestFit="1" customWidth="1"/>
    <col min="6" max="6" width="10.375" customWidth="1"/>
  </cols>
  <sheetData>
    <row r="1" spans="1:16" ht="33">
      <c r="A1" s="105" t="s">
        <v>296</v>
      </c>
      <c r="B1" s="105" t="s">
        <v>282</v>
      </c>
      <c r="C1" s="105" t="s">
        <v>281</v>
      </c>
      <c r="D1" s="105" t="s">
        <v>282</v>
      </c>
      <c r="E1" s="112" t="s">
        <v>309</v>
      </c>
      <c r="F1" s="112" t="s">
        <v>310</v>
      </c>
    </row>
    <row r="2" spans="1:16">
      <c r="A2" s="45" t="s">
        <v>297</v>
      </c>
      <c r="B2" s="21">
        <v>3</v>
      </c>
      <c r="C2" s="106">
        <v>5</v>
      </c>
      <c r="D2" s="21">
        <v>1</v>
      </c>
      <c r="E2" s="19">
        <f t="array" ref="E2:E13">GROWTH(C2:C13,B2:B13,D2:D13)</f>
        <v>3.6121722722462071</v>
      </c>
      <c r="F2" s="19">
        <f t="array" ref="F2:F13">TREND(C2:C13,B2:B13,D2:D13)</f>
        <v>0.82126489459211505</v>
      </c>
      <c r="P2">
        <f>TREND({133890,135000,135790,137300,138130,139100,141120,141890,143230,144000,145290,146030},,{13,14,15,16,17,18})</f>
        <v>147486.21212121213</v>
      </c>
    </row>
    <row r="3" spans="1:16">
      <c r="A3" s="45" t="s">
        <v>267</v>
      </c>
      <c r="B3" s="21">
        <v>5</v>
      </c>
      <c r="C3" s="106">
        <v>5</v>
      </c>
      <c r="D3" s="21">
        <v>2</v>
      </c>
      <c r="E3" s="19">
        <v>4.2479197651936529</v>
      </c>
      <c r="F3" s="19">
        <v>2.479376718606781</v>
      </c>
    </row>
    <row r="4" spans="1:16">
      <c r="A4" s="45" t="s">
        <v>268</v>
      </c>
      <c r="B4" s="21">
        <v>4</v>
      </c>
      <c r="C4" s="106">
        <v>5</v>
      </c>
      <c r="D4" s="21">
        <v>3</v>
      </c>
      <c r="E4" s="19">
        <v>4.9955597273609085</v>
      </c>
      <c r="F4" s="19">
        <v>4.1374885426214467</v>
      </c>
    </row>
    <row r="5" spans="1:16">
      <c r="A5" s="45" t="s">
        <v>269</v>
      </c>
      <c r="B5" s="21">
        <v>3</v>
      </c>
      <c r="C5" s="106">
        <v>6</v>
      </c>
      <c r="D5" s="21">
        <v>4</v>
      </c>
      <c r="E5" s="19">
        <v>5.874785393573112</v>
      </c>
      <c r="F5" s="19">
        <v>5.7956003666361129</v>
      </c>
    </row>
    <row r="6" spans="1:16">
      <c r="A6" s="45" t="s">
        <v>270</v>
      </c>
      <c r="B6" s="21">
        <v>4</v>
      </c>
      <c r="C6" s="106">
        <v>5</v>
      </c>
      <c r="D6" s="21">
        <v>5</v>
      </c>
      <c r="E6" s="19">
        <v>6.9087560361875253</v>
      </c>
      <c r="F6" s="19">
        <v>7.4537121906507782</v>
      </c>
    </row>
    <row r="7" spans="1:16">
      <c r="A7" s="45" t="s">
        <v>271</v>
      </c>
      <c r="B7" s="21">
        <v>6</v>
      </c>
      <c r="C7" s="106">
        <v>9</v>
      </c>
      <c r="D7" s="21">
        <v>6</v>
      </c>
      <c r="E7" s="19">
        <v>8.1247069926629418</v>
      </c>
      <c r="F7" s="19">
        <v>9.1118240146654443</v>
      </c>
    </row>
    <row r="8" spans="1:16">
      <c r="A8" s="45" t="s">
        <v>272</v>
      </c>
      <c r="B8" s="21">
        <v>8</v>
      </c>
      <c r="C8" s="106">
        <v>11</v>
      </c>
      <c r="D8" s="21">
        <v>7</v>
      </c>
      <c r="E8" s="19">
        <v>9.5546670588549247</v>
      </c>
      <c r="F8" s="19">
        <v>10.769935838680111</v>
      </c>
    </row>
    <row r="9" spans="1:16">
      <c r="A9" s="45" t="s">
        <v>273</v>
      </c>
      <c r="B9" s="21">
        <v>10</v>
      </c>
      <c r="C9" s="106">
        <v>16</v>
      </c>
      <c r="D9" s="21">
        <v>8</v>
      </c>
      <c r="E9" s="19">
        <v>11.236302144558426</v>
      </c>
      <c r="F9" s="19">
        <v>12.428047662694777</v>
      </c>
    </row>
    <row r="10" spans="1:16">
      <c r="A10" s="45" t="s">
        <v>275</v>
      </c>
      <c r="B10" s="21">
        <v>12</v>
      </c>
      <c r="C10" s="106">
        <v>20</v>
      </c>
      <c r="D10" s="21">
        <v>9</v>
      </c>
      <c r="E10" s="19">
        <v>13.213907413634066</v>
      </c>
      <c r="F10" s="19">
        <v>14.086159486709443</v>
      </c>
    </row>
    <row r="11" spans="1:16">
      <c r="A11" s="45" t="s">
        <v>276</v>
      </c>
      <c r="B11" s="21">
        <v>8</v>
      </c>
      <c r="C11" s="106">
        <v>13</v>
      </c>
      <c r="D11" s="21">
        <v>10</v>
      </c>
      <c r="E11" s="19">
        <v>15.539574042217533</v>
      </c>
      <c r="F11" s="19">
        <v>15.744271310724107</v>
      </c>
    </row>
    <row r="12" spans="1:16">
      <c r="A12" s="45" t="s">
        <v>277</v>
      </c>
      <c r="B12" s="21">
        <v>6</v>
      </c>
      <c r="C12" s="106">
        <v>9</v>
      </c>
      <c r="D12" s="21">
        <v>11</v>
      </c>
      <c r="E12" s="19">
        <v>18.274561328044751</v>
      </c>
      <c r="F12" s="19">
        <v>17.402383134738777</v>
      </c>
    </row>
    <row r="13" spans="1:16">
      <c r="A13" s="45" t="s">
        <v>278</v>
      </c>
      <c r="B13" s="21">
        <v>4</v>
      </c>
      <c r="C13" s="106">
        <v>7</v>
      </c>
      <c r="D13" s="21">
        <v>12</v>
      </c>
      <c r="E13" s="19">
        <v>21.490910292983294</v>
      </c>
      <c r="F13" s="19">
        <v>19.060494958753438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3" sqref="P3"/>
    </sheetView>
  </sheetViews>
  <sheetFormatPr defaultRowHeight="16.5"/>
  <cols>
    <col min="1" max="1" width="10.5" bestFit="1" customWidth="1"/>
    <col min="2" max="2" width="4.125" bestFit="1" customWidth="1"/>
    <col min="3" max="12" width="4.5" bestFit="1" customWidth="1"/>
  </cols>
  <sheetData>
    <row r="1" spans="1:16">
      <c r="A1" s="107" t="s">
        <v>299</v>
      </c>
      <c r="B1" s="108" t="s">
        <v>302</v>
      </c>
      <c r="C1" s="108">
        <v>90</v>
      </c>
      <c r="D1" s="108">
        <v>75</v>
      </c>
      <c r="E1" s="108">
        <v>50</v>
      </c>
      <c r="F1" s="108">
        <v>100</v>
      </c>
      <c r="G1" s="108">
        <v>100</v>
      </c>
      <c r="H1" s="108">
        <v>90</v>
      </c>
      <c r="I1" s="108">
        <v>80</v>
      </c>
      <c r="J1" s="108">
        <v>80</v>
      </c>
      <c r="K1" s="108">
        <v>100</v>
      </c>
      <c r="L1" s="108">
        <v>50</v>
      </c>
      <c r="N1" s="110">
        <f t="array" ref="N1:P5">LINEST(C3:L3,C1:L2,TRUE,TRUE)</f>
        <v>0.76386927577163632</v>
      </c>
      <c r="O1" s="110">
        <v>5.6163001815614282E-2</v>
      </c>
      <c r="P1" s="110">
        <v>3.6655235021179955E-2</v>
      </c>
    </row>
    <row r="2" spans="1:16">
      <c r="A2" s="107" t="s">
        <v>300</v>
      </c>
      <c r="B2" s="107" t="s">
        <v>303</v>
      </c>
      <c r="C2" s="107">
        <v>3</v>
      </c>
      <c r="D2" s="107">
        <v>3</v>
      </c>
      <c r="E2" s="107">
        <v>2</v>
      </c>
      <c r="F2" s="107">
        <v>4</v>
      </c>
      <c r="G2" s="107">
        <v>4</v>
      </c>
      <c r="H2" s="107">
        <v>2</v>
      </c>
      <c r="I2" s="107">
        <v>2</v>
      </c>
      <c r="J2" s="107">
        <v>1</v>
      </c>
      <c r="K2" s="107">
        <v>2</v>
      </c>
      <c r="L2" s="107">
        <v>3</v>
      </c>
      <c r="N2" s="110">
        <v>0.30531800431220718</v>
      </c>
      <c r="O2" s="110">
        <v>1.5636785863789394E-2</v>
      </c>
      <c r="P2" s="110">
        <v>1.3262492743745762</v>
      </c>
    </row>
    <row r="3" spans="1:16">
      <c r="A3" s="107" t="s">
        <v>301</v>
      </c>
      <c r="B3" s="109" t="s">
        <v>304</v>
      </c>
      <c r="C3" s="109">
        <v>7.6</v>
      </c>
      <c r="D3" s="109">
        <v>6.6</v>
      </c>
      <c r="E3" s="109">
        <v>4.2</v>
      </c>
      <c r="F3" s="109">
        <v>8.9</v>
      </c>
      <c r="G3" s="109">
        <v>9.3000000000000007</v>
      </c>
      <c r="H3" s="109">
        <v>6.1</v>
      </c>
      <c r="I3" s="109">
        <v>5.9</v>
      </c>
      <c r="J3" s="109">
        <v>6.8</v>
      </c>
      <c r="K3" s="109">
        <v>5.8</v>
      </c>
      <c r="L3" s="109">
        <v>4.8</v>
      </c>
      <c r="N3" s="110">
        <v>0.78957786967924148</v>
      </c>
      <c r="O3" s="110">
        <v>0.84938054131048146</v>
      </c>
      <c r="P3" s="110" t="e">
        <v>#N/A</v>
      </c>
    </row>
    <row r="4" spans="1:16">
      <c r="N4" s="110">
        <v>13.133231469830427</v>
      </c>
      <c r="O4" s="110">
        <v>7</v>
      </c>
      <c r="P4" s="110" t="e">
        <v>#N/A</v>
      </c>
    </row>
    <row r="5" spans="1:16">
      <c r="N5" s="110">
        <v>18.949868872301799</v>
      </c>
      <c r="O5" s="110">
        <v>5.0501311276982053</v>
      </c>
      <c r="P5" s="110" t="e">
        <v>#N/A</v>
      </c>
    </row>
    <row r="7" spans="1:16">
      <c r="N7">
        <f>O1/O2</f>
        <v>3.5917228965623136</v>
      </c>
    </row>
    <row r="8" spans="1:16">
      <c r="N8">
        <f>N3^0.5</f>
        <v>0.88858194314269157</v>
      </c>
    </row>
  </sheetData>
  <phoneticPr fontId="3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6.5"/>
  <cols>
    <col min="2" max="2" width="9.5" bestFit="1" customWidth="1"/>
  </cols>
  <sheetData>
    <row r="1" spans="1:2">
      <c r="A1" s="19" t="s">
        <v>305</v>
      </c>
      <c r="B1" s="19" t="s">
        <v>281</v>
      </c>
    </row>
    <row r="2" spans="1:2">
      <c r="A2" s="45">
        <v>11</v>
      </c>
      <c r="B2" s="111">
        <v>33100</v>
      </c>
    </row>
    <row r="3" spans="1:2">
      <c r="A3" s="45">
        <v>12</v>
      </c>
      <c r="B3" s="111">
        <v>47300</v>
      </c>
    </row>
    <row r="4" spans="1:2">
      <c r="A4" s="45">
        <v>13</v>
      </c>
      <c r="B4" s="111">
        <v>69000</v>
      </c>
    </row>
    <row r="5" spans="1:2">
      <c r="A5" s="45">
        <v>14</v>
      </c>
      <c r="B5" s="111">
        <v>102000</v>
      </c>
    </row>
    <row r="6" spans="1:2">
      <c r="A6" s="45">
        <v>15</v>
      </c>
      <c r="B6" s="111">
        <v>150000</v>
      </c>
    </row>
    <row r="7" spans="1:2">
      <c r="A7" s="45">
        <v>16</v>
      </c>
      <c r="B7" s="111">
        <v>220000</v>
      </c>
    </row>
    <row r="9" spans="1:2">
      <c r="A9" s="44">
        <f xml:space="preserve"> INDEX(LOGEST(B2:B7,A2:A7,TRUE,TRUE),1)</f>
        <v>1.4632756281161756</v>
      </c>
      <c r="B9" s="44" t="s">
        <v>306</v>
      </c>
    </row>
    <row r="10" spans="1:2">
      <c r="A10" s="44">
        <f xml:space="preserve"> INDEX(LOGEST(B2:B7,A2:A7,TRUE,TRUE),2)</f>
        <v>2.6334028914251303E-3</v>
      </c>
      <c r="B10" s="44" t="s">
        <v>307</v>
      </c>
    </row>
  </sheetData>
  <phoneticPr fontId="3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8" workbookViewId="0">
      <selection activeCell="C34" sqref="C34"/>
    </sheetView>
  </sheetViews>
  <sheetFormatPr defaultColWidth="11.5" defaultRowHeight="16.5"/>
  <cols>
    <col min="1" max="1" width="14.625" style="119" customWidth="1"/>
    <col min="2" max="2" width="11" style="119" bestFit="1" customWidth="1"/>
    <col min="3" max="4" width="10.5" style="119" bestFit="1" customWidth="1"/>
    <col min="5" max="16384" width="11.5" style="119"/>
  </cols>
  <sheetData>
    <row r="1" spans="1:4" s="113" customFormat="1">
      <c r="A1" s="115" t="s">
        <v>311</v>
      </c>
      <c r="B1" s="116" t="s">
        <v>312</v>
      </c>
      <c r="C1" s="117" t="s">
        <v>313</v>
      </c>
      <c r="D1" s="117" t="s">
        <v>314</v>
      </c>
    </row>
    <row r="2" spans="1:4" s="114" customFormat="1">
      <c r="A2" s="118">
        <v>38384</v>
      </c>
      <c r="B2" s="120">
        <v>29.8</v>
      </c>
      <c r="C2" s="121">
        <f t="array" ref="C2:C30">TREND(B2:B13,A2:A13,A2:A30)</f>
        <v>32.304324452773926</v>
      </c>
      <c r="D2" s="122">
        <f t="array" ref="D2:D30" xml:space="preserve"> GROWTH(B2:B13,A2:A13,A2:A30)</f>
        <v>32.362473851656823</v>
      </c>
    </row>
    <row r="3" spans="1:4">
      <c r="A3" s="118">
        <v>38412</v>
      </c>
      <c r="B3" s="120">
        <v>32.700000000000003</v>
      </c>
      <c r="C3" s="123">
        <v>33.358341019257068</v>
      </c>
      <c r="D3" s="123">
        <v>33.294676526424965</v>
      </c>
    </row>
    <row r="4" spans="1:4">
      <c r="A4" s="118">
        <v>38443</v>
      </c>
      <c r="B4" s="120">
        <v>34.1</v>
      </c>
      <c r="C4" s="123">
        <v>34.52528793214924</v>
      </c>
      <c r="D4" s="123">
        <v>34.358111870249523</v>
      </c>
    </row>
    <row r="5" spans="1:4">
      <c r="A5" s="118">
        <v>38473</v>
      </c>
      <c r="B5" s="120">
        <v>35.700000000000003</v>
      </c>
      <c r="C5" s="123">
        <v>35.654591396238175</v>
      </c>
      <c r="D5" s="123">
        <v>35.419572209130251</v>
      </c>
    </row>
    <row r="6" spans="1:4">
      <c r="A6" s="118">
        <v>38504</v>
      </c>
      <c r="B6" s="120">
        <v>40.299999999999997</v>
      </c>
      <c r="C6" s="123">
        <v>36.821538309130347</v>
      </c>
      <c r="D6" s="123">
        <v>36.550876936492301</v>
      </c>
    </row>
    <row r="7" spans="1:4">
      <c r="A7" s="118">
        <v>38534</v>
      </c>
      <c r="B7" s="120">
        <v>38.700000000000003</v>
      </c>
      <c r="C7" s="123">
        <v>37.950841773219508</v>
      </c>
      <c r="D7" s="123">
        <v>37.680080612349457</v>
      </c>
    </row>
    <row r="8" spans="1:4">
      <c r="A8" s="118">
        <v>38565</v>
      </c>
      <c r="B8" s="120">
        <v>38.9</v>
      </c>
      <c r="C8" s="123">
        <v>39.11778868611168</v>
      </c>
      <c r="D8" s="123">
        <v>38.88358620729128</v>
      </c>
    </row>
    <row r="9" spans="1:4">
      <c r="A9" s="118">
        <v>38596</v>
      </c>
      <c r="B9" s="120">
        <v>42.6</v>
      </c>
      <c r="C9" s="123">
        <v>40.284735599003625</v>
      </c>
      <c r="D9" s="123">
        <v>40.125531892952878</v>
      </c>
    </row>
    <row r="10" spans="1:4">
      <c r="A10" s="118">
        <v>38626</v>
      </c>
      <c r="B10" s="120">
        <v>41.9</v>
      </c>
      <c r="C10" s="123">
        <v>41.414039063092787</v>
      </c>
      <c r="D10" s="123">
        <v>41.365171045467925</v>
      </c>
    </row>
    <row r="11" spans="1:4">
      <c r="A11" s="118">
        <v>38657</v>
      </c>
      <c r="B11" s="120">
        <v>41.7</v>
      </c>
      <c r="C11" s="123">
        <v>42.580985975984959</v>
      </c>
      <c r="D11" s="123">
        <v>42.686378802455614</v>
      </c>
    </row>
    <row r="12" spans="1:4">
      <c r="A12" s="118">
        <v>38687</v>
      </c>
      <c r="B12" s="120">
        <v>44.4</v>
      </c>
      <c r="C12" s="123">
        <v>43.710289440074121</v>
      </c>
      <c r="D12" s="123">
        <v>44.005132821312756</v>
      </c>
    </row>
    <row r="13" spans="1:4">
      <c r="A13" s="118">
        <v>38718</v>
      </c>
      <c r="B13" s="120">
        <v>41.8</v>
      </c>
      <c r="C13" s="123">
        <v>44.877236352966065</v>
      </c>
      <c r="D13" s="123">
        <v>45.410661225072673</v>
      </c>
    </row>
    <row r="14" spans="1:4">
      <c r="A14" s="118">
        <v>38749</v>
      </c>
      <c r="B14" s="123"/>
      <c r="C14" s="123">
        <v>46.044183265858237</v>
      </c>
      <c r="D14" s="123">
        <v>46.861082348547406</v>
      </c>
    </row>
    <row r="15" spans="1:4">
      <c r="A15" s="118">
        <v>38777</v>
      </c>
      <c r="B15" s="123"/>
      <c r="C15" s="123">
        <v>47.098199832341379</v>
      </c>
      <c r="D15" s="123">
        <v>48.210918164810579</v>
      </c>
    </row>
    <row r="16" spans="1:4">
      <c r="A16" s="118">
        <v>38808</v>
      </c>
      <c r="B16" s="123"/>
      <c r="C16" s="123">
        <v>48.265146745233551</v>
      </c>
      <c r="D16" s="123">
        <v>49.750779778844091</v>
      </c>
    </row>
    <row r="17" spans="1:4">
      <c r="A17" s="118">
        <v>38838</v>
      </c>
      <c r="B17" s="123"/>
      <c r="C17" s="123">
        <v>49.394450209322713</v>
      </c>
      <c r="D17" s="123">
        <v>51.287781572279265</v>
      </c>
    </row>
    <row r="18" spans="1:4">
      <c r="A18" s="118">
        <v>38869</v>
      </c>
      <c r="B18" s="123"/>
      <c r="C18" s="123">
        <v>50.561397122214657</v>
      </c>
      <c r="D18" s="123">
        <v>52.925918515494203</v>
      </c>
    </row>
    <row r="19" spans="1:4">
      <c r="A19" s="118">
        <v>38899</v>
      </c>
      <c r="B19" s="123"/>
      <c r="C19" s="123">
        <v>51.690700586303819</v>
      </c>
      <c r="D19" s="123">
        <v>54.561013121832623</v>
      </c>
    </row>
    <row r="20" spans="1:4">
      <c r="A20" s="118">
        <v>38930</v>
      </c>
      <c r="B20" s="123"/>
      <c r="C20" s="123">
        <v>52.857647499195991</v>
      </c>
      <c r="D20" s="123">
        <v>56.303697412595888</v>
      </c>
    </row>
    <row r="21" spans="1:4">
      <c r="A21" s="118">
        <v>38961</v>
      </c>
      <c r="B21" s="123"/>
      <c r="C21" s="123">
        <v>54.024594412088163</v>
      </c>
      <c r="D21" s="123">
        <v>58.10204321628725</v>
      </c>
    </row>
    <row r="22" spans="1:4">
      <c r="A22" s="118">
        <v>38991</v>
      </c>
      <c r="B22" s="123"/>
      <c r="C22" s="123">
        <v>55.153897876177325</v>
      </c>
      <c r="D22" s="123">
        <v>59.897049144288346</v>
      </c>
    </row>
    <row r="23" spans="1:4">
      <c r="A23" s="118">
        <v>39022</v>
      </c>
      <c r="B23" s="123"/>
      <c r="C23" s="123">
        <v>56.32084478906927</v>
      </c>
      <c r="D23" s="123">
        <v>61.810166966600832</v>
      </c>
    </row>
    <row r="24" spans="1:4">
      <c r="A24" s="118">
        <v>39052</v>
      </c>
      <c r="B24" s="123"/>
      <c r="C24" s="123">
        <v>57.450148253158432</v>
      </c>
      <c r="D24" s="123">
        <v>63.719731759404162</v>
      </c>
    </row>
    <row r="25" spans="1:4">
      <c r="A25" s="118">
        <v>39083</v>
      </c>
      <c r="B25" s="123"/>
      <c r="C25" s="123">
        <v>58.617095166050603</v>
      </c>
      <c r="D25" s="123">
        <v>65.754946452005413</v>
      </c>
    </row>
    <row r="26" spans="1:4">
      <c r="A26" s="118">
        <v>39114</v>
      </c>
      <c r="B26" s="123"/>
      <c r="C26" s="123">
        <v>59.784042078942548</v>
      </c>
      <c r="D26" s="123">
        <v>67.855166108227962</v>
      </c>
    </row>
    <row r="27" spans="1:4">
      <c r="A27" s="118">
        <v>39142</v>
      </c>
      <c r="B27" s="123"/>
      <c r="C27" s="123">
        <v>60.838058645425917</v>
      </c>
      <c r="D27" s="123">
        <v>69.809737555171694</v>
      </c>
    </row>
    <row r="28" spans="1:4">
      <c r="A28" s="118">
        <v>39173</v>
      </c>
      <c r="B28" s="123"/>
      <c r="C28" s="123">
        <v>62.005005558317862</v>
      </c>
      <c r="D28" s="123">
        <v>72.039467650323161</v>
      </c>
    </row>
    <row r="29" spans="1:4">
      <c r="A29" s="118">
        <v>39203</v>
      </c>
      <c r="B29" s="123"/>
      <c r="C29" s="123">
        <v>63.134309022407024</v>
      </c>
      <c r="D29" s="123">
        <v>74.265056705788496</v>
      </c>
    </row>
    <row r="30" spans="1:4">
      <c r="A30" s="118">
        <v>39234</v>
      </c>
      <c r="B30" s="123"/>
      <c r="C30" s="123">
        <v>64.301255935299196</v>
      </c>
      <c r="D30" s="123">
        <v>76.637090146311863</v>
      </c>
    </row>
  </sheetData>
  <phoneticPr fontId="16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已命名的範圍</vt:lpstr>
      </vt:variant>
      <vt:variant>
        <vt:i4>5</vt:i4>
      </vt:variant>
    </vt:vector>
  </HeadingPairs>
  <TitlesOfParts>
    <vt:vector size="25" baseType="lpstr">
      <vt:lpstr>敘述統計</vt:lpstr>
      <vt:lpstr>COUNT</vt:lpstr>
      <vt:lpstr>COUNTIF</vt:lpstr>
      <vt:lpstr>Large</vt:lpstr>
      <vt:lpstr>BETA</vt:lpstr>
      <vt:lpstr>CHIDIST</vt:lpstr>
      <vt:lpstr>GAMMA</vt:lpstr>
      <vt:lpstr>GAMMAINV</vt:lpstr>
      <vt:lpstr>標準常態分配</vt:lpstr>
      <vt:lpstr>常態分配</vt:lpstr>
      <vt:lpstr>PROB</vt:lpstr>
      <vt:lpstr>F檢定</vt:lpstr>
      <vt:lpstr>T檢定</vt:lpstr>
      <vt:lpstr>成對樣本</vt:lpstr>
      <vt:lpstr>相關係數</vt:lpstr>
      <vt:lpstr>簡單迴歸</vt:lpstr>
      <vt:lpstr>GROWTH</vt:lpstr>
      <vt:lpstr>LINEST</vt:lpstr>
      <vt:lpstr>LOGEST</vt:lpstr>
      <vt:lpstr>綜合練習</vt:lpstr>
      <vt:lpstr>姓名</vt:lpstr>
      <vt:lpstr>組距</vt:lpstr>
      <vt:lpstr>COUNTIF!統計學</vt:lpstr>
      <vt:lpstr>統計學</vt:lpstr>
      <vt:lpstr>經濟學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Windows 使用者</cp:lastModifiedBy>
  <dcterms:created xsi:type="dcterms:W3CDTF">2005-08-07T23:49:29Z</dcterms:created>
  <dcterms:modified xsi:type="dcterms:W3CDTF">2013-09-16T05:39:32Z</dcterms:modified>
</cp:coreProperties>
</file>