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參考解答\"/>
    </mc:Choice>
  </mc:AlternateContent>
  <bookViews>
    <workbookView xWindow="120" yWindow="45" windowWidth="14955" windowHeight="7995" tabRatio="725"/>
  </bookViews>
  <sheets>
    <sheet name="Address" sheetId="1" r:id="rId1"/>
    <sheet name="Columns" sheetId="2" r:id="rId2"/>
    <sheet name="Offset" sheetId="3" r:id="rId3"/>
    <sheet name="綜合練習" sheetId="13" r:id="rId4"/>
    <sheet name="Choose" sheetId="6" r:id="rId5"/>
    <sheet name="查詢概念" sheetId="10" r:id="rId6"/>
    <sheet name="超連結的應用" sheetId="14" r:id="rId7"/>
    <sheet name="Hlookup" sheetId="7" r:id="rId8"/>
    <sheet name="Index" sheetId="11" r:id="rId9"/>
    <sheet name="index2" sheetId="15" r:id="rId10"/>
    <sheet name="LOOKUP" sheetId="17" r:id="rId11"/>
    <sheet name="Match" sheetId="9" r:id="rId12"/>
    <sheet name="Vlookup2" sheetId="16" r:id="rId13"/>
    <sheet name="Transpose" sheetId="12" r:id="rId14"/>
  </sheets>
  <definedNames>
    <definedName name="DATA">Hlookup!$A$3:$F$11</definedName>
    <definedName name="RAND">Match!$H$2:$H$101</definedName>
    <definedName name="化學">綜合練習!$C$3:$C$9</definedName>
    <definedName name="平均">Columns!$E$4:$E$10</definedName>
    <definedName name="成績範圍">Columns!$B$4:$E$10</definedName>
    <definedName name="吳宜真">Columns!$B$4:$E$4</definedName>
    <definedName name="李榮宗">Columns!$B$5:$E$5</definedName>
    <definedName name="姓名" localSheetId="3">綜合練習!$B$3:$B$9</definedName>
    <definedName name="姓名">Columns!$B$4:$E$10</definedName>
    <definedName name="物理">綜合練習!$D$3:$D$9</definedName>
    <definedName name="施大偉">Columns!$B$6:$E$6</definedName>
    <definedName name="英文">Columns!$C$4:$C$10</definedName>
    <definedName name="國文">Columns!$B$4:$B$10</definedName>
    <definedName name="張淑滿">Columns!$B$7:$E$7</definedName>
    <definedName name="莊慧玲">Columns!$B$8:$E$8</definedName>
    <definedName name="陳友敬">Columns!$B$9:$E$9</definedName>
    <definedName name="陳儀庭">Columns!$B$10:$E$10</definedName>
    <definedName name="電腦">Columns!$D$4:$D$10</definedName>
    <definedName name="檢定成績">#REF!</definedName>
  </definedNames>
  <calcPr calcId="152511"/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J18" i="9"/>
  <c r="J19" i="9"/>
  <c r="J20" i="9"/>
  <c r="J2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2" i="9"/>
  <c r="G6" i="17" a="1"/>
  <c r="G6" i="17"/>
  <c r="F2" i="17" a="1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C13" i="10"/>
  <c r="C12" i="10"/>
  <c r="A21" i="17"/>
  <c r="A20" i="17"/>
  <c r="A18" i="17"/>
  <c r="A19" i="17"/>
  <c r="A17" i="17"/>
  <c r="D3" i="16"/>
  <c r="D4" i="16"/>
  <c r="D5" i="16"/>
  <c r="D6" i="16"/>
  <c r="D7" i="16"/>
  <c r="D8" i="16"/>
  <c r="D9" i="16"/>
  <c r="D2" i="16"/>
  <c r="E2" i="16"/>
  <c r="E3" i="16"/>
  <c r="E4" i="16"/>
  <c r="E5" i="16"/>
  <c r="E6" i="16"/>
  <c r="E7" i="16"/>
  <c r="E8" i="16"/>
  <c r="E9" i="16"/>
  <c r="F5" i="13"/>
  <c r="F6" i="13"/>
  <c r="F4" i="15"/>
  <c r="G4" i="15"/>
  <c r="H4" i="15"/>
  <c r="I4" i="15"/>
  <c r="J4" i="15"/>
  <c r="K4" i="15"/>
  <c r="L4" i="15"/>
  <c r="M4" i="15"/>
  <c r="F5" i="15"/>
  <c r="G5" i="15"/>
  <c r="H5" i="15"/>
  <c r="I5" i="15"/>
  <c r="J5" i="15"/>
  <c r="K5" i="15"/>
  <c r="L5" i="15"/>
  <c r="M5" i="15"/>
  <c r="F6" i="15"/>
  <c r="G6" i="15"/>
  <c r="H6" i="15"/>
  <c r="I6" i="15"/>
  <c r="J6" i="15"/>
  <c r="K6" i="15"/>
  <c r="L6" i="15"/>
  <c r="M6" i="15"/>
  <c r="F7" i="15"/>
  <c r="G7" i="15"/>
  <c r="H7" i="15"/>
  <c r="I7" i="15"/>
  <c r="J7" i="15"/>
  <c r="K7" i="15"/>
  <c r="L7" i="15"/>
  <c r="M7" i="15"/>
  <c r="F8" i="15"/>
  <c r="G8" i="15"/>
  <c r="H8" i="15"/>
  <c r="I8" i="15"/>
  <c r="J8" i="15"/>
  <c r="K8" i="15"/>
  <c r="L8" i="15"/>
  <c r="M8" i="15"/>
  <c r="F9" i="15"/>
  <c r="G9" i="15"/>
  <c r="H9" i="15"/>
  <c r="I9" i="15"/>
  <c r="J9" i="15"/>
  <c r="K9" i="15"/>
  <c r="L9" i="15"/>
  <c r="M9" i="15"/>
  <c r="F10" i="15"/>
  <c r="G10" i="15"/>
  <c r="H10" i="15"/>
  <c r="I10" i="15"/>
  <c r="J10" i="15"/>
  <c r="K10" i="15"/>
  <c r="L10" i="15"/>
  <c r="M10" i="15"/>
  <c r="F11" i="15"/>
  <c r="G11" i="15"/>
  <c r="H37" i="15" s="1"/>
  <c r="H11" i="15"/>
  <c r="I11" i="15"/>
  <c r="J11" i="15"/>
  <c r="K11" i="15"/>
  <c r="L11" i="15"/>
  <c r="M11" i="15"/>
  <c r="F12" i="15"/>
  <c r="G12" i="15"/>
  <c r="H12" i="15"/>
  <c r="I12" i="15"/>
  <c r="J12" i="15"/>
  <c r="K12" i="15"/>
  <c r="L12" i="15"/>
  <c r="M12" i="15"/>
  <c r="F13" i="15"/>
  <c r="G13" i="15"/>
  <c r="H13" i="15"/>
  <c r="I13" i="15"/>
  <c r="J13" i="15"/>
  <c r="K13" i="15"/>
  <c r="L13" i="15"/>
  <c r="M13" i="15"/>
  <c r="F14" i="15"/>
  <c r="G14" i="15"/>
  <c r="H14" i="15"/>
  <c r="I14" i="15"/>
  <c r="J14" i="15"/>
  <c r="K14" i="15"/>
  <c r="L14" i="15"/>
  <c r="M14" i="15"/>
  <c r="F15" i="15"/>
  <c r="G15" i="15"/>
  <c r="H15" i="15"/>
  <c r="I15" i="15"/>
  <c r="J15" i="15"/>
  <c r="K15" i="15"/>
  <c r="L15" i="15"/>
  <c r="M15" i="15"/>
  <c r="F16" i="15"/>
  <c r="G16" i="15"/>
  <c r="H16" i="15"/>
  <c r="I16" i="15"/>
  <c r="J16" i="15"/>
  <c r="K16" i="15"/>
  <c r="L16" i="15"/>
  <c r="M16" i="15"/>
  <c r="F17" i="15"/>
  <c r="G17" i="15"/>
  <c r="H17" i="15"/>
  <c r="I17" i="15"/>
  <c r="J17" i="15"/>
  <c r="K17" i="15"/>
  <c r="L17" i="15"/>
  <c r="M17" i="15"/>
  <c r="J26" i="15"/>
  <c r="A27" i="15"/>
  <c r="B27" i="15"/>
  <c r="A29" i="15"/>
  <c r="H29" i="15"/>
  <c r="A30" i="15" a="1"/>
  <c r="A30" i="15" s="1"/>
  <c r="H30" i="15"/>
  <c r="A31" i="15"/>
  <c r="H31" i="15"/>
  <c r="A32" i="15"/>
  <c r="H32" i="15"/>
  <c r="A33" i="15"/>
  <c r="A34" i="15" a="1"/>
  <c r="A34" i="15" s="1"/>
  <c r="H34" i="15"/>
  <c r="A35" i="15"/>
  <c r="A36" i="15"/>
  <c r="A37" i="15"/>
  <c r="A38" i="15"/>
  <c r="D1" i="14"/>
  <c r="E1" i="14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G4" i="2"/>
  <c r="H7" i="7"/>
  <c r="H6" i="7"/>
  <c r="H5" i="7"/>
  <c r="H4" i="7"/>
  <c r="J4" i="13"/>
  <c r="G9" i="2"/>
  <c r="G8" i="2"/>
  <c r="G7" i="2"/>
  <c r="G6" i="2"/>
  <c r="G5" i="2"/>
  <c r="F4" i="13"/>
  <c r="F7" i="13" s="1"/>
  <c r="C4" i="2"/>
  <c r="C5" i="2"/>
  <c r="C6" i="2"/>
  <c r="C7" i="2"/>
  <c r="C8" i="2"/>
  <c r="C9" i="2"/>
  <c r="C10" i="2"/>
  <c r="I12" i="10"/>
  <c r="G2" i="12" a="1"/>
  <c r="G2" i="12"/>
  <c r="H2" i="12"/>
  <c r="I2" i="12"/>
  <c r="G3" i="12"/>
  <c r="H3" i="12"/>
  <c r="I3" i="12"/>
  <c r="G4" i="12"/>
  <c r="H4" i="12"/>
  <c r="I4" i="12"/>
  <c r="G5" i="12"/>
  <c r="H5" i="12"/>
  <c r="I5" i="12"/>
  <c r="B13" i="9"/>
  <c r="B12" i="9"/>
  <c r="B11" i="9"/>
  <c r="B10" i="9"/>
  <c r="D9" i="10"/>
  <c r="D8" i="10"/>
  <c r="D14" i="11" a="1"/>
  <c r="D14" i="11"/>
  <c r="E14" i="11"/>
  <c r="F14" i="11"/>
  <c r="G14" i="11"/>
  <c r="E9" i="11"/>
  <c r="E6" i="11"/>
  <c r="E7" i="11"/>
  <c r="E8" i="11"/>
  <c r="G7" i="11"/>
  <c r="G6" i="11"/>
  <c r="G5" i="11"/>
  <c r="G4" i="11"/>
  <c r="G3" i="11"/>
  <c r="G2" i="11"/>
  <c r="E2" i="11"/>
  <c r="D12" i="11" s="1" a="1"/>
  <c r="E3" i="11"/>
  <c r="D13" i="11" s="1" a="1"/>
  <c r="E4" i="11"/>
  <c r="B5" i="2"/>
  <c r="D5" i="2"/>
  <c r="E5" i="2"/>
  <c r="B6" i="2"/>
  <c r="D6" i="2"/>
  <c r="E6" i="2"/>
  <c r="B7" i="2"/>
  <c r="D7" i="2"/>
  <c r="E7" i="2"/>
  <c r="B8" i="2"/>
  <c r="D8" i="2"/>
  <c r="E8" i="2"/>
  <c r="B9" i="2"/>
  <c r="D9" i="2"/>
  <c r="E9" i="2"/>
  <c r="B10" i="2"/>
  <c r="D10" i="2"/>
  <c r="E10" i="2"/>
  <c r="B4" i="2"/>
  <c r="D4" i="2"/>
  <c r="E4" i="2"/>
  <c r="L4" i="10"/>
  <c r="L5" i="10"/>
  <c r="L6" i="10"/>
  <c r="C5" i="10"/>
  <c r="D5" i="10"/>
  <c r="E5" i="10"/>
  <c r="F5" i="10"/>
  <c r="L7" i="10"/>
  <c r="E3" i="6"/>
  <c r="E4" i="6"/>
  <c r="E5" i="6"/>
  <c r="E6" i="6"/>
  <c r="E7" i="6"/>
  <c r="E8" i="6"/>
  <c r="E9" i="6"/>
  <c r="E10" i="6"/>
  <c r="E11" i="6"/>
  <c r="A1" i="2" a="1"/>
  <c r="A1" i="2"/>
  <c r="B1" i="2"/>
  <c r="C1" i="2"/>
  <c r="D5" i="1"/>
  <c r="D6" i="1"/>
  <c r="D4" i="1"/>
  <c r="H4" i="1"/>
  <c r="H5" i="1"/>
  <c r="H6" i="1"/>
  <c r="G4" i="1"/>
  <c r="E4" i="1"/>
  <c r="F4" i="1"/>
  <c r="E5" i="1"/>
  <c r="F5" i="1"/>
  <c r="G5" i="1"/>
  <c r="E6" i="1"/>
  <c r="F6" i="1"/>
  <c r="G6" i="1"/>
  <c r="J5" i="13"/>
  <c r="J6" i="13"/>
  <c r="B16" i="2"/>
  <c r="B13" i="2"/>
  <c r="I4" i="1"/>
  <c r="F8" i="13"/>
  <c r="J7" i="13" l="1"/>
  <c r="D13" i="11"/>
  <c r="E13" i="11"/>
  <c r="F13" i="11"/>
  <c r="G13" i="11"/>
  <c r="D12" i="11"/>
  <c r="E12" i="11"/>
  <c r="F12" i="11"/>
  <c r="G12" i="11"/>
  <c r="J8" i="13"/>
</calcChain>
</file>

<file path=xl/sharedStrings.xml><?xml version="1.0" encoding="utf-8"?>
<sst xmlns="http://schemas.openxmlformats.org/spreadsheetml/2006/main" count="355" uniqueCount="261">
  <si>
    <t>TEST.XLS</t>
  </si>
  <si>
    <t>列</t>
    <phoneticPr fontId="2" type="noConversion"/>
  </si>
  <si>
    <t>欄</t>
    <phoneticPr fontId="2" type="noConversion"/>
  </si>
  <si>
    <t>型態</t>
    <phoneticPr fontId="2" type="noConversion"/>
  </si>
  <si>
    <t>A1</t>
    <phoneticPr fontId="2" type="noConversion"/>
  </si>
  <si>
    <r>
      <t>ADDRESS</t>
    </r>
    <r>
      <rPr>
        <sz val="12"/>
        <rFont val="新細明體"/>
        <family val="1"/>
        <charset val="136"/>
      </rPr>
      <t>(列,欄,型態,A1,工作表名稱)</t>
    </r>
    <phoneticPr fontId="2" type="noConversion"/>
  </si>
  <si>
    <t>工作表名稱</t>
    <phoneticPr fontId="2" type="noConversion"/>
  </si>
  <si>
    <t>姓名</t>
    <phoneticPr fontId="2" type="noConversion"/>
  </si>
  <si>
    <t>國文</t>
    <phoneticPr fontId="2" type="noConversion"/>
  </si>
  <si>
    <t>英文</t>
    <phoneticPr fontId="2" type="noConversion"/>
  </si>
  <si>
    <t>電腦</t>
    <phoneticPr fontId="2" type="noConversion"/>
  </si>
  <si>
    <t>平均</t>
    <phoneticPr fontId="2" type="noConversion"/>
  </si>
  <si>
    <t>吳宜真</t>
    <phoneticPr fontId="2" type="noConversion"/>
  </si>
  <si>
    <t>李榮宗</t>
  </si>
  <si>
    <t>施大偉</t>
  </si>
  <si>
    <t>張淑滿</t>
  </si>
  <si>
    <t>莊慧玲</t>
    <phoneticPr fontId="2" type="noConversion"/>
  </si>
  <si>
    <t>陳友敬</t>
    <phoneticPr fontId="2" type="noConversion"/>
  </si>
  <si>
    <t>陳儀庭</t>
    <phoneticPr fontId="2" type="noConversion"/>
  </si>
  <si>
    <t>成績範圍=B4:E10</t>
    <phoneticPr fontId="2" type="noConversion"/>
  </si>
  <si>
    <t>指定區域</t>
    <phoneticPr fontId="2" type="noConversion"/>
  </si>
  <si>
    <t>國文</t>
    <phoneticPr fontId="2" type="noConversion"/>
  </si>
  <si>
    <t>英文</t>
    <phoneticPr fontId="2" type="noConversion"/>
  </si>
  <si>
    <t>專業科目</t>
    <phoneticPr fontId="2" type="noConversion"/>
  </si>
  <si>
    <t>加權總分</t>
    <phoneticPr fontId="2" type="noConversion"/>
  </si>
  <si>
    <t>所得的結果</t>
    <phoneticPr fontId="2" type="noConversion"/>
  </si>
  <si>
    <t>型別</t>
    <phoneticPr fontId="2" type="noConversion"/>
  </si>
  <si>
    <t>決策準則</t>
    <phoneticPr fontId="2" type="noConversion"/>
  </si>
  <si>
    <t>喜美</t>
    <phoneticPr fontId="2" type="noConversion"/>
  </si>
  <si>
    <t>現代</t>
    <phoneticPr fontId="2" type="noConversion"/>
  </si>
  <si>
    <t>道奇</t>
    <phoneticPr fontId="2" type="noConversion"/>
  </si>
  <si>
    <t>福特</t>
    <phoneticPr fontId="2" type="noConversion"/>
  </si>
  <si>
    <t>價格(萬元)</t>
    <phoneticPr fontId="2" type="noConversion"/>
  </si>
  <si>
    <t>耗油率(km/l)</t>
    <phoneticPr fontId="2" type="noConversion"/>
  </si>
  <si>
    <t>避震系統</t>
    <phoneticPr fontId="2" type="noConversion"/>
  </si>
  <si>
    <t>內裝</t>
    <phoneticPr fontId="2" type="noConversion"/>
  </si>
  <si>
    <t>國別</t>
    <phoneticPr fontId="2" type="noConversion"/>
  </si>
  <si>
    <t>排氣量(c.c.)</t>
    <phoneticPr fontId="2" type="noConversion"/>
  </si>
  <si>
    <t>廠牌</t>
    <phoneticPr fontId="2" type="noConversion"/>
  </si>
  <si>
    <t>車型</t>
    <phoneticPr fontId="2" type="noConversion"/>
  </si>
  <si>
    <t>博碩書目</t>
    <phoneticPr fontId="2" type="noConversion"/>
  </si>
  <si>
    <t>編號</t>
    <phoneticPr fontId="2" type="noConversion"/>
  </si>
  <si>
    <t>書名</t>
    <phoneticPr fontId="2" type="noConversion"/>
  </si>
  <si>
    <t>作者</t>
    <phoneticPr fontId="2" type="noConversion"/>
  </si>
  <si>
    <t>售價</t>
    <phoneticPr fontId="2" type="noConversion"/>
  </si>
  <si>
    <t>B001</t>
    <phoneticPr fontId="2" type="noConversion"/>
  </si>
  <si>
    <t>朱惠美</t>
    <phoneticPr fontId="2" type="noConversion"/>
  </si>
  <si>
    <t>B002</t>
  </si>
  <si>
    <t>陳國清</t>
    <phoneticPr fontId="2" type="noConversion"/>
  </si>
  <si>
    <t>萬衛華</t>
    <phoneticPr fontId="2" type="noConversion"/>
  </si>
  <si>
    <t>王秀惠</t>
    <phoneticPr fontId="2" type="noConversion"/>
  </si>
  <si>
    <t>B005</t>
  </si>
  <si>
    <t>林建宏</t>
    <phoneticPr fontId="2" type="noConversion"/>
  </si>
  <si>
    <t>B006</t>
  </si>
  <si>
    <t>林宏諭</t>
    <phoneticPr fontId="2" type="noConversion"/>
  </si>
  <si>
    <t>準考證號碼</t>
    <phoneticPr fontId="2" type="noConversion"/>
  </si>
  <si>
    <t>1.計算國文平均數</t>
    <phoneticPr fontId="2" type="noConversion"/>
  </si>
  <si>
    <t>2.計算國文最高分</t>
    <phoneticPr fontId="2" type="noConversion"/>
  </si>
  <si>
    <t>3.計算國文最低分</t>
    <phoneticPr fontId="2" type="noConversion"/>
  </si>
  <si>
    <t>4.計算加權總分平均數</t>
    <phoneticPr fontId="2" type="noConversion"/>
  </si>
  <si>
    <t>請輸入要計算的項目</t>
    <phoneticPr fontId="2" type="noConversion"/>
  </si>
  <si>
    <t>決策矩陣評估表</t>
    <phoneticPr fontId="2" type="noConversion"/>
  </si>
  <si>
    <t>A1001</t>
    <phoneticPr fontId="2" type="noConversion"/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</si>
  <si>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</si>
  <si>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</si>
  <si>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</si>
  <si>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</si>
  <si>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</si>
  <si>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</si>
  <si>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</si>
  <si>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</si>
  <si>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博碩大學招生考試</t>
    <phoneticPr fontId="2" type="noConversion"/>
  </si>
  <si>
    <t>A002</t>
  </si>
  <si>
    <t>A003</t>
  </si>
  <si>
    <t>A004</t>
  </si>
  <si>
    <t>A001</t>
    <phoneticPr fontId="2" type="noConversion"/>
  </si>
  <si>
    <t>陳義信</t>
    <phoneticPr fontId="2" type="noConversion"/>
  </si>
  <si>
    <t>王光輝</t>
    <phoneticPr fontId="2" type="noConversion"/>
  </si>
  <si>
    <t>路易士</t>
    <phoneticPr fontId="2" type="noConversion"/>
  </si>
  <si>
    <t>李居明</t>
    <phoneticPr fontId="2" type="noConversion"/>
  </si>
  <si>
    <t>代號</t>
    <phoneticPr fontId="2" type="noConversion"/>
  </si>
  <si>
    <t>姓名</t>
    <phoneticPr fontId="2" type="noConversion"/>
  </si>
  <si>
    <t>本薪</t>
    <phoneticPr fontId="2" type="noConversion"/>
  </si>
  <si>
    <t>勞保費</t>
    <phoneticPr fontId="2" type="noConversion"/>
  </si>
  <si>
    <r>
      <t>ç</t>
    </r>
    <r>
      <rPr>
        <sz val="12"/>
        <rFont val="新細明體"/>
        <family val="1"/>
        <charset val="136"/>
      </rPr>
      <t>這裡輸入代號</t>
    </r>
    <phoneticPr fontId="2" type="noConversion"/>
  </si>
  <si>
    <t>A002</t>
    <phoneticPr fontId="2" type="noConversion"/>
  </si>
  <si>
    <t>Excel 2003學習捷徑</t>
  </si>
  <si>
    <t>Excel 2003進階手冊</t>
  </si>
  <si>
    <t>Word 2003學習手冊</t>
  </si>
  <si>
    <t>Office 2003自學手冊</t>
  </si>
  <si>
    <t>Office 2003進階手冊</t>
  </si>
  <si>
    <t>Windows 2003自學手冊</t>
  </si>
  <si>
    <t>平均</t>
    <phoneticPr fontId="2" type="noConversion"/>
  </si>
  <si>
    <t>姓名</t>
    <phoneticPr fontId="2" type="noConversion"/>
  </si>
  <si>
    <t>張淑滿</t>
    <phoneticPr fontId="2" type="noConversion"/>
  </si>
  <si>
    <t>列</t>
    <phoneticPr fontId="2" type="noConversion"/>
  </si>
  <si>
    <t>欄</t>
    <phoneticPr fontId="2" type="noConversion"/>
  </si>
  <si>
    <t>傳回的值</t>
    <phoneticPr fontId="2" type="noConversion"/>
  </si>
  <si>
    <t>=HLOOKUP(D7,C2:F5,2)</t>
    <phoneticPr fontId="2" type="noConversion"/>
  </si>
  <si>
    <t>=LOOKUP(D7,C2:F2,C4:F4)</t>
    <phoneticPr fontId="2" type="noConversion"/>
  </si>
  <si>
    <t>B009</t>
    <phoneticPr fontId="2" type="noConversion"/>
  </si>
  <si>
    <t>B0013</t>
    <phoneticPr fontId="2" type="noConversion"/>
  </si>
  <si>
    <t>陳偉忠</t>
    <phoneticPr fontId="2" type="noConversion"/>
  </si>
  <si>
    <t>=VLOOKUP("A003",I4:L7,3)</t>
    <phoneticPr fontId="2" type="noConversion"/>
  </si>
  <si>
    <t>化學</t>
    <phoneticPr fontId="2" type="noConversion"/>
  </si>
  <si>
    <t>物理</t>
    <phoneticPr fontId="2" type="noConversion"/>
  </si>
  <si>
    <t>A8</t>
    <phoneticPr fontId="2" type="noConversion"/>
  </si>
  <si>
    <t>=INDIRECT(C12)</t>
    <phoneticPr fontId="2" type="noConversion"/>
  </si>
  <si>
    <t>=AVERAGE(INDIRECT(C15))</t>
    <phoneticPr fontId="2" type="noConversion"/>
  </si>
  <si>
    <t>化學成績的起始位址</t>
    <phoneticPr fontId="2" type="noConversion"/>
  </si>
  <si>
    <t>化學成績在第幾欄</t>
    <phoneticPr fontId="2" type="noConversion"/>
  </si>
  <si>
    <t>莊慧玲是在姓名中的第幾個</t>
    <phoneticPr fontId="2" type="noConversion"/>
  </si>
  <si>
    <t>用ADDRESS取得成績的位址</t>
    <phoneticPr fontId="2" type="noConversion"/>
  </si>
  <si>
    <t>用INDIRECT將位址轉成成績</t>
    <phoneticPr fontId="2" type="noConversion"/>
  </si>
  <si>
    <t>=COLUMN()</t>
    <phoneticPr fontId="2" type="noConversion"/>
  </si>
  <si>
    <t>=COLUMN(成績範圍)</t>
    <phoneticPr fontId="2" type="noConversion"/>
  </si>
  <si>
    <t>=COLUMN(E3)</t>
    <phoneticPr fontId="2" type="noConversion"/>
  </si>
  <si>
    <t>=COLUMNS(成績範圍)</t>
    <phoneticPr fontId="2" type="noConversion"/>
  </si>
  <si>
    <t>=COLUMNS(B4:C4)</t>
    <phoneticPr fontId="2" type="noConversion"/>
  </si>
  <si>
    <t>=COLUMNS(A3:E5)</t>
    <phoneticPr fontId="2" type="noConversion"/>
  </si>
  <si>
    <t>=MATCH(J2,姓名,0)</t>
    <phoneticPr fontId="2" type="noConversion"/>
  </si>
  <si>
    <t>=ROW(INDIRECT(J3))</t>
    <phoneticPr fontId="2" type="noConversion"/>
  </si>
  <si>
    <t>=COLUMN(INDIRECT(J3))</t>
    <phoneticPr fontId="2" type="noConversion"/>
  </si>
  <si>
    <t>=ADDRESS(J5+J4-1,J6)</t>
    <phoneticPr fontId="2" type="noConversion"/>
  </si>
  <si>
    <t>=INDIRECT(J7)</t>
    <phoneticPr fontId="2" type="noConversion"/>
  </si>
  <si>
    <r>
      <t>=HLOOKUP("</t>
    </r>
    <r>
      <rPr>
        <sz val="12"/>
        <rFont val="新細明體"/>
        <family val="1"/>
        <charset val="136"/>
      </rPr>
      <t>福特</t>
    </r>
    <r>
      <rPr>
        <sz val="12"/>
        <rFont val="新細明體"/>
        <family val="1"/>
        <charset val="136"/>
      </rPr>
      <t>1.5",DATA,2)</t>
    </r>
    <phoneticPr fontId="2" type="noConversion"/>
  </si>
  <si>
    <r>
      <t>=HLOOKUP("</t>
    </r>
    <r>
      <rPr>
        <sz val="12"/>
        <rFont val="新細明體"/>
        <family val="1"/>
        <charset val="136"/>
      </rPr>
      <t>道奇</t>
    </r>
    <r>
      <rPr>
        <sz val="12"/>
        <rFont val="新細明體"/>
        <family val="1"/>
        <charset val="136"/>
      </rPr>
      <t>",A3:F11,A11+1)</t>
    </r>
    <phoneticPr fontId="2" type="noConversion"/>
  </si>
  <si>
    <r>
      <t>=HLOOKUP("</t>
    </r>
    <r>
      <rPr>
        <sz val="12"/>
        <rFont val="新細明體"/>
        <family val="1"/>
        <charset val="136"/>
      </rPr>
      <t>喜美</t>
    </r>
    <r>
      <rPr>
        <sz val="12"/>
        <rFont val="新細明體"/>
        <family val="1"/>
        <charset val="136"/>
      </rPr>
      <t>",DATA,A10+1)</t>
    </r>
    <phoneticPr fontId="2" type="noConversion"/>
  </si>
  <si>
    <r>
      <t>=HLOOKUP("</t>
    </r>
    <r>
      <rPr>
        <sz val="12"/>
        <rFont val="新細明體"/>
        <family val="1"/>
        <charset val="136"/>
      </rPr>
      <t>現代</t>
    </r>
    <r>
      <rPr>
        <sz val="12"/>
        <rFont val="新細明體"/>
        <family val="1"/>
        <charset val="136"/>
      </rPr>
      <t>",DATA,15)</t>
    </r>
    <phoneticPr fontId="2" type="noConversion"/>
  </si>
  <si>
    <t>姓名</t>
  </si>
  <si>
    <t>熊漢琳</t>
    <phoneticPr fontId="2" type="noConversion"/>
  </si>
  <si>
    <t>黃柏誠</t>
    <phoneticPr fontId="2" type="noConversion"/>
  </si>
  <si>
    <t>林宸旭</t>
  </si>
  <si>
    <t>陳玉玲</t>
    <phoneticPr fontId="2" type="noConversion"/>
  </si>
  <si>
    <t>黃冠儒</t>
    <phoneticPr fontId="2" type="noConversion"/>
  </si>
  <si>
    <t>林碧梅</t>
    <phoneticPr fontId="2" type="noConversion"/>
  </si>
  <si>
    <t>謝幸安</t>
    <phoneticPr fontId="2" type="noConversion"/>
  </si>
  <si>
    <t>林毓倫</t>
    <phoneticPr fontId="2" type="noConversion"/>
  </si>
  <si>
    <t>電子郵件</t>
    <phoneticPr fontId="2" type="noConversion"/>
  </si>
  <si>
    <t>電子郵件超連結</t>
    <phoneticPr fontId="2" type="noConversion"/>
  </si>
  <si>
    <t>熊漢琳</t>
    <phoneticPr fontId="2" type="noConversion"/>
  </si>
  <si>
    <t>ching@2mails.hp.com.tw</t>
    <phoneticPr fontId="2" type="noConversion"/>
  </si>
  <si>
    <t>陳偉忠</t>
    <phoneticPr fontId="2" type="noConversion"/>
  </si>
  <si>
    <t>toto@2mails.systex.com.tw</t>
    <phoneticPr fontId="2" type="noConversion"/>
  </si>
  <si>
    <t>黃柏誠</t>
    <phoneticPr fontId="2" type="noConversion"/>
  </si>
  <si>
    <t>john@2mails.clock.com.tw</t>
    <phoneticPr fontId="2" type="noConversion"/>
  </si>
  <si>
    <t>king@2mails.lan.com.tw</t>
    <phoneticPr fontId="2" type="noConversion"/>
  </si>
  <si>
    <t>陳玉玲</t>
    <phoneticPr fontId="2" type="noConversion"/>
  </si>
  <si>
    <t>juimi@2mails.csf.org.tw</t>
    <phoneticPr fontId="2" type="noConversion"/>
  </si>
  <si>
    <t>黃冠儒</t>
    <phoneticPr fontId="2" type="noConversion"/>
  </si>
  <si>
    <t>yun@2tpts5.seed.net.tw</t>
    <phoneticPr fontId="2" type="noConversion"/>
  </si>
  <si>
    <t>王秀惠</t>
    <phoneticPr fontId="2" type="noConversion"/>
  </si>
  <si>
    <t>rudy@2mails.ntu.edu.tw</t>
    <phoneticPr fontId="2" type="noConversion"/>
  </si>
  <si>
    <t>陳國清</t>
    <phoneticPr fontId="2" type="noConversion"/>
  </si>
  <si>
    <t>wuwu@2cathlife.com.tw</t>
    <phoneticPr fontId="2" type="noConversion"/>
  </si>
  <si>
    <t>林碧梅</t>
    <phoneticPr fontId="2" type="noConversion"/>
  </si>
  <si>
    <t>nini@2ms3.hinet.net</t>
    <phoneticPr fontId="2" type="noConversion"/>
  </si>
  <si>
    <t>萬衛華</t>
    <phoneticPr fontId="2" type="noConversion"/>
  </si>
  <si>
    <t>tomy@2mails.microsoft.com</t>
    <phoneticPr fontId="2" type="noConversion"/>
  </si>
  <si>
    <t>林宏諭</t>
    <phoneticPr fontId="2" type="noConversion"/>
  </si>
  <si>
    <t>yune@2mis.im.tku.edu.tw</t>
    <phoneticPr fontId="2" type="noConversion"/>
  </si>
  <si>
    <t>林建宏</t>
    <phoneticPr fontId="2" type="noConversion"/>
  </si>
  <si>
    <t>vivi@2mails.computer.org.tw</t>
    <phoneticPr fontId="2" type="noConversion"/>
  </si>
  <si>
    <t>謝幸安</t>
    <phoneticPr fontId="2" type="noConversion"/>
  </si>
  <si>
    <t>pau@2ms16.hinet.net</t>
    <phoneticPr fontId="2" type="noConversion"/>
  </si>
  <si>
    <t>林毓倫</t>
    <phoneticPr fontId="2" type="noConversion"/>
  </si>
  <si>
    <t>didi@2ms17.hinet.net</t>
    <phoneticPr fontId="2" type="noConversion"/>
  </si>
  <si>
    <t>等級</t>
  </si>
  <si>
    <t>贈品</t>
  </si>
  <si>
    <t>C</t>
  </si>
  <si>
    <t>={INDEX(H20:J23,0,2)}</t>
  </si>
  <si>
    <t>碩碩技術學院</t>
    <phoneticPr fontId="2" type="noConversion"/>
  </si>
  <si>
    <t>技能檢定考試評比</t>
    <phoneticPr fontId="2" type="noConversion"/>
  </si>
  <si>
    <t>自我練習</t>
    <phoneticPr fontId="2" type="noConversion"/>
  </si>
  <si>
    <t>學號</t>
    <phoneticPr fontId="2" type="noConversion"/>
  </si>
  <si>
    <t>性別</t>
    <phoneticPr fontId="2" type="noConversion"/>
  </si>
  <si>
    <t>中文輸入</t>
    <phoneticPr fontId="2" type="noConversion"/>
  </si>
  <si>
    <t>文書處理</t>
    <phoneticPr fontId="2" type="noConversion"/>
  </si>
  <si>
    <t>總分</t>
    <phoneticPr fontId="2" type="noConversion"/>
  </si>
  <si>
    <t>獎品</t>
    <phoneticPr fontId="2" type="noConversion"/>
  </si>
  <si>
    <t>加權比例</t>
    <phoneticPr fontId="2" type="noConversion"/>
  </si>
  <si>
    <t>及格科目☆</t>
    <phoneticPr fontId="2" type="noConversion"/>
  </si>
  <si>
    <t>文字等級</t>
    <phoneticPr fontId="2" type="noConversion"/>
  </si>
  <si>
    <t>評斷</t>
    <phoneticPr fontId="2" type="noConversion"/>
  </si>
  <si>
    <t>女</t>
    <phoneticPr fontId="2" type="noConversion"/>
  </si>
  <si>
    <t>男</t>
    <phoneticPr fontId="2" type="noConversion"/>
  </si>
  <si>
    <t>成績查詢</t>
    <phoneticPr fontId="2" type="noConversion"/>
  </si>
  <si>
    <t>1.請計算中文輸入平均分數</t>
    <phoneticPr fontId="2" type="noConversion"/>
  </si>
  <si>
    <t>A</t>
    <phoneticPr fontId="2" type="noConversion"/>
  </si>
  <si>
    <t>電影票3張</t>
    <phoneticPr fontId="2" type="noConversion"/>
  </si>
  <si>
    <t>2.請計算文書處理平均分數</t>
    <phoneticPr fontId="2" type="noConversion"/>
  </si>
  <si>
    <t>B</t>
    <phoneticPr fontId="2" type="noConversion"/>
  </si>
  <si>
    <t>光碟一片</t>
    <phoneticPr fontId="2" type="noConversion"/>
  </si>
  <si>
    <t>3.請計算平均分數最大</t>
    <phoneticPr fontId="2" type="noConversion"/>
  </si>
  <si>
    <t>C</t>
    <phoneticPr fontId="2" type="noConversion"/>
  </si>
  <si>
    <t>音樂帶兩捲</t>
    <phoneticPr fontId="2" type="noConversion"/>
  </si>
  <si>
    <t>4.請計算總分最小者</t>
    <phoneticPr fontId="2" type="noConversion"/>
  </si>
  <si>
    <t>D</t>
    <phoneticPr fontId="2" type="noConversion"/>
  </si>
  <si>
    <t>鉛筆五支</t>
    <phoneticPr fontId="2" type="noConversion"/>
  </si>
  <si>
    <t>請輸入要計算的項目數字</t>
    <phoneticPr fontId="2" type="noConversion"/>
  </si>
  <si>
    <t>等級</t>
    <phoneticPr fontId="2" type="noConversion"/>
  </si>
  <si>
    <t>項目</t>
    <phoneticPr fontId="2" type="noConversion"/>
  </si>
  <si>
    <t>查詢內容</t>
    <phoneticPr fontId="2" type="noConversion"/>
  </si>
  <si>
    <t>最後計算的結果</t>
    <phoneticPr fontId="2" type="noConversion"/>
  </si>
  <si>
    <t>INDEX()</t>
    <phoneticPr fontId="2" type="noConversion"/>
  </si>
  <si>
    <t>MATCH()</t>
    <phoneticPr fontId="2" type="noConversion"/>
  </si>
  <si>
    <t>=INDEX((A3:G8,A10:G13,A15:G17),3,2,3)</t>
    <phoneticPr fontId="2" type="noConversion"/>
  </si>
  <si>
    <t>=MATCH(H17,H20:H23,0)</t>
    <phoneticPr fontId="2" type="noConversion"/>
  </si>
  <si>
    <t>={INDEX((A4:G8,A10:G13,A15:G17),0,2,3)}</t>
    <phoneticPr fontId="2" type="noConversion"/>
  </si>
  <si>
    <t>=MATCH(I15,I20:I23,0)</t>
    <phoneticPr fontId="2" type="noConversion"/>
  </si>
  <si>
    <t>=MATCH(1,K20:K23,-1)</t>
    <phoneticPr fontId="2" type="noConversion"/>
  </si>
  <si>
    <t>=MATCH(1,K20:K23,0)</t>
    <phoneticPr fontId="2" type="noConversion"/>
  </si>
  <si>
    <t>=INDEX(H20:J23,3,2)</t>
    <phoneticPr fontId="2" type="noConversion"/>
  </si>
  <si>
    <t>MATCH()與INDEX()整合</t>
    <phoneticPr fontId="2" type="noConversion"/>
  </si>
  <si>
    <t>=INDEX(H20:J23,MATCH(H17,H20:H23,0),2)</t>
    <phoneticPr fontId="2" type="noConversion"/>
  </si>
  <si>
    <t>=INDEX((A3:G8,A10:G13,A15:G17),3,2,4)</t>
    <phoneticPr fontId="2" type="noConversion"/>
  </si>
  <si>
    <t>成本</t>
    <phoneticPr fontId="2" type="noConversion"/>
  </si>
  <si>
    <t>利潤</t>
    <phoneticPr fontId="2" type="noConversion"/>
  </si>
  <si>
    <t>引擎</t>
    <phoneticPr fontId="2" type="noConversion"/>
  </si>
  <si>
    <t>廠商</t>
    <phoneticPr fontId="32" type="noConversion"/>
  </si>
  <si>
    <t>配件</t>
    <phoneticPr fontId="32" type="noConversion"/>
  </si>
  <si>
    <t>售價</t>
    <phoneticPr fontId="32" type="noConversion"/>
  </si>
  <si>
    <t>查找表格</t>
    <phoneticPr fontId="32" type="noConversion"/>
  </si>
  <si>
    <t>裕隆</t>
    <phoneticPr fontId="32" type="noConversion"/>
  </si>
  <si>
    <t>福特</t>
    <phoneticPr fontId="32" type="noConversion"/>
  </si>
  <si>
    <t>豐田</t>
    <phoneticPr fontId="32" type="noConversion"/>
  </si>
  <si>
    <t>火花塞</t>
    <phoneticPr fontId="32" type="noConversion"/>
  </si>
  <si>
    <t>變速箱</t>
    <phoneticPr fontId="32" type="noConversion"/>
  </si>
  <si>
    <t>引擎</t>
    <phoneticPr fontId="32" type="noConversion"/>
  </si>
  <si>
    <t>方向盤</t>
    <phoneticPr fontId="32" type="noConversion"/>
  </si>
  <si>
    <t>剎車片</t>
    <phoneticPr fontId="32" type="noConversion"/>
  </si>
  <si>
    <t>LOOKUP()</t>
    <phoneticPr fontId="2" type="noConversion"/>
  </si>
  <si>
    <t>學號</t>
    <phoneticPr fontId="2" type="noConversion"/>
  </si>
  <si>
    <t>性別</t>
    <phoneticPr fontId="2" type="noConversion"/>
  </si>
  <si>
    <t>中文輸入</t>
    <phoneticPr fontId="2" type="noConversion"/>
  </si>
  <si>
    <t>文書處理</t>
    <phoneticPr fontId="2" type="noConversion"/>
  </si>
  <si>
    <t>熊漢琳</t>
    <phoneticPr fontId="2" type="noConversion"/>
  </si>
  <si>
    <t>女</t>
    <phoneticPr fontId="2" type="noConversion"/>
  </si>
  <si>
    <t>男</t>
    <phoneticPr fontId="2" type="noConversion"/>
  </si>
  <si>
    <t>黃柏誠</t>
    <phoneticPr fontId="2" type="noConversion"/>
  </si>
  <si>
    <t>陳玉玲</t>
    <phoneticPr fontId="2" type="noConversion"/>
  </si>
  <si>
    <t>黃冠儒</t>
    <phoneticPr fontId="2" type="noConversion"/>
  </si>
  <si>
    <t>王秀惠</t>
    <phoneticPr fontId="2" type="noConversion"/>
  </si>
  <si>
    <t>陳國清</t>
    <phoneticPr fontId="2" type="noConversion"/>
  </si>
  <si>
    <t>林碧梅</t>
    <phoneticPr fontId="2" type="noConversion"/>
  </si>
  <si>
    <t>萬衛華</t>
    <phoneticPr fontId="2" type="noConversion"/>
  </si>
  <si>
    <t>林宏諭</t>
    <phoneticPr fontId="2" type="noConversion"/>
  </si>
  <si>
    <t>林建宏</t>
    <phoneticPr fontId="2" type="noConversion"/>
  </si>
  <si>
    <t>謝幸安</t>
    <phoneticPr fontId="2" type="noConversion"/>
  </si>
  <si>
    <t>林毓倫</t>
    <phoneticPr fontId="2" type="noConversion"/>
  </si>
  <si>
    <t>=LOOKUP(B11,B10:B14)</t>
    <phoneticPr fontId="2" type="noConversion"/>
  </si>
  <si>
    <t>=LOOKUP(B11,B10:B14,D10:D14)</t>
    <phoneticPr fontId="2" type="noConversion"/>
  </si>
  <si>
    <t>=LOOKUP("陳偉忠",B10:B14,D10:D14)</t>
    <phoneticPr fontId="2" type="noConversion"/>
  </si>
  <si>
    <t>=LOOKUP("陳友敬",D10:D14,D10:D14)</t>
    <phoneticPr fontId="2" type="noConversion"/>
  </si>
  <si>
    <t>=LOOKUP(75,D5:D10,B7:B12)</t>
    <phoneticPr fontId="2" type="noConversion"/>
  </si>
  <si>
    <t>=LOOKUP("A003",C2:F4)</t>
    <phoneticPr fontId="2" type="noConversion"/>
  </si>
  <si>
    <t>=LOOKUP("A001",C2:F3)</t>
    <phoneticPr fontId="2" type="noConversion"/>
  </si>
  <si>
    <t>RAND()</t>
    <phoneticPr fontId="2" type="noConversion"/>
  </si>
  <si>
    <t>個數</t>
    <phoneticPr fontId="2" type="noConversion"/>
  </si>
  <si>
    <t>結果</t>
    <phoneticPr fontId="2" type="noConversion"/>
  </si>
  <si>
    <t>化學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</si>
</sst>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79" formatCode="0;_"/>
    <numFmt numFmtId="181" formatCode="[&lt;60]&quot;不及格&quot;;&quot;及格&quot;"/>
    <numFmt numFmtId="195" formatCode="0_ "/>
    <numFmt numFmtId="205" formatCode="0;_Ā"/>
    <numFmt numFmtId="206" formatCode="0;_ "/>
    <numFmt numFmtId="212" formatCode="#,##0_);[Red]\(#,##0\)"/>
  </numFmts>
  <fonts count="3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1"/>
      <color indexed="9"/>
      <name val="新細明體"/>
      <family val="1"/>
      <charset val="136"/>
    </font>
    <font>
      <sz val="12"/>
      <name val="Times New Roman"/>
      <family val="1"/>
    </font>
    <font>
      <sz val="12"/>
      <color indexed="9"/>
      <name val="新細明體"/>
      <family val="1"/>
      <charset val="136"/>
    </font>
    <font>
      <sz val="10"/>
      <name val="新細明體"/>
      <family val="1"/>
      <charset val="136"/>
    </font>
    <font>
      <sz val="14"/>
      <name val="華康隸書體W5(P)"/>
      <family val="1"/>
      <charset val="136"/>
    </font>
    <font>
      <sz val="12"/>
      <name val="華康中黑體"/>
      <family val="3"/>
      <charset val="136"/>
    </font>
    <font>
      <sz val="12"/>
      <name val="華康中黑體(P)"/>
      <family val="2"/>
      <charset val="136"/>
    </font>
    <font>
      <u/>
      <sz val="9"/>
      <color indexed="12"/>
      <name val="新細明體"/>
      <family val="1"/>
      <charset val="136"/>
    </font>
    <font>
      <sz val="12"/>
      <name val="標楷體"/>
      <family val="4"/>
      <charset val="136"/>
    </font>
    <font>
      <sz val="12"/>
      <name val="Wingdings"/>
      <charset val="2"/>
    </font>
    <font>
      <sz val="12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16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10"/>
      <color indexed="18"/>
      <name val="新細明體"/>
      <family val="1"/>
      <charset val="136"/>
    </font>
    <font>
      <sz val="10"/>
      <color indexed="16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43"/>
      <name val="新細明體"/>
      <family val="1"/>
      <charset val="136"/>
    </font>
    <font>
      <sz val="10"/>
      <color indexed="26"/>
      <name val="新細明體"/>
      <family val="1"/>
      <charset val="136"/>
    </font>
    <font>
      <b/>
      <sz val="10"/>
      <color indexed="48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0"/>
      <name val="Arial"/>
      <family val="2"/>
    </font>
    <font>
      <sz val="9"/>
      <name val="宋体"/>
      <charset val="134"/>
    </font>
    <font>
      <sz val="12"/>
      <color indexed="12"/>
      <name val="新細明體"/>
      <family val="1"/>
      <charset val="136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7"/>
        <bgColor indexed="24"/>
      </patternFill>
    </fill>
    <fill>
      <patternFill patternType="solid">
        <fgColor indexed="3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8"/>
        <bgColor indexed="2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0">
    <xf numFmtId="0" fontId="0" fillId="0" borderId="0">
      <alignment vertical="center"/>
    </xf>
    <xf numFmtId="0" fontId="31" fillId="2" borderId="0" applyNumberFormat="0" applyFont="0" applyBorder="0" applyAlignment="0" applyProtection="0"/>
    <xf numFmtId="0" fontId="31" fillId="3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6" borderId="1" xfId="7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79" fontId="6" fillId="5" borderId="1" xfId="7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7" fillId="9" borderId="0" xfId="0" applyFont="1" applyFill="1">
      <alignment vertical="center"/>
    </xf>
    <xf numFmtId="0" fontId="1" fillId="0" borderId="0" xfId="4"/>
    <xf numFmtId="0" fontId="7" fillId="10" borderId="0" xfId="4" applyFont="1" applyFill="1"/>
    <xf numFmtId="0" fontId="7" fillId="0" borderId="0" xfId="4" applyFont="1" applyFill="1"/>
    <xf numFmtId="0" fontId="1" fillId="0" borderId="0" xfId="5"/>
    <xf numFmtId="0" fontId="13" fillId="0" borderId="1" xfId="5" applyFont="1" applyBorder="1" applyAlignment="1">
      <alignment horizontal="center"/>
    </xf>
    <xf numFmtId="0" fontId="1" fillId="0" borderId="1" xfId="5" applyBorder="1" applyAlignment="1">
      <alignment horizontal="center"/>
    </xf>
    <xf numFmtId="1" fontId="1" fillId="0" borderId="1" xfId="5" applyNumberFormat="1" applyBorder="1" applyAlignment="1">
      <alignment horizontal="center"/>
    </xf>
    <xf numFmtId="0" fontId="1" fillId="0" borderId="0" xfId="5" applyAlignment="1">
      <alignment horizontal="center" vertical="top"/>
    </xf>
    <xf numFmtId="0" fontId="8" fillId="0" borderId="0" xfId="5" applyFont="1"/>
    <xf numFmtId="0" fontId="13" fillId="0" borderId="1" xfId="5" applyFont="1" applyBorder="1" applyAlignment="1">
      <alignment horizontal="center" vertical="center" wrapText="1"/>
    </xf>
    <xf numFmtId="0" fontId="1" fillId="0" borderId="1" xfId="5" applyBorder="1"/>
    <xf numFmtId="0" fontId="6" fillId="5" borderId="1" xfId="5" applyFont="1" applyFill="1" applyBorder="1" applyAlignment="1">
      <alignment horizontal="center"/>
    </xf>
    <xf numFmtId="0" fontId="13" fillId="0" borderId="0" xfId="5" applyFont="1" applyBorder="1" applyAlignment="1">
      <alignment horizontal="center"/>
    </xf>
    <xf numFmtId="0" fontId="1" fillId="0" borderId="0" xfId="5" applyBorder="1" applyAlignment="1">
      <alignment horizontal="center"/>
    </xf>
    <xf numFmtId="1" fontId="1" fillId="0" borderId="0" xfId="5" applyNumberFormat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3" fillId="0" borderId="1" xfId="5" applyFont="1" applyFill="1" applyBorder="1" applyAlignment="1">
      <alignment horizontal="center" vertical="center" wrapText="1"/>
    </xf>
    <xf numFmtId="0" fontId="14" fillId="0" borderId="0" xfId="5" applyFont="1"/>
    <xf numFmtId="0" fontId="13" fillId="5" borderId="1" xfId="5" applyFont="1" applyFill="1" applyBorder="1" applyAlignment="1">
      <alignment horizontal="center"/>
    </xf>
    <xf numFmtId="0" fontId="1" fillId="5" borderId="1" xfId="5" applyFill="1" applyBorder="1" applyAlignment="1">
      <alignment horizontal="center"/>
    </xf>
    <xf numFmtId="1" fontId="1" fillId="5" borderId="1" xfId="5" applyNumberFormat="1" applyFill="1" applyBorder="1" applyAlignment="1">
      <alignment horizontal="center"/>
    </xf>
    <xf numFmtId="0" fontId="1" fillId="5" borderId="1" xfId="5" applyFont="1" applyFill="1" applyBorder="1" applyAlignment="1">
      <alignment horizont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6" fontId="0" fillId="0" borderId="0" xfId="0" applyNumberFormat="1" applyAlignment="1">
      <alignment horizontal="center" vertical="center"/>
    </xf>
    <xf numFmtId="195" fontId="0" fillId="0" borderId="1" xfId="0" applyNumberFormat="1" applyBorder="1" applyAlignment="1">
      <alignment horizontal="center" vertical="center"/>
    </xf>
    <xf numFmtId="0" fontId="1" fillId="0" borderId="0" xfId="5" quotePrefix="1" applyFont="1"/>
    <xf numFmtId="0" fontId="6" fillId="0" borderId="0" xfId="0" applyFont="1" applyAlignment="1">
      <alignment horizontal="center" vertical="center"/>
    </xf>
    <xf numFmtId="0" fontId="15" fillId="0" borderId="0" xfId="4" applyFont="1" applyAlignment="1">
      <alignment horizontal="center"/>
    </xf>
    <xf numFmtId="0" fontId="10" fillId="0" borderId="1" xfId="4" applyFont="1" applyBorder="1" applyAlignment="1">
      <alignment horizontal="center"/>
    </xf>
    <xf numFmtId="0" fontId="11" fillId="0" borderId="1" xfId="4" applyFont="1" applyBorder="1"/>
    <xf numFmtId="205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  <xf numFmtId="0" fontId="0" fillId="11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81" fontId="7" fillId="10" borderId="0" xfId="4" applyNumberFormat="1" applyFont="1" applyFill="1" applyAlignment="1">
      <alignment horizontal="centerContinuous"/>
    </xf>
    <xf numFmtId="0" fontId="7" fillId="10" borderId="0" xfId="4" applyFont="1" applyFill="1" applyAlignment="1">
      <alignment horizontal="centerContinuous"/>
    </xf>
    <xf numFmtId="0" fontId="15" fillId="0" borderId="0" xfId="4" applyFont="1"/>
    <xf numFmtId="0" fontId="16" fillId="12" borderId="2" xfId="6" applyNumberFormat="1" applyFont="1" applyFill="1" applyBorder="1" applyAlignment="1">
      <alignment horizontal="center"/>
    </xf>
    <xf numFmtId="0" fontId="17" fillId="5" borderId="0" xfId="4" applyFont="1" applyFill="1" applyAlignment="1">
      <alignment horizontal="center"/>
    </xf>
    <xf numFmtId="0" fontId="18" fillId="5" borderId="0" xfId="4" applyFont="1" applyFill="1" applyAlignment="1">
      <alignment horizontal="center"/>
    </xf>
    <xf numFmtId="0" fontId="19" fillId="0" borderId="0" xfId="4" applyFont="1"/>
    <xf numFmtId="0" fontId="15" fillId="7" borderId="0" xfId="4" applyFont="1" applyFill="1" applyAlignment="1">
      <alignment horizontal="center"/>
    </xf>
    <xf numFmtId="0" fontId="1" fillId="0" borderId="0" xfId="4" applyFont="1"/>
    <xf numFmtId="0" fontId="1" fillId="0" borderId="3" xfId="4" applyFont="1" applyBorder="1"/>
    <xf numFmtId="0" fontId="1" fillId="0" borderId="4" xfId="4" applyFont="1" applyBorder="1"/>
    <xf numFmtId="0" fontId="1" fillId="0" borderId="5" xfId="4" applyFont="1" applyBorder="1"/>
    <xf numFmtId="0" fontId="1" fillId="0" borderId="6" xfId="4" applyFont="1" applyBorder="1"/>
    <xf numFmtId="0" fontId="1" fillId="0" borderId="7" xfId="4" applyFont="1" applyBorder="1"/>
    <xf numFmtId="0" fontId="1" fillId="0" borderId="8" xfId="4" applyFont="1" applyBorder="1"/>
    <xf numFmtId="0" fontId="1" fillId="0" borderId="9" xfId="4" applyFont="1" applyBorder="1"/>
    <xf numFmtId="0" fontId="1" fillId="0" borderId="10" xfId="4" applyFont="1" applyBorder="1"/>
    <xf numFmtId="0" fontId="1" fillId="0" borderId="0" xfId="0" applyFont="1" applyFill="1" applyAlignment="1">
      <alignment horizontal="center" vertical="center"/>
    </xf>
    <xf numFmtId="0" fontId="1" fillId="0" borderId="11" xfId="4" applyFont="1" applyBorder="1"/>
    <xf numFmtId="0" fontId="1" fillId="0" borderId="12" xfId="4" applyFont="1" applyBorder="1"/>
    <xf numFmtId="0" fontId="1" fillId="0" borderId="1" xfId="4" applyFont="1" applyBorder="1"/>
    <xf numFmtId="0" fontId="1" fillId="0" borderId="13" xfId="4" applyFont="1" applyBorder="1"/>
    <xf numFmtId="0" fontId="1" fillId="0" borderId="14" xfId="4" applyFont="1" applyBorder="1"/>
    <xf numFmtId="0" fontId="1" fillId="0" borderId="15" xfId="4" applyFont="1" applyBorder="1"/>
    <xf numFmtId="0" fontId="12" fillId="0" borderId="0" xfId="8" applyFont="1" applyAlignment="1" applyProtection="1"/>
    <xf numFmtId="0" fontId="1" fillId="0" borderId="0" xfId="4" quotePrefix="1" applyFont="1"/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11" borderId="1" xfId="5" applyFill="1" applyBorder="1" applyAlignment="1">
      <alignment horizontal="center"/>
    </xf>
    <xf numFmtId="0" fontId="1" fillId="11" borderId="0" xfId="5" applyFill="1"/>
    <xf numFmtId="0" fontId="1" fillId="11" borderId="0" xfId="5" quotePrefix="1" applyFont="1" applyFill="1"/>
    <xf numFmtId="0" fontId="7" fillId="13" borderId="0" xfId="6" applyFont="1" applyFill="1" applyBorder="1" applyAlignment="1">
      <alignment horizontal="center"/>
    </xf>
    <xf numFmtId="0" fontId="21" fillId="0" borderId="0" xfId="3" applyFont="1" applyAlignment="1"/>
    <xf numFmtId="0" fontId="1" fillId="0" borderId="0" xfId="3"/>
    <xf numFmtId="0" fontId="22" fillId="14" borderId="0" xfId="6" applyNumberFormat="1" applyFont="1" applyFill="1" applyBorder="1" applyAlignment="1"/>
    <xf numFmtId="0" fontId="20" fillId="0" borderId="0" xfId="9" applyAlignment="1" applyProtection="1"/>
    <xf numFmtId="0" fontId="23" fillId="13" borderId="16" xfId="6" applyFont="1" applyFill="1" applyBorder="1" applyAlignment="1">
      <alignment horizontal="centerContinuous"/>
    </xf>
    <xf numFmtId="0" fontId="23" fillId="13" borderId="17" xfId="6" applyFont="1" applyFill="1" applyBorder="1" applyAlignment="1">
      <alignment horizontal="centerContinuous"/>
    </xf>
    <xf numFmtId="0" fontId="8" fillId="0" borderId="0" xfId="6" applyFont="1"/>
    <xf numFmtId="0" fontId="23" fillId="13" borderId="2" xfId="6" applyFont="1" applyFill="1" applyBorder="1" applyAlignment="1">
      <alignment horizontal="centerContinuous"/>
    </xf>
    <xf numFmtId="0" fontId="23" fillId="13" borderId="0" xfId="6" applyFont="1" applyFill="1" applyBorder="1" applyAlignment="1">
      <alignment horizontal="centerContinuous"/>
    </xf>
    <xf numFmtId="0" fontId="23" fillId="13" borderId="0" xfId="6" applyFont="1" applyFill="1" applyBorder="1" applyAlignment="1">
      <alignment horizontal="center"/>
    </xf>
    <xf numFmtId="0" fontId="24" fillId="14" borderId="0" xfId="6" applyNumberFormat="1" applyFont="1" applyFill="1" applyBorder="1" applyAlignment="1"/>
    <xf numFmtId="0" fontId="24" fillId="15" borderId="0" xfId="3" applyFont="1" applyFill="1" applyBorder="1" applyAlignment="1">
      <alignment horizontal="center"/>
    </xf>
    <xf numFmtId="0" fontId="24" fillId="16" borderId="0" xfId="3" applyFont="1" applyFill="1" applyBorder="1" applyAlignment="1">
      <alignment horizontal="center"/>
    </xf>
    <xf numFmtId="0" fontId="25" fillId="12" borderId="0" xfId="3" applyFont="1" applyFill="1" applyBorder="1" applyAlignment="1">
      <alignment horizontal="center"/>
    </xf>
    <xf numFmtId="43" fontId="26" fillId="17" borderId="0" xfId="6" applyNumberFormat="1" applyFont="1" applyFill="1" applyBorder="1" applyAlignment="1"/>
    <xf numFmtId="43" fontId="24" fillId="17" borderId="0" xfId="6" applyNumberFormat="1" applyFont="1" applyFill="1" applyBorder="1" applyAlignment="1"/>
    <xf numFmtId="0" fontId="8" fillId="0" borderId="0" xfId="6" applyNumberFormat="1" applyFont="1"/>
    <xf numFmtId="0" fontId="8" fillId="0" borderId="0" xfId="6" applyNumberFormat="1" applyFont="1" applyAlignment="1">
      <alignment horizontal="center"/>
    </xf>
    <xf numFmtId="0" fontId="8" fillId="0" borderId="0" xfId="6" applyFont="1" applyAlignment="1">
      <alignment horizontal="center"/>
    </xf>
    <xf numFmtId="0" fontId="8" fillId="0" borderId="0" xfId="6" applyFont="1" applyAlignment="1">
      <alignment horizontal="right"/>
    </xf>
    <xf numFmtId="0" fontId="23" fillId="13" borderId="18" xfId="6" applyFont="1" applyFill="1" applyBorder="1" applyAlignment="1" applyProtection="1">
      <alignment horizontal="center"/>
      <protection hidden="1"/>
    </xf>
    <xf numFmtId="0" fontId="23" fillId="13" borderId="19" xfId="6" applyFont="1" applyFill="1" applyBorder="1" applyAlignment="1">
      <alignment horizontal="center"/>
    </xf>
    <xf numFmtId="0" fontId="23" fillId="13" borderId="20" xfId="6" applyFont="1" applyFill="1" applyBorder="1" applyAlignment="1">
      <alignment horizontal="center"/>
    </xf>
    <xf numFmtId="0" fontId="27" fillId="18" borderId="0" xfId="3" applyFont="1" applyFill="1" applyBorder="1" applyAlignment="1">
      <alignment horizontal="left"/>
    </xf>
    <xf numFmtId="0" fontId="28" fillId="18" borderId="0" xfId="3" applyFont="1" applyFill="1" applyBorder="1" applyAlignment="1">
      <alignment horizontal="center"/>
    </xf>
    <xf numFmtId="0" fontId="24" fillId="19" borderId="2" xfId="6" applyFont="1" applyFill="1" applyBorder="1" applyAlignment="1" applyProtection="1">
      <protection hidden="1"/>
    </xf>
    <xf numFmtId="0" fontId="24" fillId="19" borderId="0" xfId="6" applyFont="1" applyFill="1" applyBorder="1" applyAlignment="1"/>
    <xf numFmtId="9" fontId="24" fillId="19" borderId="21" xfId="6" applyNumberFormat="1" applyFont="1" applyFill="1" applyBorder="1" applyAlignment="1"/>
    <xf numFmtId="0" fontId="24" fillId="19" borderId="22" xfId="6" applyFont="1" applyFill="1" applyBorder="1" applyAlignment="1" applyProtection="1">
      <protection hidden="1"/>
    </xf>
    <xf numFmtId="0" fontId="24" fillId="19" borderId="23" xfId="6" applyFont="1" applyFill="1" applyBorder="1" applyAlignment="1"/>
    <xf numFmtId="9" fontId="24" fillId="19" borderId="24" xfId="6" applyNumberFormat="1" applyFont="1" applyFill="1" applyBorder="1" applyAlignment="1"/>
    <xf numFmtId="0" fontId="29" fillId="14" borderId="0" xfId="3" applyFont="1" applyFill="1" applyBorder="1" applyAlignment="1">
      <alignment horizontal="left"/>
    </xf>
    <xf numFmtId="0" fontId="27" fillId="20" borderId="0" xfId="3" applyFont="1" applyFill="1"/>
    <xf numFmtId="0" fontId="8" fillId="0" borderId="0" xfId="3" applyFont="1"/>
    <xf numFmtId="0" fontId="8" fillId="21" borderId="0" xfId="6" applyFont="1" applyFill="1" applyAlignment="1">
      <alignment horizontal="center"/>
    </xf>
    <xf numFmtId="0" fontId="8" fillId="21" borderId="0" xfId="6" applyFont="1" applyFill="1"/>
    <xf numFmtId="0" fontId="8" fillId="5" borderId="0" xfId="6" applyNumberFormat="1" applyFont="1" applyFill="1" applyAlignment="1">
      <alignment horizontal="center"/>
    </xf>
    <xf numFmtId="0" fontId="8" fillId="5" borderId="0" xfId="6" applyNumberFormat="1" applyFont="1" applyFill="1"/>
    <xf numFmtId="0" fontId="27" fillId="22" borderId="0" xfId="3" applyFont="1" applyFill="1"/>
    <xf numFmtId="0" fontId="30" fillId="11" borderId="0" xfId="6" applyFont="1" applyFill="1"/>
    <xf numFmtId="0" fontId="8" fillId="0" borderId="0" xfId="6" quotePrefix="1" applyFont="1" applyAlignment="1">
      <alignment horizontal="left"/>
    </xf>
    <xf numFmtId="0" fontId="8" fillId="0" borderId="0" xfId="6" quotePrefix="1" applyFont="1" applyAlignment="1"/>
    <xf numFmtId="0" fontId="4" fillId="0" borderId="0" xfId="3" applyFont="1"/>
    <xf numFmtId="0" fontId="8" fillId="0" borderId="0" xfId="6" quotePrefix="1" applyFont="1"/>
    <xf numFmtId="0" fontId="4" fillId="0" borderId="0" xfId="3" quotePrefix="1" applyFont="1"/>
    <xf numFmtId="0" fontId="1" fillId="4" borderId="1" xfId="1" applyFont="1" applyFill="1" applyBorder="1" applyAlignment="1">
      <alignment horizontal="center"/>
    </xf>
    <xf numFmtId="0" fontId="1" fillId="4" borderId="25" xfId="1" applyFont="1" applyFill="1" applyBorder="1" applyAlignment="1">
      <alignment horizontal="center"/>
    </xf>
    <xf numFmtId="0" fontId="7" fillId="23" borderId="1" xfId="1" applyFont="1" applyFill="1" applyBorder="1" applyAlignment="1">
      <alignment horizontal="center"/>
    </xf>
    <xf numFmtId="0" fontId="1" fillId="0" borderId="0" xfId="0" applyFont="1">
      <alignment vertical="center"/>
    </xf>
    <xf numFmtId="0" fontId="18" fillId="3" borderId="1" xfId="2" applyFont="1" applyBorder="1" applyAlignment="1">
      <alignment horizontal="center"/>
    </xf>
    <xf numFmtId="212" fontId="33" fillId="3" borderId="1" xfId="2" applyNumberFormat="1" applyFont="1" applyBorder="1" applyAlignment="1">
      <alignment horizontal="right"/>
    </xf>
    <xf numFmtId="212" fontId="33" fillId="11" borderId="1" xfId="2" applyNumberFormat="1" applyFont="1" applyFill="1" applyBorder="1" applyAlignment="1">
      <alignment horizontal="right"/>
    </xf>
    <xf numFmtId="0" fontId="22" fillId="15" borderId="0" xfId="3" applyFont="1" applyFill="1" applyBorder="1" applyAlignment="1">
      <alignment horizontal="center"/>
    </xf>
    <xf numFmtId="0" fontId="22" fillId="16" borderId="0" xfId="3" applyFont="1" applyFill="1" applyBorder="1" applyAlignment="1">
      <alignment horizontal="center"/>
    </xf>
    <xf numFmtId="0" fontId="0" fillId="4" borderId="0" xfId="0" applyFill="1">
      <alignment vertical="center"/>
    </xf>
    <xf numFmtId="0" fontId="0" fillId="5" borderId="0" xfId="0" quotePrefix="1" applyFill="1">
      <alignment vertical="center"/>
    </xf>
    <xf numFmtId="0" fontId="7" fillId="24" borderId="0" xfId="4" applyFont="1" applyFill="1"/>
    <xf numFmtId="0" fontId="0" fillId="5" borderId="1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3" xfId="4" applyFont="1" applyBorder="1" applyAlignment="1">
      <alignment horizontal="center"/>
    </xf>
    <xf numFmtId="0" fontId="1" fillId="0" borderId="28" xfId="4" applyFont="1" applyBorder="1" applyAlignment="1">
      <alignment horizontal="center"/>
    </xf>
    <xf numFmtId="0" fontId="1" fillId="0" borderId="4" xfId="4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25" borderId="16" xfId="3" applyFont="1" applyFill="1" applyBorder="1" applyAlignment="1">
      <alignment horizontal="center"/>
    </xf>
    <xf numFmtId="0" fontId="23" fillId="25" borderId="17" xfId="3" applyFont="1" applyFill="1" applyBorder="1" applyAlignment="1">
      <alignment horizontal="center"/>
    </xf>
    <xf numFmtId="0" fontId="8" fillId="5" borderId="0" xfId="6" applyFont="1" applyFill="1" applyAlignment="1">
      <alignment horizontal="center"/>
    </xf>
    <xf numFmtId="0" fontId="9" fillId="0" borderId="1" xfId="4" applyFont="1" applyBorder="1" applyAlignment="1">
      <alignment horizontal="center"/>
    </xf>
  </cellXfs>
  <cellStyles count="10">
    <cellStyle name="GreyOrWhite" xfId="1"/>
    <cellStyle name="Yellow" xfId="2"/>
    <cellStyle name="一般" xfId="0" builtinId="0"/>
    <cellStyle name="一般_CH06常用函數(參考答案)" xfId="3"/>
    <cellStyle name="一般_查詢與檢視函數" xfId="4"/>
    <cellStyle name="一般_進階班講義3-查詢與檢視函數" xfId="5"/>
    <cellStyle name="一般_範例一" xfId="6"/>
    <cellStyle name="一般_學生成績" xfId="7"/>
    <cellStyle name="超連結" xfId="8" builtinId="8"/>
    <cellStyle name="超連結_CH06常用函數(參考答案)" xfId="9"/>
  </cellStyles>
  <dxfs count="8"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11</xdr:row>
      <xdr:rowOff>114300</xdr:rowOff>
    </xdr:from>
    <xdr:to>
      <xdr:col>2</xdr:col>
      <xdr:colOff>57150</xdr:colOff>
      <xdr:row>12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1343025" y="2305050"/>
          <a:ext cx="40957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7</xdr:row>
      <xdr:rowOff>123825</xdr:rowOff>
    </xdr:from>
    <xdr:to>
      <xdr:col>2</xdr:col>
      <xdr:colOff>200025</xdr:colOff>
      <xdr:row>11</xdr:row>
      <xdr:rowOff>19050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 flipV="1">
          <a:off x="828675" y="1590675"/>
          <a:ext cx="106680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104775</xdr:rowOff>
    </xdr:from>
    <xdr:to>
      <xdr:col>0</xdr:col>
      <xdr:colOff>504825</xdr:colOff>
      <xdr:row>3</xdr:row>
      <xdr:rowOff>190500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247650" y="314325"/>
          <a:ext cx="25717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列數</a:t>
          </a:r>
        </a:p>
      </xdr:txBody>
    </xdr:sp>
    <xdr:clientData/>
  </xdr:twoCellAnchor>
  <xdr:twoCellAnchor>
    <xdr:from>
      <xdr:col>1</xdr:col>
      <xdr:colOff>428625</xdr:colOff>
      <xdr:row>0</xdr:row>
      <xdr:rowOff>180975</xdr:rowOff>
    </xdr:from>
    <xdr:to>
      <xdr:col>2</xdr:col>
      <xdr:colOff>247650</xdr:colOff>
      <xdr:row>1</xdr:row>
      <xdr:rowOff>200025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1162050" y="180975"/>
          <a:ext cx="504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欄數</a:t>
          </a:r>
        </a:p>
      </xdr:txBody>
    </xdr:sp>
    <xdr:clientData/>
  </xdr:twoCellAnchor>
  <xdr:twoCellAnchor>
    <xdr:from>
      <xdr:col>0</xdr:col>
      <xdr:colOff>38100</xdr:colOff>
      <xdr:row>1</xdr:row>
      <xdr:rowOff>19050</xdr:rowOff>
    </xdr:from>
    <xdr:to>
      <xdr:col>0</xdr:col>
      <xdr:colOff>133350</xdr:colOff>
      <xdr:row>3</xdr:row>
      <xdr:rowOff>200025</xdr:rowOff>
    </xdr:to>
    <xdr:sp macro="" textlink="">
      <xdr:nvSpPr>
        <xdr:cNvPr id="2053" name="AutoShape 5"/>
        <xdr:cNvSpPr>
          <a:spLocks/>
        </xdr:cNvSpPr>
      </xdr:nvSpPr>
      <xdr:spPr bwMode="auto">
        <a:xfrm>
          <a:off x="38100" y="228600"/>
          <a:ext cx="95250" cy="600075"/>
        </a:xfrm>
        <a:prstGeom prst="rightBrace">
          <a:avLst>
            <a:gd name="adj1" fmla="val 525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571500</xdr:colOff>
      <xdr:row>3</xdr:row>
      <xdr:rowOff>9525</xdr:rowOff>
    </xdr:from>
    <xdr:to>
      <xdr:col>1</xdr:col>
      <xdr:colOff>647700</xdr:colOff>
      <xdr:row>6</xdr:row>
      <xdr:rowOff>0</xdr:rowOff>
    </xdr:to>
    <xdr:sp macro="" textlink="">
      <xdr:nvSpPr>
        <xdr:cNvPr id="2054" name="AutoShape 6"/>
        <xdr:cNvSpPr>
          <a:spLocks/>
        </xdr:cNvSpPr>
      </xdr:nvSpPr>
      <xdr:spPr bwMode="auto">
        <a:xfrm>
          <a:off x="1304925" y="638175"/>
          <a:ext cx="76200" cy="619125"/>
        </a:xfrm>
        <a:prstGeom prst="leftBrace">
          <a:avLst>
            <a:gd name="adj1" fmla="val 677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28575</xdr:colOff>
      <xdr:row>3</xdr:row>
      <xdr:rowOff>180975</xdr:rowOff>
    </xdr:from>
    <xdr:to>
      <xdr:col>1</xdr:col>
      <xdr:colOff>533400</xdr:colOff>
      <xdr:row>5</xdr:row>
      <xdr:rowOff>9525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762000" y="809625"/>
          <a:ext cx="504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高度</a:t>
          </a:r>
        </a:p>
      </xdr:txBody>
    </xdr:sp>
    <xdr:clientData/>
  </xdr:twoCellAnchor>
  <xdr:twoCellAnchor>
    <xdr:from>
      <xdr:col>3</xdr:col>
      <xdr:colOff>133350</xdr:colOff>
      <xdr:row>0</xdr:row>
      <xdr:rowOff>200025</xdr:rowOff>
    </xdr:from>
    <xdr:to>
      <xdr:col>3</xdr:col>
      <xdr:colOff>638175</xdr:colOff>
      <xdr:row>2</xdr:row>
      <xdr:rowOff>28575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2276475" y="200025"/>
          <a:ext cx="504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寬度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9525</xdr:colOff>
      <xdr:row>0</xdr:row>
      <xdr:rowOff>171450</xdr:rowOff>
    </xdr:to>
    <xdr:sp macro="" textlink="">
      <xdr:nvSpPr>
        <xdr:cNvPr id="2058" name="AutoShape 10"/>
        <xdr:cNvSpPr>
          <a:spLocks/>
        </xdr:cNvSpPr>
      </xdr:nvSpPr>
      <xdr:spPr bwMode="auto">
        <a:xfrm rot="5400000">
          <a:off x="1357313" y="-623888"/>
          <a:ext cx="171450" cy="1419225"/>
        </a:xfrm>
        <a:prstGeom prst="rightBrace">
          <a:avLst>
            <a:gd name="adj1" fmla="val 6898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</xdr:row>
      <xdr:rowOff>76200</xdr:rowOff>
    </xdr:from>
    <xdr:to>
      <xdr:col>5</xdr:col>
      <xdr:colOff>9525</xdr:colOff>
      <xdr:row>2</xdr:row>
      <xdr:rowOff>190500</xdr:rowOff>
    </xdr:to>
    <xdr:sp macro="" textlink="">
      <xdr:nvSpPr>
        <xdr:cNvPr id="2059" name="AutoShape 11"/>
        <xdr:cNvSpPr>
          <a:spLocks/>
        </xdr:cNvSpPr>
      </xdr:nvSpPr>
      <xdr:spPr bwMode="auto">
        <a:xfrm rot="16200000">
          <a:off x="2419350" y="-495300"/>
          <a:ext cx="114300" cy="2095500"/>
        </a:xfrm>
        <a:prstGeom prst="rightBrace">
          <a:avLst>
            <a:gd name="adj1" fmla="val 15277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57150</xdr:rowOff>
    </xdr:from>
    <xdr:to>
      <xdr:col>6</xdr:col>
      <xdr:colOff>762000</xdr:colOff>
      <xdr:row>27</xdr:row>
      <xdr:rowOff>123825</xdr:rowOff>
    </xdr:to>
    <xdr:sp macro="" textlink="">
      <xdr:nvSpPr>
        <xdr:cNvPr id="8203" name="Oval 11"/>
        <xdr:cNvSpPr>
          <a:spLocks noChangeArrowheads="1"/>
        </xdr:cNvSpPr>
      </xdr:nvSpPr>
      <xdr:spPr bwMode="auto">
        <a:xfrm>
          <a:off x="3333750" y="5381625"/>
          <a:ext cx="762000" cy="276225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133350</xdr:colOff>
      <xdr:row>25</xdr:row>
      <xdr:rowOff>85725</xdr:rowOff>
    </xdr:from>
    <xdr:to>
      <xdr:col>7</xdr:col>
      <xdr:colOff>895350</xdr:colOff>
      <xdr:row>26</xdr:row>
      <xdr:rowOff>152400</xdr:rowOff>
    </xdr:to>
    <xdr:sp macro="" textlink="">
      <xdr:nvSpPr>
        <xdr:cNvPr id="8204" name="Oval 12"/>
        <xdr:cNvSpPr>
          <a:spLocks noChangeArrowheads="1"/>
        </xdr:cNvSpPr>
      </xdr:nvSpPr>
      <xdr:spPr bwMode="auto">
        <a:xfrm>
          <a:off x="4486275" y="5200650"/>
          <a:ext cx="762000" cy="276225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0</xdr:row>
      <xdr:rowOff>0</xdr:rowOff>
    </xdr:from>
    <xdr:to>
      <xdr:col>11</xdr:col>
      <xdr:colOff>647700</xdr:colOff>
      <xdr:row>1</xdr:row>
      <xdr:rowOff>133350</xdr:rowOff>
    </xdr:to>
    <xdr:sp macro="" textlink="">
      <xdr:nvSpPr>
        <xdr:cNvPr id="3073" name="AutoShape 1"/>
        <xdr:cNvSpPr>
          <a:spLocks/>
        </xdr:cNvSpPr>
      </xdr:nvSpPr>
      <xdr:spPr bwMode="auto">
        <a:xfrm rot="5400000">
          <a:off x="6086475" y="-1095375"/>
          <a:ext cx="533400" cy="2724150"/>
        </a:xfrm>
        <a:prstGeom prst="leftBrace">
          <a:avLst>
            <a:gd name="adj1" fmla="val 42560"/>
            <a:gd name="adj2" fmla="val 5034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尋找範圍 I4:L7</a:t>
          </a:r>
        </a:p>
      </xdr:txBody>
    </xdr:sp>
    <xdr:clientData/>
  </xdr:twoCellAnchor>
  <xdr:twoCellAnchor>
    <xdr:from>
      <xdr:col>8</xdr:col>
      <xdr:colOff>9525</xdr:colOff>
      <xdr:row>8</xdr:row>
      <xdr:rowOff>28575</xdr:rowOff>
    </xdr:from>
    <xdr:to>
      <xdr:col>11</xdr:col>
      <xdr:colOff>647700</xdr:colOff>
      <xdr:row>10</xdr:row>
      <xdr:rowOff>180975</xdr:rowOff>
    </xdr:to>
    <xdr:sp macro="" textlink="">
      <xdr:nvSpPr>
        <xdr:cNvPr id="3074" name="AutoShape 2"/>
        <xdr:cNvSpPr>
          <a:spLocks/>
        </xdr:cNvSpPr>
      </xdr:nvSpPr>
      <xdr:spPr bwMode="auto">
        <a:xfrm rot="16200000">
          <a:off x="6081713" y="862012"/>
          <a:ext cx="571500" cy="2695575"/>
        </a:xfrm>
        <a:prstGeom prst="leftBrace">
          <a:avLst>
            <a:gd name="adj1" fmla="val 39306"/>
            <a:gd name="adj2" fmla="val 5017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所要欄位數</a:t>
          </a:r>
        </a:p>
      </xdr:txBody>
    </xdr:sp>
    <xdr:clientData/>
  </xdr:twoCellAnchor>
  <xdr:twoCellAnchor>
    <xdr:from>
      <xdr:col>2</xdr:col>
      <xdr:colOff>66675</xdr:colOff>
      <xdr:row>0</xdr:row>
      <xdr:rowOff>314325</xdr:rowOff>
    </xdr:from>
    <xdr:to>
      <xdr:col>5</xdr:col>
      <xdr:colOff>171450</xdr:colOff>
      <xdr:row>0</xdr:row>
      <xdr:rowOff>314325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962025" y="314325"/>
          <a:ext cx="2162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295275</xdr:colOff>
      <xdr:row>0</xdr:row>
      <xdr:rowOff>47625</xdr:rowOff>
    </xdr:from>
    <xdr:to>
      <xdr:col>5</xdr:col>
      <xdr:colOff>104775</xdr:colOff>
      <xdr:row>0</xdr:row>
      <xdr:rowOff>295275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1190625" y="47625"/>
          <a:ext cx="18669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水平方向搜尋 HLOOKUP</a:t>
          </a:r>
        </a:p>
      </xdr:txBody>
    </xdr:sp>
    <xdr:clientData/>
  </xdr:twoCellAnchor>
  <xdr:twoCellAnchor>
    <xdr:from>
      <xdr:col>7</xdr:col>
      <xdr:colOff>228600</xdr:colOff>
      <xdr:row>1</xdr:row>
      <xdr:rowOff>0</xdr:rowOff>
    </xdr:from>
    <xdr:to>
      <xdr:col>7</xdr:col>
      <xdr:colOff>457200</xdr:colOff>
      <xdr:row>12</xdr:row>
      <xdr:rowOff>95250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4552950" y="400050"/>
          <a:ext cx="228600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搜尋方向VLOOKUP</a:t>
          </a:r>
        </a:p>
      </xdr:txBody>
    </xdr:sp>
    <xdr:clientData/>
  </xdr:twoCellAnchor>
  <xdr:twoCellAnchor>
    <xdr:from>
      <xdr:col>7</xdr:col>
      <xdr:colOff>561975</xdr:colOff>
      <xdr:row>3</xdr:row>
      <xdr:rowOff>76200</xdr:rowOff>
    </xdr:from>
    <xdr:to>
      <xdr:col>7</xdr:col>
      <xdr:colOff>561975</xdr:colOff>
      <xdr:row>6</xdr:row>
      <xdr:rowOff>161925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4886325" y="923925"/>
          <a:ext cx="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238125</xdr:colOff>
      <xdr:row>1</xdr:row>
      <xdr:rowOff>38100</xdr:rowOff>
    </xdr:from>
    <xdr:to>
      <xdr:col>11</xdr:col>
      <xdr:colOff>123825</xdr:colOff>
      <xdr:row>7</xdr:row>
      <xdr:rowOff>19050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47650"/>
          <a:ext cx="2505075" cy="1238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209550</xdr:colOff>
      <xdr:row>11</xdr:row>
      <xdr:rowOff>0</xdr:rowOff>
    </xdr:from>
    <xdr:to>
      <xdr:col>10</xdr:col>
      <xdr:colOff>228600</xdr:colOff>
      <xdr:row>13</xdr:row>
      <xdr:rowOff>171450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305050"/>
          <a:ext cx="19145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9</xdr:row>
      <xdr:rowOff>38100</xdr:rowOff>
    </xdr:from>
    <xdr:to>
      <xdr:col>7</xdr:col>
      <xdr:colOff>133350</xdr:colOff>
      <xdr:row>13</xdr:row>
      <xdr:rowOff>38100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52625"/>
          <a:ext cx="4219575" cy="838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wuwu@2cathlife.com.tw" TargetMode="External"/><Relationship Id="rId13" Type="http://schemas.openxmlformats.org/officeDocument/2006/relationships/hyperlink" Target="mailto:pau@2ms16.hinet.net" TargetMode="External"/><Relationship Id="rId3" Type="http://schemas.openxmlformats.org/officeDocument/2006/relationships/hyperlink" Target="mailto:john@2mails.clock.com.tw" TargetMode="External"/><Relationship Id="rId7" Type="http://schemas.openxmlformats.org/officeDocument/2006/relationships/hyperlink" Target="mailto:rudy@2mails.ntu.edu.tw" TargetMode="External"/><Relationship Id="rId12" Type="http://schemas.openxmlformats.org/officeDocument/2006/relationships/hyperlink" Target="mailto:vivi@2mails.computer.org.tw" TargetMode="External"/><Relationship Id="rId2" Type="http://schemas.openxmlformats.org/officeDocument/2006/relationships/hyperlink" Target="mailto:toto@2mails.systex.com.tw" TargetMode="External"/><Relationship Id="rId1" Type="http://schemas.openxmlformats.org/officeDocument/2006/relationships/hyperlink" Target="mailto:ching@2mails.hp.com.tw" TargetMode="External"/><Relationship Id="rId6" Type="http://schemas.openxmlformats.org/officeDocument/2006/relationships/hyperlink" Target="mailto:yun@2tpts5.seed.net.tw" TargetMode="External"/><Relationship Id="rId11" Type="http://schemas.openxmlformats.org/officeDocument/2006/relationships/hyperlink" Target="mailto:yune@2mis.im.tku.edu.tw" TargetMode="External"/><Relationship Id="rId5" Type="http://schemas.openxmlformats.org/officeDocument/2006/relationships/hyperlink" Target="mailto:juimi@2mails.csf.org.tw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tomy@2mails.microsoft.com" TargetMode="External"/><Relationship Id="rId4" Type="http://schemas.openxmlformats.org/officeDocument/2006/relationships/hyperlink" Target="mailto:king@2mails.lan.com.tw" TargetMode="External"/><Relationship Id="rId9" Type="http://schemas.openxmlformats.org/officeDocument/2006/relationships/hyperlink" Target="mailto:nini@2ms3.hinet.net" TargetMode="External"/><Relationship Id="rId14" Type="http://schemas.openxmlformats.org/officeDocument/2006/relationships/hyperlink" Target="mailto:didi@2ms17.hinet.ne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tabSelected="1" workbookViewId="0">
      <selection activeCell="E12" sqref="E12"/>
    </sheetView>
  </sheetViews>
  <sheetFormatPr defaultRowHeight="16.5"/>
  <cols>
    <col min="1" max="1" width="5" customWidth="1"/>
    <col min="2" max="2" width="7.125" customWidth="1"/>
    <col min="3" max="3" width="5.375" customWidth="1"/>
    <col min="4" max="4" width="6.125" bestFit="1" customWidth="1"/>
    <col min="5" max="5" width="6" customWidth="1"/>
    <col min="6" max="6" width="7.625" customWidth="1"/>
    <col min="7" max="7" width="6" customWidth="1"/>
    <col min="8" max="8" width="10.125" bestFit="1" customWidth="1"/>
    <col min="9" max="9" width="21" bestFit="1" customWidth="1"/>
    <col min="10" max="10" width="5.625" customWidth="1"/>
  </cols>
  <sheetData>
    <row r="1" spans="2:9">
      <c r="C1" s="1" t="s">
        <v>5</v>
      </c>
    </row>
    <row r="2" spans="2:9">
      <c r="B2" s="144" t="s">
        <v>1</v>
      </c>
      <c r="C2" s="144" t="s">
        <v>2</v>
      </c>
      <c r="D2" s="143" t="s">
        <v>3</v>
      </c>
      <c r="E2" s="143"/>
      <c r="F2" s="143"/>
      <c r="G2" s="143"/>
      <c r="H2" s="6" t="s">
        <v>4</v>
      </c>
      <c r="I2" s="6" t="s">
        <v>6</v>
      </c>
    </row>
    <row r="3" spans="2:9">
      <c r="B3" s="145"/>
      <c r="C3" s="145"/>
      <c r="D3" s="4">
        <v>1</v>
      </c>
      <c r="E3" s="4">
        <v>2</v>
      </c>
      <c r="F3" s="4">
        <v>3</v>
      </c>
      <c r="G3" s="4">
        <v>4</v>
      </c>
      <c r="H3" s="5" t="b">
        <v>0</v>
      </c>
      <c r="I3" s="5" t="s">
        <v>0</v>
      </c>
    </row>
    <row r="4" spans="2:9">
      <c r="B4" s="3">
        <v>3</v>
      </c>
      <c r="C4" s="3">
        <v>11</v>
      </c>
      <c r="D4" s="3" t="str">
        <f t="shared" ref="D4:G6" si="0">ADDRESS($B4,$C4,D$3)</f>
        <v>$K$3</v>
      </c>
      <c r="E4" s="3" t="str">
        <f t="shared" si="0"/>
        <v>K$3</v>
      </c>
      <c r="F4" s="3" t="str">
        <f t="shared" si="0"/>
        <v>$K3</v>
      </c>
      <c r="G4" s="3" t="str">
        <f t="shared" si="0"/>
        <v>K3</v>
      </c>
      <c r="H4" s="3" t="str">
        <f>ADDRESS($B4,$C4,G$3,$H$3)</f>
        <v>R[3]C[11]</v>
      </c>
      <c r="I4" s="2" t="str">
        <f>ADDRESS($B4,$C4,G$3,$H$3,I3)</f>
        <v>TEST.XLS!R[3]C[11]</v>
      </c>
    </row>
    <row r="5" spans="2:9">
      <c r="B5" s="3">
        <v>4</v>
      </c>
      <c r="C5" s="3">
        <v>12</v>
      </c>
      <c r="D5" s="3" t="str">
        <f t="shared" si="0"/>
        <v>$L$4</v>
      </c>
      <c r="E5" s="3" t="str">
        <f t="shared" si="0"/>
        <v>L$4</v>
      </c>
      <c r="F5" s="3" t="str">
        <f t="shared" si="0"/>
        <v>$L4</v>
      </c>
      <c r="G5" s="3" t="str">
        <f t="shared" si="0"/>
        <v>L4</v>
      </c>
      <c r="H5" s="3" t="str">
        <f>ADDRESS($B5,$C5,G$3,$H$3)</f>
        <v>R[4]C[12]</v>
      </c>
      <c r="I5" s="2"/>
    </row>
    <row r="6" spans="2:9">
      <c r="B6" s="3">
        <v>5</v>
      </c>
      <c r="C6" s="3">
        <v>13</v>
      </c>
      <c r="D6" s="3" t="str">
        <f t="shared" si="0"/>
        <v>$M$5</v>
      </c>
      <c r="E6" s="3" t="str">
        <f t="shared" si="0"/>
        <v>M$5</v>
      </c>
      <c r="F6" s="3" t="str">
        <f t="shared" si="0"/>
        <v>$M5</v>
      </c>
      <c r="G6" s="3" t="str">
        <f t="shared" si="0"/>
        <v>M5</v>
      </c>
      <c r="H6" s="3" t="str">
        <f>ADDRESS($B6,$C6,G$3,$H$3)</f>
        <v>R[5]C[13]</v>
      </c>
      <c r="I6" s="2"/>
    </row>
    <row r="8" spans="2:9" ht="21.75" customHeight="1"/>
  </sheetData>
  <sheetCalcPr fullCalcOnLoad="1"/>
  <mergeCells count="3">
    <mergeCell ref="D2:G2"/>
    <mergeCell ref="B2:B3"/>
    <mergeCell ref="C2:C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activeCell="C19" sqref="C19"/>
    </sheetView>
  </sheetViews>
  <sheetFormatPr defaultRowHeight="16.5"/>
  <cols>
    <col min="1" max="1" width="12.75" customWidth="1"/>
    <col min="2" max="2" width="9.5" bestFit="1" customWidth="1"/>
    <col min="6" max="6" width="4.875" customWidth="1"/>
    <col min="9" max="9" width="15.5" customWidth="1"/>
    <col min="10" max="10" width="8.875" hidden="1" customWidth="1"/>
  </cols>
  <sheetData>
    <row r="1" spans="1:10">
      <c r="A1">
        <f t="array" ref="A1:C1">COLUMN(B3:D3)</f>
        <v>2</v>
      </c>
      <c r="B1">
        <v>3</v>
      </c>
      <c r="C1">
        <v>4</v>
      </c>
    </row>
    <row r="3" spans="1:10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</row>
    <row r="4" spans="1:10">
      <c r="A4" s="9" t="s">
        <v>12</v>
      </c>
      <c r="B4" s="10">
        <f ca="1">ROUNDDOWN(40+RAND()*60,0)</f>
        <v>43</v>
      </c>
      <c r="C4" s="10">
        <f t="shared" ref="C4:D10" ca="1" si="0">ROUNDDOWN(40+RAND()*60,0)</f>
        <v>51</v>
      </c>
      <c r="D4" s="10">
        <f t="shared" ca="1" si="0"/>
        <v>68</v>
      </c>
      <c r="E4" s="10">
        <f ca="1">AVERAGE(B4:D4)</f>
        <v>54</v>
      </c>
      <c r="G4" s="9">
        <f>COLUMN()</f>
        <v>7</v>
      </c>
      <c r="H4" s="80" t="s">
        <v>114</v>
      </c>
      <c r="I4" s="80"/>
      <c r="J4" s="80"/>
    </row>
    <row r="5" spans="1:10">
      <c r="A5" s="9" t="s">
        <v>13</v>
      </c>
      <c r="B5" s="10">
        <f t="shared" ref="B5:B10" ca="1" si="1">ROUNDDOWN(40+RAND()*60,0)</f>
        <v>86</v>
      </c>
      <c r="C5" s="10">
        <f t="shared" ca="1" si="0"/>
        <v>50</v>
      </c>
      <c r="D5" s="10">
        <f t="shared" ca="1" si="0"/>
        <v>83</v>
      </c>
      <c r="E5" s="10">
        <f t="shared" ref="E5:E10" ca="1" si="2">AVERAGE(B5:D5)</f>
        <v>73</v>
      </c>
      <c r="G5" s="9">
        <f>COLUMN(成績範圍)</f>
        <v>2</v>
      </c>
      <c r="H5" s="80" t="s">
        <v>115</v>
      </c>
      <c r="I5" s="80"/>
      <c r="J5" s="80"/>
    </row>
    <row r="6" spans="1:10">
      <c r="A6" s="9" t="s">
        <v>14</v>
      </c>
      <c r="B6" s="10">
        <f t="shared" ca="1" si="1"/>
        <v>57</v>
      </c>
      <c r="C6" s="10">
        <f t="shared" ca="1" si="0"/>
        <v>90</v>
      </c>
      <c r="D6" s="10">
        <f t="shared" ca="1" si="0"/>
        <v>98</v>
      </c>
      <c r="E6" s="10">
        <f t="shared" ca="1" si="2"/>
        <v>81.666666666666671</v>
      </c>
      <c r="G6" s="9">
        <f>COLUMN(E3)</f>
        <v>5</v>
      </c>
      <c r="H6" s="80" t="s">
        <v>116</v>
      </c>
      <c r="I6" s="80"/>
      <c r="J6" s="80"/>
    </row>
    <row r="7" spans="1:10">
      <c r="A7" s="9" t="s">
        <v>15</v>
      </c>
      <c r="B7" s="10">
        <f t="shared" ca="1" si="1"/>
        <v>41</v>
      </c>
      <c r="C7" s="10">
        <f t="shared" ca="1" si="0"/>
        <v>80</v>
      </c>
      <c r="D7" s="10">
        <f t="shared" ca="1" si="0"/>
        <v>59</v>
      </c>
      <c r="E7" s="10">
        <f t="shared" ca="1" si="2"/>
        <v>60</v>
      </c>
      <c r="G7" s="12">
        <f>COLUMNS(成績範圍)</f>
        <v>4</v>
      </c>
      <c r="H7" s="81" t="s">
        <v>117</v>
      </c>
      <c r="I7" s="81"/>
      <c r="J7" s="81"/>
    </row>
    <row r="8" spans="1:10">
      <c r="A8" s="11" t="s">
        <v>16</v>
      </c>
      <c r="B8" s="10">
        <f t="shared" ca="1" si="1"/>
        <v>57</v>
      </c>
      <c r="C8" s="10">
        <f t="shared" ca="1" si="0"/>
        <v>74</v>
      </c>
      <c r="D8" s="10">
        <f t="shared" ca="1" si="0"/>
        <v>87</v>
      </c>
      <c r="E8" s="10">
        <f t="shared" ca="1" si="2"/>
        <v>72.666666666666671</v>
      </c>
      <c r="G8" s="12">
        <f>COLUMNS(B4:C4)</f>
        <v>2</v>
      </c>
      <c r="H8" s="81" t="s">
        <v>118</v>
      </c>
      <c r="I8" s="81"/>
      <c r="J8" s="81"/>
    </row>
    <row r="9" spans="1:10">
      <c r="A9" s="9" t="s">
        <v>17</v>
      </c>
      <c r="B9" s="10">
        <f t="shared" ca="1" si="1"/>
        <v>70</v>
      </c>
      <c r="C9" s="10">
        <f t="shared" ca="1" si="0"/>
        <v>53</v>
      </c>
      <c r="D9" s="10">
        <f t="shared" ca="1" si="0"/>
        <v>89</v>
      </c>
      <c r="E9" s="10">
        <f t="shared" ca="1" si="2"/>
        <v>70.666666666666671</v>
      </c>
      <c r="G9" s="12">
        <f>COLUMNS(A3:E5)</f>
        <v>5</v>
      </c>
      <c r="H9" s="81" t="s">
        <v>119</v>
      </c>
      <c r="I9" s="81"/>
      <c r="J9" s="81"/>
    </row>
    <row r="10" spans="1:10" ht="15.75" customHeight="1">
      <c r="A10" s="11" t="s">
        <v>18</v>
      </c>
      <c r="B10" s="10">
        <f t="shared" ca="1" si="1"/>
        <v>62</v>
      </c>
      <c r="C10" s="10">
        <f t="shared" ca="1" si="0"/>
        <v>78</v>
      </c>
      <c r="D10" s="10">
        <f t="shared" ca="1" si="0"/>
        <v>73</v>
      </c>
      <c r="E10" s="10">
        <f t="shared" ca="1" si="2"/>
        <v>71</v>
      </c>
      <c r="G10" t="s">
        <v>19</v>
      </c>
    </row>
    <row r="11" spans="1:10" ht="8.25" customHeight="1"/>
    <row r="12" spans="1:10">
      <c r="C12" s="51" t="s">
        <v>106</v>
      </c>
      <c r="F12" s="13"/>
    </row>
    <row r="13" spans="1:10">
      <c r="B13" s="3" t="str">
        <f ca="1">INDIRECT(C12)</f>
        <v>莊慧玲</v>
      </c>
      <c r="C13" s="50" t="s">
        <v>107</v>
      </c>
    </row>
    <row r="14" spans="1:10" ht="7.5" customHeight="1"/>
    <row r="15" spans="1:10">
      <c r="C15" s="41" t="s">
        <v>22</v>
      </c>
    </row>
    <row r="16" spans="1:10">
      <c r="B16" s="2">
        <f ca="1">AVERAGE(INDIRECT(C15))</f>
        <v>68</v>
      </c>
      <c r="C16" s="50" t="s">
        <v>108</v>
      </c>
    </row>
  </sheetData>
  <phoneticPr fontId="2" type="noConversion"/>
  <conditionalFormatting sqref="B4:E10">
    <cfRule type="cellIs" dxfId="7" priority="1" stopIfTrue="1" operator="lessThan">
      <formula>60</formula>
    </cfRule>
    <cfRule type="cellIs" dxfId="6" priority="2" stopIfTrue="1" operator="greaterThanOrEqual">
      <formula>80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2" sqref="E12"/>
    </sheetView>
  </sheetViews>
  <sheetFormatPr defaultRowHeight="16.5"/>
  <cols>
    <col min="1" max="1" width="9.625" customWidth="1"/>
    <col min="3" max="3" width="9.5" customWidth="1"/>
  </cols>
  <sheetData>
    <row r="1" spans="1:8">
      <c r="A1" s="16" t="s">
        <v>20</v>
      </c>
      <c r="B1" s="14"/>
      <c r="C1" s="14"/>
    </row>
    <row r="2" spans="1:8">
      <c r="A2" s="14"/>
      <c r="B2" s="14"/>
      <c r="C2" s="14"/>
    </row>
    <row r="3" spans="1:8">
      <c r="A3" s="14"/>
      <c r="B3" s="14"/>
      <c r="C3" s="14"/>
    </row>
    <row r="4" spans="1:8">
      <c r="A4" s="14"/>
      <c r="B4" s="14"/>
      <c r="C4" s="16" t="s">
        <v>20</v>
      </c>
      <c r="D4" s="15"/>
      <c r="E4" s="15"/>
      <c r="H4" s="7"/>
    </row>
    <row r="5" spans="1:8">
      <c r="C5" s="15"/>
      <c r="D5" s="15"/>
      <c r="E5" s="15"/>
    </row>
    <row r="6" spans="1:8">
      <c r="C6" s="15"/>
      <c r="D6" s="15"/>
      <c r="E6" s="15"/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showGridLines="0" workbookViewId="0">
      <selection activeCell="G12" sqref="G12"/>
    </sheetView>
  </sheetViews>
  <sheetFormatPr defaultRowHeight="16.5"/>
  <cols>
    <col min="1" max="1" width="2" customWidth="1"/>
    <col min="5" max="5" width="5.375" customWidth="1"/>
    <col min="6" max="6" width="9.375" customWidth="1"/>
    <col min="7" max="7" width="13.375" customWidth="1"/>
    <col min="8" max="8" width="13" customWidth="1"/>
    <col min="9" max="9" width="3.875" customWidth="1"/>
    <col min="10" max="10" width="12.625" bestFit="1" customWidth="1"/>
  </cols>
  <sheetData>
    <row r="1" spans="2:11" ht="6.75" customHeight="1"/>
    <row r="2" spans="2:11">
      <c r="B2" s="8" t="s">
        <v>93</v>
      </c>
      <c r="C2" s="8" t="s">
        <v>104</v>
      </c>
      <c r="D2" s="8" t="s">
        <v>105</v>
      </c>
      <c r="F2" s="40"/>
      <c r="J2" s="53" t="s">
        <v>14</v>
      </c>
    </row>
    <row r="3" spans="2:11">
      <c r="B3" s="9" t="s">
        <v>12</v>
      </c>
      <c r="C3" s="10">
        <v>81</v>
      </c>
      <c r="D3" s="10">
        <v>68</v>
      </c>
      <c r="F3" s="41"/>
      <c r="J3" s="53" t="s">
        <v>260</v>
      </c>
    </row>
    <row r="4" spans="2:11">
      <c r="B4" s="9" t="s">
        <v>13</v>
      </c>
      <c r="C4" s="10">
        <v>66</v>
      </c>
      <c r="D4" s="10">
        <v>42</v>
      </c>
      <c r="F4" s="3">
        <f>MATCH("莊慧玲",B3:B9,0)</f>
        <v>5</v>
      </c>
      <c r="G4" t="s">
        <v>111</v>
      </c>
      <c r="J4" s="52">
        <f>MATCH(J2,姓名,0)</f>
        <v>3</v>
      </c>
      <c r="K4" s="50" t="s">
        <v>120</v>
      </c>
    </row>
    <row r="5" spans="2:11">
      <c r="B5" s="9" t="s">
        <v>14</v>
      </c>
      <c r="C5" s="10">
        <v>69</v>
      </c>
      <c r="D5" s="10">
        <v>95</v>
      </c>
      <c r="F5" s="3">
        <f>ROW(化學)</f>
        <v>3</v>
      </c>
      <c r="G5" t="s">
        <v>109</v>
      </c>
      <c r="J5" s="52">
        <f ca="1">ROW(INDIRECT(J3))</f>
        <v>3</v>
      </c>
      <c r="K5" s="50" t="s">
        <v>121</v>
      </c>
    </row>
    <row r="6" spans="2:11">
      <c r="B6" s="11" t="s">
        <v>94</v>
      </c>
      <c r="C6" s="10">
        <v>96</v>
      </c>
      <c r="D6" s="10">
        <v>72</v>
      </c>
      <c r="F6" s="3">
        <f>COLUMN(化學)</f>
        <v>3</v>
      </c>
      <c r="G6" t="s">
        <v>110</v>
      </c>
      <c r="J6" s="52">
        <f ca="1">COLUMN(INDIRECT(J3))</f>
        <v>3</v>
      </c>
      <c r="K6" s="50" t="s">
        <v>122</v>
      </c>
    </row>
    <row r="7" spans="2:11">
      <c r="B7" s="9" t="s">
        <v>16</v>
      </c>
      <c r="C7" s="10">
        <v>52</v>
      </c>
      <c r="D7" s="10">
        <v>79</v>
      </c>
      <c r="F7" s="3" t="str">
        <f>ADDRESS(F5+F4-1,F6)</f>
        <v>$C$7</v>
      </c>
      <c r="G7" t="s">
        <v>112</v>
      </c>
      <c r="J7" s="52" t="str">
        <f ca="1">ADDRESS(J5+J4-1,J6)</f>
        <v>$C$5</v>
      </c>
      <c r="K7" s="50" t="s">
        <v>123</v>
      </c>
    </row>
    <row r="8" spans="2:11">
      <c r="B8" s="11" t="s">
        <v>17</v>
      </c>
      <c r="C8" s="10">
        <v>75</v>
      </c>
      <c r="D8" s="10">
        <v>44</v>
      </c>
      <c r="F8" s="3">
        <f ca="1">INDIRECT(F7)</f>
        <v>52</v>
      </c>
      <c r="G8" t="s">
        <v>113</v>
      </c>
      <c r="J8" s="52">
        <f ca="1">INDIRECT(J7)</f>
        <v>69</v>
      </c>
      <c r="K8" s="50" t="s">
        <v>124</v>
      </c>
    </row>
    <row r="9" spans="2:11">
      <c r="B9" s="11" t="s">
        <v>18</v>
      </c>
      <c r="C9" s="10">
        <v>53</v>
      </c>
      <c r="D9" s="10">
        <v>98</v>
      </c>
    </row>
  </sheetData>
  <sheetCalcPr fullCalcOnLoad="1"/>
  <phoneticPr fontId="2" type="noConversion"/>
  <conditionalFormatting sqref="C3:D9">
    <cfRule type="cellIs" dxfId="5" priority="1" stopIfTrue="1" operator="lessThan">
      <formula>60</formula>
    </cfRule>
    <cfRule type="cellIs" dxfId="4" priority="2" stopIfTrue="1" operator="greaterThanOrEqual">
      <formula>80</formula>
    </cfRule>
  </conditionalFormatting>
  <dataValidations count="2">
    <dataValidation type="list" allowBlank="1" showInputMessage="1" showErrorMessage="1" sqref="J3">
      <formula1>$C$2:$D$2</formula1>
    </dataValidation>
    <dataValidation type="list" allowBlank="1" showInputMessage="1" showErrorMessage="1" sqref="J2">
      <formula1>$B$3:$B$9</formula1>
    </dataValidation>
  </dataValidations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workbookViewId="0">
      <selection activeCell="D14" sqref="D14"/>
    </sheetView>
  </sheetViews>
  <sheetFormatPr defaultRowHeight="16.5"/>
  <cols>
    <col min="1" max="1" width="12.875" style="60" bestFit="1" customWidth="1"/>
    <col min="2" max="3" width="6" style="60" bestFit="1" customWidth="1"/>
    <col min="4" max="5" width="10.5" style="60" bestFit="1" customWidth="1"/>
    <col min="6" max="6" width="4.125" style="60" customWidth="1"/>
    <col min="7" max="7" width="24.375" style="60" bestFit="1" customWidth="1"/>
    <col min="8" max="8" width="3.625" style="60" customWidth="1"/>
    <col min="9" max="16384" width="9" style="60"/>
  </cols>
  <sheetData>
    <row r="1" spans="1:10" s="56" customFormat="1">
      <c r="A1" s="54" t="s">
        <v>71</v>
      </c>
      <c r="B1" s="55"/>
      <c r="C1" s="55"/>
      <c r="D1" s="55"/>
      <c r="E1" s="55"/>
    </row>
    <row r="2" spans="1:10" s="56" customFormat="1">
      <c r="A2" s="61" t="s">
        <v>55</v>
      </c>
      <c r="B2" s="61" t="s">
        <v>21</v>
      </c>
      <c r="C2" s="61" t="s">
        <v>22</v>
      </c>
      <c r="D2" s="61" t="s">
        <v>23</v>
      </c>
      <c r="E2" s="61" t="s">
        <v>24</v>
      </c>
    </row>
    <row r="3" spans="1:10">
      <c r="A3" s="57" t="s">
        <v>62</v>
      </c>
      <c r="B3" s="58">
        <v>77</v>
      </c>
      <c r="C3" s="58">
        <v>73</v>
      </c>
      <c r="D3" s="58">
        <v>53</v>
      </c>
      <c r="E3" s="59">
        <f t="shared" ref="E3:E11" si="0">D3*2+C3+B3</f>
        <v>256</v>
      </c>
      <c r="G3" s="60" t="s">
        <v>56</v>
      </c>
    </row>
    <row r="4" spans="1:10">
      <c r="A4" s="57" t="s">
        <v>63</v>
      </c>
      <c r="B4" s="58">
        <v>30</v>
      </c>
      <c r="C4" s="58">
        <v>93</v>
      </c>
      <c r="D4" s="58">
        <v>99</v>
      </c>
      <c r="E4" s="59">
        <f t="shared" si="0"/>
        <v>321</v>
      </c>
      <c r="G4" s="60" t="s">
        <v>57</v>
      </c>
    </row>
    <row r="5" spans="1:10">
      <c r="A5" s="57" t="s">
        <v>64</v>
      </c>
      <c r="B5" s="58">
        <v>72</v>
      </c>
      <c r="C5" s="58">
        <v>43</v>
      </c>
      <c r="D5" s="58">
        <v>79</v>
      </c>
      <c r="E5" s="59">
        <f t="shared" si="0"/>
        <v>273</v>
      </c>
      <c r="G5" s="60" t="s">
        <v>58</v>
      </c>
    </row>
    <row r="6" spans="1:10">
      <c r="A6" s="57" t="s">
        <v>65</v>
      </c>
      <c r="B6" s="58">
        <v>43</v>
      </c>
      <c r="C6" s="58">
        <v>39</v>
      </c>
      <c r="D6" s="58">
        <v>62</v>
      </c>
      <c r="E6" s="59">
        <f t="shared" si="0"/>
        <v>206</v>
      </c>
      <c r="G6" s="60" t="s">
        <v>59</v>
      </c>
    </row>
    <row r="7" spans="1:10" s="56" customFormat="1">
      <c r="A7" s="57" t="s">
        <v>66</v>
      </c>
      <c r="B7" s="58">
        <v>77</v>
      </c>
      <c r="C7" s="58">
        <v>47</v>
      </c>
      <c r="D7" s="58">
        <v>33</v>
      </c>
      <c r="E7" s="59">
        <f t="shared" si="0"/>
        <v>190</v>
      </c>
      <c r="F7" s="60"/>
      <c r="G7" s="18" t="s">
        <v>60</v>
      </c>
      <c r="I7" s="18"/>
      <c r="J7" s="19"/>
    </row>
    <row r="8" spans="1:10">
      <c r="A8" s="57" t="s">
        <v>67</v>
      </c>
      <c r="B8" s="58">
        <v>74</v>
      </c>
      <c r="C8" s="58">
        <v>84</v>
      </c>
      <c r="D8" s="58">
        <v>72</v>
      </c>
      <c r="E8" s="59">
        <f t="shared" si="0"/>
        <v>302</v>
      </c>
    </row>
    <row r="9" spans="1:10" s="56" customFormat="1">
      <c r="A9" s="57" t="s">
        <v>68</v>
      </c>
      <c r="B9" s="58">
        <v>32</v>
      </c>
      <c r="C9" s="58">
        <v>73</v>
      </c>
      <c r="D9" s="58">
        <v>79</v>
      </c>
      <c r="E9" s="59">
        <f t="shared" si="0"/>
        <v>263</v>
      </c>
      <c r="F9" s="60"/>
      <c r="G9" s="18" t="s">
        <v>25</v>
      </c>
      <c r="I9" s="18"/>
    </row>
    <row r="10" spans="1:10">
      <c r="A10" s="57" t="s">
        <v>69</v>
      </c>
      <c r="B10" s="58">
        <v>74</v>
      </c>
      <c r="C10" s="58">
        <v>62</v>
      </c>
      <c r="D10" s="58">
        <v>39</v>
      </c>
      <c r="E10" s="59">
        <f t="shared" si="0"/>
        <v>214</v>
      </c>
    </row>
    <row r="11" spans="1:10">
      <c r="A11" s="57" t="s">
        <v>70</v>
      </c>
      <c r="B11" s="58">
        <v>50</v>
      </c>
      <c r="C11" s="58">
        <v>43</v>
      </c>
      <c r="D11" s="58">
        <v>39</v>
      </c>
      <c r="E11" s="59">
        <f t="shared" si="0"/>
        <v>171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showGridLines="0" workbookViewId="0">
      <selection activeCell="H15" sqref="H15"/>
    </sheetView>
  </sheetViews>
  <sheetFormatPr defaultRowHeight="16.5"/>
  <cols>
    <col min="1" max="1" width="3.5" style="20" customWidth="1"/>
    <col min="2" max="2" width="8.25" style="20" customWidth="1"/>
    <col min="3" max="16384" width="9" style="20"/>
  </cols>
  <sheetData>
    <row r="1" spans="2:14" ht="31.5" customHeight="1"/>
    <row r="2" spans="2:14" ht="18.75" customHeight="1">
      <c r="B2" s="33" t="s">
        <v>80</v>
      </c>
      <c r="C2" s="28" t="s">
        <v>75</v>
      </c>
      <c r="D2" s="28" t="s">
        <v>72</v>
      </c>
      <c r="E2" s="28" t="s">
        <v>73</v>
      </c>
      <c r="F2" s="28" t="s">
        <v>74</v>
      </c>
      <c r="G2" s="32"/>
    </row>
    <row r="3" spans="2:14">
      <c r="B3" s="26" t="s">
        <v>81</v>
      </c>
      <c r="C3" s="35" t="s">
        <v>76</v>
      </c>
      <c r="D3" s="35" t="s">
        <v>77</v>
      </c>
      <c r="E3" s="35" t="s">
        <v>78</v>
      </c>
      <c r="F3" s="35" t="s">
        <v>79</v>
      </c>
      <c r="G3" s="29"/>
      <c r="I3" s="26" t="s">
        <v>80</v>
      </c>
      <c r="J3" s="26" t="s">
        <v>81</v>
      </c>
      <c r="K3" s="26" t="s">
        <v>82</v>
      </c>
      <c r="L3" s="26" t="s">
        <v>83</v>
      </c>
    </row>
    <row r="4" spans="2:14">
      <c r="B4" s="26" t="s">
        <v>82</v>
      </c>
      <c r="C4" s="36">
        <v>34500</v>
      </c>
      <c r="D4" s="36">
        <v>30000</v>
      </c>
      <c r="E4" s="36">
        <v>32000</v>
      </c>
      <c r="F4" s="36">
        <v>40000</v>
      </c>
      <c r="G4" s="30"/>
      <c r="I4" s="28" t="s">
        <v>75</v>
      </c>
      <c r="J4" s="21" t="s">
        <v>76</v>
      </c>
      <c r="K4" s="22">
        <v>34500</v>
      </c>
      <c r="L4" s="23">
        <f>K4*0.08</f>
        <v>2760</v>
      </c>
    </row>
    <row r="5" spans="2:14">
      <c r="B5" s="26" t="s">
        <v>83</v>
      </c>
      <c r="C5" s="37">
        <f>C4*0.08</f>
        <v>2760</v>
      </c>
      <c r="D5" s="37">
        <f>D4*0.08</f>
        <v>2400</v>
      </c>
      <c r="E5" s="37">
        <f>E4*0.08</f>
        <v>2560</v>
      </c>
      <c r="F5" s="37">
        <f>F4*0.08</f>
        <v>3200</v>
      </c>
      <c r="G5" s="31"/>
      <c r="I5" s="28" t="s">
        <v>72</v>
      </c>
      <c r="J5" s="21" t="s">
        <v>77</v>
      </c>
      <c r="K5" s="22">
        <v>30000</v>
      </c>
      <c r="L5" s="23">
        <f>K5*0.08</f>
        <v>2400</v>
      </c>
    </row>
    <row r="6" spans="2:14">
      <c r="I6" s="28" t="s">
        <v>73</v>
      </c>
      <c r="J6" s="21" t="s">
        <v>78</v>
      </c>
      <c r="K6" s="82">
        <v>32000</v>
      </c>
      <c r="L6" s="23">
        <f>K6*0.08</f>
        <v>2560</v>
      </c>
    </row>
    <row r="7" spans="2:14">
      <c r="C7" s="26" t="s">
        <v>80</v>
      </c>
      <c r="D7" s="38" t="s">
        <v>85</v>
      </c>
      <c r="E7" s="34" t="s">
        <v>84</v>
      </c>
      <c r="I7" s="28" t="s">
        <v>74</v>
      </c>
      <c r="J7" s="21" t="s">
        <v>79</v>
      </c>
      <c r="K7" s="22">
        <v>40000</v>
      </c>
      <c r="L7" s="23">
        <f>K7*0.08</f>
        <v>3200</v>
      </c>
    </row>
    <row r="8" spans="2:14">
      <c r="C8" s="26" t="s">
        <v>81</v>
      </c>
      <c r="D8" s="27" t="str">
        <f>HLOOKUP(D7,C2:F5,2)</f>
        <v>王光輝</v>
      </c>
      <c r="E8" s="44" t="s">
        <v>98</v>
      </c>
      <c r="I8" s="24">
        <v>1</v>
      </c>
      <c r="J8" s="24">
        <v>2</v>
      </c>
      <c r="K8" s="24">
        <v>3</v>
      </c>
      <c r="L8" s="24">
        <v>4</v>
      </c>
      <c r="N8" s="25"/>
    </row>
    <row r="9" spans="2:14">
      <c r="C9" s="26" t="s">
        <v>82</v>
      </c>
      <c r="D9" s="22">
        <f>LOOKUP(D7,C2:F2,C4:F4)</f>
        <v>30000</v>
      </c>
      <c r="E9" s="44" t="s">
        <v>99</v>
      </c>
    </row>
    <row r="10" spans="2:14">
      <c r="C10" s="26" t="s">
        <v>83</v>
      </c>
      <c r="D10" s="27"/>
    </row>
    <row r="12" spans="2:14">
      <c r="C12" s="140">
        <f>LOOKUP("A003",C2:F4)</f>
        <v>32000</v>
      </c>
      <c r="D12" s="141" t="s">
        <v>255</v>
      </c>
      <c r="I12" s="83">
        <f>VLOOKUP("A003",I4:L7,3)</f>
        <v>32000</v>
      </c>
      <c r="J12" s="84" t="s">
        <v>103</v>
      </c>
      <c r="K12" s="83"/>
      <c r="L12" s="83"/>
    </row>
    <row r="13" spans="2:14">
      <c r="C13" s="140" t="str">
        <f>LOOKUP("A001",C2:F3)</f>
        <v>陳義信</v>
      </c>
      <c r="D13" s="141" t="s">
        <v>256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5" sqref="D5"/>
    </sheetView>
  </sheetViews>
  <sheetFormatPr defaultColWidth="8.875" defaultRowHeight="16.5"/>
  <cols>
    <col min="1" max="1" width="8.25" style="87" customWidth="1"/>
    <col min="2" max="2" width="24.5" style="87" customWidth="1"/>
    <col min="3" max="3" width="17.75" style="87" bestFit="1" customWidth="1"/>
    <col min="4" max="4" width="10.5" style="87" customWidth="1"/>
    <col min="5" max="5" width="13.125" style="87" customWidth="1"/>
    <col min="6" max="16384" width="8.875" style="87"/>
  </cols>
  <sheetData>
    <row r="1" spans="1:5">
      <c r="A1" s="85" t="s">
        <v>129</v>
      </c>
      <c r="B1" s="85" t="s">
        <v>138</v>
      </c>
      <c r="C1" s="85" t="s">
        <v>139</v>
      </c>
      <c r="D1" s="86" t="str">
        <f>HYPERLINK("http://www.drmaster.com.tw","博碩文化")</f>
        <v>博碩文化</v>
      </c>
      <c r="E1" s="86" t="str">
        <f>HYPERLINK("mailto:sales@sting.drmaster.com.tw","博碩文化業務部吳宏仁")</f>
        <v>博碩文化業務部吳宏仁</v>
      </c>
    </row>
    <row r="2" spans="1:5">
      <c r="A2" s="88" t="s">
        <v>140</v>
      </c>
      <c r="B2" s="89" t="s">
        <v>141</v>
      </c>
      <c r="C2" s="89" t="str">
        <f t="shared" ref="C2:C15" si="0">HYPERLINK("mailto:"&amp;B2,A2)</f>
        <v>熊漢琳</v>
      </c>
    </row>
    <row r="3" spans="1:5">
      <c r="A3" s="88" t="s">
        <v>142</v>
      </c>
      <c r="B3" s="89" t="s">
        <v>143</v>
      </c>
      <c r="C3" s="89" t="str">
        <f t="shared" si="0"/>
        <v>陳偉忠</v>
      </c>
    </row>
    <row r="4" spans="1:5">
      <c r="A4" s="88" t="s">
        <v>144</v>
      </c>
      <c r="B4" s="89" t="s">
        <v>145</v>
      </c>
      <c r="C4" s="89" t="str">
        <f t="shared" si="0"/>
        <v>黃柏誠</v>
      </c>
    </row>
    <row r="5" spans="1:5">
      <c r="A5" s="88" t="s">
        <v>132</v>
      </c>
      <c r="B5" s="89" t="s">
        <v>146</v>
      </c>
      <c r="C5" s="89" t="str">
        <f t="shared" si="0"/>
        <v>林宸旭</v>
      </c>
    </row>
    <row r="6" spans="1:5">
      <c r="A6" s="88" t="s">
        <v>147</v>
      </c>
      <c r="B6" s="89" t="s">
        <v>148</v>
      </c>
      <c r="C6" s="89" t="str">
        <f t="shared" si="0"/>
        <v>陳玉玲</v>
      </c>
    </row>
    <row r="7" spans="1:5">
      <c r="A7" s="88" t="s">
        <v>149</v>
      </c>
      <c r="B7" s="89" t="s">
        <v>150</v>
      </c>
      <c r="C7" s="89" t="str">
        <f t="shared" si="0"/>
        <v>黃冠儒</v>
      </c>
    </row>
    <row r="8" spans="1:5">
      <c r="A8" s="88" t="s">
        <v>151</v>
      </c>
      <c r="B8" s="89" t="s">
        <v>152</v>
      </c>
      <c r="C8" s="89" t="str">
        <f t="shared" si="0"/>
        <v>王秀惠</v>
      </c>
    </row>
    <row r="9" spans="1:5">
      <c r="A9" s="88" t="s">
        <v>153</v>
      </c>
      <c r="B9" s="89" t="s">
        <v>154</v>
      </c>
      <c r="C9" s="89" t="str">
        <f t="shared" si="0"/>
        <v>陳國清</v>
      </c>
    </row>
    <row r="10" spans="1:5">
      <c r="A10" s="88" t="s">
        <v>155</v>
      </c>
      <c r="B10" s="89" t="s">
        <v>156</v>
      </c>
      <c r="C10" s="89" t="str">
        <f t="shared" si="0"/>
        <v>林碧梅</v>
      </c>
    </row>
    <row r="11" spans="1:5">
      <c r="A11" s="88" t="s">
        <v>157</v>
      </c>
      <c r="B11" s="89" t="s">
        <v>158</v>
      </c>
      <c r="C11" s="89" t="str">
        <f t="shared" si="0"/>
        <v>萬衛華</v>
      </c>
    </row>
    <row r="12" spans="1:5">
      <c r="A12" s="88" t="s">
        <v>159</v>
      </c>
      <c r="B12" s="89" t="s">
        <v>160</v>
      </c>
      <c r="C12" s="89" t="str">
        <f t="shared" si="0"/>
        <v>林宏諭</v>
      </c>
    </row>
    <row r="13" spans="1:5">
      <c r="A13" s="88" t="s">
        <v>161</v>
      </c>
      <c r="B13" s="89" t="s">
        <v>162</v>
      </c>
      <c r="C13" s="89" t="str">
        <f t="shared" si="0"/>
        <v>林建宏</v>
      </c>
    </row>
    <row r="14" spans="1:5">
      <c r="A14" s="88" t="s">
        <v>163</v>
      </c>
      <c r="B14" s="89" t="s">
        <v>164</v>
      </c>
      <c r="C14" s="89" t="str">
        <f t="shared" si="0"/>
        <v>謝幸安</v>
      </c>
    </row>
    <row r="15" spans="1:5">
      <c r="A15" s="88" t="s">
        <v>165</v>
      </c>
      <c r="B15" s="89" t="s">
        <v>166</v>
      </c>
      <c r="C15" s="89" t="str">
        <f t="shared" si="0"/>
        <v>林毓倫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5" right="0.75" top="1" bottom="1" header="0.5" footer="0.5"/>
  <pageSetup paperSize="9" orientation="portrait" horizontalDpi="360" verticalDpi="360" r:id="rId1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5" sqref="C5"/>
    </sheetView>
  </sheetViews>
  <sheetFormatPr defaultRowHeight="16.5"/>
  <cols>
    <col min="1" max="1" width="3.375" style="56" customWidth="1"/>
    <col min="2" max="2" width="15.625" style="56" bestFit="1" customWidth="1"/>
    <col min="3" max="6" width="9" style="56" customWidth="1"/>
    <col min="7" max="7" width="4.125" style="56" customWidth="1"/>
    <col min="8" max="8" width="7.375" style="56" customWidth="1"/>
    <col min="9" max="16384" width="9" style="56"/>
  </cols>
  <sheetData>
    <row r="1" spans="1:9" s="62" customFormat="1" ht="18" thickTop="1" thickBot="1">
      <c r="A1" s="146" t="s">
        <v>61</v>
      </c>
      <c r="B1" s="147"/>
      <c r="C1" s="147"/>
      <c r="D1" s="147"/>
      <c r="E1" s="147"/>
      <c r="F1" s="148"/>
    </row>
    <row r="2" spans="1:9" s="62" customFormat="1" ht="18" thickTop="1" thickBot="1">
      <c r="A2" s="63"/>
      <c r="B2" s="64"/>
      <c r="C2" s="146" t="s">
        <v>26</v>
      </c>
      <c r="D2" s="147"/>
      <c r="E2" s="147"/>
      <c r="F2" s="148"/>
    </row>
    <row r="3" spans="1:9" s="62" customFormat="1" ht="18" thickTop="1" thickBot="1">
      <c r="A3" s="63"/>
      <c r="B3" s="64" t="s">
        <v>27</v>
      </c>
      <c r="C3" s="65" t="s">
        <v>28</v>
      </c>
      <c r="D3" s="66" t="s">
        <v>29</v>
      </c>
      <c r="E3" s="66" t="s">
        <v>30</v>
      </c>
      <c r="F3" s="67" t="s">
        <v>31</v>
      </c>
    </row>
    <row r="4" spans="1:9" s="62" customFormat="1" ht="17.25" thickTop="1">
      <c r="A4" s="68">
        <v>1</v>
      </c>
      <c r="B4" s="69" t="s">
        <v>32</v>
      </c>
      <c r="C4" s="68">
        <v>4</v>
      </c>
      <c r="D4" s="70">
        <v>6</v>
      </c>
      <c r="E4" s="70">
        <v>8</v>
      </c>
      <c r="F4" s="69">
        <v>4</v>
      </c>
      <c r="H4" s="71">
        <f>HLOOKUP("福特1.5",DATA,2)</f>
        <v>4</v>
      </c>
      <c r="I4" s="79" t="s">
        <v>125</v>
      </c>
    </row>
    <row r="5" spans="1:9" s="62" customFormat="1">
      <c r="A5" s="72">
        <v>2</v>
      </c>
      <c r="B5" s="73" t="s">
        <v>33</v>
      </c>
      <c r="C5" s="72">
        <v>8</v>
      </c>
      <c r="D5" s="74">
        <v>5</v>
      </c>
      <c r="E5" s="74">
        <v>5</v>
      </c>
      <c r="F5" s="73">
        <v>6</v>
      </c>
      <c r="H5" s="71">
        <f>HLOOKUP("道奇",A3:F11,A11+1)</f>
        <v>8</v>
      </c>
      <c r="I5" s="79" t="s">
        <v>126</v>
      </c>
    </row>
    <row r="6" spans="1:9" s="62" customFormat="1">
      <c r="A6" s="72">
        <v>3</v>
      </c>
      <c r="B6" s="73" t="s">
        <v>34</v>
      </c>
      <c r="C6" s="72">
        <v>7.5</v>
      </c>
      <c r="D6" s="74">
        <v>6</v>
      </c>
      <c r="E6" s="74">
        <v>6.5</v>
      </c>
      <c r="F6" s="73">
        <v>4</v>
      </c>
      <c r="H6" s="71">
        <f>HLOOKUP("喜美",DATA,A10+1)</f>
        <v>4</v>
      </c>
      <c r="I6" s="79" t="s">
        <v>127</v>
      </c>
    </row>
    <row r="7" spans="1:9" s="62" customFormat="1">
      <c r="A7" s="72">
        <v>4</v>
      </c>
      <c r="B7" s="73" t="s">
        <v>35</v>
      </c>
      <c r="C7" s="72">
        <v>6.5</v>
      </c>
      <c r="D7" s="74">
        <v>4</v>
      </c>
      <c r="E7" s="74">
        <v>9.5</v>
      </c>
      <c r="F7" s="73">
        <v>4</v>
      </c>
      <c r="H7" s="71" t="e">
        <f>HLOOKUP("現代",DATA,15)</f>
        <v>#REF!</v>
      </c>
      <c r="I7" s="79" t="s">
        <v>128</v>
      </c>
    </row>
    <row r="8" spans="1:9" s="62" customFormat="1">
      <c r="A8" s="72">
        <v>5</v>
      </c>
      <c r="B8" s="73" t="s">
        <v>36</v>
      </c>
      <c r="C8" s="72">
        <v>7.5</v>
      </c>
      <c r="D8" s="74">
        <v>4</v>
      </c>
      <c r="E8" s="74">
        <v>6</v>
      </c>
      <c r="F8" s="73">
        <v>6.5</v>
      </c>
    </row>
    <row r="9" spans="1:9" s="62" customFormat="1">
      <c r="A9" s="72">
        <v>6</v>
      </c>
      <c r="B9" s="73" t="s">
        <v>37</v>
      </c>
      <c r="C9" s="72">
        <v>7.5</v>
      </c>
      <c r="D9" s="74">
        <v>4</v>
      </c>
      <c r="E9" s="74">
        <v>6</v>
      </c>
      <c r="F9" s="73">
        <v>6.5</v>
      </c>
    </row>
    <row r="10" spans="1:9" s="62" customFormat="1">
      <c r="A10" s="72">
        <v>7</v>
      </c>
      <c r="B10" s="73" t="s">
        <v>38</v>
      </c>
      <c r="C10" s="72">
        <v>4</v>
      </c>
      <c r="D10" s="74">
        <v>4</v>
      </c>
      <c r="E10" s="74">
        <v>5</v>
      </c>
      <c r="F10" s="73">
        <v>6</v>
      </c>
    </row>
    <row r="11" spans="1:9" s="62" customFormat="1" ht="17.25" thickBot="1">
      <c r="A11" s="75">
        <v>8</v>
      </c>
      <c r="B11" s="76" t="s">
        <v>39</v>
      </c>
      <c r="C11" s="75">
        <v>6</v>
      </c>
      <c r="D11" s="77">
        <v>6</v>
      </c>
      <c r="E11" s="77">
        <v>8</v>
      </c>
      <c r="F11" s="76">
        <v>6</v>
      </c>
    </row>
    <row r="12" spans="1:9" s="62" customFormat="1" ht="17.25" thickTop="1"/>
    <row r="14" spans="1:9">
      <c r="A14" s="62"/>
      <c r="B14" s="62"/>
      <c r="C14" s="62"/>
      <c r="D14" s="78"/>
    </row>
  </sheetData>
  <mergeCells count="2">
    <mergeCell ref="C2:F2"/>
    <mergeCell ref="A1:F1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topLeftCell="A7" workbookViewId="0">
      <selection activeCell="M14" sqref="M14"/>
    </sheetView>
  </sheetViews>
  <sheetFormatPr defaultRowHeight="16.5"/>
  <cols>
    <col min="1" max="1" width="5.875" customWidth="1"/>
    <col min="2" max="2" width="8.125" customWidth="1"/>
    <col min="3" max="5" width="7.125" customWidth="1"/>
    <col min="6" max="6" width="4.5" customWidth="1"/>
    <col min="7" max="7" width="7.5" bestFit="1" customWidth="1"/>
    <col min="8" max="8" width="5.75" customWidth="1"/>
    <col min="9" max="9" width="9.625" bestFit="1" customWidth="1"/>
    <col min="10" max="12" width="9.5" bestFit="1" customWidth="1"/>
  </cols>
  <sheetData>
    <row r="1" spans="2:7">
      <c r="B1" s="8" t="s">
        <v>93</v>
      </c>
      <c r="C1" s="8" t="s">
        <v>21</v>
      </c>
      <c r="D1" s="8" t="s">
        <v>22</v>
      </c>
      <c r="E1" s="8" t="s">
        <v>92</v>
      </c>
    </row>
    <row r="2" spans="2:7">
      <c r="B2" s="9" t="s">
        <v>12</v>
      </c>
      <c r="C2" s="10">
        <v>81</v>
      </c>
      <c r="D2" s="10">
        <v>68</v>
      </c>
      <c r="E2" s="10">
        <f>AVERAGE(C2:D2)</f>
        <v>74.5</v>
      </c>
      <c r="G2" s="41" t="str">
        <f>INDEX(B2:E4,2,1)</f>
        <v>李榮宗</v>
      </c>
    </row>
    <row r="3" spans="2:7">
      <c r="B3" s="9" t="s">
        <v>13</v>
      </c>
      <c r="C3" s="10">
        <v>66</v>
      </c>
      <c r="D3" s="10">
        <v>42</v>
      </c>
      <c r="E3" s="10">
        <f>AVERAGE(C3:D3)</f>
        <v>54</v>
      </c>
      <c r="G3" s="41" t="str">
        <f>INDEX(B1:B4,2)</f>
        <v>吳宜真</v>
      </c>
    </row>
    <row r="4" spans="2:7">
      <c r="B4" s="9" t="s">
        <v>14</v>
      </c>
      <c r="C4" s="10">
        <v>69</v>
      </c>
      <c r="D4" s="10">
        <v>95</v>
      </c>
      <c r="E4" s="10">
        <f>AVERAGE(C4:D4)</f>
        <v>82</v>
      </c>
      <c r="G4" s="41">
        <f>INDEX(B2:E2,3)</f>
        <v>68</v>
      </c>
    </row>
    <row r="5" spans="2:7" s="39" customFormat="1">
      <c r="B5" s="9"/>
      <c r="C5" s="10"/>
      <c r="D5" s="10"/>
      <c r="E5" s="10"/>
      <c r="G5" s="40" t="e">
        <f>INDEX(B2:E4,2)</f>
        <v>#REF!</v>
      </c>
    </row>
    <row r="6" spans="2:7">
      <c r="B6" s="11" t="s">
        <v>94</v>
      </c>
      <c r="C6" s="10">
        <v>96</v>
      </c>
      <c r="D6" s="10">
        <v>72</v>
      </c>
      <c r="E6" s="10">
        <f>AVERAGE(C6:D6)</f>
        <v>84</v>
      </c>
      <c r="G6" s="41" t="str">
        <f>INDEX((B2:E4,B6:E9),3,1,2)</f>
        <v>陳友敬</v>
      </c>
    </row>
    <row r="7" spans="2:7">
      <c r="B7" s="9" t="s">
        <v>16</v>
      </c>
      <c r="C7" s="10">
        <v>52</v>
      </c>
      <c r="D7" s="10">
        <v>79</v>
      </c>
      <c r="E7" s="10">
        <f>AVERAGE(C7:D7)</f>
        <v>65.5</v>
      </c>
      <c r="G7" s="42">
        <f>SUM(C6:INDEX((C2:E4,C6:E9),4,3,2))</f>
        <v>853.5</v>
      </c>
    </row>
    <row r="8" spans="2:7">
      <c r="B8" s="11" t="s">
        <v>17</v>
      </c>
      <c r="C8" s="10">
        <v>75</v>
      </c>
      <c r="D8" s="10">
        <v>44</v>
      </c>
      <c r="E8" s="10">
        <f>AVERAGE(C8:D8)</f>
        <v>59.5</v>
      </c>
    </row>
    <row r="9" spans="2:7">
      <c r="B9" s="11" t="s">
        <v>18</v>
      </c>
      <c r="C9" s="10">
        <v>53</v>
      </c>
      <c r="D9" s="10">
        <v>98</v>
      </c>
      <c r="E9" s="10">
        <f>AVERAGE(C9:D9)</f>
        <v>75.5</v>
      </c>
    </row>
    <row r="11" spans="2:7">
      <c r="B11" s="3" t="s">
        <v>95</v>
      </c>
      <c r="C11" s="3" t="s">
        <v>96</v>
      </c>
      <c r="D11" s="149" t="s">
        <v>97</v>
      </c>
      <c r="E11" s="149"/>
      <c r="F11" s="149"/>
      <c r="G11" s="149"/>
    </row>
    <row r="12" spans="2:7">
      <c r="B12" s="3">
        <v>0</v>
      </c>
      <c r="C12" s="3">
        <v>0</v>
      </c>
      <c r="D12" s="3" t="str">
        <f t="array" ref="D12:G12">INDEX($B$2:$E$4,B12,C12)</f>
        <v>吳宜真</v>
      </c>
      <c r="E12" s="3">
        <v>81</v>
      </c>
      <c r="F12" s="3">
        <v>68</v>
      </c>
      <c r="G12" s="43">
        <v>74.5</v>
      </c>
    </row>
    <row r="13" spans="2:7">
      <c r="B13" s="3">
        <v>2</v>
      </c>
      <c r="C13" s="3">
        <v>0</v>
      </c>
      <c r="D13" s="3" t="str">
        <f t="array" ref="D13:G13">INDEX($B$2:$E$4,B13,C13)</f>
        <v>李榮宗</v>
      </c>
      <c r="E13" s="3">
        <v>66</v>
      </c>
      <c r="F13" s="3">
        <v>42</v>
      </c>
      <c r="G13" s="3">
        <v>54</v>
      </c>
    </row>
    <row r="14" spans="2:7">
      <c r="B14" s="3">
        <v>0</v>
      </c>
      <c r="C14" s="3">
        <v>2</v>
      </c>
      <c r="D14" s="3">
        <f t="array" ref="D14:G14">INDEX($B$2:$E$4,B14,C14)</f>
        <v>81</v>
      </c>
      <c r="E14" s="3">
        <v>81</v>
      </c>
      <c r="F14" s="3">
        <v>81</v>
      </c>
      <c r="G14" s="3">
        <v>81</v>
      </c>
    </row>
  </sheetData>
  <mergeCells count="1">
    <mergeCell ref="D11:G11"/>
  </mergeCells>
  <phoneticPr fontId="2" type="noConversion"/>
  <conditionalFormatting sqref="C2:E9">
    <cfRule type="cellIs" dxfId="3" priority="1" stopIfTrue="1" operator="lessThan">
      <formula>60</formula>
    </cfRule>
    <cfRule type="cellIs" dxfId="2" priority="2" stopIfTrue="1" operator="greaterThanOrEqual">
      <formula>80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90" workbookViewId="0">
      <selection activeCell="A3" sqref="A3:E17"/>
    </sheetView>
  </sheetViews>
  <sheetFormatPr defaultColWidth="9.75" defaultRowHeight="14.25"/>
  <cols>
    <col min="1" max="1" width="9" style="92" bestFit="1" customWidth="1"/>
    <col min="2" max="2" width="8.25" style="104" bestFit="1" customWidth="1"/>
    <col min="3" max="3" width="6" style="104" bestFit="1" customWidth="1"/>
    <col min="4" max="5" width="10.5" style="104" bestFit="1" customWidth="1"/>
    <col min="6" max="6" width="6" style="104" bestFit="1" customWidth="1"/>
    <col min="7" max="7" width="9" style="104" bestFit="1" customWidth="1"/>
    <col min="8" max="8" width="8.75" style="104" bestFit="1" customWidth="1"/>
    <col min="9" max="9" width="12.875" style="92" bestFit="1" customWidth="1"/>
    <col min="10" max="10" width="13.125" style="92" customWidth="1"/>
    <col min="11" max="11" width="11" style="105" bestFit="1" customWidth="1"/>
    <col min="12" max="12" width="8.875" style="92" bestFit="1" customWidth="1"/>
    <col min="13" max="13" width="6.5" style="92" bestFit="1" customWidth="1"/>
    <col min="14" max="14" width="11" style="92" bestFit="1" customWidth="1"/>
    <col min="15" max="16384" width="9.75" style="92"/>
  </cols>
  <sheetData>
    <row r="1" spans="1:13" ht="17.25" customHeight="1">
      <c r="A1" s="90" t="s">
        <v>171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3" ht="15.75" customHeight="1">
      <c r="A2" s="93" t="s">
        <v>172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152" t="s">
        <v>173</v>
      </c>
      <c r="M2" s="152"/>
    </row>
    <row r="3" spans="1:13">
      <c r="A3" s="95" t="s">
        <v>174</v>
      </c>
      <c r="B3" s="95" t="s">
        <v>129</v>
      </c>
      <c r="C3" s="95" t="s">
        <v>175</v>
      </c>
      <c r="D3" s="95" t="s">
        <v>176</v>
      </c>
      <c r="E3" s="95" t="s">
        <v>177</v>
      </c>
      <c r="F3" s="95" t="s">
        <v>92</v>
      </c>
      <c r="G3" s="95" t="s">
        <v>178</v>
      </c>
      <c r="H3" s="95" t="s">
        <v>167</v>
      </c>
      <c r="I3" s="95" t="s">
        <v>179</v>
      </c>
      <c r="J3" s="95" t="s">
        <v>180</v>
      </c>
      <c r="K3" s="95" t="s">
        <v>181</v>
      </c>
      <c r="L3" s="95" t="s">
        <v>182</v>
      </c>
      <c r="M3" s="95" t="s">
        <v>183</v>
      </c>
    </row>
    <row r="4" spans="1:13">
      <c r="A4" s="96">
        <v>833001</v>
      </c>
      <c r="B4" s="96" t="s">
        <v>130</v>
      </c>
      <c r="C4" s="97" t="s">
        <v>184</v>
      </c>
      <c r="D4" s="98">
        <v>66</v>
      </c>
      <c r="E4" s="98">
        <v>98</v>
      </c>
      <c r="F4" s="99">
        <f t="shared" ref="F4:F17" si="0">AVERAGE(D4:E4)</f>
        <v>82</v>
      </c>
      <c r="G4" s="99">
        <f t="shared" ref="G4:G17" si="1">SUM(D4:E4)</f>
        <v>164</v>
      </c>
      <c r="H4" s="100" t="str">
        <f t="shared" ref="H4:H17" si="2">IF(F4&gt;85,"A",IF(F4&gt;80,"B",IF(F4&gt;76,"C","D")))</f>
        <v>B</v>
      </c>
      <c r="I4" s="101" t="str">
        <f t="shared" ref="I4:I17" si="3">VLOOKUP(H4,$H$20:$J$23,2,1)</f>
        <v>光碟一片</v>
      </c>
      <c r="J4" s="101">
        <f t="shared" ref="J4:J17" si="4">VLOOKUP(H4,$H$20:$J$23,3,1)</f>
        <v>1.08</v>
      </c>
      <c r="K4" s="101" t="str">
        <f t="shared" ref="K4:K17" si="5">REPT("☆",COUNTIF(D4:E4,"&gt;=60"))</f>
        <v>☆☆</v>
      </c>
      <c r="L4" s="100" t="str">
        <f t="shared" ref="L4:L17" si="6">IF(G4&gt;180,"甲",IF(G4&gt;=150,"乙","丙"))</f>
        <v>乙</v>
      </c>
      <c r="M4" s="100" t="str">
        <f t="shared" ref="M4:M17" si="7">IF(OR(AND(D4&gt;85,E4&gt;85),G4&gt;180),"特優","")</f>
        <v/>
      </c>
    </row>
    <row r="5" spans="1:13">
      <c r="A5" s="96">
        <v>833002</v>
      </c>
      <c r="B5" s="96" t="s">
        <v>102</v>
      </c>
      <c r="C5" s="97" t="s">
        <v>185</v>
      </c>
      <c r="D5" s="98">
        <v>82</v>
      </c>
      <c r="E5" s="98">
        <v>94</v>
      </c>
      <c r="F5" s="99">
        <f t="shared" si="0"/>
        <v>88</v>
      </c>
      <c r="G5" s="99">
        <f t="shared" si="1"/>
        <v>176</v>
      </c>
      <c r="H5" s="100" t="str">
        <f t="shared" si="2"/>
        <v>A</v>
      </c>
      <c r="I5" s="101" t="str">
        <f t="shared" si="3"/>
        <v>電影票3張</v>
      </c>
      <c r="J5" s="101">
        <f t="shared" si="4"/>
        <v>1.1000000000000001</v>
      </c>
      <c r="K5" s="101" t="str">
        <f t="shared" si="5"/>
        <v>☆☆</v>
      </c>
      <c r="L5" s="100" t="str">
        <f t="shared" si="6"/>
        <v>乙</v>
      </c>
      <c r="M5" s="100" t="str">
        <f t="shared" si="7"/>
        <v/>
      </c>
    </row>
    <row r="6" spans="1:13">
      <c r="A6" s="96">
        <v>833003</v>
      </c>
      <c r="B6" s="96" t="s">
        <v>131</v>
      </c>
      <c r="C6" s="97" t="s">
        <v>185</v>
      </c>
      <c r="D6" s="98">
        <v>65</v>
      </c>
      <c r="E6" s="98">
        <v>83</v>
      </c>
      <c r="F6" s="99">
        <f t="shared" si="0"/>
        <v>74</v>
      </c>
      <c r="G6" s="99">
        <f t="shared" si="1"/>
        <v>148</v>
      </c>
      <c r="H6" s="100" t="str">
        <f t="shared" si="2"/>
        <v>D</v>
      </c>
      <c r="I6" s="101" t="str">
        <f t="shared" si="3"/>
        <v>鉛筆五支</v>
      </c>
      <c r="J6" s="101">
        <f t="shared" si="4"/>
        <v>0.98</v>
      </c>
      <c r="K6" s="101" t="str">
        <f t="shared" si="5"/>
        <v>☆☆</v>
      </c>
      <c r="L6" s="100" t="str">
        <f t="shared" si="6"/>
        <v>丙</v>
      </c>
      <c r="M6" s="100" t="str">
        <f t="shared" si="7"/>
        <v/>
      </c>
    </row>
    <row r="7" spans="1:13">
      <c r="A7" s="96">
        <v>833004</v>
      </c>
      <c r="B7" s="96" t="s">
        <v>132</v>
      </c>
      <c r="C7" s="97" t="s">
        <v>185</v>
      </c>
      <c r="D7" s="98">
        <v>95</v>
      </c>
      <c r="E7" s="98">
        <v>87</v>
      </c>
      <c r="F7" s="99">
        <f t="shared" si="0"/>
        <v>91</v>
      </c>
      <c r="G7" s="99">
        <f t="shared" si="1"/>
        <v>182</v>
      </c>
      <c r="H7" s="100" t="str">
        <f t="shared" si="2"/>
        <v>A</v>
      </c>
      <c r="I7" s="101" t="str">
        <f t="shared" si="3"/>
        <v>電影票3張</v>
      </c>
      <c r="J7" s="101">
        <f t="shared" si="4"/>
        <v>1.1000000000000001</v>
      </c>
      <c r="K7" s="101" t="str">
        <f t="shared" si="5"/>
        <v>☆☆</v>
      </c>
      <c r="L7" s="100" t="str">
        <f t="shared" si="6"/>
        <v>甲</v>
      </c>
      <c r="M7" s="100" t="str">
        <f t="shared" si="7"/>
        <v>特優</v>
      </c>
    </row>
    <row r="8" spans="1:13">
      <c r="A8" s="96">
        <v>833005</v>
      </c>
      <c r="B8" s="96" t="s">
        <v>133</v>
      </c>
      <c r="C8" s="97" t="s">
        <v>184</v>
      </c>
      <c r="D8" s="98">
        <v>97</v>
      </c>
      <c r="E8" s="98">
        <v>63</v>
      </c>
      <c r="F8" s="99">
        <f t="shared" si="0"/>
        <v>80</v>
      </c>
      <c r="G8" s="99">
        <f t="shared" si="1"/>
        <v>160</v>
      </c>
      <c r="H8" s="100" t="str">
        <f t="shared" si="2"/>
        <v>C</v>
      </c>
      <c r="I8" s="101" t="str">
        <f t="shared" si="3"/>
        <v>音樂帶兩捲</v>
      </c>
      <c r="J8" s="101">
        <f t="shared" si="4"/>
        <v>1.05</v>
      </c>
      <c r="K8" s="101" t="str">
        <f t="shared" si="5"/>
        <v>☆☆</v>
      </c>
      <c r="L8" s="100" t="str">
        <f t="shared" si="6"/>
        <v>乙</v>
      </c>
      <c r="M8" s="100" t="str">
        <f t="shared" si="7"/>
        <v/>
      </c>
    </row>
    <row r="9" spans="1:13">
      <c r="A9" s="96">
        <v>833006</v>
      </c>
      <c r="B9" s="96" t="s">
        <v>134</v>
      </c>
      <c r="C9" s="97" t="s">
        <v>185</v>
      </c>
      <c r="D9" s="98">
        <v>81</v>
      </c>
      <c r="E9" s="98">
        <v>63</v>
      </c>
      <c r="F9" s="99">
        <f t="shared" si="0"/>
        <v>72</v>
      </c>
      <c r="G9" s="99">
        <f t="shared" si="1"/>
        <v>144</v>
      </c>
      <c r="H9" s="100" t="str">
        <f t="shared" si="2"/>
        <v>D</v>
      </c>
      <c r="I9" s="101" t="str">
        <f t="shared" si="3"/>
        <v>鉛筆五支</v>
      </c>
      <c r="J9" s="101">
        <f t="shared" si="4"/>
        <v>0.98</v>
      </c>
      <c r="K9" s="101" t="str">
        <f t="shared" si="5"/>
        <v>☆☆</v>
      </c>
      <c r="L9" s="100" t="str">
        <f t="shared" si="6"/>
        <v>丙</v>
      </c>
      <c r="M9" s="100" t="str">
        <f t="shared" si="7"/>
        <v/>
      </c>
    </row>
    <row r="10" spans="1:13">
      <c r="A10" s="96">
        <v>833007</v>
      </c>
      <c r="B10" s="96" t="s">
        <v>50</v>
      </c>
      <c r="C10" s="97" t="s">
        <v>184</v>
      </c>
      <c r="D10" s="98">
        <v>68</v>
      </c>
      <c r="E10" s="98">
        <v>84</v>
      </c>
      <c r="F10" s="99">
        <f t="shared" si="0"/>
        <v>76</v>
      </c>
      <c r="G10" s="99">
        <f t="shared" si="1"/>
        <v>152</v>
      </c>
      <c r="H10" s="100" t="str">
        <f t="shared" si="2"/>
        <v>D</v>
      </c>
      <c r="I10" s="101" t="str">
        <f t="shared" si="3"/>
        <v>鉛筆五支</v>
      </c>
      <c r="J10" s="101">
        <f t="shared" si="4"/>
        <v>0.98</v>
      </c>
      <c r="K10" s="101" t="str">
        <f t="shared" si="5"/>
        <v>☆☆</v>
      </c>
      <c r="L10" s="100" t="str">
        <f t="shared" si="6"/>
        <v>乙</v>
      </c>
      <c r="M10" s="100" t="str">
        <f t="shared" si="7"/>
        <v/>
      </c>
    </row>
    <row r="11" spans="1:13">
      <c r="A11" s="96">
        <v>833008</v>
      </c>
      <c r="B11" s="96" t="s">
        <v>48</v>
      </c>
      <c r="C11" s="97" t="s">
        <v>185</v>
      </c>
      <c r="D11" s="98">
        <v>70</v>
      </c>
      <c r="E11" s="98">
        <v>92</v>
      </c>
      <c r="F11" s="99">
        <f t="shared" si="0"/>
        <v>81</v>
      </c>
      <c r="G11" s="99">
        <f t="shared" si="1"/>
        <v>162</v>
      </c>
      <c r="H11" s="100" t="str">
        <f t="shared" si="2"/>
        <v>B</v>
      </c>
      <c r="I11" s="101" t="str">
        <f t="shared" si="3"/>
        <v>光碟一片</v>
      </c>
      <c r="J11" s="101">
        <f t="shared" si="4"/>
        <v>1.08</v>
      </c>
      <c r="K11" s="101" t="str">
        <f t="shared" si="5"/>
        <v>☆☆</v>
      </c>
      <c r="L11" s="100" t="str">
        <f t="shared" si="6"/>
        <v>乙</v>
      </c>
      <c r="M11" s="100" t="str">
        <f t="shared" si="7"/>
        <v/>
      </c>
    </row>
    <row r="12" spans="1:13">
      <c r="A12" s="96">
        <v>833009</v>
      </c>
      <c r="B12" s="96" t="s">
        <v>135</v>
      </c>
      <c r="C12" s="97" t="s">
        <v>184</v>
      </c>
      <c r="D12" s="98">
        <v>71</v>
      </c>
      <c r="E12" s="98">
        <v>83</v>
      </c>
      <c r="F12" s="99">
        <f t="shared" si="0"/>
        <v>77</v>
      </c>
      <c r="G12" s="99">
        <f t="shared" si="1"/>
        <v>154</v>
      </c>
      <c r="H12" s="100" t="str">
        <f t="shared" si="2"/>
        <v>C</v>
      </c>
      <c r="I12" s="101" t="str">
        <f t="shared" si="3"/>
        <v>音樂帶兩捲</v>
      </c>
      <c r="J12" s="101">
        <f t="shared" si="4"/>
        <v>1.05</v>
      </c>
      <c r="K12" s="101" t="str">
        <f t="shared" si="5"/>
        <v>☆☆</v>
      </c>
      <c r="L12" s="100" t="str">
        <f t="shared" si="6"/>
        <v>乙</v>
      </c>
      <c r="M12" s="100" t="str">
        <f t="shared" si="7"/>
        <v/>
      </c>
    </row>
    <row r="13" spans="1:13">
      <c r="A13" s="96">
        <v>833010</v>
      </c>
      <c r="B13" s="96" t="s">
        <v>49</v>
      </c>
      <c r="C13" s="97" t="s">
        <v>184</v>
      </c>
      <c r="D13" s="98">
        <v>82</v>
      </c>
      <c r="E13" s="98">
        <v>94</v>
      </c>
      <c r="F13" s="99">
        <f t="shared" si="0"/>
        <v>88</v>
      </c>
      <c r="G13" s="99">
        <f t="shared" si="1"/>
        <v>176</v>
      </c>
      <c r="H13" s="100" t="str">
        <f t="shared" si="2"/>
        <v>A</v>
      </c>
      <c r="I13" s="101" t="str">
        <f t="shared" si="3"/>
        <v>電影票3張</v>
      </c>
      <c r="J13" s="101">
        <f t="shared" si="4"/>
        <v>1.1000000000000001</v>
      </c>
      <c r="K13" s="101" t="str">
        <f t="shared" si="5"/>
        <v>☆☆</v>
      </c>
      <c r="L13" s="100" t="str">
        <f t="shared" si="6"/>
        <v>乙</v>
      </c>
      <c r="M13" s="100" t="str">
        <f t="shared" si="7"/>
        <v/>
      </c>
    </row>
    <row r="14" spans="1:13">
      <c r="A14" s="96">
        <v>833011</v>
      </c>
      <c r="B14" s="96" t="s">
        <v>54</v>
      </c>
      <c r="C14" s="97" t="s">
        <v>185</v>
      </c>
      <c r="D14" s="98">
        <v>92</v>
      </c>
      <c r="E14" s="98">
        <v>90</v>
      </c>
      <c r="F14" s="99">
        <f t="shared" si="0"/>
        <v>91</v>
      </c>
      <c r="G14" s="99">
        <f t="shared" si="1"/>
        <v>182</v>
      </c>
      <c r="H14" s="100" t="str">
        <f t="shared" si="2"/>
        <v>A</v>
      </c>
      <c r="I14" s="101" t="str">
        <f t="shared" si="3"/>
        <v>電影票3張</v>
      </c>
      <c r="J14" s="101">
        <f t="shared" si="4"/>
        <v>1.1000000000000001</v>
      </c>
      <c r="K14" s="101" t="str">
        <f t="shared" si="5"/>
        <v>☆☆</v>
      </c>
      <c r="L14" s="100" t="str">
        <f t="shared" si="6"/>
        <v>甲</v>
      </c>
      <c r="M14" s="100" t="str">
        <f t="shared" si="7"/>
        <v>特優</v>
      </c>
    </row>
    <row r="15" spans="1:13">
      <c r="A15" s="96">
        <v>833012</v>
      </c>
      <c r="B15" s="96" t="s">
        <v>52</v>
      </c>
      <c r="C15" s="97" t="s">
        <v>185</v>
      </c>
      <c r="D15" s="98">
        <v>65</v>
      </c>
      <c r="E15" s="98">
        <v>71</v>
      </c>
      <c r="F15" s="99">
        <f t="shared" si="0"/>
        <v>68</v>
      </c>
      <c r="G15" s="99">
        <f t="shared" si="1"/>
        <v>136</v>
      </c>
      <c r="H15" s="100" t="str">
        <f t="shared" si="2"/>
        <v>D</v>
      </c>
      <c r="I15" s="101" t="str">
        <f t="shared" si="3"/>
        <v>鉛筆五支</v>
      </c>
      <c r="J15" s="101">
        <f t="shared" si="4"/>
        <v>0.98</v>
      </c>
      <c r="K15" s="101" t="str">
        <f t="shared" si="5"/>
        <v>☆☆</v>
      </c>
      <c r="L15" s="100" t="str">
        <f t="shared" si="6"/>
        <v>丙</v>
      </c>
      <c r="M15" s="100" t="str">
        <f t="shared" si="7"/>
        <v/>
      </c>
    </row>
    <row r="16" spans="1:13">
      <c r="A16" s="96">
        <v>833013</v>
      </c>
      <c r="B16" s="96" t="s">
        <v>136</v>
      </c>
      <c r="C16" s="97" t="s">
        <v>184</v>
      </c>
      <c r="D16" s="98">
        <v>88</v>
      </c>
      <c r="E16" s="98">
        <v>68</v>
      </c>
      <c r="F16" s="99">
        <f t="shared" si="0"/>
        <v>78</v>
      </c>
      <c r="G16" s="99">
        <f t="shared" si="1"/>
        <v>156</v>
      </c>
      <c r="H16" s="100" t="str">
        <f t="shared" si="2"/>
        <v>C</v>
      </c>
      <c r="I16" s="101" t="str">
        <f t="shared" si="3"/>
        <v>音樂帶兩捲</v>
      </c>
      <c r="J16" s="101">
        <f t="shared" si="4"/>
        <v>1.05</v>
      </c>
      <c r="K16" s="101" t="str">
        <f t="shared" si="5"/>
        <v>☆☆</v>
      </c>
      <c r="L16" s="100" t="str">
        <f t="shared" si="6"/>
        <v>乙</v>
      </c>
      <c r="M16" s="100" t="str">
        <f t="shared" si="7"/>
        <v/>
      </c>
    </row>
    <row r="17" spans="1:13">
      <c r="A17" s="96">
        <v>833014</v>
      </c>
      <c r="B17" s="96" t="s">
        <v>137</v>
      </c>
      <c r="C17" s="97" t="s">
        <v>184</v>
      </c>
      <c r="D17" s="98">
        <v>55</v>
      </c>
      <c r="E17" s="98">
        <v>99</v>
      </c>
      <c r="F17" s="99">
        <f t="shared" si="0"/>
        <v>77</v>
      </c>
      <c r="G17" s="99">
        <f t="shared" si="1"/>
        <v>154</v>
      </c>
      <c r="H17" s="100" t="str">
        <f t="shared" si="2"/>
        <v>C</v>
      </c>
      <c r="I17" s="101" t="str">
        <f t="shared" si="3"/>
        <v>音樂帶兩捲</v>
      </c>
      <c r="J17" s="101">
        <f t="shared" si="4"/>
        <v>1.05</v>
      </c>
      <c r="K17" s="101" t="str">
        <f t="shared" si="5"/>
        <v>☆</v>
      </c>
      <c r="L17" s="100" t="str">
        <f t="shared" si="6"/>
        <v>乙</v>
      </c>
      <c r="M17" s="100" t="str">
        <f t="shared" si="7"/>
        <v/>
      </c>
    </row>
    <row r="18" spans="1:13" ht="15" thickBot="1">
      <c r="A18" s="102"/>
      <c r="B18" s="103"/>
      <c r="C18" s="103"/>
      <c r="H18" s="92"/>
    </row>
    <row r="19" spans="1:13">
      <c r="A19" s="150" t="s">
        <v>186</v>
      </c>
      <c r="B19" s="151"/>
      <c r="C19" s="151"/>
      <c r="D19" s="151"/>
      <c r="H19" s="106" t="s">
        <v>167</v>
      </c>
      <c r="I19" s="107" t="s">
        <v>168</v>
      </c>
      <c r="J19" s="108" t="s">
        <v>180</v>
      </c>
    </row>
    <row r="20" spans="1:13">
      <c r="A20" s="109" t="s">
        <v>187</v>
      </c>
      <c r="B20" s="110"/>
      <c r="C20" s="110"/>
      <c r="D20" s="110"/>
      <c r="H20" s="111" t="s">
        <v>188</v>
      </c>
      <c r="I20" s="112" t="s">
        <v>189</v>
      </c>
      <c r="J20" s="113">
        <v>1.1000000000000001</v>
      </c>
    </row>
    <row r="21" spans="1:13">
      <c r="A21" s="109" t="s">
        <v>190</v>
      </c>
      <c r="B21" s="110"/>
      <c r="C21" s="110"/>
      <c r="D21" s="110"/>
      <c r="H21" s="111" t="s">
        <v>191</v>
      </c>
      <c r="I21" s="112" t="s">
        <v>192</v>
      </c>
      <c r="J21" s="113">
        <v>1.08</v>
      </c>
    </row>
    <row r="22" spans="1:13">
      <c r="A22" s="109" t="s">
        <v>193</v>
      </c>
      <c r="B22" s="110"/>
      <c r="C22" s="110"/>
      <c r="D22" s="110"/>
      <c r="H22" s="111" t="s">
        <v>194</v>
      </c>
      <c r="I22" s="112" t="s">
        <v>195</v>
      </c>
      <c r="J22" s="113">
        <v>1.05</v>
      </c>
    </row>
    <row r="23" spans="1:13" ht="15" thickBot="1">
      <c r="A23" s="109" t="s">
        <v>196</v>
      </c>
      <c r="B23" s="110"/>
      <c r="C23" s="110"/>
      <c r="D23" s="110"/>
      <c r="H23" s="114" t="s">
        <v>197</v>
      </c>
      <c r="I23" s="115" t="s">
        <v>198</v>
      </c>
      <c r="J23" s="116">
        <v>0.98</v>
      </c>
    </row>
    <row r="24" spans="1:13">
      <c r="A24" s="117" t="s">
        <v>199</v>
      </c>
      <c r="B24" s="117"/>
      <c r="C24" s="117"/>
      <c r="D24" s="117"/>
    </row>
    <row r="25" spans="1:13">
      <c r="A25" s="118">
        <v>4</v>
      </c>
      <c r="B25" s="119"/>
      <c r="C25" s="119"/>
      <c r="D25" s="119"/>
      <c r="H25" s="120" t="s">
        <v>200</v>
      </c>
      <c r="I25" s="121" t="s">
        <v>201</v>
      </c>
      <c r="J25" s="121" t="s">
        <v>202</v>
      </c>
    </row>
    <row r="26" spans="1:13">
      <c r="A26" s="117" t="s">
        <v>203</v>
      </c>
      <c r="B26" s="117"/>
      <c r="C26" s="117"/>
      <c r="D26" s="117"/>
      <c r="H26" s="122" t="s">
        <v>169</v>
      </c>
      <c r="I26" s="123" t="s">
        <v>168</v>
      </c>
      <c r="J26" s="123" t="str">
        <f>INDEX($H$19:$J$23, MATCH(H26,$H$19:$H$23,), MATCH(I26,$H$19:$J$19,))</f>
        <v>音樂帶兩捲</v>
      </c>
    </row>
    <row r="27" spans="1:13">
      <c r="A27" s="118">
        <f>CHOOSE(A25,AVERAGE(D4:D17),AVERAGE(E4:E17),MAX(F4:F17),MIN(G4:G17))</f>
        <v>136</v>
      </c>
      <c r="B27" s="124">
        <f>IF(A25=1,AVERAGE(D4:D17),IF(A25=2,AVERAGE(E4:E17),IF(A25=3,MAX(F4:F17),IF(A25=4,MIN(G4:G17)))))</f>
        <v>136</v>
      </c>
      <c r="C27" s="119"/>
      <c r="D27" s="119"/>
    </row>
    <row r="28" spans="1:13">
      <c r="A28" s="125" t="s">
        <v>204</v>
      </c>
      <c r="H28" s="125" t="s">
        <v>205</v>
      </c>
    </row>
    <row r="29" spans="1:13">
      <c r="A29" s="92" t="str">
        <f>INDEX((A3:G8,A10:G13,A15:G17),3,2,1)</f>
        <v>陳偉忠</v>
      </c>
      <c r="B29" s="126" t="s">
        <v>206</v>
      </c>
      <c r="H29" s="104">
        <f>MATCH(H17,H20:H23,0)</f>
        <v>3</v>
      </c>
      <c r="I29" s="127" t="s">
        <v>207</v>
      </c>
    </row>
    <row r="30" spans="1:13">
      <c r="A30" s="92" t="str">
        <f t="array" ref="A30:A32">INDEX((A4:G8,A10:G13,A15:G17),0,2,3)</f>
        <v>林建宏</v>
      </c>
      <c r="B30" s="126" t="s">
        <v>208</v>
      </c>
      <c r="H30" s="104">
        <f>MATCH(I15,I20:I23,0)</f>
        <v>4</v>
      </c>
      <c r="I30" s="127" t="s">
        <v>209</v>
      </c>
    </row>
    <row r="31" spans="1:13">
      <c r="A31" s="92" t="str">
        <v>謝幸安</v>
      </c>
      <c r="H31" s="104">
        <f>MATCH(1,J20:J23,-1)</f>
        <v>3</v>
      </c>
      <c r="I31" s="127" t="s">
        <v>210</v>
      </c>
    </row>
    <row r="32" spans="1:13">
      <c r="A32" s="92" t="str">
        <v>林毓倫</v>
      </c>
      <c r="H32" s="104" t="e">
        <f>MATCH(1,J20:J23,0)</f>
        <v>#N/A</v>
      </c>
      <c r="I32" s="127" t="s">
        <v>211</v>
      </c>
    </row>
    <row r="33" spans="1:9">
      <c r="A33" s="92" t="str">
        <f>INDEX(H20:J23,3,2)</f>
        <v>音樂帶兩捲</v>
      </c>
      <c r="B33" s="126" t="s">
        <v>212</v>
      </c>
      <c r="H33" s="125" t="s">
        <v>213</v>
      </c>
      <c r="I33" s="125"/>
    </row>
    <row r="34" spans="1:9">
      <c r="A34" s="92" t="str">
        <f t="array" ref="A34:A37">INDEX(H20:J23,0,2)</f>
        <v>電影票3張</v>
      </c>
      <c r="B34" s="128" t="s">
        <v>170</v>
      </c>
      <c r="H34" s="104" t="str">
        <f>INDEX(H20:J23,MATCH(H17,H20:H23,0),2)</f>
        <v>音樂帶兩捲</v>
      </c>
      <c r="I34" s="129" t="s">
        <v>214</v>
      </c>
    </row>
    <row r="35" spans="1:9">
      <c r="A35" s="92" t="str">
        <v>光碟一片</v>
      </c>
    </row>
    <row r="36" spans="1:9">
      <c r="A36" s="92" t="str">
        <v>音樂帶兩捲</v>
      </c>
      <c r="H36" s="125" t="s">
        <v>231</v>
      </c>
    </row>
    <row r="37" spans="1:9">
      <c r="A37" s="92" t="str">
        <v>鉛筆五支</v>
      </c>
      <c r="H37" s="104">
        <f>LOOKUP(B4,B4:B11,G4:G11)</f>
        <v>162</v>
      </c>
    </row>
    <row r="38" spans="1:9">
      <c r="A38" s="128" t="e">
        <f>INDEX((A3:G8,A10:G13,A15:G17),3,2,4)</f>
        <v>#REF!</v>
      </c>
      <c r="B38" s="130" t="s">
        <v>215</v>
      </c>
    </row>
  </sheetData>
  <mergeCells count="2">
    <mergeCell ref="A19:D19"/>
    <mergeCell ref="L2:M2"/>
  </mergeCells>
  <phoneticPr fontId="2" type="noConversion"/>
  <printOptions gridLines="1" gridLinesSet="0"/>
  <pageMargins left="0.75" right="0.75" top="1" bottom="1" header="0.5" footer="0.5"/>
  <pageSetup paperSize="9" orientation="portrait" horizontalDpi="4294967292" verticalDpi="360" r:id="rId1"/>
  <headerFooter alignWithMargins="0">
    <oddHeader>&amp;C&amp;A&amp;R&amp;F</oddHeader>
    <oddFooter>第&amp;P頁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5" sqref="G5"/>
    </sheetView>
  </sheetViews>
  <sheetFormatPr defaultRowHeight="16.5"/>
  <cols>
    <col min="4" max="4" width="9.625" customWidth="1"/>
    <col min="5" max="5" width="12.5" customWidth="1"/>
  </cols>
  <sheetData>
    <row r="1" spans="1:7">
      <c r="A1" s="85" t="s">
        <v>232</v>
      </c>
      <c r="B1" s="85" t="s">
        <v>129</v>
      </c>
      <c r="C1" s="85" t="s">
        <v>233</v>
      </c>
      <c r="D1" s="85" t="s">
        <v>234</v>
      </c>
      <c r="E1" s="85" t="s">
        <v>235</v>
      </c>
    </row>
    <row r="2" spans="1:7">
      <c r="A2" s="88">
        <v>833014</v>
      </c>
      <c r="B2" s="88" t="s">
        <v>249</v>
      </c>
      <c r="C2" s="138" t="s">
        <v>237</v>
      </c>
      <c r="D2" s="139">
        <v>55</v>
      </c>
      <c r="E2" s="139">
        <v>99</v>
      </c>
      <c r="F2">
        <f t="array" ref="F2:F15">MATCH(D2:D15,D2:D15,0)</f>
        <v>1</v>
      </c>
    </row>
    <row r="3" spans="1:7">
      <c r="A3" s="88">
        <v>833003</v>
      </c>
      <c r="B3" s="88" t="s">
        <v>239</v>
      </c>
      <c r="C3" s="138" t="s">
        <v>238</v>
      </c>
      <c r="D3" s="139">
        <v>65</v>
      </c>
      <c r="E3" s="139">
        <v>83</v>
      </c>
      <c r="F3">
        <v>2</v>
      </c>
    </row>
    <row r="4" spans="1:7">
      <c r="A4" s="88">
        <v>833012</v>
      </c>
      <c r="B4" s="88" t="s">
        <v>247</v>
      </c>
      <c r="C4" s="138" t="s">
        <v>238</v>
      </c>
      <c r="D4" s="139">
        <v>65</v>
      </c>
      <c r="E4" s="139">
        <v>71</v>
      </c>
      <c r="F4">
        <v>2</v>
      </c>
    </row>
    <row r="5" spans="1:7">
      <c r="A5" s="88">
        <v>833001</v>
      </c>
      <c r="B5" s="88" t="s">
        <v>236</v>
      </c>
      <c r="C5" s="138" t="s">
        <v>237</v>
      </c>
      <c r="D5" s="139">
        <v>66</v>
      </c>
      <c r="E5" s="139">
        <v>98</v>
      </c>
      <c r="F5">
        <v>4</v>
      </c>
    </row>
    <row r="6" spans="1:7">
      <c r="A6" s="88">
        <v>833007</v>
      </c>
      <c r="B6" s="88" t="s">
        <v>242</v>
      </c>
      <c r="C6" s="138" t="s">
        <v>237</v>
      </c>
      <c r="D6" s="139">
        <v>68</v>
      </c>
      <c r="E6" s="139">
        <v>84</v>
      </c>
      <c r="F6">
        <v>5</v>
      </c>
      <c r="G6">
        <f t="array" ref="G6">MATCH(B2:B15,B2:B15)</f>
        <v>5</v>
      </c>
    </row>
    <row r="7" spans="1:7">
      <c r="A7" s="88">
        <v>833008</v>
      </c>
      <c r="B7" s="88" t="s">
        <v>243</v>
      </c>
      <c r="C7" s="138" t="s">
        <v>238</v>
      </c>
      <c r="D7" s="139">
        <v>70</v>
      </c>
      <c r="E7" s="139">
        <v>92</v>
      </c>
      <c r="F7">
        <v>6</v>
      </c>
    </row>
    <row r="8" spans="1:7">
      <c r="A8" s="88">
        <v>833009</v>
      </c>
      <c r="B8" s="88" t="s">
        <v>244</v>
      </c>
      <c r="C8" s="138" t="s">
        <v>237</v>
      </c>
      <c r="D8" s="139">
        <v>71</v>
      </c>
      <c r="E8" s="139">
        <v>83</v>
      </c>
      <c r="F8">
        <v>7</v>
      </c>
    </row>
    <row r="9" spans="1:7">
      <c r="A9" s="88">
        <v>833006</v>
      </c>
      <c r="B9" s="88" t="s">
        <v>241</v>
      </c>
      <c r="C9" s="138" t="s">
        <v>238</v>
      </c>
      <c r="D9" s="139">
        <v>81</v>
      </c>
      <c r="E9" s="139">
        <v>63</v>
      </c>
      <c r="F9">
        <v>8</v>
      </c>
    </row>
    <row r="10" spans="1:7">
      <c r="A10" s="88">
        <v>833002</v>
      </c>
      <c r="B10" s="88" t="s">
        <v>102</v>
      </c>
      <c r="C10" s="138" t="s">
        <v>238</v>
      </c>
      <c r="D10" s="139">
        <v>82</v>
      </c>
      <c r="E10" s="139">
        <v>94</v>
      </c>
      <c r="F10">
        <v>9</v>
      </c>
    </row>
    <row r="11" spans="1:7">
      <c r="A11" s="88">
        <v>833010</v>
      </c>
      <c r="B11" s="88" t="s">
        <v>245</v>
      </c>
      <c r="C11" s="138" t="s">
        <v>237</v>
      </c>
      <c r="D11" s="139">
        <v>82</v>
      </c>
      <c r="E11" s="139">
        <v>94</v>
      </c>
      <c r="F11">
        <v>9</v>
      </c>
    </row>
    <row r="12" spans="1:7">
      <c r="A12" s="88">
        <v>833013</v>
      </c>
      <c r="B12" s="88" t="s">
        <v>248</v>
      </c>
      <c r="C12" s="138" t="s">
        <v>237</v>
      </c>
      <c r="D12" s="139">
        <v>88</v>
      </c>
      <c r="E12" s="139">
        <v>68</v>
      </c>
      <c r="F12">
        <v>11</v>
      </c>
    </row>
    <row r="13" spans="1:7">
      <c r="A13" s="88">
        <v>833011</v>
      </c>
      <c r="B13" s="88" t="s">
        <v>246</v>
      </c>
      <c r="C13" s="138" t="s">
        <v>238</v>
      </c>
      <c r="D13" s="139">
        <v>92</v>
      </c>
      <c r="E13" s="139">
        <v>90</v>
      </c>
      <c r="F13">
        <v>12</v>
      </c>
    </row>
    <row r="14" spans="1:7">
      <c r="A14" s="88">
        <v>833004</v>
      </c>
      <c r="B14" s="88" t="s">
        <v>132</v>
      </c>
      <c r="C14" s="138" t="s">
        <v>238</v>
      </c>
      <c r="D14" s="139">
        <v>95</v>
      </c>
      <c r="E14" s="139">
        <v>87</v>
      </c>
      <c r="F14">
        <v>13</v>
      </c>
    </row>
    <row r="15" spans="1:7">
      <c r="A15" s="88">
        <v>833005</v>
      </c>
      <c r="B15" s="88" t="s">
        <v>240</v>
      </c>
      <c r="C15" s="138" t="s">
        <v>237</v>
      </c>
      <c r="D15" s="139">
        <v>97</v>
      </c>
      <c r="E15" s="139">
        <v>63</v>
      </c>
      <c r="F15">
        <v>14</v>
      </c>
    </row>
    <row r="17" spans="1:5">
      <c r="A17" s="140" t="str">
        <f>LOOKUP(75,D5:D10,B7:B12)</f>
        <v>陳偉忠</v>
      </c>
      <c r="B17" s="141" t="s">
        <v>254</v>
      </c>
      <c r="C17" s="14"/>
      <c r="D17" s="14"/>
      <c r="E17" s="14"/>
    </row>
    <row r="18" spans="1:5">
      <c r="A18" s="140">
        <f>LOOKUP(B11,B10:B14,D10:D14)</f>
        <v>82</v>
      </c>
      <c r="B18" s="141" t="s">
        <v>251</v>
      </c>
      <c r="C18" s="14"/>
      <c r="D18" s="14"/>
      <c r="E18" s="14"/>
    </row>
    <row r="19" spans="1:5">
      <c r="A19" s="140" t="str">
        <f>LOOKUP(B11,B10:B14)</f>
        <v>萬衛華</v>
      </c>
      <c r="B19" s="141" t="s">
        <v>250</v>
      </c>
      <c r="C19" s="14"/>
      <c r="D19" s="14"/>
      <c r="E19" s="14"/>
    </row>
    <row r="20" spans="1:5">
      <c r="A20" s="140">
        <f>LOOKUP("陳偉忠",B10:B14,D10:D14)</f>
        <v>82</v>
      </c>
      <c r="B20" s="141" t="s">
        <v>252</v>
      </c>
      <c r="C20" s="14"/>
      <c r="D20" s="14"/>
      <c r="E20" s="14"/>
    </row>
    <row r="21" spans="1:5">
      <c r="A21" s="140" t="e">
        <f>LOOKUP("陳友敬",D10:D14,D10:D14)</f>
        <v>#N/A</v>
      </c>
      <c r="B21" s="141" t="s">
        <v>253</v>
      </c>
      <c r="C21" s="14"/>
      <c r="D21" s="14"/>
      <c r="E21" s="14"/>
    </row>
  </sheetData>
  <phoneticPr fontId="2" type="noConversion"/>
  <pageMargins left="0.75" right="0.75" top="1" bottom="1" header="0.5" footer="0.5"/>
  <pageSetup paperSize="9" orientation="portrait" horizontalDpi="200" verticalDpi="200" copies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opLeftCell="H1" workbookViewId="0">
      <selection activeCell="J2" sqref="J2"/>
    </sheetView>
  </sheetViews>
  <sheetFormatPr defaultRowHeight="16.5"/>
  <cols>
    <col min="1" max="1" width="9" style="17" customWidth="1"/>
    <col min="2" max="2" width="26.875" style="17" bestFit="1" customWidth="1"/>
    <col min="3" max="16384" width="9" style="17"/>
  </cols>
  <sheetData>
    <row r="1" spans="1:10" ht="18.75">
      <c r="A1" s="153" t="s">
        <v>40</v>
      </c>
      <c r="B1" s="153"/>
      <c r="C1" s="153"/>
      <c r="D1" s="153"/>
      <c r="H1" s="142" t="s">
        <v>257</v>
      </c>
      <c r="I1" s="142" t="s">
        <v>258</v>
      </c>
      <c r="J1" s="142" t="s">
        <v>259</v>
      </c>
    </row>
    <row r="2" spans="1:10">
      <c r="A2" s="47" t="s">
        <v>41</v>
      </c>
      <c r="B2" s="47" t="s">
        <v>42</v>
      </c>
      <c r="C2" s="47" t="s">
        <v>43</v>
      </c>
      <c r="D2" s="47" t="s">
        <v>44</v>
      </c>
      <c r="H2" s="17">
        <f ca="1">RAND()</f>
        <v>0.1613260148493304</v>
      </c>
      <c r="I2" s="17">
        <v>1</v>
      </c>
      <c r="J2" s="17">
        <f t="shared" ref="J2:J21" ca="1" si="0">MATCH(SMALL(RAND,ROW(1:1)),RAND,)</f>
        <v>98</v>
      </c>
    </row>
    <row r="3" spans="1:10">
      <c r="A3" s="48" t="s">
        <v>45</v>
      </c>
      <c r="B3" s="48" t="s">
        <v>87</v>
      </c>
      <c r="C3" s="48" t="s">
        <v>49</v>
      </c>
      <c r="D3" s="48">
        <v>420</v>
      </c>
      <c r="H3" s="17">
        <f t="shared" ref="H3:H66" ca="1" si="1">RAND()</f>
        <v>0.88417093702352922</v>
      </c>
      <c r="I3" s="17">
        <v>2</v>
      </c>
      <c r="J3" s="17">
        <f t="shared" ca="1" si="0"/>
        <v>3</v>
      </c>
    </row>
    <row r="4" spans="1:10">
      <c r="A4" s="48" t="s">
        <v>47</v>
      </c>
      <c r="B4" s="48" t="s">
        <v>86</v>
      </c>
      <c r="C4" s="48" t="s">
        <v>48</v>
      </c>
      <c r="D4" s="48">
        <v>400</v>
      </c>
      <c r="H4" s="17">
        <f t="shared" ca="1" si="1"/>
        <v>3.7313504985891921E-3</v>
      </c>
      <c r="I4" s="17">
        <v>3</v>
      </c>
      <c r="J4" s="17">
        <f t="shared" ca="1" si="0"/>
        <v>25</v>
      </c>
    </row>
    <row r="5" spans="1:10">
      <c r="A5" s="48" t="s">
        <v>51</v>
      </c>
      <c r="B5" s="48" t="s">
        <v>89</v>
      </c>
      <c r="C5" s="48" t="s">
        <v>52</v>
      </c>
      <c r="D5" s="48">
        <v>410</v>
      </c>
      <c r="H5" s="17">
        <f t="shared" ca="1" si="1"/>
        <v>6.5194977248820618E-2</v>
      </c>
      <c r="I5" s="17">
        <v>4</v>
      </c>
      <c r="J5" s="17">
        <f t="shared" ca="1" si="0"/>
        <v>19</v>
      </c>
    </row>
    <row r="6" spans="1:10">
      <c r="A6" s="48" t="s">
        <v>53</v>
      </c>
      <c r="B6" s="48" t="s">
        <v>90</v>
      </c>
      <c r="C6" s="48" t="s">
        <v>54</v>
      </c>
      <c r="D6" s="48">
        <v>450</v>
      </c>
      <c r="H6" s="17">
        <f t="shared" ca="1" si="1"/>
        <v>0.85908507606258522</v>
      </c>
      <c r="I6" s="17">
        <v>5</v>
      </c>
      <c r="J6" s="17">
        <f t="shared" ca="1" si="0"/>
        <v>54</v>
      </c>
    </row>
    <row r="7" spans="1:10">
      <c r="A7" s="48" t="s">
        <v>100</v>
      </c>
      <c r="B7" s="48" t="s">
        <v>91</v>
      </c>
      <c r="C7" s="48" t="s">
        <v>46</v>
      </c>
      <c r="D7" s="48">
        <v>380</v>
      </c>
      <c r="H7" s="17">
        <f t="shared" ca="1" si="1"/>
        <v>0.59994650861890153</v>
      </c>
      <c r="I7" s="17">
        <v>6</v>
      </c>
      <c r="J7" s="17">
        <f t="shared" ca="1" si="0"/>
        <v>90</v>
      </c>
    </row>
    <row r="8" spans="1:10">
      <c r="A8" s="48" t="s">
        <v>101</v>
      </c>
      <c r="B8" s="48" t="s">
        <v>88</v>
      </c>
      <c r="C8" s="48" t="s">
        <v>50</v>
      </c>
      <c r="D8" s="48">
        <v>390</v>
      </c>
      <c r="H8" s="17">
        <f t="shared" ca="1" si="1"/>
        <v>0.99218785377295471</v>
      </c>
      <c r="I8" s="17">
        <v>7</v>
      </c>
      <c r="J8" s="17">
        <f t="shared" ca="1" si="0"/>
        <v>32</v>
      </c>
    </row>
    <row r="9" spans="1:10">
      <c r="H9" s="17">
        <f t="shared" ca="1" si="1"/>
        <v>0.20266897193014211</v>
      </c>
      <c r="I9" s="17">
        <v>8</v>
      </c>
      <c r="J9" s="17">
        <f t="shared" ca="1" si="0"/>
        <v>60</v>
      </c>
    </row>
    <row r="10" spans="1:10">
      <c r="B10" s="45">
        <f>MATCH("朱大慶",C3:C8,-1 )</f>
        <v>5</v>
      </c>
      <c r="H10" s="17">
        <f t="shared" ca="1" si="1"/>
        <v>0.48595833496351026</v>
      </c>
      <c r="I10" s="17">
        <v>9</v>
      </c>
      <c r="J10" s="17">
        <f t="shared" ca="1" si="0"/>
        <v>44</v>
      </c>
    </row>
    <row r="11" spans="1:10">
      <c r="B11" s="45">
        <f>MATCH( "B003",A3:A8,1 )</f>
        <v>2</v>
      </c>
      <c r="H11" s="17">
        <f t="shared" ca="1" si="1"/>
        <v>0.98806092952979829</v>
      </c>
      <c r="I11" s="17">
        <v>10</v>
      </c>
      <c r="J11" s="17">
        <f t="shared" ca="1" si="0"/>
        <v>31</v>
      </c>
    </row>
    <row r="12" spans="1:10">
      <c r="B12" s="45">
        <f>MATCH( "Word*",B3:B8,0 )</f>
        <v>6</v>
      </c>
      <c r="H12" s="17">
        <f t="shared" ca="1" si="1"/>
        <v>0.36698498683383152</v>
      </c>
      <c r="I12" s="17">
        <v>11</v>
      </c>
      <c r="J12" s="17">
        <f t="shared" ca="1" si="0"/>
        <v>30</v>
      </c>
    </row>
    <row r="13" spans="1:10">
      <c r="B13" s="46" t="e">
        <f>MATCH(350,D3:D8,1)</f>
        <v>#N/A</v>
      </c>
      <c r="H13" s="17">
        <f t="shared" ca="1" si="1"/>
        <v>0.95658504185740145</v>
      </c>
      <c r="I13" s="17">
        <v>12</v>
      </c>
      <c r="J13" s="17">
        <f t="shared" ca="1" si="0"/>
        <v>4</v>
      </c>
    </row>
    <row r="14" spans="1:10">
      <c r="H14" s="17">
        <f t="shared" ca="1" si="1"/>
        <v>0.1221787054479383</v>
      </c>
      <c r="I14" s="17">
        <v>13</v>
      </c>
      <c r="J14" s="17">
        <f t="shared" ca="1" si="0"/>
        <v>91</v>
      </c>
    </row>
    <row r="15" spans="1:10">
      <c r="H15" s="17">
        <f t="shared" ca="1" si="1"/>
        <v>0.12361258855427626</v>
      </c>
      <c r="I15" s="17">
        <v>14</v>
      </c>
      <c r="J15" s="17">
        <f t="shared" ca="1" si="0"/>
        <v>37</v>
      </c>
    </row>
    <row r="16" spans="1:10">
      <c r="H16" s="17">
        <f t="shared" ca="1" si="1"/>
        <v>0.72599305130013003</v>
      </c>
      <c r="I16" s="17">
        <v>15</v>
      </c>
      <c r="J16" s="17">
        <f t="shared" ca="1" si="0"/>
        <v>67</v>
      </c>
    </row>
    <row r="17" spans="8:10">
      <c r="H17" s="17">
        <f t="shared" ca="1" si="1"/>
        <v>0.33852439208150953</v>
      </c>
      <c r="I17" s="17">
        <v>16</v>
      </c>
      <c r="J17" s="17">
        <f t="shared" ca="1" si="0"/>
        <v>95</v>
      </c>
    </row>
    <row r="18" spans="8:10">
      <c r="H18" s="17">
        <f t="shared" ca="1" si="1"/>
        <v>0.73165367659096947</v>
      </c>
      <c r="I18" s="17">
        <v>17</v>
      </c>
      <c r="J18" s="17">
        <f t="shared" ca="1" si="0"/>
        <v>27</v>
      </c>
    </row>
    <row r="19" spans="8:10">
      <c r="H19" s="17">
        <f t="shared" ca="1" si="1"/>
        <v>0.33453042456881321</v>
      </c>
      <c r="I19" s="17">
        <v>18</v>
      </c>
      <c r="J19" s="17">
        <f t="shared" ca="1" si="0"/>
        <v>85</v>
      </c>
    </row>
    <row r="20" spans="8:10">
      <c r="H20" s="17">
        <f t="shared" ca="1" si="1"/>
        <v>3.1844945913555578E-2</v>
      </c>
      <c r="I20" s="17">
        <v>19</v>
      </c>
      <c r="J20" s="17">
        <f t="shared" ca="1" si="0"/>
        <v>73</v>
      </c>
    </row>
    <row r="21" spans="8:10">
      <c r="H21" s="17">
        <f t="shared" ca="1" si="1"/>
        <v>0.3094280484433054</v>
      </c>
      <c r="I21" s="17">
        <v>20</v>
      </c>
      <c r="J21" s="17">
        <f t="shared" ca="1" si="0"/>
        <v>13</v>
      </c>
    </row>
    <row r="22" spans="8:10">
      <c r="H22" s="17">
        <f t="shared" ca="1" si="1"/>
        <v>0.55311263351023221</v>
      </c>
      <c r="I22" s="17">
        <v>21</v>
      </c>
    </row>
    <row r="23" spans="8:10">
      <c r="H23" s="17">
        <f t="shared" ca="1" si="1"/>
        <v>0.64939155565344486</v>
      </c>
      <c r="I23" s="17">
        <v>22</v>
      </c>
    </row>
    <row r="24" spans="8:10">
      <c r="H24" s="17">
        <f t="shared" ca="1" si="1"/>
        <v>0.54743053416284293</v>
      </c>
      <c r="I24" s="17">
        <v>23</v>
      </c>
    </row>
    <row r="25" spans="8:10">
      <c r="H25" s="17">
        <f t="shared" ca="1" si="1"/>
        <v>0.33558017265825235</v>
      </c>
      <c r="I25" s="17">
        <v>24</v>
      </c>
    </row>
    <row r="26" spans="8:10">
      <c r="H26" s="17">
        <f t="shared" ca="1" si="1"/>
        <v>2.3370424524274513E-2</v>
      </c>
      <c r="I26" s="17">
        <v>25</v>
      </c>
    </row>
    <row r="27" spans="8:10">
      <c r="H27" s="17">
        <f t="shared" ca="1" si="1"/>
        <v>0.50065599490411583</v>
      </c>
      <c r="I27" s="17">
        <v>26</v>
      </c>
    </row>
    <row r="28" spans="8:10">
      <c r="H28" s="17">
        <f t="shared" ca="1" si="1"/>
        <v>0.10169850378927514</v>
      </c>
      <c r="I28" s="17">
        <v>27</v>
      </c>
    </row>
    <row r="29" spans="8:10">
      <c r="H29" s="17">
        <f t="shared" ca="1" si="1"/>
        <v>0.96096351379598099</v>
      </c>
      <c r="I29" s="17">
        <v>28</v>
      </c>
    </row>
    <row r="30" spans="8:10">
      <c r="H30" s="17">
        <f t="shared" ca="1" si="1"/>
        <v>0.22408353003038373</v>
      </c>
      <c r="I30" s="17">
        <v>29</v>
      </c>
    </row>
    <row r="31" spans="8:10">
      <c r="H31" s="17">
        <f t="shared" ca="1" si="1"/>
        <v>6.2956771161366332E-2</v>
      </c>
      <c r="I31" s="17">
        <v>30</v>
      </c>
    </row>
    <row r="32" spans="8:10">
      <c r="H32" s="17">
        <f t="shared" ca="1" si="1"/>
        <v>6.284430770296201E-2</v>
      </c>
      <c r="I32" s="17">
        <v>31</v>
      </c>
    </row>
    <row r="33" spans="8:9">
      <c r="H33" s="17">
        <f t="shared" ca="1" si="1"/>
        <v>5.508961304302129E-2</v>
      </c>
      <c r="I33" s="17">
        <v>32</v>
      </c>
    </row>
    <row r="34" spans="8:9">
      <c r="H34" s="17">
        <f t="shared" ca="1" si="1"/>
        <v>0.67428367158975577</v>
      </c>
      <c r="I34" s="17">
        <v>33</v>
      </c>
    </row>
    <row r="35" spans="8:9">
      <c r="H35" s="17">
        <f t="shared" ca="1" si="1"/>
        <v>0.17828104213753748</v>
      </c>
      <c r="I35" s="17">
        <v>34</v>
      </c>
    </row>
    <row r="36" spans="8:9">
      <c r="H36" s="17">
        <f t="shared" ca="1" si="1"/>
        <v>0.88766344217385662</v>
      </c>
      <c r="I36" s="17">
        <v>35</v>
      </c>
    </row>
    <row r="37" spans="8:9">
      <c r="H37" s="17">
        <f t="shared" ca="1" si="1"/>
        <v>0.2165189126480932</v>
      </c>
      <c r="I37" s="17">
        <v>36</v>
      </c>
    </row>
    <row r="38" spans="8:9">
      <c r="H38" s="17">
        <f t="shared" ca="1" si="1"/>
        <v>8.3803157757131097E-2</v>
      </c>
      <c r="I38" s="17">
        <v>37</v>
      </c>
    </row>
    <row r="39" spans="8:9">
      <c r="H39" s="17">
        <f t="shared" ca="1" si="1"/>
        <v>0.37828631757410824</v>
      </c>
      <c r="I39" s="17">
        <v>38</v>
      </c>
    </row>
    <row r="40" spans="8:9">
      <c r="H40" s="17">
        <f t="shared" ca="1" si="1"/>
        <v>0.65921625838401565</v>
      </c>
      <c r="I40" s="17">
        <v>39</v>
      </c>
    </row>
    <row r="41" spans="8:9">
      <c r="H41" s="17">
        <f t="shared" ca="1" si="1"/>
        <v>0.41996868418996081</v>
      </c>
      <c r="I41" s="17">
        <v>40</v>
      </c>
    </row>
    <row r="42" spans="8:9">
      <c r="H42" s="17">
        <f t="shared" ca="1" si="1"/>
        <v>0.944442051637987</v>
      </c>
      <c r="I42" s="17">
        <v>41</v>
      </c>
    </row>
    <row r="43" spans="8:9">
      <c r="H43" s="17">
        <f t="shared" ca="1" si="1"/>
        <v>0.70136953844392147</v>
      </c>
      <c r="I43" s="17">
        <v>42</v>
      </c>
    </row>
    <row r="44" spans="8:9">
      <c r="H44" s="17">
        <f t="shared" ca="1" si="1"/>
        <v>0.57987043971443264</v>
      </c>
      <c r="I44" s="17">
        <v>43</v>
      </c>
    </row>
    <row r="45" spans="8:9">
      <c r="H45" s="17">
        <f t="shared" ca="1" si="1"/>
        <v>6.1720450038183161E-2</v>
      </c>
      <c r="I45" s="17">
        <v>44</v>
      </c>
    </row>
    <row r="46" spans="8:9">
      <c r="H46" s="17">
        <f t="shared" ca="1" si="1"/>
        <v>0.35643599525033487</v>
      </c>
      <c r="I46" s="17">
        <v>45</v>
      </c>
    </row>
    <row r="47" spans="8:9">
      <c r="H47" s="17">
        <f t="shared" ca="1" si="1"/>
        <v>0.92924891274689014</v>
      </c>
      <c r="I47" s="17">
        <v>46</v>
      </c>
    </row>
    <row r="48" spans="8:9">
      <c r="H48" s="17">
        <f t="shared" ca="1" si="1"/>
        <v>0.14739500798672023</v>
      </c>
      <c r="I48" s="17">
        <v>47</v>
      </c>
    </row>
    <row r="49" spans="8:9">
      <c r="H49" s="17">
        <f t="shared" ca="1" si="1"/>
        <v>0.73304630261011894</v>
      </c>
      <c r="I49" s="17">
        <v>48</v>
      </c>
    </row>
    <row r="50" spans="8:9">
      <c r="H50" s="17">
        <f t="shared" ca="1" si="1"/>
        <v>0.36014005085122991</v>
      </c>
      <c r="I50" s="17">
        <v>49</v>
      </c>
    </row>
    <row r="51" spans="8:9">
      <c r="H51" s="17">
        <f t="shared" ca="1" si="1"/>
        <v>0.41567774390770695</v>
      </c>
      <c r="I51" s="17">
        <v>50</v>
      </c>
    </row>
    <row r="52" spans="8:9">
      <c r="H52" s="17">
        <f t="shared" ca="1" si="1"/>
        <v>0.83001938225652716</v>
      </c>
      <c r="I52" s="17">
        <v>51</v>
      </c>
    </row>
    <row r="53" spans="8:9">
      <c r="H53" s="17">
        <f t="shared" ca="1" si="1"/>
        <v>0.37793231236207814</v>
      </c>
      <c r="I53" s="17">
        <v>52</v>
      </c>
    </row>
    <row r="54" spans="8:9">
      <c r="H54" s="17">
        <f t="shared" ca="1" si="1"/>
        <v>0.14831355222902609</v>
      </c>
      <c r="I54" s="17">
        <v>53</v>
      </c>
    </row>
    <row r="55" spans="8:9">
      <c r="H55" s="17">
        <f t="shared" ca="1" si="1"/>
        <v>3.258056635681883E-2</v>
      </c>
      <c r="I55" s="17">
        <v>54</v>
      </c>
    </row>
    <row r="56" spans="8:9">
      <c r="H56" s="17">
        <f t="shared" ca="1" si="1"/>
        <v>0.51829681880368406</v>
      </c>
      <c r="I56" s="17">
        <v>55</v>
      </c>
    </row>
    <row r="57" spans="8:9">
      <c r="H57" s="17">
        <f t="shared" ca="1" si="1"/>
        <v>0.13674818835730362</v>
      </c>
      <c r="I57" s="17">
        <v>56</v>
      </c>
    </row>
    <row r="58" spans="8:9">
      <c r="H58" s="17">
        <f t="shared" ca="1" si="1"/>
        <v>0.84897438824235538</v>
      </c>
      <c r="I58" s="17">
        <v>57</v>
      </c>
    </row>
    <row r="59" spans="8:9">
      <c r="H59" s="17">
        <f t="shared" ca="1" si="1"/>
        <v>0.35548732293371543</v>
      </c>
      <c r="I59" s="17">
        <v>58</v>
      </c>
    </row>
    <row r="60" spans="8:9">
      <c r="H60" s="17">
        <f t="shared" ca="1" si="1"/>
        <v>0.87990517331087059</v>
      </c>
      <c r="I60" s="17">
        <v>59</v>
      </c>
    </row>
    <row r="61" spans="8:9">
      <c r="H61" s="17">
        <f t="shared" ca="1" si="1"/>
        <v>5.7935136049424796E-2</v>
      </c>
      <c r="I61" s="17">
        <v>60</v>
      </c>
    </row>
    <row r="62" spans="8:9">
      <c r="H62" s="17">
        <f t="shared" ca="1" si="1"/>
        <v>0.66070747640883609</v>
      </c>
      <c r="I62" s="17">
        <v>61</v>
      </c>
    </row>
    <row r="63" spans="8:9">
      <c r="H63" s="17">
        <f t="shared" ca="1" si="1"/>
        <v>0.34684464831087913</v>
      </c>
      <c r="I63" s="17">
        <v>62</v>
      </c>
    </row>
    <row r="64" spans="8:9">
      <c r="H64" s="17">
        <f t="shared" ca="1" si="1"/>
        <v>0.74424874170270483</v>
      </c>
      <c r="I64" s="17">
        <v>63</v>
      </c>
    </row>
    <row r="65" spans="8:9">
      <c r="H65" s="17">
        <f t="shared" ca="1" si="1"/>
        <v>0.33216243978661886</v>
      </c>
      <c r="I65" s="17">
        <v>64</v>
      </c>
    </row>
    <row r="66" spans="8:9">
      <c r="H66" s="17">
        <f t="shared" ca="1" si="1"/>
        <v>0.55443086887028359</v>
      </c>
      <c r="I66" s="17">
        <v>65</v>
      </c>
    </row>
    <row r="67" spans="8:9">
      <c r="H67" s="17">
        <f t="shared" ref="H67:H101" ca="1" si="2">RAND()</f>
        <v>0.45418657963186937</v>
      </c>
      <c r="I67" s="17">
        <v>66</v>
      </c>
    </row>
    <row r="68" spans="8:9">
      <c r="H68" s="17">
        <f t="shared" ca="1" si="2"/>
        <v>9.1304266217058117E-2</v>
      </c>
      <c r="I68" s="17">
        <v>67</v>
      </c>
    </row>
    <row r="69" spans="8:9">
      <c r="H69" s="17">
        <f t="shared" ca="1" si="2"/>
        <v>0.9647000924274538</v>
      </c>
      <c r="I69" s="17">
        <v>68</v>
      </c>
    </row>
    <row r="70" spans="8:9">
      <c r="H70" s="17">
        <f t="shared" ca="1" si="2"/>
        <v>0.94950155885129428</v>
      </c>
      <c r="I70" s="17">
        <v>69</v>
      </c>
    </row>
    <row r="71" spans="8:9">
      <c r="H71" s="17">
        <f t="shared" ca="1" si="2"/>
        <v>0.91118933537932967</v>
      </c>
      <c r="I71" s="17">
        <v>70</v>
      </c>
    </row>
    <row r="72" spans="8:9">
      <c r="H72" s="17">
        <f t="shared" ca="1" si="2"/>
        <v>0.54584122814540648</v>
      </c>
      <c r="I72" s="17">
        <v>71</v>
      </c>
    </row>
    <row r="73" spans="8:9">
      <c r="H73" s="17">
        <f t="shared" ca="1" si="2"/>
        <v>0.24978812296764341</v>
      </c>
      <c r="I73" s="17">
        <v>72</v>
      </c>
    </row>
    <row r="74" spans="8:9">
      <c r="H74" s="17">
        <f t="shared" ca="1" si="2"/>
        <v>0.12144840436951676</v>
      </c>
      <c r="I74" s="17">
        <v>73</v>
      </c>
    </row>
    <row r="75" spans="8:9">
      <c r="H75" s="17">
        <f t="shared" ca="1" si="2"/>
        <v>0.66804344749368649</v>
      </c>
      <c r="I75" s="17">
        <v>74</v>
      </c>
    </row>
    <row r="76" spans="8:9">
      <c r="H76" s="17">
        <f t="shared" ca="1" si="2"/>
        <v>0.56672834344118317</v>
      </c>
      <c r="I76" s="17">
        <v>75</v>
      </c>
    </row>
    <row r="77" spans="8:9">
      <c r="H77" s="17">
        <f t="shared" ca="1" si="2"/>
        <v>0.46406741663777296</v>
      </c>
      <c r="I77" s="17">
        <v>76</v>
      </c>
    </row>
    <row r="78" spans="8:9">
      <c r="H78" s="17">
        <f t="shared" ca="1" si="2"/>
        <v>0.22652753285345373</v>
      </c>
      <c r="I78" s="17">
        <v>77</v>
      </c>
    </row>
    <row r="79" spans="8:9">
      <c r="H79" s="17">
        <f t="shared" ca="1" si="2"/>
        <v>0.84881220404982771</v>
      </c>
      <c r="I79" s="17">
        <v>78</v>
      </c>
    </row>
    <row r="80" spans="8:9">
      <c r="H80" s="17">
        <f t="shared" ca="1" si="2"/>
        <v>0.1884370124841297</v>
      </c>
      <c r="I80" s="17">
        <v>79</v>
      </c>
    </row>
    <row r="81" spans="8:9">
      <c r="H81" s="17">
        <f t="shared" ca="1" si="2"/>
        <v>0.78728702978146892</v>
      </c>
      <c r="I81" s="17">
        <v>80</v>
      </c>
    </row>
    <row r="82" spans="8:9">
      <c r="H82" s="17">
        <f t="shared" ca="1" si="2"/>
        <v>0.36685457555149348</v>
      </c>
      <c r="I82" s="17">
        <v>81</v>
      </c>
    </row>
    <row r="83" spans="8:9">
      <c r="H83" s="17">
        <f t="shared" ca="1" si="2"/>
        <v>0.47190739863538245</v>
      </c>
      <c r="I83" s="17">
        <v>82</v>
      </c>
    </row>
    <row r="84" spans="8:9">
      <c r="H84" s="17">
        <f t="shared" ca="1" si="2"/>
        <v>0.56776220440707514</v>
      </c>
      <c r="I84" s="17">
        <v>83</v>
      </c>
    </row>
    <row r="85" spans="8:9">
      <c r="H85" s="17">
        <f t="shared" ca="1" si="2"/>
        <v>0.29582844156546195</v>
      </c>
      <c r="I85" s="17">
        <v>84</v>
      </c>
    </row>
    <row r="86" spans="8:9">
      <c r="H86" s="17">
        <f t="shared" ca="1" si="2"/>
        <v>0.11070732860685428</v>
      </c>
      <c r="I86" s="17">
        <v>85</v>
      </c>
    </row>
    <row r="87" spans="8:9">
      <c r="H87" s="17">
        <f t="shared" ca="1" si="2"/>
        <v>0.58491388875928296</v>
      </c>
      <c r="I87" s="17">
        <v>86</v>
      </c>
    </row>
    <row r="88" spans="8:9">
      <c r="H88" s="17">
        <f t="shared" ca="1" si="2"/>
        <v>0.39622193102610115</v>
      </c>
      <c r="I88" s="17">
        <v>87</v>
      </c>
    </row>
    <row r="89" spans="8:9">
      <c r="H89" s="17">
        <f t="shared" ca="1" si="2"/>
        <v>0.27623709403890517</v>
      </c>
      <c r="I89" s="17">
        <v>88</v>
      </c>
    </row>
    <row r="90" spans="8:9">
      <c r="H90" s="17">
        <f t="shared" ca="1" si="2"/>
        <v>0.15807854234343721</v>
      </c>
      <c r="I90" s="17">
        <v>89</v>
      </c>
    </row>
    <row r="91" spans="8:9">
      <c r="H91" s="17">
        <f t="shared" ca="1" si="2"/>
        <v>4.9254869654823286E-2</v>
      </c>
      <c r="I91" s="17">
        <v>90</v>
      </c>
    </row>
    <row r="92" spans="8:9">
      <c r="H92" s="17">
        <f t="shared" ca="1" si="2"/>
        <v>7.5788974600293213E-2</v>
      </c>
      <c r="I92" s="17">
        <v>91</v>
      </c>
    </row>
    <row r="93" spans="8:9">
      <c r="H93" s="17">
        <f t="shared" ca="1" si="2"/>
        <v>0.46345709229707888</v>
      </c>
      <c r="I93" s="17">
        <v>92</v>
      </c>
    </row>
    <row r="94" spans="8:9">
      <c r="H94" s="17">
        <f t="shared" ca="1" si="2"/>
        <v>0.87531869616352875</v>
      </c>
      <c r="I94" s="17">
        <v>93</v>
      </c>
    </row>
    <row r="95" spans="8:9">
      <c r="H95" s="17">
        <f t="shared" ca="1" si="2"/>
        <v>0.6964848557164125</v>
      </c>
      <c r="I95" s="17">
        <v>94</v>
      </c>
    </row>
    <row r="96" spans="8:9">
      <c r="H96" s="17">
        <f t="shared" ca="1" si="2"/>
        <v>9.9111538267717014E-2</v>
      </c>
      <c r="I96" s="17">
        <v>95</v>
      </c>
    </row>
    <row r="97" spans="8:9">
      <c r="H97" s="17">
        <f t="shared" ca="1" si="2"/>
        <v>0.58610724446946161</v>
      </c>
      <c r="I97" s="17">
        <v>96</v>
      </c>
    </row>
    <row r="98" spans="8:9">
      <c r="H98" s="17">
        <f t="shared" ca="1" si="2"/>
        <v>0.42316910855832079</v>
      </c>
      <c r="I98" s="17">
        <v>97</v>
      </c>
    </row>
    <row r="99" spans="8:9">
      <c r="H99" s="17">
        <f t="shared" ca="1" si="2"/>
        <v>3.1077757625964653E-3</v>
      </c>
      <c r="I99" s="17">
        <v>98</v>
      </c>
    </row>
    <row r="100" spans="8:9">
      <c r="H100" s="17">
        <f t="shared" ca="1" si="2"/>
        <v>0.33074374940165008</v>
      </c>
      <c r="I100" s="17">
        <v>99</v>
      </c>
    </row>
    <row r="101" spans="8:9">
      <c r="H101" s="17">
        <f t="shared" ca="1" si="2"/>
        <v>0.49000703647930066</v>
      </c>
      <c r="I101" s="17">
        <v>100</v>
      </c>
    </row>
  </sheetData>
  <sheetCalcPr fullCalcOnLoad="1"/>
  <mergeCells count="1">
    <mergeCell ref="A1:D1"/>
  </mergeCells>
  <phoneticPr fontId="2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15" sqref="G15"/>
    </sheetView>
  </sheetViews>
  <sheetFormatPr defaultColWidth="8.875" defaultRowHeight="16.5"/>
  <cols>
    <col min="1" max="1" width="10.5" style="134" bestFit="1" customWidth="1"/>
    <col min="2" max="2" width="8.25" style="134" bestFit="1" customWidth="1"/>
    <col min="3" max="3" width="7.875" style="134" bestFit="1" customWidth="1"/>
    <col min="4" max="6" width="8.875" style="134"/>
    <col min="7" max="8" width="10.5" style="134" bestFit="1" customWidth="1"/>
    <col min="9" max="10" width="6" style="134" bestFit="1" customWidth="1"/>
    <col min="11" max="16384" width="8.875" style="134"/>
  </cols>
  <sheetData>
    <row r="1" spans="1:10">
      <c r="A1" s="131" t="s">
        <v>219</v>
      </c>
      <c r="B1" s="131" t="s">
        <v>220</v>
      </c>
      <c r="C1" s="131" t="s">
        <v>221</v>
      </c>
      <c r="D1" s="132" t="s">
        <v>216</v>
      </c>
      <c r="E1" s="132" t="s">
        <v>217</v>
      </c>
      <c r="F1" s="132"/>
      <c r="G1" s="133" t="s">
        <v>222</v>
      </c>
      <c r="H1" s="131" t="s">
        <v>223</v>
      </c>
      <c r="I1" s="131" t="s">
        <v>224</v>
      </c>
      <c r="J1" s="131" t="s">
        <v>225</v>
      </c>
    </row>
    <row r="2" spans="1:10">
      <c r="A2" s="131" t="s">
        <v>223</v>
      </c>
      <c r="B2" s="135" t="s">
        <v>226</v>
      </c>
      <c r="C2" s="136">
        <v>50</v>
      </c>
      <c r="D2" s="137">
        <f>VLOOKUP(B2,$G$2:$J$6,MATCH(A2,$H$1:$J$1)+1,0)</f>
        <v>32</v>
      </c>
      <c r="E2" s="136">
        <f t="shared" ref="E2:E9" si="0">C2-D2</f>
        <v>18</v>
      </c>
      <c r="G2" s="131" t="s">
        <v>227</v>
      </c>
      <c r="H2" s="136">
        <v>489</v>
      </c>
      <c r="I2" s="136">
        <v>419</v>
      </c>
      <c r="J2" s="136">
        <v>68</v>
      </c>
    </row>
    <row r="3" spans="1:10">
      <c r="A3" s="131" t="s">
        <v>225</v>
      </c>
      <c r="B3" s="135" t="s">
        <v>227</v>
      </c>
      <c r="C3" s="136">
        <v>600</v>
      </c>
      <c r="D3" s="137">
        <f t="shared" ref="D3:D9" si="1">VLOOKUP(B3,$G$2:$J$6,MATCH(A3,$H$1:$J$1)+1,0)</f>
        <v>68</v>
      </c>
      <c r="E3" s="136">
        <f t="shared" si="0"/>
        <v>532</v>
      </c>
      <c r="G3" s="131" t="s">
        <v>228</v>
      </c>
      <c r="H3" s="136">
        <v>988</v>
      </c>
      <c r="I3" s="136">
        <v>138</v>
      </c>
      <c r="J3" s="136">
        <v>238</v>
      </c>
    </row>
    <row r="4" spans="1:10">
      <c r="A4" s="131" t="s">
        <v>224</v>
      </c>
      <c r="B4" s="135" t="s">
        <v>228</v>
      </c>
      <c r="C4" s="136">
        <v>1200</v>
      </c>
      <c r="D4" s="137">
        <f t="shared" si="1"/>
        <v>138</v>
      </c>
      <c r="E4" s="136">
        <f t="shared" si="0"/>
        <v>1062</v>
      </c>
      <c r="G4" s="131" t="s">
        <v>229</v>
      </c>
      <c r="H4" s="136">
        <v>143</v>
      </c>
      <c r="I4" s="136">
        <v>197</v>
      </c>
      <c r="J4" s="136">
        <v>71</v>
      </c>
    </row>
    <row r="5" spans="1:10">
      <c r="A5" s="131" t="s">
        <v>225</v>
      </c>
      <c r="B5" s="135" t="s">
        <v>229</v>
      </c>
      <c r="C5" s="136">
        <v>275</v>
      </c>
      <c r="D5" s="137">
        <f t="shared" si="1"/>
        <v>71</v>
      </c>
      <c r="E5" s="136">
        <f t="shared" si="0"/>
        <v>204</v>
      </c>
      <c r="G5" s="131" t="s">
        <v>226</v>
      </c>
      <c r="H5" s="136">
        <v>32</v>
      </c>
      <c r="I5" s="136">
        <v>35</v>
      </c>
      <c r="J5" s="136">
        <v>20</v>
      </c>
    </row>
    <row r="6" spans="1:10">
      <c r="A6" s="131" t="s">
        <v>224</v>
      </c>
      <c r="B6" s="135" t="s">
        <v>226</v>
      </c>
      <c r="C6" s="136">
        <v>70</v>
      </c>
      <c r="D6" s="137">
        <f t="shared" si="1"/>
        <v>35</v>
      </c>
      <c r="E6" s="136">
        <f t="shared" si="0"/>
        <v>35</v>
      </c>
      <c r="G6" s="131" t="s">
        <v>230</v>
      </c>
      <c r="H6" s="136">
        <v>170</v>
      </c>
      <c r="I6" s="136">
        <v>129</v>
      </c>
      <c r="J6" s="136">
        <v>69</v>
      </c>
    </row>
    <row r="7" spans="1:10">
      <c r="A7" s="131" t="s">
        <v>224</v>
      </c>
      <c r="B7" s="135" t="s">
        <v>230</v>
      </c>
      <c r="C7" s="136">
        <v>290</v>
      </c>
      <c r="D7" s="137">
        <f t="shared" si="1"/>
        <v>129</v>
      </c>
      <c r="E7" s="136">
        <f t="shared" si="0"/>
        <v>161</v>
      </c>
    </row>
    <row r="8" spans="1:10">
      <c r="A8" s="131" t="s">
        <v>223</v>
      </c>
      <c r="B8" s="135" t="s">
        <v>227</v>
      </c>
      <c r="C8" s="136">
        <v>500</v>
      </c>
      <c r="D8" s="137">
        <f t="shared" si="1"/>
        <v>489</v>
      </c>
      <c r="E8" s="136">
        <f t="shared" si="0"/>
        <v>11</v>
      </c>
    </row>
    <row r="9" spans="1:10">
      <c r="A9" s="131" t="s">
        <v>224</v>
      </c>
      <c r="B9" s="135" t="s">
        <v>218</v>
      </c>
      <c r="C9" s="136">
        <v>1200</v>
      </c>
      <c r="D9" s="137">
        <f t="shared" si="1"/>
        <v>138</v>
      </c>
      <c r="E9" s="136">
        <f t="shared" si="0"/>
        <v>1062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showGridLines="0" workbookViewId="0">
      <selection activeCell="F8" sqref="F8"/>
    </sheetView>
  </sheetViews>
  <sheetFormatPr defaultRowHeight="16.5"/>
  <cols>
    <col min="1" max="1" width="3.25" customWidth="1"/>
    <col min="6" max="6" width="5.875" customWidth="1"/>
    <col min="7" max="7" width="9.5" bestFit="1" customWidth="1"/>
  </cols>
  <sheetData>
    <row r="1" spans="2:9" ht="14.25" customHeight="1"/>
    <row r="2" spans="2:9">
      <c r="B2" s="8" t="s">
        <v>93</v>
      </c>
      <c r="C2" s="8" t="s">
        <v>21</v>
      </c>
      <c r="D2" s="8" t="s">
        <v>22</v>
      </c>
      <c r="E2" s="8" t="s">
        <v>92</v>
      </c>
      <c r="G2" s="41" t="str">
        <f t="array" ref="G2:I5">TRANSPOSE(B2:E4)</f>
        <v>姓名</v>
      </c>
      <c r="H2" s="41" t="str">
        <v>吳宜真</v>
      </c>
      <c r="I2" s="41" t="str">
        <v>陳偉忠</v>
      </c>
    </row>
    <row r="3" spans="2:9">
      <c r="B3" s="9" t="s">
        <v>12</v>
      </c>
      <c r="C3" s="10">
        <v>81</v>
      </c>
      <c r="D3" s="10">
        <v>68</v>
      </c>
      <c r="E3" s="10">
        <v>74.5</v>
      </c>
      <c r="G3" s="41" t="str">
        <v>國文</v>
      </c>
      <c r="H3" s="41">
        <v>81</v>
      </c>
      <c r="I3" s="41">
        <v>69</v>
      </c>
    </row>
    <row r="4" spans="2:9">
      <c r="B4" s="9" t="s">
        <v>102</v>
      </c>
      <c r="C4" s="10">
        <v>69</v>
      </c>
      <c r="D4" s="10">
        <v>95</v>
      </c>
      <c r="E4" s="10">
        <v>82</v>
      </c>
      <c r="G4" s="41" t="str">
        <v>英文</v>
      </c>
      <c r="H4" s="41">
        <v>68</v>
      </c>
      <c r="I4" s="41">
        <v>95</v>
      </c>
    </row>
    <row r="5" spans="2:9">
      <c r="G5" s="41" t="str">
        <v>平均</v>
      </c>
      <c r="H5" s="49">
        <v>74.5</v>
      </c>
      <c r="I5" s="41">
        <v>82</v>
      </c>
    </row>
  </sheetData>
  <phoneticPr fontId="2" type="noConversion"/>
  <conditionalFormatting sqref="C3:E4">
    <cfRule type="cellIs" dxfId="1" priority="1" stopIfTrue="1" operator="lessThan">
      <formula>60</formula>
    </cfRule>
    <cfRule type="cellIs" dxfId="0" priority="2" stopIfTrue="1" operator="greaterThanOrEqual">
      <formula>80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已命名的範圍</vt:lpstr>
      </vt:variant>
      <vt:variant>
        <vt:i4>18</vt:i4>
      </vt:variant>
    </vt:vector>
  </HeadingPairs>
  <TitlesOfParts>
    <vt:vector size="32" baseType="lpstr">
      <vt:lpstr>Address</vt:lpstr>
      <vt:lpstr>Columns</vt:lpstr>
      <vt:lpstr>Offset</vt:lpstr>
      <vt:lpstr>綜合練習</vt:lpstr>
      <vt:lpstr>Choose</vt:lpstr>
      <vt:lpstr>查詢概念</vt:lpstr>
      <vt:lpstr>超連結的應用</vt:lpstr>
      <vt:lpstr>Hlookup</vt:lpstr>
      <vt:lpstr>Index</vt:lpstr>
      <vt:lpstr>index2</vt:lpstr>
      <vt:lpstr>LOOKUP</vt:lpstr>
      <vt:lpstr>Match</vt:lpstr>
      <vt:lpstr>Vlookup2</vt:lpstr>
      <vt:lpstr>Transpose</vt:lpstr>
      <vt:lpstr>DATA</vt:lpstr>
      <vt:lpstr>RAND</vt:lpstr>
      <vt:lpstr>化學</vt:lpstr>
      <vt:lpstr>平均</vt:lpstr>
      <vt:lpstr>成績範圍</vt:lpstr>
      <vt:lpstr>吳宜真</vt:lpstr>
      <vt:lpstr>李榮宗</vt:lpstr>
      <vt:lpstr>綜合練習!姓名</vt:lpstr>
      <vt:lpstr>姓名</vt:lpstr>
      <vt:lpstr>物理</vt:lpstr>
      <vt:lpstr>施大偉</vt:lpstr>
      <vt:lpstr>英文</vt:lpstr>
      <vt:lpstr>國文</vt:lpstr>
      <vt:lpstr>張淑滿</vt:lpstr>
      <vt:lpstr>莊慧玲</vt:lpstr>
      <vt:lpstr>陳友敬</vt:lpstr>
      <vt:lpstr>陳儀庭</vt:lpstr>
      <vt:lpstr>電腦</vt:lpstr>
    </vt:vector>
  </TitlesOfParts>
  <Company>cgu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Windows 使用者</cp:lastModifiedBy>
  <dcterms:created xsi:type="dcterms:W3CDTF">2005-07-14T06:04:01Z</dcterms:created>
  <dcterms:modified xsi:type="dcterms:W3CDTF">2013-09-16T05:57:42Z</dcterms:modified>
</cp:coreProperties>
</file>