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課後習題\習題參考解答\"/>
    </mc:Choice>
  </mc:AlternateContent>
  <bookViews>
    <workbookView xWindow="0" yWindow="15" windowWidth="9495" windowHeight="5220"/>
  </bookViews>
  <sheets>
    <sheet name="銷售業績" sheetId="10" r:id="rId1"/>
    <sheet name="模式1" sheetId="17" r:id="rId2"/>
    <sheet name="模式2" sheetId="18" r:id="rId3"/>
    <sheet name="模式3" sheetId="19" r:id="rId4"/>
    <sheet name="折舊" sheetId="13" r:id="rId5"/>
    <sheet name="財務函數" sheetId="20" r:id="rId6"/>
    <sheet name="日期函數" sheetId="16" r:id="rId7"/>
  </sheets>
  <definedNames>
    <definedName name="一月">銷售業績!$D$3:$D$13</definedName>
    <definedName name="二月">銷售業績!$E$3:$E$13</definedName>
    <definedName name="平均">銷售業績!$F$3:$F$13</definedName>
    <definedName name="姓名">銷售業績!$B$3:$B$13</definedName>
    <definedName name="性別">銷售業績!$C$3:$C$13</definedName>
    <definedName name="部門">銷售業績!$A$3:$A$13</definedName>
    <definedName name="總和">銷售業績!$G$3:$G$13</definedName>
  </definedNames>
  <calcPr calcId="152511"/>
</workbook>
</file>

<file path=xl/calcChain.xml><?xml version="1.0" encoding="utf-8"?>
<calcChain xmlns="http://schemas.openxmlformats.org/spreadsheetml/2006/main">
  <c r="B2" i="17" l="1"/>
  <c r="M3" i="17"/>
  <c r="C2" i="17"/>
  <c r="D2" i="17"/>
  <c r="E2" i="17"/>
  <c r="B3" i="17"/>
  <c r="C3" i="17"/>
  <c r="D3" i="17"/>
  <c r="E3" i="17"/>
  <c r="B4" i="17"/>
  <c r="C4" i="17"/>
  <c r="D4" i="17"/>
  <c r="E4" i="17"/>
  <c r="B5" i="17"/>
  <c r="C5" i="17"/>
  <c r="D5" i="17"/>
  <c r="E5" i="17"/>
  <c r="B6" i="17"/>
  <c r="C6" i="17"/>
  <c r="D6" i="17"/>
  <c r="E6" i="17"/>
  <c r="B7" i="17"/>
  <c r="C7" i="17"/>
  <c r="D7" i="17"/>
  <c r="E7" i="17"/>
  <c r="C10" i="17" a="1"/>
  <c r="C10" i="17"/>
  <c r="C11" i="17"/>
  <c r="C12" i="17"/>
  <c r="C13" i="17"/>
  <c r="B7" i="20"/>
  <c r="B8" i="20"/>
  <c r="B9" i="20"/>
  <c r="B10" i="20"/>
  <c r="B11" i="20"/>
  <c r="B2" i="20"/>
  <c r="B3" i="20"/>
  <c r="B4" i="20"/>
  <c r="B5" i="20"/>
  <c r="B6" i="20"/>
  <c r="C6" i="19"/>
  <c r="F6" i="19"/>
  <c r="H6" i="19"/>
  <c r="C7" i="19"/>
  <c r="F7" i="19"/>
  <c r="H7" i="19"/>
  <c r="C8" i="19"/>
  <c r="F8" i="19"/>
  <c r="H8" i="19"/>
  <c r="C9" i="19"/>
  <c r="F9" i="19"/>
  <c r="H9" i="19"/>
  <c r="C10" i="19"/>
  <c r="F10" i="19"/>
  <c r="H10" i="19"/>
  <c r="C11" i="19"/>
  <c r="F11" i="19"/>
  <c r="H11" i="19"/>
  <c r="C12" i="19"/>
  <c r="F12" i="19"/>
  <c r="H12" i="19"/>
  <c r="C13" i="19"/>
  <c r="F13" i="19"/>
  <c r="H13" i="19"/>
  <c r="C14" i="19"/>
  <c r="F14" i="19"/>
  <c r="H14" i="19"/>
  <c r="C15" i="19"/>
  <c r="F15" i="19"/>
  <c r="H15" i="19"/>
  <c r="C16" i="19"/>
  <c r="F16" i="19"/>
  <c r="H16" i="19"/>
  <c r="C17" i="19"/>
  <c r="F17" i="19"/>
  <c r="H17" i="19"/>
  <c r="C18" i="19"/>
  <c r="F18" i="19"/>
  <c r="H18" i="19"/>
  <c r="C19" i="19"/>
  <c r="F19" i="19"/>
  <c r="H19" i="19"/>
  <c r="C20" i="19"/>
  <c r="F20" i="19"/>
  <c r="H20" i="19"/>
  <c r="C21" i="19"/>
  <c r="F21" i="19"/>
  <c r="H21" i="19"/>
  <c r="C22" i="19"/>
  <c r="F22" i="19"/>
  <c r="H22" i="19"/>
  <c r="C23" i="19"/>
  <c r="F23" i="19"/>
  <c r="H23" i="19"/>
  <c r="C24" i="19"/>
  <c r="F24" i="19"/>
  <c r="H24" i="19"/>
  <c r="C25" i="19"/>
  <c r="F25" i="19"/>
  <c r="H25" i="19"/>
  <c r="C26" i="19"/>
  <c r="F26" i="19"/>
  <c r="H26" i="19"/>
  <c r="C27" i="19"/>
  <c r="F27" i="19"/>
  <c r="H27" i="19"/>
  <c r="C28" i="19"/>
  <c r="F28" i="19"/>
  <c r="H28" i="19"/>
  <c r="C29" i="19"/>
  <c r="F29" i="19"/>
  <c r="H29" i="19"/>
  <c r="C30" i="19"/>
  <c r="F30" i="19"/>
  <c r="H30" i="19"/>
  <c r="C31" i="19"/>
  <c r="F31" i="19"/>
  <c r="H31" i="19"/>
  <c r="C32" i="19"/>
  <c r="F32" i="19"/>
  <c r="H32" i="19"/>
  <c r="C33" i="19"/>
  <c r="F33" i="19"/>
  <c r="H33" i="19"/>
  <c r="C34" i="19"/>
  <c r="F34" i="19"/>
  <c r="H34" i="19"/>
  <c r="C5" i="19"/>
  <c r="F5" i="19"/>
  <c r="H5" i="19"/>
  <c r="A6" i="19"/>
  <c r="B2" i="19"/>
  <c r="D6" i="19"/>
  <c r="G6" i="19"/>
  <c r="A7" i="19"/>
  <c r="D7" i="19"/>
  <c r="G7" i="19"/>
  <c r="A8" i="19"/>
  <c r="D8" i="19"/>
  <c r="G8" i="19"/>
  <c r="A9" i="19"/>
  <c r="D9" i="19"/>
  <c r="G9" i="19"/>
  <c r="A10" i="19"/>
  <c r="D10" i="19"/>
  <c r="G10" i="19"/>
  <c r="A11" i="19"/>
  <c r="D11" i="19"/>
  <c r="G11" i="19"/>
  <c r="A12" i="19"/>
  <c r="D12" i="19"/>
  <c r="G12" i="19"/>
  <c r="A13" i="19"/>
  <c r="D13" i="19"/>
  <c r="G13" i="19"/>
  <c r="A14" i="19"/>
  <c r="D14" i="19"/>
  <c r="G14" i="19"/>
  <c r="A15" i="19"/>
  <c r="D15" i="19"/>
  <c r="G15" i="19"/>
  <c r="A16" i="19"/>
  <c r="D16" i="19"/>
  <c r="G16" i="19"/>
  <c r="A17" i="19"/>
  <c r="D17" i="19"/>
  <c r="G17" i="19"/>
  <c r="A18" i="19"/>
  <c r="D18" i="19"/>
  <c r="G18" i="19"/>
  <c r="A19" i="19"/>
  <c r="D19" i="19"/>
  <c r="G19" i="19"/>
  <c r="A20" i="19"/>
  <c r="D20" i="19"/>
  <c r="G20" i="19"/>
  <c r="A21" i="19"/>
  <c r="D21" i="19"/>
  <c r="G21" i="19"/>
  <c r="A22" i="19"/>
  <c r="D22" i="19"/>
  <c r="G22" i="19"/>
  <c r="A23" i="19"/>
  <c r="D23" i="19"/>
  <c r="G23" i="19"/>
  <c r="A24" i="19"/>
  <c r="D24" i="19"/>
  <c r="G24" i="19"/>
  <c r="A25" i="19"/>
  <c r="D25" i="19"/>
  <c r="G25" i="19"/>
  <c r="A26" i="19"/>
  <c r="D26" i="19"/>
  <c r="G26" i="19"/>
  <c r="A27" i="19"/>
  <c r="D27" i="19"/>
  <c r="G27" i="19"/>
  <c r="A28" i="19"/>
  <c r="D28" i="19"/>
  <c r="G28" i="19"/>
  <c r="A29" i="19"/>
  <c r="D29" i="19"/>
  <c r="G29" i="19"/>
  <c r="A30" i="19"/>
  <c r="D30" i="19"/>
  <c r="G30" i="19"/>
  <c r="A31" i="19"/>
  <c r="D31" i="19"/>
  <c r="G31" i="19"/>
  <c r="A32" i="19"/>
  <c r="D32" i="19"/>
  <c r="G32" i="19"/>
  <c r="A33" i="19"/>
  <c r="D33" i="19"/>
  <c r="G33" i="19"/>
  <c r="A34" i="19"/>
  <c r="D34" i="19"/>
  <c r="G34" i="19"/>
  <c r="A5" i="19"/>
  <c r="D5" i="19"/>
  <c r="G5" i="19"/>
  <c r="E5" i="19"/>
  <c r="E6" i="19"/>
  <c r="E7" i="19"/>
  <c r="E8" i="19"/>
  <c r="E9" i="19"/>
  <c r="E10" i="19"/>
  <c r="E11" i="19"/>
  <c r="E12" i="19"/>
  <c r="E13" i="19"/>
  <c r="L13" i="19" a="1"/>
  <c r="L13" i="19"/>
  <c r="L14" i="19"/>
  <c r="L15" i="19"/>
  <c r="L16" i="19"/>
  <c r="L17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C6" i="16"/>
  <c r="B2" i="16"/>
  <c r="D6" i="16"/>
  <c r="C7" i="16"/>
  <c r="D7" i="16"/>
  <c r="C8" i="16"/>
  <c r="D8" i="16"/>
  <c r="C9" i="16"/>
  <c r="D9" i="16"/>
  <c r="C10" i="16"/>
  <c r="D10" i="16"/>
  <c r="C11" i="16"/>
  <c r="D11" i="16"/>
  <c r="C12" i="16"/>
  <c r="D12" i="16"/>
  <c r="C13" i="16"/>
  <c r="D13" i="16"/>
  <c r="C14" i="16"/>
  <c r="D14" i="16"/>
  <c r="C15" i="16"/>
  <c r="D15" i="16"/>
  <c r="C16" i="16"/>
  <c r="D16" i="16"/>
  <c r="C17" i="16"/>
  <c r="D17" i="16"/>
  <c r="C18" i="16"/>
  <c r="D18" i="16"/>
  <c r="C19" i="16"/>
  <c r="D19" i="16"/>
  <c r="C20" i="16"/>
  <c r="D20" i="16"/>
  <c r="C21" i="16"/>
  <c r="D21" i="16"/>
  <c r="C22" i="16"/>
  <c r="D22" i="16"/>
  <c r="C5" i="16"/>
  <c r="D5" i="16"/>
  <c r="A2" i="18"/>
  <c r="B5" i="18"/>
  <c r="C5" i="18"/>
  <c r="D5" i="18"/>
  <c r="E5" i="18"/>
  <c r="F5" i="18"/>
  <c r="G5" i="18"/>
  <c r="H5" i="18"/>
  <c r="B6" i="18"/>
  <c r="C6" i="18"/>
  <c r="D6" i="18"/>
  <c r="B7" i="18"/>
  <c r="C7" i="18"/>
  <c r="D7" i="18"/>
  <c r="B8" i="18"/>
  <c r="C8" i="18"/>
  <c r="D8" i="18"/>
  <c r="B9" i="18"/>
  <c r="C9" i="18"/>
  <c r="D9" i="18"/>
  <c r="B10" i="18"/>
  <c r="C10" i="18"/>
  <c r="D10" i="18"/>
  <c r="B11" i="18"/>
  <c r="C11" i="18"/>
  <c r="D11" i="18"/>
  <c r="B14" i="18"/>
  <c r="I5" i="18"/>
  <c r="J5" i="18"/>
  <c r="K5" i="18"/>
  <c r="E6" i="18"/>
  <c r="F6" i="18"/>
  <c r="E7" i="18"/>
  <c r="F7" i="18"/>
  <c r="E8" i="18"/>
  <c r="F8" i="18"/>
  <c r="E9" i="18"/>
  <c r="F9" i="18"/>
  <c r="E10" i="18"/>
  <c r="F10" i="18"/>
  <c r="E11" i="18"/>
  <c r="F11" i="18"/>
  <c r="L5" i="18"/>
  <c r="M5" i="18"/>
  <c r="N5" i="18"/>
  <c r="O5" i="18"/>
  <c r="G6" i="18"/>
  <c r="H6" i="18"/>
  <c r="I6" i="18"/>
  <c r="J6" i="18"/>
  <c r="K6" i="18"/>
  <c r="L6" i="18"/>
  <c r="M6" i="18"/>
  <c r="N6" i="18"/>
  <c r="O6" i="18"/>
  <c r="G7" i="18"/>
  <c r="H7" i="18"/>
  <c r="I7" i="18"/>
  <c r="J7" i="18"/>
  <c r="K7" i="18"/>
  <c r="L7" i="18"/>
  <c r="M7" i="18"/>
  <c r="N7" i="18"/>
  <c r="O7" i="18"/>
  <c r="G8" i="18"/>
  <c r="H8" i="18"/>
  <c r="I8" i="18"/>
  <c r="J8" i="18"/>
  <c r="K8" i="18"/>
  <c r="L8" i="18"/>
  <c r="M8" i="18"/>
  <c r="N8" i="18"/>
  <c r="O8" i="18"/>
  <c r="G9" i="18"/>
  <c r="H9" i="18"/>
  <c r="I9" i="18"/>
  <c r="J9" i="18"/>
  <c r="K9" i="18"/>
  <c r="L9" i="18"/>
  <c r="M9" i="18"/>
  <c r="N9" i="18"/>
  <c r="O9" i="18"/>
  <c r="G10" i="18"/>
  <c r="H10" i="18"/>
  <c r="I10" i="18"/>
  <c r="J10" i="18"/>
  <c r="K10" i="18"/>
  <c r="L10" i="18"/>
  <c r="M10" i="18"/>
  <c r="N10" i="18"/>
  <c r="O10" i="18"/>
  <c r="G11" i="18"/>
  <c r="H11" i="18"/>
  <c r="I11" i="18"/>
  <c r="J11" i="18"/>
  <c r="K11" i="18"/>
  <c r="L11" i="18"/>
  <c r="M11" i="18"/>
  <c r="N11" i="18"/>
  <c r="O11" i="18"/>
  <c r="B12" i="18"/>
  <c r="C12" i="18"/>
  <c r="D12" i="18"/>
  <c r="E12" i="18"/>
  <c r="B13" i="18"/>
  <c r="C13" i="18"/>
  <c r="D13" i="18"/>
  <c r="E13" i="18"/>
  <c r="L13" i="18" a="1"/>
  <c r="L13" i="18"/>
  <c r="L14" i="18"/>
  <c r="L15" i="18"/>
  <c r="L16" i="18"/>
  <c r="A21" i="10"/>
  <c r="A20" i="10"/>
  <c r="A19" i="10"/>
  <c r="F2" i="17"/>
  <c r="G2" i="17"/>
  <c r="H2" i="17"/>
  <c r="F3" i="17"/>
  <c r="G3" i="17"/>
  <c r="H3" i="17"/>
  <c r="F4" i="17"/>
  <c r="G4" i="17"/>
  <c r="H4" i="17"/>
  <c r="F5" i="17"/>
  <c r="G5" i="17"/>
  <c r="H5" i="17"/>
  <c r="F6" i="17"/>
  <c r="G6" i="17"/>
  <c r="H6" i="17"/>
  <c r="F7" i="17"/>
  <c r="G7" i="17"/>
  <c r="H7" i="17"/>
  <c r="F8" i="13"/>
  <c r="E8" i="13"/>
  <c r="D8" i="13"/>
  <c r="C8" i="13"/>
  <c r="B8" i="13"/>
  <c r="F7" i="13"/>
  <c r="E7" i="13"/>
  <c r="D7" i="13"/>
  <c r="C7" i="13"/>
  <c r="B7" i="13"/>
  <c r="F6" i="13"/>
  <c r="E6" i="13"/>
  <c r="D6" i="13"/>
  <c r="C6" i="13"/>
  <c r="B6" i="13"/>
  <c r="C5" i="13"/>
  <c r="D5" i="13"/>
  <c r="E5" i="13"/>
  <c r="F5" i="13"/>
  <c r="B5" i="13"/>
  <c r="A18" i="10"/>
  <c r="A17" i="10"/>
  <c r="G13" i="10"/>
  <c r="G12" i="10"/>
  <c r="G11" i="10"/>
  <c r="G10" i="10"/>
  <c r="G9" i="10"/>
  <c r="G8" i="10"/>
  <c r="G7" i="10"/>
  <c r="G6" i="10"/>
  <c r="G5" i="10"/>
  <c r="G4" i="10"/>
  <c r="G3" i="10"/>
  <c r="A16" i="10"/>
  <c r="A15" i="10"/>
  <c r="F3" i="10"/>
  <c r="F4" i="10"/>
  <c r="F5" i="10"/>
  <c r="F6" i="10"/>
  <c r="F7" i="10"/>
  <c r="F8" i="10"/>
  <c r="F9" i="10"/>
  <c r="F10" i="10"/>
  <c r="F11" i="10"/>
  <c r="F12" i="10"/>
  <c r="F13" i="10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5" i="16"/>
</calcChain>
</file>

<file path=xl/sharedStrings.xml><?xml version="1.0" encoding="utf-8"?>
<sst xmlns="http://schemas.openxmlformats.org/spreadsheetml/2006/main" count="293" uniqueCount="234">
  <si>
    <t>陳玉玲</t>
  </si>
  <si>
    <t>萬衛華</t>
  </si>
  <si>
    <t>陳國清</t>
  </si>
  <si>
    <t>黃士哲</t>
  </si>
  <si>
    <t>謝月嫥</t>
  </si>
  <si>
    <t>林建宏</t>
  </si>
  <si>
    <t>王秀惠</t>
  </si>
  <si>
    <t>姓名</t>
  </si>
  <si>
    <t>陳佩汝</t>
  </si>
  <si>
    <t>陳建志</t>
  </si>
  <si>
    <t>黃冠儒</t>
  </si>
  <si>
    <t>林雅燕</t>
  </si>
  <si>
    <t>熊漢琳</t>
  </si>
  <si>
    <t>林毓修</t>
  </si>
  <si>
    <t>生日</t>
  </si>
  <si>
    <t>A0004</t>
  </si>
  <si>
    <t>A0005</t>
  </si>
  <si>
    <t>A0006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</si>
  <si>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</si>
  <si>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</si>
  <si>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</si>
  <si>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</si>
  <si>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</si>
  <si>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</si>
  <si>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</si>
  <si>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</si>
  <si>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</si>
  <si>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A0018</t>
  </si>
  <si>
    <t>A0019</t>
  </si>
  <si>
    <t>A0020</t>
  </si>
  <si>
    <t>A0022</t>
  </si>
  <si>
    <t>姓名</t>
    <phoneticPr fontId="5" type="noConversion"/>
  </si>
  <si>
    <t>第一次</t>
    <phoneticPr fontId="5" type="noConversion"/>
  </si>
  <si>
    <t>第二次</t>
    <phoneticPr fontId="5" type="noConversion"/>
  </si>
  <si>
    <t>第三次</t>
    <phoneticPr fontId="5" type="noConversion"/>
  </si>
  <si>
    <t>分數</t>
    <phoneticPr fontId="5" type="noConversion"/>
  </si>
  <si>
    <t>等級</t>
    <phoneticPr fontId="5" type="noConversion"/>
  </si>
  <si>
    <t>加權總分</t>
    <phoneticPr fontId="5" type="noConversion"/>
  </si>
  <si>
    <t>判斷</t>
    <phoneticPr fontId="5" type="noConversion"/>
  </si>
  <si>
    <t>成績查詢</t>
    <phoneticPr fontId="5" type="noConversion"/>
  </si>
  <si>
    <t>王清峰</t>
    <phoneticPr fontId="5" type="noConversion"/>
  </si>
  <si>
    <r>
      <t>1.</t>
    </r>
    <r>
      <rPr>
        <sz val="12"/>
        <color indexed="43"/>
        <rFont val="標楷體"/>
        <family val="4"/>
        <charset val="136"/>
      </rPr>
      <t>請計算第一次考試全部平均分數</t>
    </r>
    <phoneticPr fontId="5" type="noConversion"/>
  </si>
  <si>
    <t>周添城</t>
    <phoneticPr fontId="5" type="noConversion"/>
  </si>
  <si>
    <r>
      <t>2.</t>
    </r>
    <r>
      <rPr>
        <sz val="12"/>
        <color indexed="43"/>
        <rFont val="標楷體"/>
        <family val="4"/>
        <charset val="136"/>
      </rPr>
      <t>請計算第二次考試最高分數</t>
    </r>
    <phoneticPr fontId="5" type="noConversion"/>
  </si>
  <si>
    <t>林建宏</t>
    <phoneticPr fontId="5" type="noConversion"/>
  </si>
  <si>
    <r>
      <t>3.</t>
    </r>
    <r>
      <rPr>
        <sz val="12"/>
        <color indexed="43"/>
        <rFont val="標楷體"/>
        <family val="4"/>
        <charset val="136"/>
      </rPr>
      <t>請計算第三次考試最低分數</t>
    </r>
    <phoneticPr fontId="5" type="noConversion"/>
  </si>
  <si>
    <t>熊漢琳</t>
    <phoneticPr fontId="5" type="noConversion"/>
  </si>
  <si>
    <t>請輸入要計算的項目數字</t>
    <phoneticPr fontId="5" type="noConversion"/>
  </si>
  <si>
    <t>萬衛華</t>
    <phoneticPr fontId="5" type="noConversion"/>
  </si>
  <si>
    <t>駱惠美</t>
    <phoneticPr fontId="5" type="noConversion"/>
  </si>
  <si>
    <t>最後計算的結果</t>
    <phoneticPr fontId="5" type="noConversion"/>
  </si>
  <si>
    <t>組別</t>
    <phoneticPr fontId="5" type="noConversion"/>
  </si>
  <si>
    <t>分組</t>
    <phoneticPr fontId="5" type="noConversion"/>
  </si>
  <si>
    <t>個數</t>
    <phoneticPr fontId="5" type="noConversion"/>
  </si>
  <si>
    <t>等級</t>
    <phoneticPr fontId="5" type="noConversion"/>
  </si>
  <si>
    <t>加權比例</t>
    <phoneticPr fontId="5" type="noConversion"/>
  </si>
  <si>
    <r>
      <t>70</t>
    </r>
    <r>
      <rPr>
        <sz val="12"/>
        <color indexed="9"/>
        <rFont val="標楷體"/>
        <family val="4"/>
        <charset val="136"/>
      </rPr>
      <t>以下</t>
    </r>
    <phoneticPr fontId="5" type="noConversion"/>
  </si>
  <si>
    <t>A</t>
    <phoneticPr fontId="5" type="noConversion"/>
  </si>
  <si>
    <t>71-80</t>
    <phoneticPr fontId="5" type="noConversion"/>
  </si>
  <si>
    <t>B</t>
    <phoneticPr fontId="5" type="noConversion"/>
  </si>
  <si>
    <t>81-90</t>
    <phoneticPr fontId="5" type="noConversion"/>
  </si>
  <si>
    <t>C</t>
    <phoneticPr fontId="5" type="noConversion"/>
  </si>
  <si>
    <t>91-100</t>
    <phoneticPr fontId="5" type="noConversion"/>
  </si>
  <si>
    <t>直銷</t>
    <phoneticPr fontId="5" type="noConversion"/>
  </si>
  <si>
    <t>女</t>
    <phoneticPr fontId="5" type="noConversion"/>
  </si>
  <si>
    <t>經銷</t>
    <phoneticPr fontId="5" type="noConversion"/>
  </si>
  <si>
    <t>男</t>
    <phoneticPr fontId="5" type="noConversion"/>
  </si>
  <si>
    <t>外銷</t>
    <phoneticPr fontId="5" type="noConversion"/>
  </si>
  <si>
    <t>博碩文化銷售業績資料庫</t>
    <phoneticPr fontId="5" type="noConversion"/>
  </si>
  <si>
    <t>部門</t>
    <phoneticPr fontId="5" type="noConversion"/>
  </si>
  <si>
    <t>性別</t>
    <phoneticPr fontId="5" type="noConversion"/>
  </si>
  <si>
    <t>一月</t>
    <phoneticPr fontId="5" type="noConversion"/>
  </si>
  <si>
    <t>二月</t>
    <phoneticPr fontId="5" type="noConversion"/>
  </si>
  <si>
    <t>平均</t>
    <phoneticPr fontId="5" type="noConversion"/>
  </si>
  <si>
    <t>總和</t>
    <phoneticPr fontId="5" type="noConversion"/>
  </si>
  <si>
    <t>直銷</t>
    <phoneticPr fontId="5" type="noConversion"/>
  </si>
  <si>
    <t>女</t>
    <phoneticPr fontId="5" type="noConversion"/>
  </si>
  <si>
    <r>
      <t>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之銷售總和</t>
    </r>
    <phoneticPr fontId="5" type="noConversion"/>
  </si>
  <si>
    <r>
      <t>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之一月份銷售的和</t>
    </r>
    <phoneticPr fontId="5" type="noConversion"/>
  </si>
  <si>
    <r>
      <t>使用</t>
    </r>
    <r>
      <rPr>
        <sz val="12"/>
        <rFont val="Times New Roman"/>
        <family val="1"/>
      </rPr>
      <t>COUNTIF</t>
    </r>
    <r>
      <rPr>
        <sz val="12"/>
        <rFont val="標楷體"/>
        <family val="4"/>
        <charset val="136"/>
      </rPr>
      <t>函數計算女生個數</t>
    </r>
    <phoneticPr fontId="5" type="noConversion"/>
  </si>
  <si>
    <r>
      <t>使用</t>
    </r>
    <r>
      <rPr>
        <sz val="12"/>
        <rFont val="Times New Roman"/>
        <family val="1"/>
      </rPr>
      <t>COUNTIF</t>
    </r>
    <r>
      <rPr>
        <sz val="12"/>
        <rFont val="標楷體"/>
        <family val="4"/>
        <charset val="136"/>
      </rPr>
      <t>函數一月份業績大於</t>
    </r>
    <r>
      <rPr>
        <sz val="12"/>
        <rFont val="Times New Roman"/>
        <family val="1"/>
      </rPr>
      <t>1850</t>
    </r>
    <r>
      <rPr>
        <sz val="12"/>
        <rFont val="標楷體"/>
        <family val="4"/>
        <charset val="136"/>
      </rPr>
      <t>的個數</t>
    </r>
    <phoneticPr fontId="5" type="noConversion"/>
  </si>
  <si>
    <r>
      <t>使用</t>
    </r>
    <r>
      <rPr>
        <sz val="12"/>
        <rFont val="Times New Roman"/>
        <family val="1"/>
      </rPr>
      <t>COUNT()</t>
    </r>
    <r>
      <rPr>
        <sz val="12"/>
        <rFont val="標楷體"/>
        <family val="4"/>
        <charset val="136"/>
      </rPr>
      <t>函數計算一月份的數字個數</t>
    </r>
    <phoneticPr fontId="5" type="noConversion"/>
  </si>
  <si>
    <r>
      <t>使用</t>
    </r>
    <r>
      <rPr>
        <sz val="12"/>
        <rFont val="Times New Roman"/>
        <family val="1"/>
      </rPr>
      <t>COUNTA()</t>
    </r>
    <r>
      <rPr>
        <sz val="12"/>
        <rFont val="標楷體"/>
        <family val="4"/>
        <charset val="136"/>
      </rPr>
      <t>函數計算一月份的資料個數</t>
    </r>
    <phoneticPr fontId="5" type="noConversion"/>
  </si>
  <si>
    <r>
      <t>使用</t>
    </r>
    <r>
      <rPr>
        <sz val="12"/>
        <rFont val="Times New Roman"/>
        <family val="1"/>
      </rPr>
      <t>COUNTBLANK()</t>
    </r>
    <r>
      <rPr>
        <sz val="12"/>
        <rFont val="標楷體"/>
        <family val="4"/>
        <charset val="136"/>
      </rPr>
      <t>函數計算一月份空白資料個數</t>
    </r>
    <phoneticPr fontId="5" type="noConversion"/>
  </si>
  <si>
    <t>過去三年年度業績表</t>
    <phoneticPr fontId="5" type="noConversion"/>
  </si>
  <si>
    <t>姓名</t>
    <phoneticPr fontId="11" type="noConversion"/>
  </si>
  <si>
    <t>總業績</t>
    <phoneticPr fontId="5" type="noConversion"/>
  </si>
  <si>
    <t>加權業績</t>
    <phoneticPr fontId="5" type="noConversion"/>
  </si>
  <si>
    <t>狀況</t>
    <phoneticPr fontId="5" type="noConversion"/>
  </si>
  <si>
    <t>及格</t>
    <phoneticPr fontId="5" type="noConversion"/>
  </si>
  <si>
    <t>評比</t>
    <phoneticPr fontId="5" type="noConversion"/>
  </si>
  <si>
    <t>低於總平均個數</t>
    <phoneticPr fontId="5" type="noConversion"/>
  </si>
  <si>
    <t>排名</t>
    <phoneticPr fontId="11" type="noConversion"/>
  </si>
  <si>
    <t>等級</t>
    <phoneticPr fontId="11" type="noConversion"/>
  </si>
  <si>
    <t>晉級</t>
    <phoneticPr fontId="11" type="noConversion"/>
  </si>
  <si>
    <t>獎金</t>
    <phoneticPr fontId="11" type="noConversion"/>
  </si>
  <si>
    <t>獎金比例</t>
    <phoneticPr fontId="11" type="noConversion"/>
  </si>
  <si>
    <t>陳玉玲</t>
    <phoneticPr fontId="5" type="noConversion"/>
  </si>
  <si>
    <t>A</t>
    <phoneticPr fontId="11" type="noConversion"/>
  </si>
  <si>
    <t>陳佩汝</t>
    <phoneticPr fontId="5" type="noConversion"/>
  </si>
  <si>
    <t>B</t>
    <phoneticPr fontId="11" type="noConversion"/>
  </si>
  <si>
    <t>陳國清</t>
    <phoneticPr fontId="5" type="noConversion"/>
  </si>
  <si>
    <t>C</t>
    <phoneticPr fontId="11" type="noConversion"/>
  </si>
  <si>
    <t>黃炳璁</t>
    <phoneticPr fontId="5" type="noConversion"/>
  </si>
  <si>
    <t>D</t>
    <phoneticPr fontId="11" type="noConversion"/>
  </si>
  <si>
    <t>黃士哲</t>
    <phoneticPr fontId="5" type="noConversion"/>
  </si>
  <si>
    <t>E</t>
    <phoneticPr fontId="11" type="noConversion"/>
  </si>
  <si>
    <t>黃冠儒</t>
    <phoneticPr fontId="5" type="noConversion"/>
  </si>
  <si>
    <t>林毓倫</t>
    <phoneticPr fontId="5" type="noConversion"/>
  </si>
  <si>
    <t>中位數</t>
    <phoneticPr fontId="5" type="noConversion"/>
  </si>
  <si>
    <t>次數分配</t>
    <phoneticPr fontId="5" type="noConversion"/>
  </si>
  <si>
    <t>次數</t>
    <phoneticPr fontId="11" type="noConversion"/>
  </si>
  <si>
    <t>個數</t>
    <phoneticPr fontId="11" type="noConversion"/>
  </si>
  <si>
    <t>平均數</t>
    <phoneticPr fontId="5" type="noConversion"/>
  </si>
  <si>
    <r>
      <t>49</t>
    </r>
    <r>
      <rPr>
        <sz val="11"/>
        <rFont val="細明體"/>
        <family val="3"/>
        <charset val="136"/>
      </rPr>
      <t>以下</t>
    </r>
    <phoneticPr fontId="5" type="noConversion"/>
  </si>
  <si>
    <t>總平均</t>
    <phoneticPr fontId="5" type="noConversion"/>
  </si>
  <si>
    <t>50-99</t>
    <phoneticPr fontId="11" type="noConversion"/>
  </si>
  <si>
    <t>加權因子</t>
    <phoneticPr fontId="5" type="noConversion"/>
  </si>
  <si>
    <t>100-149</t>
    <phoneticPr fontId="11" type="noConversion"/>
  </si>
  <si>
    <t>150-200</t>
    <phoneticPr fontId="11" type="noConversion"/>
  </si>
  <si>
    <r>
      <t>2.</t>
    </r>
    <r>
      <rPr>
        <sz val="11"/>
        <rFont val="標楷體"/>
        <family val="4"/>
        <charset val="136"/>
      </rPr>
      <t>「分數」欄中，是三次考試成績，取兩次最大加總。</t>
    </r>
    <phoneticPr fontId="5" type="noConversion"/>
  </si>
  <si>
    <r>
      <t>3.</t>
    </r>
    <r>
      <rPr>
        <sz val="11"/>
        <rFont val="標楷體"/>
        <family val="4"/>
        <charset val="136"/>
      </rPr>
      <t>「等級」欄中條件是「分數」為依據。分數大於等於</t>
    </r>
    <r>
      <rPr>
        <sz val="11"/>
        <rFont val="Times New Roman"/>
        <family val="1"/>
      </rPr>
      <t>90</t>
    </r>
    <r>
      <rPr>
        <sz val="11"/>
        <rFont val="標楷體"/>
        <family val="4"/>
        <charset val="136"/>
      </rPr>
      <t>，</t>
    </r>
    <r>
      <rPr>
        <sz val="11"/>
        <rFont val="Times New Roman"/>
        <family val="1"/>
      </rPr>
      <t>A</t>
    </r>
    <r>
      <rPr>
        <sz val="11"/>
        <rFont val="標楷體"/>
        <family val="4"/>
        <charset val="136"/>
      </rPr>
      <t>；大於等於</t>
    </r>
    <r>
      <rPr>
        <sz val="11"/>
        <rFont val="Times New Roman"/>
        <family val="1"/>
      </rPr>
      <t>80</t>
    </r>
    <r>
      <rPr>
        <sz val="11"/>
        <rFont val="標楷體"/>
        <family val="4"/>
        <charset val="136"/>
      </rPr>
      <t>，但小於</t>
    </r>
    <r>
      <rPr>
        <sz val="11"/>
        <rFont val="Times New Roman"/>
        <family val="1"/>
      </rPr>
      <t>90</t>
    </r>
    <r>
      <rPr>
        <sz val="11"/>
        <rFont val="標楷體"/>
        <family val="4"/>
        <charset val="136"/>
      </rPr>
      <t>，</t>
    </r>
    <r>
      <rPr>
        <sz val="11"/>
        <rFont val="Times New Roman"/>
        <family val="1"/>
      </rPr>
      <t>B</t>
    </r>
    <r>
      <rPr>
        <sz val="11"/>
        <rFont val="標楷體"/>
        <family val="4"/>
        <charset val="136"/>
      </rPr>
      <t>；大於等於</t>
    </r>
    <r>
      <rPr>
        <sz val="11"/>
        <rFont val="Times New Roman"/>
        <family val="1"/>
      </rPr>
      <t>70</t>
    </r>
    <r>
      <rPr>
        <sz val="11"/>
        <rFont val="標楷體"/>
        <family val="4"/>
        <charset val="136"/>
      </rPr>
      <t>，但小於</t>
    </r>
    <r>
      <rPr>
        <sz val="11"/>
        <rFont val="Times New Roman"/>
        <family val="1"/>
      </rPr>
      <t>80</t>
    </r>
    <r>
      <rPr>
        <sz val="11"/>
        <rFont val="標楷體"/>
        <family val="4"/>
        <charset val="136"/>
      </rPr>
      <t>，</t>
    </r>
    <r>
      <rPr>
        <sz val="11"/>
        <rFont val="Times New Roman"/>
        <family val="1"/>
      </rPr>
      <t>C</t>
    </r>
    <r>
      <rPr>
        <sz val="11"/>
        <rFont val="標楷體"/>
        <family val="4"/>
        <charset val="136"/>
      </rPr>
      <t>；其他是</t>
    </r>
    <r>
      <rPr>
        <sz val="11"/>
        <rFont val="Times New Roman"/>
        <family val="1"/>
      </rPr>
      <t>D</t>
    </r>
    <r>
      <rPr>
        <sz val="11"/>
        <rFont val="標楷體"/>
        <family val="4"/>
        <charset val="136"/>
      </rPr>
      <t>。</t>
    </r>
    <phoneticPr fontId="5" type="noConversion"/>
  </si>
  <si>
    <r>
      <t>4.</t>
    </r>
    <r>
      <rPr>
        <sz val="11"/>
        <rFont val="標楷體"/>
        <family val="4"/>
        <charset val="136"/>
      </rPr>
      <t>「加權總分」欄是「分數」乘上依據「等級」查詢所得的「加權比例」，若查詢不到，出現「</t>
    </r>
    <r>
      <rPr>
        <sz val="11"/>
        <rFont val="Times New Roman"/>
        <family val="1"/>
      </rPr>
      <t>#N/A</t>
    </r>
    <r>
      <rPr>
        <sz val="11"/>
        <rFont val="標楷體"/>
        <family val="4"/>
        <charset val="136"/>
      </rPr>
      <t>」即可。</t>
    </r>
    <phoneticPr fontId="5" type="noConversion"/>
  </si>
  <si>
    <r>
      <t>6.</t>
    </r>
    <r>
      <rPr>
        <sz val="11"/>
        <rFont val="標楷體"/>
        <family val="4"/>
        <charset val="136"/>
      </rPr>
      <t>「判斷」欄位中，若三次考試有一次大於</t>
    </r>
    <r>
      <rPr>
        <sz val="11"/>
        <rFont val="Times New Roman"/>
        <family val="1"/>
      </rPr>
      <t>40</t>
    </r>
    <r>
      <rPr>
        <sz val="11"/>
        <rFont val="標楷體"/>
        <family val="4"/>
        <charset val="136"/>
      </rPr>
      <t>分，就出現</t>
    </r>
    <r>
      <rPr>
        <sz val="11"/>
        <rFont val="Times New Roman"/>
        <family val="1"/>
      </rPr>
      <t>"</t>
    </r>
    <r>
      <rPr>
        <sz val="11"/>
        <rFont val="標楷體"/>
        <family val="4"/>
        <charset val="136"/>
      </rPr>
      <t>及格</t>
    </r>
    <r>
      <rPr>
        <sz val="11"/>
        <rFont val="Times New Roman"/>
        <family val="1"/>
      </rPr>
      <t>"</t>
    </r>
    <r>
      <rPr>
        <sz val="11"/>
        <rFont val="標楷體"/>
        <family val="4"/>
        <charset val="136"/>
      </rPr>
      <t>否則出現</t>
    </r>
    <r>
      <rPr>
        <sz val="11"/>
        <rFont val="Times New Roman"/>
        <family val="1"/>
      </rPr>
      <t>"</t>
    </r>
    <r>
      <rPr>
        <sz val="11"/>
        <rFont val="標楷體"/>
        <family val="4"/>
        <charset val="136"/>
      </rPr>
      <t>不及格</t>
    </r>
    <r>
      <rPr>
        <sz val="11"/>
        <rFont val="Times New Roman"/>
        <family val="1"/>
      </rPr>
      <t>"</t>
    </r>
    <phoneticPr fontId="5" type="noConversion"/>
  </si>
  <si>
    <r>
      <t>7.</t>
    </r>
    <r>
      <rPr>
        <sz val="11"/>
        <rFont val="標楷體"/>
        <family val="4"/>
        <charset val="136"/>
      </rPr>
      <t>在</t>
    </r>
    <r>
      <rPr>
        <sz val="11"/>
        <rFont val="Times New Roman"/>
        <family val="1"/>
      </rPr>
      <t>J8</t>
    </r>
    <r>
      <rPr>
        <sz val="11"/>
        <rFont val="標楷體"/>
        <family val="4"/>
        <charset val="136"/>
      </rPr>
      <t>設定公式，以便在</t>
    </r>
    <r>
      <rPr>
        <sz val="11"/>
        <rFont val="Times New Roman"/>
        <family val="1"/>
      </rPr>
      <t>J6</t>
    </r>
    <r>
      <rPr>
        <sz val="11"/>
        <rFont val="標楷體"/>
        <family val="4"/>
        <charset val="136"/>
      </rPr>
      <t>儲存格輸入數字便可以依據</t>
    </r>
    <r>
      <rPr>
        <sz val="11"/>
        <rFont val="Times New Roman"/>
        <family val="1"/>
      </rPr>
      <t>J2:J4</t>
    </r>
    <r>
      <rPr>
        <sz val="11"/>
        <rFont val="標楷體"/>
        <family val="4"/>
        <charset val="136"/>
      </rPr>
      <t>的說明，取得計算結果</t>
    </r>
    <phoneticPr fontId="5" type="noConversion"/>
  </si>
  <si>
    <t>及格☆</t>
    <phoneticPr fontId="5" type="noConversion"/>
  </si>
  <si>
    <t>於「及格☆」的欄位中，判斷有幾個年度的業績高於總平均，就出現幾個☆。</t>
  </si>
  <si>
    <t>請於『排名』欄位根據「加權業績」大小計算排名。</t>
  </si>
  <si>
    <r>
      <t>於</t>
    </r>
    <r>
      <rPr>
        <sz val="14"/>
        <rFont val="Times New Roman"/>
        <family val="1"/>
      </rPr>
      <t>A2</t>
    </r>
    <r>
      <rPr>
        <sz val="14"/>
        <rFont val="標楷體"/>
        <family val="4"/>
        <charset val="136"/>
      </rPr>
      <t>儲存格，配合函數</t>
    </r>
    <r>
      <rPr>
        <sz val="14"/>
        <rFont val="Times New Roman"/>
        <family val="1"/>
      </rPr>
      <t>TEXT</t>
    </r>
    <r>
      <rPr>
        <sz val="14"/>
        <rFont val="標楷體"/>
        <family val="4"/>
        <charset val="136"/>
      </rPr>
      <t>與</t>
    </r>
    <r>
      <rPr>
        <sz val="14"/>
        <rFont val="Times New Roman"/>
        <family val="1"/>
      </rPr>
      <t>NOW</t>
    </r>
    <r>
      <rPr>
        <sz val="14"/>
        <rFont val="標楷體"/>
        <family val="4"/>
        <charset val="136"/>
      </rPr>
      <t>，建立「報表的時間是：民國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星期</t>
    </r>
    <r>
      <rPr>
        <sz val="14"/>
        <rFont val="Times New Roman"/>
        <family val="1"/>
      </rPr>
      <t>X)(</t>
    </r>
    <r>
      <rPr>
        <sz val="14"/>
        <rFont val="標楷體"/>
        <family val="4"/>
        <charset val="136"/>
      </rPr>
      <t>上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下午</t>
    </r>
    <r>
      <rPr>
        <sz val="14"/>
        <rFont val="Times New Roman"/>
        <family val="1"/>
      </rPr>
      <t>)xx</t>
    </r>
    <r>
      <rPr>
        <sz val="14"/>
        <rFont val="標楷體"/>
        <family val="4"/>
        <charset val="136"/>
      </rPr>
      <t>時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分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秒」的時間格式。</t>
    </r>
  </si>
  <si>
    <r>
      <t>於</t>
    </r>
    <r>
      <rPr>
        <sz val="14"/>
        <rFont val="Times New Roman"/>
        <family val="1"/>
      </rPr>
      <t>B5:D11</t>
    </r>
    <r>
      <rPr>
        <sz val="14"/>
        <rFont val="標楷體"/>
        <family val="4"/>
        <charset val="136"/>
      </rPr>
      <t>儲存格中，利用函數產生</t>
    </r>
    <r>
      <rPr>
        <sz val="14"/>
        <rFont val="Times New Roman"/>
        <family val="1"/>
      </rPr>
      <t>50</t>
    </r>
    <r>
      <rPr>
        <sz val="14"/>
        <rFont val="標楷體"/>
        <family val="4"/>
        <charset val="136"/>
      </rPr>
      <t>到</t>
    </r>
    <r>
      <rPr>
        <sz val="14"/>
        <rFont val="Times New Roman"/>
        <family val="1"/>
      </rPr>
      <t>200</t>
    </r>
    <r>
      <rPr>
        <sz val="14"/>
        <rFont val="標楷體"/>
        <family val="4"/>
        <charset val="136"/>
      </rPr>
      <t>的隨機整數。</t>
    </r>
  </si>
  <si>
    <r>
      <t>利用</t>
    </r>
    <r>
      <rPr>
        <sz val="14"/>
        <rFont val="Times New Roman"/>
        <family val="1"/>
      </rPr>
      <t>SUMPRODUCT()</t>
    </r>
    <r>
      <rPr>
        <sz val="14"/>
        <rFont val="標楷體"/>
        <family val="4"/>
        <charset val="136"/>
      </rPr>
      <t>函數，於『總業績』欄位，配合</t>
    </r>
    <r>
      <rPr>
        <sz val="14"/>
        <rFont val="Times New Roman"/>
        <family val="1"/>
      </rPr>
      <t>B3:D3</t>
    </r>
    <r>
      <rPr>
        <sz val="14"/>
        <rFont val="標楷體"/>
        <family val="4"/>
        <charset val="136"/>
      </rPr>
      <t>各年度比例計算出業務員業績。</t>
    </r>
  </si>
  <si>
    <r>
      <t>完成</t>
    </r>
    <r>
      <rPr>
        <sz val="14"/>
        <rFont val="Times New Roman"/>
        <family val="1"/>
      </rPr>
      <t>B12:E12</t>
    </r>
    <r>
      <rPr>
        <sz val="14"/>
        <rFont val="標楷體"/>
        <family val="4"/>
        <charset val="136"/>
      </rPr>
      <t>的各年度與總業績的統計值，包括中位數與平均數。</t>
    </r>
  </si>
  <si>
    <r>
      <t>於</t>
    </r>
    <r>
      <rPr>
        <sz val="14"/>
        <rFont val="Times New Roman"/>
        <family val="1"/>
      </rPr>
      <t>B14</t>
    </r>
    <r>
      <rPr>
        <sz val="14"/>
        <rFont val="標楷體"/>
        <family val="4"/>
        <charset val="136"/>
      </rPr>
      <t>儲存格完成所有業務三年的「總平均」</t>
    </r>
    <r>
      <rPr>
        <sz val="14"/>
        <rFont val="Times New Roman"/>
        <family val="1"/>
      </rPr>
      <t>(B5:D11)</t>
    </r>
    <r>
      <rPr>
        <sz val="14"/>
        <rFont val="標楷體"/>
        <family val="4"/>
        <charset val="136"/>
      </rPr>
      <t>。</t>
    </r>
  </si>
  <si>
    <r>
      <t>於</t>
    </r>
    <r>
      <rPr>
        <sz val="14"/>
        <rFont val="Times New Roman"/>
        <family val="1"/>
      </rPr>
      <t>B15</t>
    </r>
    <r>
      <rPr>
        <sz val="14"/>
        <rFont val="標楷體"/>
        <family val="4"/>
        <charset val="136"/>
      </rPr>
      <t>儲存格，填上以分數的表示方式</t>
    </r>
    <r>
      <rPr>
        <sz val="14"/>
        <rFont val="Times New Roman"/>
        <family val="1"/>
      </rPr>
      <t>"1 2/5"</t>
    </r>
    <r>
      <rPr>
        <sz val="14"/>
        <rFont val="標楷體"/>
        <family val="4"/>
        <charset val="136"/>
      </rPr>
      <t>。</t>
    </r>
  </si>
  <si>
    <r>
      <t>於「加權業績」欄位中，建立「加權」總額，「加權」定義為「總業績」</t>
    </r>
    <r>
      <rPr>
        <sz val="14"/>
        <rFont val="Times New Roman"/>
        <family val="1"/>
      </rPr>
      <t>X</t>
    </r>
    <r>
      <rPr>
        <sz val="14"/>
        <rFont val="標楷體"/>
        <family val="4"/>
        <charset val="136"/>
      </rPr>
      <t>「加權因子」。</t>
    </r>
  </si>
  <si>
    <r>
      <t>於「狀況」欄位中，若「加權業績」大於</t>
    </r>
    <r>
      <rPr>
        <sz val="14"/>
        <rFont val="Times New Roman"/>
        <family val="1"/>
      </rPr>
      <t>200</t>
    </r>
    <r>
      <rPr>
        <sz val="14"/>
        <rFont val="標楷體"/>
        <family val="4"/>
        <charset val="136"/>
      </rPr>
      <t>，則為「優秀」，否則顯示顯示空白。</t>
    </r>
  </si>
  <si>
    <r>
      <t>於「及格」欄位中，若「總業績」或是「</t>
    </r>
    <r>
      <rPr>
        <sz val="14"/>
        <rFont val="Times New Roman"/>
        <family val="1"/>
      </rPr>
      <t>2003</t>
    </r>
    <r>
      <rPr>
        <sz val="14"/>
        <rFont val="標楷體"/>
        <family val="4"/>
        <charset val="136"/>
      </rPr>
      <t>」年的業績大於</t>
    </r>
    <r>
      <rPr>
        <sz val="14"/>
        <rFont val="Times New Roman"/>
        <family val="1"/>
      </rPr>
      <t>160</t>
    </r>
    <r>
      <rPr>
        <sz val="14"/>
        <rFont val="標楷體"/>
        <family val="4"/>
        <charset val="136"/>
      </rPr>
      <t>，則顯示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及格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，否則顯示顯示空白。</t>
    </r>
  </si>
  <si>
    <r>
      <t>於「評比」欄位中，若「總業績」大於「總平均」</t>
    </r>
    <r>
      <rPr>
        <sz val="14"/>
        <rFont val="Times New Roman"/>
        <family val="1"/>
      </rPr>
      <t>(B14)</t>
    </r>
    <r>
      <rPr>
        <sz val="14"/>
        <rFont val="標楷體"/>
        <family val="4"/>
        <charset val="136"/>
      </rPr>
      <t>，則顯示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優良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，否則顯示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不佳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。</t>
    </r>
  </si>
  <si>
    <r>
      <t>於「低於平均數個數」中，判斷每一個業務員，過去年三成績中有多少個低於總平均</t>
    </r>
    <r>
      <rPr>
        <sz val="14"/>
        <rFont val="Times New Roman"/>
        <family val="1"/>
      </rPr>
      <t>(B14)</t>
    </r>
    <r>
      <rPr>
        <sz val="14"/>
        <rFont val="標楷體"/>
        <family val="4"/>
        <charset val="136"/>
      </rPr>
      <t>的業績。</t>
    </r>
  </si>
  <si>
    <r>
      <t>請於『等級』欄位根據「總業績」多寡計算等級；</t>
    </r>
    <r>
      <rPr>
        <sz val="14"/>
        <rFont val="Times New Roman"/>
        <family val="1"/>
      </rPr>
      <t>200</t>
    </r>
    <r>
      <rPr>
        <sz val="14"/>
        <rFont val="標楷體"/>
        <family val="4"/>
        <charset val="136"/>
      </rPr>
      <t>以上為</t>
    </r>
    <r>
      <rPr>
        <sz val="14"/>
        <rFont val="Times New Roman"/>
        <family val="1"/>
      </rPr>
      <t>A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151-200</t>
    </r>
    <r>
      <rPr>
        <sz val="14"/>
        <rFont val="標楷體"/>
        <family val="4"/>
        <charset val="136"/>
      </rPr>
      <t>為</t>
    </r>
    <r>
      <rPr>
        <sz val="14"/>
        <rFont val="Times New Roman"/>
        <family val="1"/>
      </rPr>
      <t>B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101-150</t>
    </r>
    <r>
      <rPr>
        <sz val="14"/>
        <rFont val="標楷體"/>
        <family val="4"/>
        <charset val="136"/>
      </rPr>
      <t>為</t>
    </r>
    <r>
      <rPr>
        <sz val="14"/>
        <rFont val="Times New Roman"/>
        <family val="1"/>
      </rPr>
      <t>C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100</t>
    </r>
    <r>
      <rPr>
        <sz val="14"/>
        <rFont val="標楷體"/>
        <family val="4"/>
        <charset val="136"/>
      </rPr>
      <t>以下為</t>
    </r>
    <r>
      <rPr>
        <sz val="14"/>
        <rFont val="Times New Roman"/>
        <family val="1"/>
      </rPr>
      <t>D</t>
    </r>
    <r>
      <rPr>
        <sz val="14"/>
        <rFont val="標楷體"/>
        <family val="4"/>
        <charset val="136"/>
      </rPr>
      <t>。</t>
    </r>
  </si>
  <si>
    <r>
      <t>請於『晉級』欄位中設定，若是三年業績中有一年大於</t>
    </r>
    <r>
      <rPr>
        <sz val="14"/>
        <rFont val="Times New Roman"/>
        <family val="1"/>
      </rPr>
      <t>180</t>
    </r>
    <r>
      <rPr>
        <sz val="14"/>
        <rFont val="標楷體"/>
        <family val="4"/>
        <charset val="136"/>
      </rPr>
      <t>，或等級為</t>
    </r>
    <r>
      <rPr>
        <sz val="14"/>
        <rFont val="Times New Roman"/>
        <family val="1"/>
      </rPr>
      <t>A</t>
    </r>
    <r>
      <rPr>
        <sz val="14"/>
        <rFont val="標楷體"/>
        <family val="4"/>
        <charset val="136"/>
      </rPr>
      <t>，則顯示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晉級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；否則不顯示。</t>
    </r>
  </si>
  <si>
    <r>
      <t>請於『獎金』欄位根據業績多寡，從查詢表中取得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獎金比例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乘上「加權業績」以計算獎金。</t>
    </r>
  </si>
  <si>
    <r>
      <t>於</t>
    </r>
    <r>
      <rPr>
        <sz val="14"/>
        <rFont val="Times New Roman"/>
        <family val="1"/>
      </rPr>
      <t>K13:K16</t>
    </r>
    <r>
      <rPr>
        <sz val="14"/>
        <rFont val="標楷體"/>
        <family val="4"/>
        <charset val="136"/>
      </rPr>
      <t>中，根據</t>
    </r>
    <r>
      <rPr>
        <sz val="14"/>
        <rFont val="Times New Roman"/>
        <family val="1"/>
      </rPr>
      <t>J13:J16</t>
    </r>
    <r>
      <rPr>
        <sz val="14"/>
        <rFont val="標楷體"/>
        <family val="4"/>
        <charset val="136"/>
      </rPr>
      <t>的分組，設定函數所需要的組別間距。</t>
    </r>
  </si>
  <si>
    <r>
      <t>於</t>
    </r>
    <r>
      <rPr>
        <sz val="14"/>
        <rFont val="Times New Roman"/>
        <family val="1"/>
      </rPr>
      <t>L13:L16</t>
    </r>
    <r>
      <rPr>
        <sz val="14"/>
        <rFont val="標楷體"/>
        <family val="4"/>
        <charset val="136"/>
      </rPr>
      <t>中，利用函數計算次數分配。</t>
    </r>
  </si>
  <si>
    <t>陳偉忠</t>
    <phoneticPr fontId="11" type="noConversion"/>
  </si>
  <si>
    <t>高雄市</t>
    <phoneticPr fontId="11" type="noConversion"/>
  </si>
  <si>
    <t>台北地區優秀青年選拔名單</t>
    <phoneticPr fontId="11" type="noConversion"/>
  </si>
  <si>
    <t>今天日期：</t>
    <phoneticPr fontId="11" type="noConversion"/>
  </si>
  <si>
    <t>實歲年齡</t>
    <phoneticPr fontId="11" type="noConversion"/>
  </si>
  <si>
    <t>合格名單</t>
    <phoneticPr fontId="11" type="noConversion"/>
  </si>
  <si>
    <t>編號</t>
    <phoneticPr fontId="11" type="noConversion"/>
  </si>
  <si>
    <t>戶籍地</t>
    <phoneticPr fontId="11" type="noConversion"/>
  </si>
  <si>
    <t>A0001</t>
    <phoneticPr fontId="11" type="noConversion"/>
  </si>
  <si>
    <t>台北市</t>
    <phoneticPr fontId="11" type="noConversion"/>
  </si>
  <si>
    <t>A0002</t>
    <phoneticPr fontId="11" type="noConversion"/>
  </si>
  <si>
    <t>台東縣</t>
    <phoneticPr fontId="11" type="noConversion"/>
  </si>
  <si>
    <t>嘉義縣</t>
    <phoneticPr fontId="11" type="noConversion"/>
  </si>
  <si>
    <t>黃炳璁</t>
    <phoneticPr fontId="11" type="noConversion"/>
  </si>
  <si>
    <t>南投縣</t>
    <phoneticPr fontId="11" type="noConversion"/>
  </si>
  <si>
    <t>高雄縣</t>
    <phoneticPr fontId="11" type="noConversion"/>
  </si>
  <si>
    <t>林毓倫</t>
    <phoneticPr fontId="11" type="noConversion"/>
  </si>
  <si>
    <t>林毓恆</t>
    <phoneticPr fontId="11" type="noConversion"/>
  </si>
  <si>
    <t>台中市</t>
    <phoneticPr fontId="11" type="noConversion"/>
  </si>
  <si>
    <t>台北縣</t>
    <phoneticPr fontId="11" type="noConversion"/>
  </si>
  <si>
    <t>新竹縣</t>
    <phoneticPr fontId="11" type="noConversion"/>
  </si>
  <si>
    <t>陳建志</t>
    <phoneticPr fontId="11" type="noConversion"/>
  </si>
  <si>
    <t>黃睦詠</t>
    <phoneticPr fontId="11" type="noConversion"/>
  </si>
  <si>
    <t>萬衛華</t>
    <phoneticPr fontId="11" type="noConversion"/>
  </si>
  <si>
    <t>謝月嫥</t>
    <phoneticPr fontId="11" type="noConversion"/>
  </si>
  <si>
    <t>黃柏誠</t>
  </si>
  <si>
    <t>景文影視業務員業績表</t>
    <phoneticPr fontId="11" type="noConversion"/>
  </si>
  <si>
    <t>今天日期</t>
    <phoneticPr fontId="11" type="noConversion"/>
  </si>
  <si>
    <t>到職日</t>
    <phoneticPr fontId="11" type="noConversion"/>
  </si>
  <si>
    <t>業績</t>
    <phoneticPr fontId="5" type="noConversion"/>
  </si>
  <si>
    <t>到職年數</t>
    <phoneticPr fontId="5" type="noConversion"/>
  </si>
  <si>
    <t>林士璁</t>
    <phoneticPr fontId="5" type="noConversion"/>
  </si>
  <si>
    <t xml:space="preserve">黃炳璁 </t>
    <phoneticPr fontId="5" type="noConversion"/>
  </si>
  <si>
    <t>陳幸華</t>
    <phoneticPr fontId="5" type="noConversion"/>
  </si>
  <si>
    <t>謝幸安</t>
    <phoneticPr fontId="5" type="noConversion"/>
  </si>
  <si>
    <t>謝月嫥</t>
    <phoneticPr fontId="5" type="noConversion"/>
  </si>
  <si>
    <t>林宏諭</t>
    <phoneticPr fontId="5" type="noConversion"/>
  </si>
  <si>
    <t>陳建志</t>
    <phoneticPr fontId="5" type="noConversion"/>
  </si>
  <si>
    <t>0-2000</t>
    <phoneticPr fontId="11" type="noConversion"/>
  </si>
  <si>
    <t>林毓恆</t>
    <phoneticPr fontId="5" type="noConversion"/>
  </si>
  <si>
    <t>2001-4000</t>
    <phoneticPr fontId="11" type="noConversion"/>
  </si>
  <si>
    <t>徐慧芹</t>
    <phoneticPr fontId="5" type="noConversion"/>
  </si>
  <si>
    <t>4001-6000</t>
    <phoneticPr fontId="11" type="noConversion"/>
  </si>
  <si>
    <t>曾金玲</t>
    <phoneticPr fontId="5" type="noConversion"/>
  </si>
  <si>
    <t>6001-8000</t>
    <phoneticPr fontId="11" type="noConversion"/>
  </si>
  <si>
    <t>8001-10000</t>
    <phoneticPr fontId="11" type="noConversion"/>
  </si>
  <si>
    <t>陳偉忠</t>
    <phoneticPr fontId="5" type="noConversion"/>
  </si>
  <si>
    <t>陳甘順</t>
    <phoneticPr fontId="5" type="noConversion"/>
  </si>
  <si>
    <t>林毓修</t>
    <phoneticPr fontId="5" type="noConversion"/>
  </si>
  <si>
    <t>邱于弦</t>
    <phoneticPr fontId="5" type="noConversion"/>
  </si>
  <si>
    <t>林向宏</t>
    <phoneticPr fontId="5" type="noConversion"/>
  </si>
  <si>
    <t>蔡承諺</t>
    <phoneticPr fontId="5" type="noConversion"/>
  </si>
  <si>
    <t>王秀惠</t>
    <phoneticPr fontId="5" type="noConversion"/>
  </si>
  <si>
    <t>許新玉</t>
    <phoneticPr fontId="5" type="noConversion"/>
  </si>
  <si>
    <t>莊以貞</t>
    <phoneticPr fontId="5" type="noConversion"/>
  </si>
  <si>
    <t>李婉茹</t>
    <phoneticPr fontId="5" type="noConversion"/>
  </si>
  <si>
    <t>資產總值</t>
    <phoneticPr fontId="5" type="noConversion"/>
  </si>
  <si>
    <t>折舊年限</t>
    <phoneticPr fontId="5" type="noConversion"/>
  </si>
  <si>
    <t>殘值</t>
    <phoneticPr fontId="5" type="noConversion"/>
  </si>
  <si>
    <t>直線法</t>
    <phoneticPr fontId="5" type="noConversion"/>
  </si>
  <si>
    <t>雙倍餘額遞減法</t>
    <phoneticPr fontId="5" type="noConversion"/>
  </si>
  <si>
    <t>三倍餘額遞減法</t>
    <phoneticPr fontId="5" type="noConversion"/>
  </si>
  <si>
    <t>年數合計法</t>
    <phoneticPr fontId="5" type="noConversion"/>
  </si>
  <si>
    <r>
      <t>第</t>
    </r>
    <r>
      <rPr>
        <sz val="12"/>
        <color indexed="9"/>
        <rFont val="Times New Roman"/>
        <family val="1"/>
      </rPr>
      <t>1</t>
    </r>
    <r>
      <rPr>
        <sz val="12"/>
        <color indexed="9"/>
        <rFont val="標楷體"/>
        <family val="4"/>
        <charset val="136"/>
      </rPr>
      <t>年</t>
    </r>
    <phoneticPr fontId="5" type="noConversion"/>
  </si>
  <si>
    <r>
      <t>第</t>
    </r>
    <r>
      <rPr>
        <sz val="12"/>
        <color indexed="9"/>
        <rFont val="Times New Roman"/>
        <family val="1"/>
      </rPr>
      <t>2</t>
    </r>
    <r>
      <rPr>
        <sz val="12"/>
        <color indexed="9"/>
        <rFont val="標楷體"/>
        <family val="4"/>
        <charset val="136"/>
      </rPr>
      <t>年</t>
    </r>
  </si>
  <si>
    <r>
      <t>第</t>
    </r>
    <r>
      <rPr>
        <sz val="12"/>
        <color indexed="9"/>
        <rFont val="Times New Roman"/>
        <family val="1"/>
      </rPr>
      <t>3</t>
    </r>
    <r>
      <rPr>
        <sz val="12"/>
        <color indexed="9"/>
        <rFont val="標楷體"/>
        <family val="4"/>
        <charset val="136"/>
      </rPr>
      <t>年</t>
    </r>
  </si>
  <si>
    <r>
      <t>第</t>
    </r>
    <r>
      <rPr>
        <sz val="12"/>
        <color indexed="9"/>
        <rFont val="Times New Roman"/>
        <family val="1"/>
      </rPr>
      <t>4</t>
    </r>
    <r>
      <rPr>
        <sz val="12"/>
        <color indexed="9"/>
        <rFont val="標楷體"/>
        <family val="4"/>
        <charset val="136"/>
      </rPr>
      <t>年</t>
    </r>
  </si>
  <si>
    <r>
      <t>第</t>
    </r>
    <r>
      <rPr>
        <sz val="12"/>
        <color indexed="9"/>
        <rFont val="Times New Roman"/>
        <family val="1"/>
      </rPr>
      <t>5</t>
    </r>
    <r>
      <rPr>
        <sz val="12"/>
        <color indexed="9"/>
        <rFont val="標楷體"/>
        <family val="4"/>
        <charset val="136"/>
      </rPr>
      <t>年</t>
    </r>
  </si>
  <si>
    <t>題目</t>
    <phoneticPr fontId="43" type="noConversion"/>
  </si>
  <si>
    <t>函數</t>
    <phoneticPr fontId="43" type="noConversion"/>
  </si>
  <si>
    <t>小熊熊如果希望在5年後能購買一部價值$42萬的March汽車，那麼他現在應該在銀行存入多少錢？(假設該銀行的年利率為2.25%，每年複利一次)？(四捨五入取至整數)</t>
    <phoneticPr fontId="43" type="noConversion"/>
  </si>
  <si>
    <t>基金報酬率為5%，若希望在25年後退休擁有1500萬。以基金定時定額投資，請問從現在開始，每月月初，應投入多少金額購買基金?(假設每年以複利計算，無條件進位，計算至整數位數)</t>
    <phoneticPr fontId="43" type="noConversion"/>
  </si>
  <si>
    <t>向銀行貸款購置汽車，年利率12.5%，貸款金額60萬，貸款期限8年，每月月初繳款，問每月須繳款多少？(四捨五入取至整數)</t>
    <phoneticPr fontId="43" type="noConversion"/>
  </si>
  <si>
    <t>      假設以定期儲蓄存款方式預備於5年後存足100百萬元做為出國留學的費用，假設定時定額的年利率為2%，則每月月底應存多少錢方能達成預定目標?(四捨五入取至整數)</t>
    <phoneticPr fontId="43" type="noConversion"/>
  </si>
  <si>
    <t>同上題，又假設每月只有能力存11000，必須存足幾年(幾個月)方可以存足100萬元?</t>
    <phoneticPr fontId="43" type="noConversion"/>
  </si>
  <si>
    <t>黃金金進行投資，年初投資10萬，從年底開始每年可以回收2萬，共10年，最後的投資殘值是1萬，請問黃金金的投資報酬率為何?(計算至小數點2位)</t>
    <phoneticPr fontId="43" type="noConversion"/>
  </si>
  <si>
    <t>張董事長與員工借款，每100萬每月固定付利息18,000元，請問，張董事長的借款年利率為多少??(計算至小數點2位)</t>
    <phoneticPr fontId="43" type="noConversion"/>
  </si>
  <si>
    <t>李主任於定期儲蓄存款之儲蓄中，於期初存入200,000，以後每月固定於月初存入60,000元，假設年利率為2.25%，5年之後李主任共可以儲蓄多少金額。(四捨五入取至整數)</t>
    <phoneticPr fontId="43" type="noConversion"/>
  </si>
  <si>
    <t>期初金額為10萬，若第一至第五年的年利率分別為10%、8%、12%、10%、12%，請問第五年末，共有未來值多少。</t>
    <phoneticPr fontId="43" type="noConversion"/>
  </si>
  <si>
    <t>林老師每年年初在銀行存100萬元，共10年，年利率是4%，但每一季計息一次，問10年後，林老師有存款多少?(四捨五入取至整數)</t>
    <phoneticPr fontId="43" type="noConversion"/>
  </si>
  <si>
    <r>
      <t>5.</t>
    </r>
    <r>
      <rPr>
        <sz val="11"/>
        <rFont val="標楷體"/>
        <family val="4"/>
        <charset val="136"/>
      </rPr>
      <t>以「分數」為依據，統計各種分數組別的人數，以函數完成</t>
    </r>
    <r>
      <rPr>
        <sz val="11"/>
        <rFont val="Times New Roman"/>
        <family val="1"/>
      </rPr>
      <t>B10:C13</t>
    </r>
    <r>
      <rPr>
        <sz val="11"/>
        <rFont val="標楷體"/>
        <family val="4"/>
        <charset val="136"/>
      </rPr>
      <t>的資料區域</t>
    </r>
    <phoneticPr fontId="5" type="noConversion"/>
  </si>
  <si>
    <t>1.      在B2儲存格利用TODAY()產生今天日期。</t>
  </si>
  <si>
    <t>2.      在「實際年齡」一欄，以Year()、Month()、DATE()函數與判斷函數，配合B2儲存格，計算實際的年紀，需計算實歲。如今天是民國90年10月1日，若生日於87年12月，則未滿三歲，若生日於87年9月，則滿3歲。</t>
  </si>
  <si>
    <t>3.      以IF()函數、And()與LEFT()函數於「合格名單」一欄，顯示若實際年齡介於20-40歲之間，且設籍「台北」(縣市)都符合條件，而顯示「合格」兩字。</t>
  </si>
  <si>
    <r>
      <t>1.</t>
    </r>
    <r>
      <rPr>
        <sz val="11"/>
        <rFont val="標楷體"/>
        <family val="4"/>
        <charset val="136"/>
      </rPr>
      <t>在</t>
    </r>
    <r>
      <rPr>
        <sz val="11"/>
        <rFont val="Times New Roman"/>
        <family val="1"/>
      </rPr>
      <t>B3:D7</t>
    </r>
    <r>
      <rPr>
        <sz val="11"/>
        <rFont val="標楷體"/>
        <family val="4"/>
        <charset val="136"/>
      </rPr>
      <t>中，使用</t>
    </r>
    <r>
      <rPr>
        <sz val="11"/>
        <rFont val="Times New Roman"/>
        <family val="1"/>
      </rPr>
      <t>RAND()</t>
    </r>
    <r>
      <rPr>
        <sz val="11"/>
        <rFont val="標楷體"/>
        <family val="4"/>
        <charset val="136"/>
      </rPr>
      <t>函數，配合其他函數，產生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</t>
    </r>
    <r>
      <rPr>
        <sz val="11"/>
        <rFont val="Times New Roman"/>
        <family val="1"/>
      </rPr>
      <t>)30</t>
    </r>
    <r>
      <rPr>
        <sz val="11"/>
        <rFont val="標楷體"/>
        <family val="4"/>
        <charset val="136"/>
      </rPr>
      <t>到</t>
    </r>
    <r>
      <rPr>
        <sz val="11"/>
        <rFont val="Times New Roman"/>
        <family val="1"/>
      </rPr>
      <t>50</t>
    </r>
    <r>
      <rPr>
        <sz val="11"/>
        <rFont val="標楷體"/>
        <family val="4"/>
        <charset val="136"/>
      </rPr>
      <t>之間的正整數。</t>
    </r>
    <phoneticPr fontId="5" type="noConversion"/>
  </si>
  <si>
    <t>姓名</t>
    <phoneticPr fontId="5" type="noConversion"/>
  </si>
  <si>
    <t>次別</t>
    <phoneticPr fontId="5" type="noConversion"/>
  </si>
  <si>
    <t>分數</t>
    <phoneticPr fontId="5" type="noConversion"/>
  </si>
  <si>
    <t>第一次</t>
  </si>
  <si>
    <t>王清峰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</si>
</sst>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3" formatCode="_-* #,##0.00_-;\-* #,##0.00_-;_-* &quot;-&quot;??_-;_-@_-"/>
    <numFmt numFmtId="176" formatCode="_-* #,##0_-;\-* #,##0_-;_-* &quot;-&quot;??_-;_-@_-"/>
    <numFmt numFmtId="177" formatCode="[Red][&lt;60]0\ ;[Blue]0\ "/>
    <numFmt numFmtId="186" formatCode="#,##0_);[Red]\(#,##0\)"/>
    <numFmt numFmtId="187" formatCode="[$-404]e&quot;年&quot;m&quot;月&quot;d&quot;日&quot;;@"/>
  </numFmts>
  <fonts count="45">
    <font>
      <sz val="12"/>
      <name val="Times New Roman"/>
      <family val="1"/>
    </font>
    <font>
      <sz val="12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37"/>
      <name val="Times New Roman"/>
      <family val="1"/>
    </font>
    <font>
      <sz val="9"/>
      <name val="新細明體"/>
      <family val="1"/>
      <charset val="136"/>
    </font>
    <font>
      <b/>
      <i/>
      <u val="doubleAccounting"/>
      <sz val="12"/>
      <color indexed="32"/>
      <name val="Times New Roman"/>
      <family val="1"/>
    </font>
    <font>
      <sz val="12"/>
      <color indexed="9"/>
      <name val="Times New Roman"/>
      <family val="1"/>
    </font>
    <font>
      <b/>
      <sz val="12"/>
      <color indexed="9"/>
      <name val="Times New Roman"/>
      <family val="1"/>
    </font>
    <font>
      <sz val="12"/>
      <color indexed="18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2"/>
      <color indexed="9"/>
      <name val="標楷體"/>
      <family val="4"/>
      <charset val="136"/>
    </font>
    <font>
      <sz val="14"/>
      <color indexed="9"/>
      <name val="標楷體"/>
      <family val="4"/>
      <charset val="136"/>
    </font>
    <font>
      <sz val="12"/>
      <color indexed="18"/>
      <name val="標楷體"/>
      <family val="4"/>
      <charset val="136"/>
    </font>
    <font>
      <sz val="11"/>
      <color indexed="18"/>
      <name val="Times New Roman"/>
      <family val="1"/>
    </font>
    <font>
      <sz val="12"/>
      <name val="標楷體"/>
      <family val="4"/>
      <charset val="136"/>
    </font>
    <font>
      <sz val="12"/>
      <color indexed="43"/>
      <name val="標楷體"/>
      <family val="4"/>
      <charset val="136"/>
    </font>
    <font>
      <sz val="12"/>
      <color indexed="43"/>
      <name val="Times New Roman"/>
      <family val="1"/>
    </font>
    <font>
      <b/>
      <sz val="12"/>
      <color indexed="48"/>
      <name val="標楷體"/>
      <family val="4"/>
      <charset val="136"/>
    </font>
    <font>
      <sz val="14"/>
      <color indexed="9"/>
      <name val="Times New Roman"/>
      <family val="1"/>
    </font>
    <font>
      <sz val="12"/>
      <name val="Times New Roman"/>
      <family val="1"/>
    </font>
    <font>
      <sz val="12"/>
      <color indexed="48"/>
      <name val="Times New Roman"/>
      <family val="1"/>
    </font>
    <font>
      <sz val="12"/>
      <color indexed="26"/>
      <name val="Times New Roman"/>
      <family val="1"/>
    </font>
    <font>
      <b/>
      <sz val="12"/>
      <color indexed="16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color indexed="9"/>
      <name val="細明體"/>
      <family val="3"/>
      <charset val="136"/>
    </font>
    <font>
      <sz val="18"/>
      <color indexed="9"/>
      <name val="華康細圓體"/>
      <family val="3"/>
      <charset val="136"/>
    </font>
    <font>
      <b/>
      <sz val="11"/>
      <color indexed="9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sz val="14"/>
      <name val="Times New Roman"/>
      <family val="1"/>
    </font>
    <font>
      <sz val="11"/>
      <name val="標楷體"/>
      <family val="4"/>
      <charset val="136"/>
    </font>
    <font>
      <sz val="14"/>
      <name val="標楷體"/>
      <family val="4"/>
      <charset val="136"/>
    </font>
    <font>
      <sz val="20"/>
      <color indexed="60"/>
      <name val="標楷體"/>
      <family val="4"/>
      <charset val="136"/>
    </font>
    <font>
      <b/>
      <sz val="12"/>
      <color indexed="9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b/>
      <sz val="12"/>
      <color indexed="16"/>
      <name val="標楷體"/>
      <family val="4"/>
      <charset val="136"/>
    </font>
    <font>
      <sz val="16"/>
      <color indexed="60"/>
      <name val="標楷體"/>
      <family val="4"/>
      <charset val="136"/>
    </font>
    <font>
      <sz val="16"/>
      <color indexed="60"/>
      <name val="Times New Roman"/>
      <family val="1"/>
    </font>
    <font>
      <sz val="9"/>
      <name val="細明體"/>
      <family val="3"/>
      <charset val="136"/>
    </font>
    <font>
      <sz val="11"/>
      <color indexed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8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24"/>
      </patternFill>
    </fill>
    <fill>
      <patternFill patternType="solid">
        <fgColor indexed="48"/>
        <bgColor indexed="24"/>
      </patternFill>
    </fill>
    <fill>
      <patternFill patternType="solid">
        <fgColor indexed="5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59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177" fontId="10" fillId="0" borderId="0" applyFill="0" applyBorder="0" applyProtection="0">
      <alignment vertical="center"/>
    </xf>
    <xf numFmtId="9" fontId="3" fillId="0" borderId="0" applyFont="0" applyFill="0" applyBorder="0" applyAlignment="0" applyProtection="0"/>
    <xf numFmtId="0" fontId="4" fillId="2" borderId="0">
      <alignment horizontal="center" vertical="center"/>
    </xf>
    <xf numFmtId="3" fontId="6" fillId="3" borderId="0"/>
  </cellStyleXfs>
  <cellXfs count="147">
    <xf numFmtId="0" fontId="0" fillId="0" borderId="0" xfId="0"/>
    <xf numFmtId="0" fontId="12" fillId="4" borderId="1" xfId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 shrinkToFit="1"/>
    </xf>
    <xf numFmtId="0" fontId="12" fillId="4" borderId="0" xfId="1" applyFont="1" applyFill="1" applyBorder="1" applyAlignment="1">
      <alignment horizontal="center" shrinkToFit="1"/>
    </xf>
    <xf numFmtId="0" fontId="12" fillId="4" borderId="0" xfId="1" applyFont="1" applyFill="1" applyBorder="1" applyAlignment="1">
      <alignment horizontal="center"/>
    </xf>
    <xf numFmtId="0" fontId="1" fillId="0" borderId="0" xfId="1" applyFont="1"/>
    <xf numFmtId="0" fontId="13" fillId="4" borderId="2" xfId="1" applyFont="1" applyFill="1" applyBorder="1" applyAlignment="1">
      <alignment horizontal="center"/>
    </xf>
    <xf numFmtId="0" fontId="14" fillId="5" borderId="0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1" fillId="3" borderId="0" xfId="1" applyFont="1" applyFill="1"/>
    <xf numFmtId="0" fontId="1" fillId="7" borderId="0" xfId="1" applyFont="1" applyFill="1"/>
    <xf numFmtId="0" fontId="1" fillId="8" borderId="0" xfId="1" applyFont="1" applyFill="1"/>
    <xf numFmtId="0" fontId="16" fillId="9" borderId="0" xfId="1" applyFont="1" applyFill="1"/>
    <xf numFmtId="0" fontId="18" fillId="10" borderId="0" xfId="1" applyFont="1" applyFill="1" applyBorder="1" applyAlignment="1">
      <alignment horizontal="left"/>
    </xf>
    <xf numFmtId="0" fontId="19" fillId="11" borderId="0" xfId="1" applyFont="1" applyFill="1" applyBorder="1" applyAlignment="1">
      <alignment horizontal="left"/>
    </xf>
    <xf numFmtId="0" fontId="18" fillId="12" borderId="0" xfId="1" applyFont="1" applyFill="1" applyAlignment="1">
      <alignment horizontal="left"/>
    </xf>
    <xf numFmtId="0" fontId="18" fillId="12" borderId="0" xfId="1" applyFont="1" applyFill="1"/>
    <xf numFmtId="0" fontId="12" fillId="13" borderId="0" xfId="1" applyFont="1" applyFill="1" applyBorder="1" applyAlignment="1">
      <alignment horizontal="center"/>
    </xf>
    <xf numFmtId="0" fontId="12" fillId="14" borderId="0" xfId="1" applyFont="1" applyFill="1"/>
    <xf numFmtId="0" fontId="12" fillId="15" borderId="0" xfId="1" applyFont="1" applyFill="1"/>
    <xf numFmtId="0" fontId="12" fillId="15" borderId="0" xfId="1" applyFont="1" applyFill="1" applyAlignment="1">
      <alignment shrinkToFit="1"/>
    </xf>
    <xf numFmtId="0" fontId="7" fillId="14" borderId="0" xfId="1" applyFont="1" applyFill="1"/>
    <xf numFmtId="0" fontId="9" fillId="3" borderId="0" xfId="1" applyFont="1" applyFill="1"/>
    <xf numFmtId="9" fontId="9" fillId="3" borderId="0" xfId="1" applyNumberFormat="1" applyFont="1" applyFill="1"/>
    <xf numFmtId="0" fontId="13" fillId="4" borderId="3" xfId="5" applyFont="1" applyFill="1" applyBorder="1" applyAlignment="1">
      <alignment horizontal="center"/>
    </xf>
    <xf numFmtId="0" fontId="13" fillId="4" borderId="1" xfId="5" applyFont="1" applyFill="1" applyBorder="1" applyAlignment="1">
      <alignment horizontal="center"/>
    </xf>
    <xf numFmtId="0" fontId="13" fillId="4" borderId="4" xfId="5" applyFont="1" applyFill="1" applyBorder="1" applyAlignment="1">
      <alignment horizontal="center"/>
    </xf>
    <xf numFmtId="0" fontId="14" fillId="5" borderId="2" xfId="5" applyFont="1" applyFill="1" applyBorder="1" applyAlignment="1">
      <alignment horizontal="center"/>
    </xf>
    <xf numFmtId="0" fontId="14" fillId="5" borderId="0" xfId="5" applyFont="1" applyFill="1" applyBorder="1" applyAlignment="1">
      <alignment horizontal="center"/>
    </xf>
    <xf numFmtId="0" fontId="14" fillId="5" borderId="5" xfId="5" applyFont="1" applyFill="1" applyBorder="1" applyAlignment="1">
      <alignment horizontal="center"/>
    </xf>
    <xf numFmtId="0" fontId="16" fillId="16" borderId="0" xfId="5" applyFont="1" applyFill="1"/>
    <xf numFmtId="0" fontId="21" fillId="0" borderId="0" xfId="5" applyFont="1"/>
    <xf numFmtId="0" fontId="15" fillId="6" borderId="0" xfId="5" applyFont="1" applyFill="1" applyBorder="1" applyAlignment="1">
      <alignment horizontal="right"/>
    </xf>
    <xf numFmtId="0" fontId="22" fillId="11" borderId="0" xfId="5" applyFont="1" applyFill="1" applyBorder="1" applyAlignment="1">
      <alignment horizontal="right"/>
    </xf>
    <xf numFmtId="0" fontId="23" fillId="10" borderId="0" xfId="5" applyFont="1" applyFill="1" applyBorder="1" applyAlignment="1">
      <alignment horizontal="right"/>
    </xf>
    <xf numFmtId="0" fontId="24" fillId="17" borderId="6" xfId="5" applyFont="1" applyFill="1" applyBorder="1" applyAlignment="1">
      <alignment horizontal="right"/>
    </xf>
    <xf numFmtId="0" fontId="25" fillId="0" borderId="0" xfId="5" applyFont="1"/>
    <xf numFmtId="0" fontId="15" fillId="6" borderId="5" xfId="5" applyFont="1" applyFill="1" applyBorder="1" applyAlignment="1">
      <alignment horizontal="right"/>
    </xf>
    <xf numFmtId="0" fontId="22" fillId="11" borderId="5" xfId="5" applyFont="1" applyFill="1" applyBorder="1" applyAlignment="1">
      <alignment horizontal="right"/>
    </xf>
    <xf numFmtId="0" fontId="23" fillId="10" borderId="5" xfId="5" applyFont="1" applyFill="1" applyBorder="1" applyAlignment="1">
      <alignment horizontal="right"/>
    </xf>
    <xf numFmtId="0" fontId="24" fillId="17" borderId="7" xfId="5" applyFont="1" applyFill="1" applyBorder="1" applyAlignment="1">
      <alignment horizontal="right"/>
    </xf>
    <xf numFmtId="0" fontId="26" fillId="0" borderId="0" xfId="5" applyFont="1"/>
    <xf numFmtId="176" fontId="26" fillId="3" borderId="0" xfId="7" applyNumberFormat="1" applyFont="1" applyFill="1"/>
    <xf numFmtId="0" fontId="26" fillId="16" borderId="0" xfId="5" applyFont="1" applyFill="1"/>
    <xf numFmtId="0" fontId="26" fillId="0" borderId="0" xfId="0" applyFont="1"/>
    <xf numFmtId="0" fontId="26" fillId="16" borderId="0" xfId="0" applyFont="1" applyFill="1"/>
    <xf numFmtId="0" fontId="1" fillId="16" borderId="0" xfId="0" applyFont="1" applyFill="1"/>
    <xf numFmtId="0" fontId="1" fillId="16" borderId="0" xfId="1" applyFont="1" applyFill="1"/>
    <xf numFmtId="0" fontId="28" fillId="18" borderId="0" xfId="3" applyFont="1" applyFill="1" applyBorder="1" applyAlignment="1">
      <alignment horizontal="centerContinuous"/>
    </xf>
    <xf numFmtId="0" fontId="8" fillId="18" borderId="0" xfId="3" applyFont="1" applyFill="1" applyBorder="1" applyAlignment="1">
      <alignment horizontal="centerContinuous"/>
    </xf>
    <xf numFmtId="0" fontId="2" fillId="0" borderId="0" xfId="3">
      <alignment vertical="center"/>
    </xf>
    <xf numFmtId="0" fontId="2" fillId="0" borderId="0" xfId="3" applyFont="1">
      <alignment vertical="center"/>
    </xf>
    <xf numFmtId="9" fontId="2" fillId="0" borderId="0" xfId="3" applyNumberFormat="1" applyFont="1">
      <alignment vertical="center"/>
    </xf>
    <xf numFmtId="0" fontId="27" fillId="19" borderId="8" xfId="3" applyFont="1" applyFill="1" applyBorder="1" applyAlignment="1">
      <alignment horizontal="center" vertical="center"/>
    </xf>
    <xf numFmtId="1" fontId="29" fillId="20" borderId="9" xfId="4" applyNumberFormat="1" applyFont="1" applyFill="1" applyBorder="1" applyAlignment="1">
      <alignment horizontal="center" vertical="center"/>
    </xf>
    <xf numFmtId="0" fontId="27" fillId="21" borderId="8" xfId="3" applyFont="1" applyFill="1" applyBorder="1" applyAlignment="1">
      <alignment horizontal="center" vertical="center"/>
    </xf>
    <xf numFmtId="0" fontId="30" fillId="3" borderId="0" xfId="3" applyFont="1" applyFill="1">
      <alignment vertical="center"/>
    </xf>
    <xf numFmtId="0" fontId="2" fillId="3" borderId="0" xfId="3" applyFill="1">
      <alignment vertical="center"/>
    </xf>
    <xf numFmtId="12" fontId="2" fillId="3" borderId="0" xfId="3" applyNumberFormat="1" applyFill="1">
      <alignment vertical="center"/>
    </xf>
    <xf numFmtId="0" fontId="31" fillId="3" borderId="0" xfId="3" applyFont="1" applyFill="1">
      <alignment vertical="center"/>
    </xf>
    <xf numFmtId="12" fontId="31" fillId="3" borderId="0" xfId="3" applyNumberFormat="1" applyFont="1" applyFill="1">
      <alignment vertical="center"/>
    </xf>
    <xf numFmtId="0" fontId="31" fillId="0" borderId="0" xfId="3" applyFont="1">
      <alignment vertical="center"/>
    </xf>
    <xf numFmtId="9" fontId="31" fillId="0" borderId="0" xfId="3" applyNumberFormat="1" applyFont="1">
      <alignment vertical="center"/>
    </xf>
    <xf numFmtId="0" fontId="29" fillId="20" borderId="9" xfId="4" applyFont="1" applyFill="1" applyBorder="1" applyAlignment="1">
      <alignment horizontal="center" vertical="center"/>
    </xf>
    <xf numFmtId="186" fontId="31" fillId="3" borderId="0" xfId="3" applyNumberFormat="1" applyFont="1" applyFill="1">
      <alignment vertical="center"/>
    </xf>
    <xf numFmtId="0" fontId="33" fillId="0" borderId="0" xfId="3" applyFont="1">
      <alignment vertical="center"/>
    </xf>
    <xf numFmtId="0" fontId="33" fillId="16" borderId="0" xfId="3" applyFont="1" applyFill="1">
      <alignment vertical="center"/>
    </xf>
    <xf numFmtId="0" fontId="31" fillId="16" borderId="0" xfId="0" applyFont="1" applyFill="1"/>
    <xf numFmtId="0" fontId="35" fillId="16" borderId="0" xfId="3" applyFont="1" applyFill="1">
      <alignment vertical="center"/>
    </xf>
    <xf numFmtId="1" fontId="36" fillId="0" borderId="0" xfId="4" applyNumberFormat="1" applyFont="1" applyAlignment="1">
      <alignment horizontal="centerContinuous" vertical="center" wrapText="1"/>
    </xf>
    <xf numFmtId="1" fontId="16" fillId="0" borderId="0" xfId="4" applyNumberFormat="1" applyFont="1" applyAlignment="1">
      <alignment horizontal="centerContinuous" vertical="center"/>
    </xf>
    <xf numFmtId="0" fontId="16" fillId="0" borderId="0" xfId="4" applyFont="1" applyAlignment="1">
      <alignment horizontal="centerContinuous" vertical="center"/>
    </xf>
    <xf numFmtId="0" fontId="16" fillId="0" borderId="0" xfId="4" applyFont="1" applyAlignment="1">
      <alignment vertical="center"/>
    </xf>
    <xf numFmtId="1" fontId="16" fillId="0" borderId="0" xfId="4" applyNumberFormat="1" applyFont="1" applyAlignment="1">
      <alignment horizontal="right" vertical="center"/>
    </xf>
    <xf numFmtId="0" fontId="16" fillId="0" borderId="0" xfId="4" applyFont="1" applyAlignment="1">
      <alignment horizontal="center" vertical="center"/>
    </xf>
    <xf numFmtId="1" fontId="16" fillId="0" borderId="0" xfId="4" applyNumberFormat="1" applyFont="1" applyAlignment="1">
      <alignment horizontal="center" vertical="center"/>
    </xf>
    <xf numFmtId="57" fontId="16" fillId="0" borderId="0" xfId="4" applyNumberFormat="1" applyFont="1" applyAlignment="1">
      <alignment horizontal="center" vertical="center"/>
    </xf>
    <xf numFmtId="1" fontId="37" fillId="20" borderId="9" xfId="4" applyNumberFormat="1" applyFont="1" applyFill="1" applyBorder="1" applyAlignment="1">
      <alignment horizontal="center" vertical="center"/>
    </xf>
    <xf numFmtId="0" fontId="37" fillId="20" borderId="9" xfId="4" applyFont="1" applyFill="1" applyBorder="1" applyAlignment="1">
      <alignment horizontal="center" vertical="center"/>
    </xf>
    <xf numFmtId="22" fontId="16" fillId="0" borderId="0" xfId="4" applyNumberFormat="1" applyFont="1" applyAlignment="1">
      <alignment horizontal="center" vertical="center"/>
    </xf>
    <xf numFmtId="0" fontId="16" fillId="0" borderId="0" xfId="4" applyNumberFormat="1" applyFont="1" applyAlignment="1">
      <alignment horizontal="center" vertical="center"/>
    </xf>
    <xf numFmtId="1" fontId="39" fillId="22" borderId="0" xfId="4" applyNumberFormat="1" applyFont="1" applyFill="1" applyBorder="1" applyAlignment="1">
      <alignment vertical="center"/>
    </xf>
    <xf numFmtId="187" fontId="38" fillId="22" borderId="0" xfId="4" applyNumberFormat="1" applyFont="1" applyFill="1" applyBorder="1" applyAlignment="1">
      <alignment vertical="center"/>
    </xf>
    <xf numFmtId="0" fontId="38" fillId="22" borderId="0" xfId="0" applyFont="1" applyFill="1" applyBorder="1" applyAlignment="1"/>
    <xf numFmtId="187" fontId="38" fillId="22" borderId="10" xfId="4" applyNumberFormat="1" applyFont="1" applyFill="1" applyBorder="1" applyAlignment="1">
      <alignment vertical="center"/>
    </xf>
    <xf numFmtId="0" fontId="38" fillId="22" borderId="10" xfId="0" applyFont="1" applyFill="1" applyBorder="1" applyAlignment="1"/>
    <xf numFmtId="1" fontId="39" fillId="22" borderId="10" xfId="4" applyNumberFormat="1" applyFont="1" applyFill="1" applyBorder="1" applyAlignment="1">
      <alignment vertical="center"/>
    </xf>
    <xf numFmtId="1" fontId="40" fillId="23" borderId="11" xfId="4" applyNumberFormat="1" applyFont="1" applyFill="1" applyBorder="1" applyAlignment="1">
      <alignment horizontal="left" vertical="center"/>
    </xf>
    <xf numFmtId="1" fontId="40" fillId="23" borderId="12" xfId="4" applyNumberFormat="1" applyFont="1" applyFill="1" applyBorder="1" applyAlignment="1">
      <alignment horizontal="left" vertical="center"/>
    </xf>
    <xf numFmtId="1" fontId="39" fillId="23" borderId="0" xfId="4" applyNumberFormat="1" applyFont="1" applyFill="1" applyBorder="1" applyAlignment="1">
      <alignment vertical="center"/>
    </xf>
    <xf numFmtId="187" fontId="38" fillId="23" borderId="0" xfId="4" applyNumberFormat="1" applyFont="1" applyFill="1" applyBorder="1" applyAlignment="1">
      <alignment vertical="center"/>
    </xf>
    <xf numFmtId="0" fontId="38" fillId="23" borderId="0" xfId="0" applyFont="1" applyFill="1" applyBorder="1" applyAlignment="1"/>
    <xf numFmtId="0" fontId="38" fillId="23" borderId="13" xfId="4" applyNumberFormat="1" applyFont="1" applyFill="1" applyBorder="1" applyAlignment="1">
      <alignment horizontal="left" vertical="center"/>
    </xf>
    <xf numFmtId="0" fontId="38" fillId="22" borderId="13" xfId="4" applyNumberFormat="1" applyFont="1" applyFill="1" applyBorder="1" applyAlignment="1">
      <alignment horizontal="left" vertical="center"/>
    </xf>
    <xf numFmtId="0" fontId="38" fillId="22" borderId="14" xfId="4" applyNumberFormat="1" applyFont="1" applyFill="1" applyBorder="1" applyAlignment="1">
      <alignment horizontal="left" vertical="center"/>
    </xf>
    <xf numFmtId="0" fontId="40" fillId="23" borderId="12" xfId="4" applyFont="1" applyFill="1" applyBorder="1" applyAlignment="1">
      <alignment horizontal="center" vertical="center"/>
    </xf>
    <xf numFmtId="1" fontId="40" fillId="23" borderId="12" xfId="4" applyNumberFormat="1" applyFont="1" applyFill="1" applyBorder="1" applyAlignment="1">
      <alignment horizontal="center" vertical="center"/>
    </xf>
    <xf numFmtId="1" fontId="40" fillId="23" borderId="15" xfId="4" applyNumberFormat="1" applyFont="1" applyFill="1" applyBorder="1" applyAlignment="1">
      <alignment horizontal="center" vertical="center"/>
    </xf>
    <xf numFmtId="187" fontId="16" fillId="0" borderId="0" xfId="4" applyNumberFormat="1" applyFont="1" applyAlignment="1">
      <alignment horizontal="center" vertical="center"/>
    </xf>
    <xf numFmtId="1" fontId="39" fillId="23" borderId="16" xfId="4" applyNumberFormat="1" applyFont="1" applyFill="1" applyBorder="1" applyAlignment="1">
      <alignment vertical="center"/>
    </xf>
    <xf numFmtId="1" fontId="39" fillId="22" borderId="16" xfId="4" applyNumberFormat="1" applyFont="1" applyFill="1" applyBorder="1" applyAlignment="1">
      <alignment vertical="center"/>
    </xf>
    <xf numFmtId="1" fontId="39" fillId="22" borderId="17" xfId="4" applyNumberFormat="1" applyFont="1" applyFill="1" applyBorder="1" applyAlignment="1">
      <alignment vertical="center"/>
    </xf>
    <xf numFmtId="0" fontId="1" fillId="0" borderId="0" xfId="4" applyFont="1" applyAlignment="1">
      <alignment vertical="center"/>
    </xf>
    <xf numFmtId="0" fontId="1" fillId="0" borderId="0" xfId="2" applyFont="1">
      <alignment vertical="center"/>
    </xf>
    <xf numFmtId="1" fontId="16" fillId="0" borderId="0" xfId="4" applyNumberFormat="1" applyFont="1" applyAlignment="1">
      <alignment horizontal="left" vertical="center"/>
    </xf>
    <xf numFmtId="0" fontId="1" fillId="0" borderId="0" xfId="4" applyFont="1" applyAlignment="1">
      <alignment horizontal="center" vertical="center"/>
    </xf>
    <xf numFmtId="57" fontId="1" fillId="0" borderId="0" xfId="4" applyNumberFormat="1" applyFont="1" applyAlignment="1">
      <alignment horizontal="center" vertical="center"/>
    </xf>
    <xf numFmtId="1" fontId="1" fillId="0" borderId="0" xfId="4" applyNumberFormat="1" applyFont="1" applyAlignment="1">
      <alignment horizontal="center" vertical="center"/>
    </xf>
    <xf numFmtId="186" fontId="1" fillId="0" borderId="0" xfId="4" applyNumberFormat="1" applyFont="1" applyAlignment="1">
      <alignment horizontal="center" vertical="center"/>
    </xf>
    <xf numFmtId="186" fontId="37" fillId="20" borderId="9" xfId="4" applyNumberFormat="1" applyFont="1" applyFill="1" applyBorder="1" applyAlignment="1">
      <alignment horizontal="center" vertical="center"/>
    </xf>
    <xf numFmtId="187" fontId="1" fillId="0" borderId="0" xfId="2" applyNumberFormat="1" applyFont="1">
      <alignment vertical="center"/>
    </xf>
    <xf numFmtId="0" fontId="39" fillId="0" borderId="0" xfId="2" applyFont="1" applyFill="1" applyBorder="1" applyAlignment="1"/>
    <xf numFmtId="186" fontId="1" fillId="0" borderId="0" xfId="2" applyNumberFormat="1" applyFont="1">
      <alignment vertical="center"/>
    </xf>
    <xf numFmtId="0" fontId="1" fillId="3" borderId="0" xfId="2" applyNumberFormat="1" applyFont="1" applyFill="1">
      <alignment vertical="center"/>
    </xf>
    <xf numFmtId="0" fontId="1" fillId="3" borderId="0" xfId="2" applyFont="1" applyFill="1">
      <alignment vertical="center"/>
    </xf>
    <xf numFmtId="176" fontId="1" fillId="3" borderId="0" xfId="7" applyNumberFormat="1" applyFont="1" applyFill="1" applyAlignment="1">
      <alignment vertical="center"/>
    </xf>
    <xf numFmtId="9" fontId="1" fillId="0" borderId="0" xfId="2" applyNumberFormat="1" applyFont="1">
      <alignment vertical="center"/>
    </xf>
    <xf numFmtId="186" fontId="1" fillId="3" borderId="0" xfId="2" applyNumberFormat="1" applyFont="1" applyFill="1">
      <alignment vertical="center"/>
    </xf>
    <xf numFmtId="0" fontId="16" fillId="3" borderId="0" xfId="2" applyFont="1" applyFill="1">
      <alignment vertical="center"/>
    </xf>
    <xf numFmtId="43" fontId="39" fillId="23" borderId="0" xfId="6" applyNumberFormat="1" applyFont="1" applyFill="1" applyBorder="1" applyAlignment="1">
      <alignment horizontal="center"/>
    </xf>
    <xf numFmtId="43" fontId="39" fillId="22" borderId="0" xfId="6" applyNumberFormat="1" applyFont="1" applyFill="1" applyBorder="1" applyAlignment="1">
      <alignment horizontal="center"/>
    </xf>
    <xf numFmtId="0" fontId="39" fillId="23" borderId="0" xfId="5" applyFont="1" applyFill="1" applyBorder="1" applyAlignment="1">
      <alignment horizontal="center"/>
    </xf>
    <xf numFmtId="0" fontId="39" fillId="22" borderId="0" xfId="5" applyFont="1" applyFill="1" applyBorder="1" applyAlignment="1">
      <alignment horizontal="center"/>
    </xf>
    <xf numFmtId="0" fontId="39" fillId="22" borderId="10" xfId="5" applyFont="1" applyFill="1" applyBorder="1" applyAlignment="1">
      <alignment horizontal="center"/>
    </xf>
    <xf numFmtId="1" fontId="39" fillId="23" borderId="0" xfId="4" applyNumberFormat="1" applyFont="1" applyFill="1" applyBorder="1" applyAlignment="1">
      <alignment horizontal="center" vertical="center"/>
    </xf>
    <xf numFmtId="0" fontId="16" fillId="8" borderId="0" xfId="5" applyFont="1" applyFill="1"/>
    <xf numFmtId="0" fontId="12" fillId="24" borderId="0" xfId="5" applyFont="1" applyFill="1"/>
    <xf numFmtId="0" fontId="1" fillId="9" borderId="0" xfId="5" applyFont="1" applyFill="1"/>
    <xf numFmtId="0" fontId="1" fillId="0" borderId="0" xfId="5" applyFont="1"/>
    <xf numFmtId="8" fontId="21" fillId="3" borderId="0" xfId="5" applyNumberFormat="1" applyFont="1" applyFill="1"/>
    <xf numFmtId="8" fontId="21" fillId="0" borderId="0" xfId="5" applyNumberFormat="1" applyFont="1"/>
    <xf numFmtId="186" fontId="44" fillId="0" borderId="8" xfId="0" applyNumberFormat="1" applyFont="1" applyBorder="1" applyAlignment="1">
      <alignment horizontal="right" vertical="top" wrapText="1"/>
    </xf>
    <xf numFmtId="186" fontId="44" fillId="0" borderId="18" xfId="0" applyNumberFormat="1" applyFont="1" applyBorder="1" applyAlignment="1">
      <alignment horizontal="right" vertical="top" wrapText="1"/>
    </xf>
    <xf numFmtId="10" fontId="44" fillId="0" borderId="8" xfId="9" applyNumberFormat="1" applyFont="1" applyBorder="1" applyAlignment="1">
      <alignment horizontal="right" vertical="top" wrapText="1"/>
    </xf>
    <xf numFmtId="10" fontId="44" fillId="0" borderId="18" xfId="9" applyNumberFormat="1" applyFont="1" applyBorder="1" applyAlignment="1">
      <alignment horizontal="right" vertical="top" wrapText="1"/>
    </xf>
    <xf numFmtId="0" fontId="27" fillId="25" borderId="0" xfId="0" applyFont="1" applyFill="1"/>
    <xf numFmtId="0" fontId="34" fillId="0" borderId="8" xfId="0" applyFont="1" applyBorder="1" applyAlignment="1">
      <alignment vertical="center" wrapText="1"/>
    </xf>
    <xf numFmtId="0" fontId="12" fillId="26" borderId="0" xfId="1" applyFont="1" applyFill="1"/>
    <xf numFmtId="0" fontId="16" fillId="3" borderId="0" xfId="1" applyNumberFormat="1" applyFont="1" applyFill="1"/>
    <xf numFmtId="0" fontId="13" fillId="4" borderId="19" xfId="5" applyFont="1" applyFill="1" applyBorder="1" applyAlignment="1">
      <alignment horizontal="center"/>
    </xf>
    <xf numFmtId="0" fontId="20" fillId="4" borderId="20" xfId="5" applyFont="1" applyFill="1" applyBorder="1" applyAlignment="1">
      <alignment horizontal="center"/>
    </xf>
    <xf numFmtId="0" fontId="20" fillId="4" borderId="21" xfId="5" applyFont="1" applyFill="1" applyBorder="1" applyAlignment="1">
      <alignment horizontal="center"/>
    </xf>
    <xf numFmtId="1" fontId="41" fillId="0" borderId="0" xfId="4" applyNumberFormat="1" applyFont="1" applyAlignment="1">
      <alignment horizontal="center" vertical="center" wrapText="1"/>
    </xf>
    <xf numFmtId="1" fontId="42" fillId="0" borderId="0" xfId="4" applyNumberFormat="1" applyFont="1" applyAlignment="1">
      <alignment horizontal="center" vertical="center" wrapText="1"/>
    </xf>
    <xf numFmtId="14" fontId="1" fillId="3" borderId="0" xfId="4" applyNumberFormat="1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</cellXfs>
  <cellStyles count="12">
    <cellStyle name="一般" xfId="0" builtinId="0"/>
    <cellStyle name="一般_Excel 函數進階考題(解答)" xfId="1"/>
    <cellStyle name="一般_Excel進階函數考題(答案)" xfId="2"/>
    <cellStyle name="一般_Excel進階函數考題3(答案)" xfId="3"/>
    <cellStyle name="一般_EXD03" xfId="4"/>
    <cellStyle name="一般_作業05" xfId="5"/>
    <cellStyle name="一般_範例一" xfId="6"/>
    <cellStyle name="千分位" xfId="7" builtinId="3"/>
    <cellStyle name="成績" xfId="8"/>
    <cellStyle name="百分比" xfId="9" builtinId="5"/>
    <cellStyle name="產品名稱" xfId="10"/>
    <cellStyle name="練習專用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14</xdr:col>
      <xdr:colOff>600075</xdr:colOff>
      <xdr:row>53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9229725" cy="3619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7" sqref="F7"/>
    </sheetView>
  </sheetViews>
  <sheetFormatPr defaultColWidth="8" defaultRowHeight="15.75"/>
  <cols>
    <col min="1" max="1" width="8.75" style="41" customWidth="1"/>
    <col min="2" max="16384" width="8" style="41"/>
  </cols>
  <sheetData>
    <row r="1" spans="1:8" s="31" customFormat="1" ht="19.5">
      <c r="A1" s="139" t="s">
        <v>68</v>
      </c>
      <c r="B1" s="140"/>
      <c r="C1" s="140"/>
      <c r="D1" s="140"/>
      <c r="E1" s="140"/>
      <c r="F1" s="140"/>
      <c r="G1" s="141"/>
    </row>
    <row r="2" spans="1:8" s="31" customFormat="1" ht="19.5">
      <c r="A2" s="24" t="s">
        <v>69</v>
      </c>
      <c r="B2" s="25" t="s">
        <v>7</v>
      </c>
      <c r="C2" s="25" t="s">
        <v>70</v>
      </c>
      <c r="D2" s="25" t="s">
        <v>71</v>
      </c>
      <c r="E2" s="25" t="s">
        <v>72</v>
      </c>
      <c r="F2" s="25" t="s">
        <v>73</v>
      </c>
      <c r="G2" s="26" t="s">
        <v>74</v>
      </c>
    </row>
    <row r="3" spans="1:8" s="36" customFormat="1" ht="16.5">
      <c r="A3" s="27" t="s">
        <v>75</v>
      </c>
      <c r="B3" s="28" t="s">
        <v>5</v>
      </c>
      <c r="C3" s="28" t="s">
        <v>76</v>
      </c>
      <c r="D3" s="32">
        <v>1500</v>
      </c>
      <c r="E3" s="33">
        <v>1900</v>
      </c>
      <c r="F3" s="34">
        <f t="shared" ref="F3:F13" si="0">AVERAGE(D3:E3)</f>
        <v>1700</v>
      </c>
      <c r="G3" s="35">
        <f t="shared" ref="G3:G13" si="1">SUM(D3:E3)</f>
        <v>3400</v>
      </c>
    </row>
    <row r="4" spans="1:8" s="36" customFormat="1" ht="16.5">
      <c r="A4" s="27" t="s">
        <v>63</v>
      </c>
      <c r="B4" s="28" t="s">
        <v>9</v>
      </c>
      <c r="C4" s="28" t="s">
        <v>64</v>
      </c>
      <c r="D4" s="32">
        <v>2000</v>
      </c>
      <c r="E4" s="33">
        <v>800</v>
      </c>
      <c r="F4" s="34">
        <f t="shared" si="0"/>
        <v>1400</v>
      </c>
      <c r="G4" s="35">
        <f t="shared" si="1"/>
        <v>2800</v>
      </c>
    </row>
    <row r="5" spans="1:8" s="36" customFormat="1" ht="16.5">
      <c r="A5" s="27" t="s">
        <v>63</v>
      </c>
      <c r="B5" s="28" t="s">
        <v>3</v>
      </c>
      <c r="C5" s="28" t="s">
        <v>64</v>
      </c>
      <c r="D5" s="32">
        <v>500</v>
      </c>
      <c r="E5" s="33">
        <v>700</v>
      </c>
      <c r="F5" s="34">
        <f t="shared" si="0"/>
        <v>600</v>
      </c>
      <c r="G5" s="35">
        <f t="shared" si="1"/>
        <v>1200</v>
      </c>
    </row>
    <row r="6" spans="1:8" s="36" customFormat="1" ht="16.5">
      <c r="A6" s="27" t="s">
        <v>65</v>
      </c>
      <c r="B6" s="28" t="s">
        <v>6</v>
      </c>
      <c r="C6" s="28" t="s">
        <v>66</v>
      </c>
      <c r="D6" s="32">
        <v>800</v>
      </c>
      <c r="E6" s="33">
        <v>1000</v>
      </c>
      <c r="F6" s="34">
        <f t="shared" si="0"/>
        <v>900</v>
      </c>
      <c r="G6" s="35">
        <f t="shared" si="1"/>
        <v>1800</v>
      </c>
    </row>
    <row r="7" spans="1:8" s="36" customFormat="1" ht="16.5">
      <c r="A7" s="27" t="s">
        <v>65</v>
      </c>
      <c r="B7" s="28" t="s">
        <v>12</v>
      </c>
      <c r="C7" s="28" t="s">
        <v>66</v>
      </c>
      <c r="D7" s="32" t="e">
        <v>#N/A</v>
      </c>
      <c r="E7" s="33">
        <v>0</v>
      </c>
      <c r="F7" s="34" t="e">
        <f t="shared" si="0"/>
        <v>#N/A</v>
      </c>
      <c r="G7" s="35" t="e">
        <f t="shared" si="1"/>
        <v>#N/A</v>
      </c>
    </row>
    <row r="8" spans="1:8" s="36" customFormat="1" ht="16.5">
      <c r="A8" s="27" t="s">
        <v>65</v>
      </c>
      <c r="B8" s="28" t="s">
        <v>1</v>
      </c>
      <c r="C8" s="28" t="s">
        <v>64</v>
      </c>
      <c r="D8" s="32">
        <v>800</v>
      </c>
      <c r="E8" s="33">
        <v>2100</v>
      </c>
      <c r="F8" s="34">
        <f t="shared" si="0"/>
        <v>1450</v>
      </c>
      <c r="G8" s="35">
        <f t="shared" si="1"/>
        <v>2900</v>
      </c>
    </row>
    <row r="9" spans="1:8" s="36" customFormat="1" ht="16.5">
      <c r="A9" s="27" t="s">
        <v>65</v>
      </c>
      <c r="B9" s="28" t="s">
        <v>2</v>
      </c>
      <c r="C9" s="28" t="s">
        <v>64</v>
      </c>
      <c r="D9" s="32"/>
      <c r="E9" s="33">
        <v>1500</v>
      </c>
      <c r="F9" s="34">
        <f t="shared" si="0"/>
        <v>1500</v>
      </c>
      <c r="G9" s="35">
        <f t="shared" si="1"/>
        <v>1500</v>
      </c>
    </row>
    <row r="10" spans="1:8" s="36" customFormat="1" ht="16.5">
      <c r="A10" s="27" t="s">
        <v>65</v>
      </c>
      <c r="B10" s="28" t="s">
        <v>10</v>
      </c>
      <c r="C10" s="28" t="s">
        <v>64</v>
      </c>
      <c r="D10" s="32">
        <v>2200</v>
      </c>
      <c r="E10" s="33">
        <v>1700</v>
      </c>
      <c r="F10" s="34">
        <f t="shared" si="0"/>
        <v>1950</v>
      </c>
      <c r="G10" s="35">
        <f t="shared" si="1"/>
        <v>3900</v>
      </c>
    </row>
    <row r="11" spans="1:8" s="36" customFormat="1" ht="16.5">
      <c r="A11" s="27" t="s">
        <v>65</v>
      </c>
      <c r="B11" s="28" t="s">
        <v>4</v>
      </c>
      <c r="C11" s="28" t="s">
        <v>66</v>
      </c>
      <c r="D11" s="32">
        <v>1300</v>
      </c>
      <c r="E11" s="33">
        <v>500</v>
      </c>
      <c r="F11" s="34">
        <f t="shared" si="0"/>
        <v>900</v>
      </c>
      <c r="G11" s="35">
        <f t="shared" si="1"/>
        <v>1800</v>
      </c>
    </row>
    <row r="12" spans="1:8" s="36" customFormat="1" ht="16.5">
      <c r="A12" s="27" t="s">
        <v>67</v>
      </c>
      <c r="B12" s="28" t="s">
        <v>0</v>
      </c>
      <c r="C12" s="28" t="s">
        <v>66</v>
      </c>
      <c r="D12" s="32">
        <v>1800</v>
      </c>
      <c r="E12" s="33">
        <v>1000</v>
      </c>
      <c r="F12" s="34">
        <f t="shared" si="0"/>
        <v>1400</v>
      </c>
      <c r="G12" s="35">
        <f t="shared" si="1"/>
        <v>2800</v>
      </c>
    </row>
    <row r="13" spans="1:8" s="36" customFormat="1" ht="17.25" thickBot="1">
      <c r="A13" s="29" t="s">
        <v>67</v>
      </c>
      <c r="B13" s="29" t="s">
        <v>13</v>
      </c>
      <c r="C13" s="29" t="s">
        <v>66</v>
      </c>
      <c r="D13" s="37">
        <v>1800</v>
      </c>
      <c r="E13" s="38">
        <v>1700</v>
      </c>
      <c r="F13" s="39">
        <f t="shared" si="0"/>
        <v>1750</v>
      </c>
      <c r="G13" s="40">
        <f t="shared" si="1"/>
        <v>3500</v>
      </c>
    </row>
    <row r="14" spans="1:8">
      <c r="A14" s="36"/>
      <c r="B14" s="36"/>
      <c r="C14" s="36"/>
      <c r="D14" s="36"/>
      <c r="E14" s="36"/>
      <c r="F14" s="36"/>
    </row>
    <row r="15" spans="1:8" ht="16.5">
      <c r="A15" s="42">
        <f>SUMIF(總和,"&gt;3000")</f>
        <v>10800</v>
      </c>
      <c r="B15" s="30" t="s">
        <v>77</v>
      </c>
      <c r="C15" s="43"/>
      <c r="D15" s="43"/>
      <c r="E15" s="43"/>
      <c r="F15" s="43"/>
      <c r="G15" s="43"/>
      <c r="H15" s="43"/>
    </row>
    <row r="16" spans="1:8" ht="16.5">
      <c r="A16" s="42">
        <f ca="1">SUMIF(總和,"&gt;3000",D3:D12)</f>
        <v>5500</v>
      </c>
      <c r="B16" s="30" t="s">
        <v>78</v>
      </c>
      <c r="C16" s="43"/>
      <c r="D16" s="43"/>
      <c r="E16" s="43"/>
      <c r="F16" s="43"/>
      <c r="G16" s="43"/>
      <c r="H16" s="43"/>
    </row>
    <row r="17" spans="1:9" ht="16.5">
      <c r="A17" s="42">
        <f>COUNTIF(性別,"女")</f>
        <v>6</v>
      </c>
      <c r="B17" s="30" t="s">
        <v>79</v>
      </c>
      <c r="C17" s="43"/>
      <c r="D17" s="43"/>
      <c r="E17" s="43"/>
      <c r="F17" s="43"/>
      <c r="G17" s="43"/>
      <c r="H17" s="43"/>
    </row>
    <row r="18" spans="1:9" ht="16.5">
      <c r="A18" s="42">
        <f>COUNTIF(一月,"&gt;1850")</f>
        <v>2</v>
      </c>
      <c r="B18" s="30" t="s">
        <v>80</v>
      </c>
      <c r="C18" s="43"/>
      <c r="D18" s="43"/>
      <c r="E18" s="43"/>
      <c r="F18" s="43"/>
      <c r="G18" s="43"/>
      <c r="H18" s="43"/>
    </row>
    <row r="19" spans="1:9" ht="16.5">
      <c r="A19" s="42">
        <f>COUNT(一月)</f>
        <v>9</v>
      </c>
      <c r="B19" s="30" t="s">
        <v>81</v>
      </c>
      <c r="C19" s="45"/>
      <c r="D19" s="45"/>
      <c r="E19" s="45"/>
      <c r="F19" s="45"/>
      <c r="G19" s="45"/>
      <c r="H19" s="45"/>
      <c r="I19" s="44"/>
    </row>
    <row r="20" spans="1:9" ht="16.5">
      <c r="A20" s="42">
        <f>COUNTA(一月)</f>
        <v>10</v>
      </c>
      <c r="B20" s="30" t="s">
        <v>82</v>
      </c>
      <c r="C20" s="45"/>
      <c r="D20" s="45"/>
      <c r="E20" s="45"/>
      <c r="F20" s="45"/>
      <c r="G20" s="45"/>
      <c r="H20" s="45"/>
      <c r="I20" s="44"/>
    </row>
    <row r="21" spans="1:9" ht="16.5">
      <c r="A21" s="42">
        <f>COUNTBLANK(一月)</f>
        <v>1</v>
      </c>
      <c r="B21" s="30" t="s">
        <v>83</v>
      </c>
      <c r="C21" s="45"/>
      <c r="D21" s="45"/>
      <c r="E21" s="45"/>
      <c r="F21" s="45"/>
      <c r="G21" s="45"/>
      <c r="H21" s="45"/>
      <c r="I21" s="44"/>
    </row>
    <row r="22" spans="1:9">
      <c r="B22" s="44"/>
      <c r="C22" s="44"/>
      <c r="D22" s="44"/>
      <c r="E22" s="44"/>
      <c r="F22" s="44"/>
      <c r="G22" s="44"/>
      <c r="H22" s="44"/>
      <c r="I22" s="44"/>
    </row>
    <row r="23" spans="1:9">
      <c r="B23" s="44"/>
      <c r="C23" s="44"/>
      <c r="D23" s="44"/>
      <c r="E23" s="44"/>
      <c r="F23" s="44"/>
      <c r="G23" s="44"/>
      <c r="H23" s="44"/>
      <c r="I23" s="44"/>
    </row>
    <row r="24" spans="1:9">
      <c r="B24" s="44"/>
      <c r="C24" s="44"/>
      <c r="D24" s="44"/>
      <c r="E24" s="44"/>
      <c r="F24" s="44"/>
      <c r="G24" s="44"/>
      <c r="H24" s="44"/>
      <c r="I24" s="44"/>
    </row>
    <row r="25" spans="1:9">
      <c r="B25" s="44"/>
      <c r="C25" s="44"/>
      <c r="D25" s="44"/>
      <c r="E25" s="44"/>
      <c r="F25" s="44"/>
      <c r="G25" s="44"/>
      <c r="H25" s="44"/>
      <c r="I25" s="44"/>
    </row>
  </sheetData>
  <mergeCells count="1">
    <mergeCell ref="A1:G1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D1" workbookViewId="0">
      <selection activeCell="M3" sqref="L1:M3"/>
    </sheetView>
  </sheetViews>
  <sheetFormatPr defaultColWidth="8" defaultRowHeight="15.75"/>
  <cols>
    <col min="1" max="1" width="7.375" style="5" bestFit="1" customWidth="1"/>
    <col min="2" max="4" width="6.375" style="5" customWidth="1"/>
    <col min="5" max="6" width="5.375" style="5" bestFit="1" customWidth="1"/>
    <col min="7" max="7" width="8.25" style="5" customWidth="1"/>
    <col min="8" max="8" width="6.75" style="5" customWidth="1"/>
    <col min="9" max="9" width="1.75" style="5" customWidth="1"/>
    <col min="10" max="10" width="32.875" style="5" bestFit="1" customWidth="1"/>
    <col min="11" max="16384" width="8" style="5"/>
  </cols>
  <sheetData>
    <row r="1" spans="1:14" ht="19.5">
      <c r="A1" s="1" t="s">
        <v>31</v>
      </c>
      <c r="B1" s="2" t="s">
        <v>32</v>
      </c>
      <c r="C1" s="2" t="s">
        <v>33</v>
      </c>
      <c r="D1" s="3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J1" s="6" t="s">
        <v>39</v>
      </c>
      <c r="L1" s="137" t="s">
        <v>229</v>
      </c>
      <c r="M1" s="138" t="s">
        <v>233</v>
      </c>
    </row>
    <row r="2" spans="1:14" ht="16.5">
      <c r="A2" s="7" t="s">
        <v>40</v>
      </c>
      <c r="B2" s="8">
        <f t="shared" ref="B2:D7" ca="1" si="0">RANDBETWEEN(30,50)</f>
        <v>43</v>
      </c>
      <c r="C2" s="8">
        <f t="shared" ca="1" si="0"/>
        <v>40</v>
      </c>
      <c r="D2" s="8">
        <f t="shared" ca="1" si="0"/>
        <v>34</v>
      </c>
      <c r="E2" s="9">
        <f t="shared" ref="E2:E7" ca="1" si="1">LARGE(B2:D2,1)+LARGE(B2:D2,2)</f>
        <v>83</v>
      </c>
      <c r="F2" s="10" t="str">
        <f t="shared" ref="F2:F7" ca="1" si="2">IF(E2&gt;=90,"A",IF(E2&gt;=80,"B",IF(E2&gt;=70,"C","D")))</f>
        <v>B</v>
      </c>
      <c r="G2" s="11">
        <f t="shared" ref="G2:G7" ca="1" si="3">E2*(VLOOKUP(F2,$F$10:$G$12,2,0))</f>
        <v>91.300000000000011</v>
      </c>
      <c r="H2" s="12" t="str">
        <f t="shared" ref="H2:H7" ca="1" si="4">IF(OR(B2&gt;40,C2&gt;40,D2&gt;40),"合格","不合格")</f>
        <v>合格</v>
      </c>
      <c r="J2" s="13" t="s">
        <v>41</v>
      </c>
      <c r="L2" s="137" t="s">
        <v>230</v>
      </c>
      <c r="M2" s="138" t="s">
        <v>232</v>
      </c>
    </row>
    <row r="3" spans="1:14" ht="16.5">
      <c r="A3" s="7" t="s">
        <v>42</v>
      </c>
      <c r="B3" s="8">
        <f t="shared" ca="1" si="0"/>
        <v>32</v>
      </c>
      <c r="C3" s="8">
        <f t="shared" ca="1" si="0"/>
        <v>48</v>
      </c>
      <c r="D3" s="8">
        <f t="shared" ca="1" si="0"/>
        <v>33</v>
      </c>
      <c r="E3" s="9">
        <f t="shared" ca="1" si="1"/>
        <v>81</v>
      </c>
      <c r="F3" s="10" t="str">
        <f t="shared" ca="1" si="2"/>
        <v>B</v>
      </c>
      <c r="G3" s="11">
        <f t="shared" ca="1" si="3"/>
        <v>89.100000000000009</v>
      </c>
      <c r="H3" s="12" t="str">
        <f t="shared" ca="1" si="4"/>
        <v>合格</v>
      </c>
      <c r="J3" s="13" t="s">
        <v>43</v>
      </c>
      <c r="L3" s="137" t="s">
        <v>231</v>
      </c>
      <c r="M3" s="138">
        <f ca="1">INDEX($A$1:$D$7, MATCH(M1,$A$1:$A$7,), MATCH(M2,$A$1:$D$1,))</f>
        <v>43</v>
      </c>
    </row>
    <row r="4" spans="1:14" ht="16.5">
      <c r="A4" s="7" t="s">
        <v>44</v>
      </c>
      <c r="B4" s="8">
        <f t="shared" ca="1" si="0"/>
        <v>39</v>
      </c>
      <c r="C4" s="8">
        <f t="shared" ca="1" si="0"/>
        <v>44</v>
      </c>
      <c r="D4" s="8">
        <f t="shared" ca="1" si="0"/>
        <v>35</v>
      </c>
      <c r="E4" s="9">
        <f t="shared" ca="1" si="1"/>
        <v>83</v>
      </c>
      <c r="F4" s="10" t="str">
        <f t="shared" ca="1" si="2"/>
        <v>B</v>
      </c>
      <c r="G4" s="11">
        <f t="shared" ca="1" si="3"/>
        <v>91.300000000000011</v>
      </c>
      <c r="H4" s="12" t="str">
        <f t="shared" ca="1" si="4"/>
        <v>合格</v>
      </c>
      <c r="J4" s="13" t="s">
        <v>45</v>
      </c>
    </row>
    <row r="5" spans="1:14" ht="16.5">
      <c r="A5" s="7" t="s">
        <v>46</v>
      </c>
      <c r="B5" s="8">
        <f t="shared" ca="1" si="0"/>
        <v>48</v>
      </c>
      <c r="C5" s="8">
        <f t="shared" ca="1" si="0"/>
        <v>37</v>
      </c>
      <c r="D5" s="8">
        <f t="shared" ca="1" si="0"/>
        <v>40</v>
      </c>
      <c r="E5" s="9">
        <f t="shared" ca="1" si="1"/>
        <v>88</v>
      </c>
      <c r="F5" s="10" t="str">
        <f t="shared" ca="1" si="2"/>
        <v>B</v>
      </c>
      <c r="G5" s="11">
        <f t="shared" ca="1" si="3"/>
        <v>96.800000000000011</v>
      </c>
      <c r="H5" s="12" t="str">
        <f t="shared" ca="1" si="4"/>
        <v>合格</v>
      </c>
      <c r="J5" s="14" t="s">
        <v>47</v>
      </c>
    </row>
    <row r="6" spans="1:14" ht="16.5">
      <c r="A6" s="7" t="s">
        <v>48</v>
      </c>
      <c r="B6" s="8">
        <f t="shared" ca="1" si="0"/>
        <v>36</v>
      </c>
      <c r="C6" s="8">
        <f t="shared" ca="1" si="0"/>
        <v>48</v>
      </c>
      <c r="D6" s="8">
        <f t="shared" ca="1" si="0"/>
        <v>47</v>
      </c>
      <c r="E6" s="9">
        <f t="shared" ca="1" si="1"/>
        <v>95</v>
      </c>
      <c r="F6" s="10" t="str">
        <f t="shared" ca="1" si="2"/>
        <v>A</v>
      </c>
      <c r="G6" s="11">
        <f t="shared" ca="1" si="3"/>
        <v>114</v>
      </c>
      <c r="H6" s="12" t="str">
        <f t="shared" ca="1" si="4"/>
        <v>合格</v>
      </c>
      <c r="J6" s="15">
        <v>1</v>
      </c>
    </row>
    <row r="7" spans="1:14" ht="16.5">
      <c r="A7" s="7" t="s">
        <v>49</v>
      </c>
      <c r="B7" s="8">
        <f t="shared" ca="1" si="0"/>
        <v>31</v>
      </c>
      <c r="C7" s="8">
        <f t="shared" ca="1" si="0"/>
        <v>35</v>
      </c>
      <c r="D7" s="8">
        <f t="shared" ca="1" si="0"/>
        <v>50</v>
      </c>
      <c r="E7" s="9">
        <f t="shared" ca="1" si="1"/>
        <v>85</v>
      </c>
      <c r="F7" s="10" t="str">
        <f t="shared" ca="1" si="2"/>
        <v>B</v>
      </c>
      <c r="G7" s="11">
        <f t="shared" ca="1" si="3"/>
        <v>93.500000000000014</v>
      </c>
      <c r="H7" s="12" t="str">
        <f t="shared" ca="1" si="4"/>
        <v>合格</v>
      </c>
      <c r="J7" s="14" t="s">
        <v>50</v>
      </c>
    </row>
    <row r="8" spans="1:14">
      <c r="J8" s="16"/>
    </row>
    <row r="9" spans="1:14" ht="16.5">
      <c r="A9" s="17" t="s">
        <v>51</v>
      </c>
      <c r="B9" s="17" t="s">
        <v>52</v>
      </c>
      <c r="C9" s="18" t="s">
        <v>53</v>
      </c>
      <c r="F9" s="19" t="s">
        <v>54</v>
      </c>
      <c r="G9" s="20" t="s">
        <v>55</v>
      </c>
    </row>
    <row r="10" spans="1:14" ht="16.5">
      <c r="A10" s="21" t="s">
        <v>56</v>
      </c>
      <c r="B10" s="9">
        <v>70</v>
      </c>
      <c r="C10" s="11">
        <f t="array" aca="1" ref="C10:C13" ca="1">FREQUENCY(E2:E7,B10:B13)</f>
        <v>0</v>
      </c>
      <c r="F10" s="22" t="s">
        <v>57</v>
      </c>
      <c r="G10" s="23">
        <v>1.2</v>
      </c>
    </row>
    <row r="11" spans="1:14">
      <c r="A11" s="21" t="s">
        <v>58</v>
      </c>
      <c r="B11" s="9">
        <v>80</v>
      </c>
      <c r="C11" s="11">
        <f ca="1"/>
        <v>0</v>
      </c>
      <c r="F11" s="22" t="s">
        <v>59</v>
      </c>
      <c r="G11" s="23">
        <v>1.1000000000000001</v>
      </c>
    </row>
    <row r="12" spans="1:14">
      <c r="A12" s="21" t="s">
        <v>60</v>
      </c>
      <c r="B12" s="9">
        <v>90</v>
      </c>
      <c r="C12" s="11">
        <f ca="1"/>
        <v>5</v>
      </c>
      <c r="F12" s="22" t="s">
        <v>61</v>
      </c>
      <c r="G12" s="23">
        <v>1.05</v>
      </c>
    </row>
    <row r="13" spans="1:14">
      <c r="A13" s="21" t="s">
        <v>62</v>
      </c>
      <c r="B13" s="9">
        <v>100</v>
      </c>
      <c r="C13" s="11">
        <f ca="1"/>
        <v>1</v>
      </c>
    </row>
    <row r="15" spans="1:14">
      <c r="A15" s="67" t="s">
        <v>228</v>
      </c>
      <c r="B15" s="46"/>
      <c r="C15" s="46"/>
      <c r="D15" s="46"/>
      <c r="E15" s="46"/>
      <c r="F15" s="46"/>
      <c r="G15" s="46"/>
      <c r="H15" s="46"/>
      <c r="I15" s="46"/>
      <c r="J15" s="47"/>
      <c r="K15" s="47"/>
      <c r="L15" s="47"/>
      <c r="M15" s="47"/>
      <c r="N15" s="47"/>
    </row>
    <row r="16" spans="1:14">
      <c r="A16" s="67" t="s">
        <v>120</v>
      </c>
      <c r="B16" s="46"/>
      <c r="C16" s="46"/>
      <c r="D16" s="46"/>
      <c r="E16" s="46"/>
      <c r="F16" s="46"/>
      <c r="G16" s="46"/>
      <c r="H16" s="46"/>
      <c r="I16" s="46"/>
      <c r="J16" s="47"/>
      <c r="K16" s="47"/>
      <c r="L16" s="47"/>
      <c r="M16" s="47"/>
      <c r="N16" s="47"/>
    </row>
    <row r="17" spans="1:14">
      <c r="A17" s="67" t="s">
        <v>121</v>
      </c>
      <c r="B17" s="46"/>
      <c r="C17" s="46"/>
      <c r="D17" s="46"/>
      <c r="E17" s="46"/>
      <c r="F17" s="46"/>
      <c r="G17" s="46"/>
      <c r="H17" s="46"/>
      <c r="I17" s="46"/>
      <c r="J17" s="47"/>
      <c r="K17" s="47"/>
      <c r="L17" s="47"/>
      <c r="M17" s="47"/>
      <c r="N17" s="47"/>
    </row>
    <row r="18" spans="1:14">
      <c r="A18" s="67" t="s">
        <v>122</v>
      </c>
      <c r="B18" s="46"/>
      <c r="C18" s="46"/>
      <c r="D18" s="46"/>
      <c r="E18" s="46"/>
      <c r="F18" s="46"/>
      <c r="G18" s="46"/>
      <c r="H18" s="46"/>
      <c r="I18" s="46"/>
      <c r="J18" s="47"/>
      <c r="K18" s="47"/>
      <c r="L18" s="47"/>
      <c r="M18" s="47"/>
      <c r="N18" s="47"/>
    </row>
    <row r="19" spans="1:14">
      <c r="A19" s="67" t="s">
        <v>224</v>
      </c>
      <c r="B19" s="46"/>
      <c r="C19" s="46"/>
      <c r="D19" s="46"/>
      <c r="E19" s="46"/>
      <c r="F19" s="46"/>
      <c r="G19" s="46"/>
      <c r="H19" s="46"/>
      <c r="I19" s="46"/>
      <c r="J19" s="47"/>
      <c r="K19" s="47"/>
      <c r="L19" s="47"/>
      <c r="M19" s="47"/>
      <c r="N19" s="47"/>
    </row>
    <row r="20" spans="1:14">
      <c r="A20" s="67" t="s">
        <v>123</v>
      </c>
      <c r="B20" s="46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</row>
    <row r="21" spans="1:14">
      <c r="A21" s="67" t="s">
        <v>124</v>
      </c>
      <c r="B21" s="46"/>
      <c r="C21" s="46"/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</row>
  </sheetData>
  <phoneticPr fontId="5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C1" zoomScale="75" workbookViewId="0">
      <selection activeCell="B14" sqref="B14"/>
    </sheetView>
  </sheetViews>
  <sheetFormatPr defaultColWidth="8" defaultRowHeight="16.5"/>
  <cols>
    <col min="1" max="1" width="9.25" style="50" customWidth="1"/>
    <col min="2" max="5" width="8" style="50" customWidth="1"/>
    <col min="6" max="6" width="9.375" style="50" bestFit="1" customWidth="1"/>
    <col min="7" max="7" width="5.375" style="50" bestFit="1" customWidth="1"/>
    <col min="8" max="8" width="5.375" style="50" customWidth="1"/>
    <col min="9" max="9" width="5.375" style="50" bestFit="1" customWidth="1"/>
    <col min="10" max="10" width="16" style="50" bestFit="1" customWidth="1"/>
    <col min="11" max="11" width="9.125" style="50" customWidth="1"/>
    <col min="12" max="13" width="8" style="50" customWidth="1"/>
    <col min="14" max="14" width="5.375" style="50" bestFit="1" customWidth="1"/>
    <col min="15" max="15" width="8" style="50" customWidth="1"/>
    <col min="16" max="16" width="5.25" style="50" bestFit="1" customWidth="1"/>
    <col min="17" max="16384" width="8" style="50"/>
  </cols>
  <sheetData>
    <row r="1" spans="1:17" ht="25.5">
      <c r="A1" s="48" t="s">
        <v>84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7">
      <c r="A2" s="50" t="str">
        <f ca="1">"報表的時間是："&amp;TEXT(NOW(),"egg年mm月dd日 (aaaa)(上午/下午)hh時mm分ss秒")</f>
        <v>報表的時間是：102民國年10月28日 (星期一)(下午)08時54分34秒</v>
      </c>
    </row>
    <row r="3" spans="1:17" ht="17.25" thickBot="1">
      <c r="A3" s="51"/>
      <c r="B3" s="52">
        <v>0.25</v>
      </c>
      <c r="C3" s="52">
        <v>0.35</v>
      </c>
      <c r="D3" s="52">
        <v>0.4</v>
      </c>
    </row>
    <row r="4" spans="1:17" ht="17.25" thickBot="1">
      <c r="A4" s="53" t="s">
        <v>85</v>
      </c>
      <c r="B4" s="53">
        <v>2000</v>
      </c>
      <c r="C4" s="53">
        <v>2001</v>
      </c>
      <c r="D4" s="53">
        <v>2003</v>
      </c>
      <c r="E4" s="53" t="s">
        <v>86</v>
      </c>
      <c r="F4" s="53" t="s">
        <v>87</v>
      </c>
      <c r="G4" s="53" t="s">
        <v>88</v>
      </c>
      <c r="H4" s="53" t="s">
        <v>89</v>
      </c>
      <c r="I4" s="53" t="s">
        <v>90</v>
      </c>
      <c r="J4" s="53" t="s">
        <v>91</v>
      </c>
      <c r="K4" s="53" t="s">
        <v>125</v>
      </c>
      <c r="L4" s="53" t="s">
        <v>92</v>
      </c>
      <c r="M4" s="53" t="s">
        <v>93</v>
      </c>
      <c r="N4" s="53" t="s">
        <v>94</v>
      </c>
      <c r="O4" s="53" t="s">
        <v>95</v>
      </c>
      <c r="P4" s="54" t="s">
        <v>93</v>
      </c>
      <c r="Q4" s="54" t="s">
        <v>96</v>
      </c>
    </row>
    <row r="5" spans="1:17" ht="17.25" thickBot="1">
      <c r="A5" s="55" t="s">
        <v>97</v>
      </c>
      <c r="B5" s="56">
        <f t="shared" ref="B5:D11" ca="1" si="0">RANDBETWEEN(50,200)</f>
        <v>54</v>
      </c>
      <c r="C5" s="56">
        <f t="shared" ca="1" si="0"/>
        <v>143</v>
      </c>
      <c r="D5" s="56">
        <f t="shared" ca="1" si="0"/>
        <v>156</v>
      </c>
      <c r="E5" s="57">
        <f t="shared" ref="E5:E11" ca="1" si="1">SUMPRODUCT(B5:D5,$B$3:$D$3)</f>
        <v>125.95</v>
      </c>
      <c r="F5" s="58">
        <f t="shared" ref="F5:F11" ca="1" si="2">E5*$B$15</f>
        <v>176.32999999999998</v>
      </c>
      <c r="G5" s="58" t="str">
        <f t="shared" ref="G5:G11" ca="1" si="3">IF(F5&gt;200,"優秀","")</f>
        <v/>
      </c>
      <c r="H5" s="58" t="str">
        <f t="shared" ref="H5:H11" ca="1" si="4">IF(OR(E5&gt;160,D5&gt;160),"及格","")</f>
        <v/>
      </c>
      <c r="I5" s="57" t="str">
        <f t="shared" ref="I5:I11" ca="1" si="5">IF(E5&gt;$B$14,"優良","不佳")</f>
        <v>優良</v>
      </c>
      <c r="J5" s="57">
        <f t="shared" ref="J5:J11" ca="1" si="6">COUNTIF(B5:D5,"&lt;"&amp;$B$14)</f>
        <v>1</v>
      </c>
      <c r="K5" s="57" t="str">
        <f t="shared" ref="K5:K11" ca="1" si="7">REPT("☆",COUNTIF(B5:D5,"&gt;"&amp;$B$14))</f>
        <v>☆☆</v>
      </c>
      <c r="L5" s="59">
        <f t="shared" ref="L5:L11" ca="1" si="8">RANK(F5,$F$5:$F$11)</f>
        <v>4</v>
      </c>
      <c r="M5" s="59" t="str">
        <f t="shared" ref="M5:M11" ca="1" si="9">IF(F5&gt;200,"A",IF(F5&gt;150,"B",IF(F5&gt;100,"C","D")))</f>
        <v>B</v>
      </c>
      <c r="N5" s="59" t="str">
        <f t="shared" ref="N5:N11" ca="1" si="10">IF(OR(MAX(B5:D5)&gt;180,M5="A"),"晉級","")</f>
        <v/>
      </c>
      <c r="O5" s="60">
        <f t="shared" ref="O5:O11" ca="1" si="11">F5*VLOOKUP(M5,$P$5:$Q$9,2)</f>
        <v>26.449499999999997</v>
      </c>
      <c r="P5" s="61" t="s">
        <v>98</v>
      </c>
      <c r="Q5" s="62">
        <v>0.2</v>
      </c>
    </row>
    <row r="6" spans="1:17" ht="17.25" thickBot="1">
      <c r="A6" s="55" t="s">
        <v>99</v>
      </c>
      <c r="B6" s="56">
        <f t="shared" ca="1" si="0"/>
        <v>126</v>
      </c>
      <c r="C6" s="56">
        <f t="shared" ca="1" si="0"/>
        <v>168</v>
      </c>
      <c r="D6" s="56">
        <f t="shared" ca="1" si="0"/>
        <v>197</v>
      </c>
      <c r="E6" s="57">
        <f t="shared" ca="1" si="1"/>
        <v>169.10000000000002</v>
      </c>
      <c r="F6" s="58">
        <f t="shared" ca="1" si="2"/>
        <v>236.74</v>
      </c>
      <c r="G6" s="58" t="str">
        <f t="shared" ca="1" si="3"/>
        <v>優秀</v>
      </c>
      <c r="H6" s="58" t="str">
        <f t="shared" ca="1" si="4"/>
        <v>及格</v>
      </c>
      <c r="I6" s="57" t="str">
        <f t="shared" ca="1" si="5"/>
        <v>優良</v>
      </c>
      <c r="J6" s="57">
        <f t="shared" ca="1" si="6"/>
        <v>0</v>
      </c>
      <c r="K6" s="57" t="str">
        <f t="shared" ca="1" si="7"/>
        <v>☆☆☆</v>
      </c>
      <c r="L6" s="59">
        <f t="shared" ca="1" si="8"/>
        <v>1</v>
      </c>
      <c r="M6" s="59" t="str">
        <f t="shared" ca="1" si="9"/>
        <v>A</v>
      </c>
      <c r="N6" s="59" t="str">
        <f t="shared" ca="1" si="10"/>
        <v>晉級</v>
      </c>
      <c r="O6" s="60">
        <f t="shared" ca="1" si="11"/>
        <v>47.348000000000006</v>
      </c>
      <c r="P6" s="61" t="s">
        <v>100</v>
      </c>
      <c r="Q6" s="62">
        <v>0.15</v>
      </c>
    </row>
    <row r="7" spans="1:17" ht="17.25" thickBot="1">
      <c r="A7" s="55" t="s">
        <v>101</v>
      </c>
      <c r="B7" s="56">
        <f t="shared" ca="1" si="0"/>
        <v>121</v>
      </c>
      <c r="C7" s="56">
        <f t="shared" ca="1" si="0"/>
        <v>185</v>
      </c>
      <c r="D7" s="56">
        <f t="shared" ca="1" si="0"/>
        <v>84</v>
      </c>
      <c r="E7" s="57">
        <f t="shared" ca="1" si="1"/>
        <v>128.6</v>
      </c>
      <c r="F7" s="58">
        <f t="shared" ca="1" si="2"/>
        <v>180.04</v>
      </c>
      <c r="G7" s="58" t="str">
        <f t="shared" ca="1" si="3"/>
        <v/>
      </c>
      <c r="H7" s="58" t="str">
        <f t="shared" ca="1" si="4"/>
        <v/>
      </c>
      <c r="I7" s="57" t="str">
        <f t="shared" ca="1" si="5"/>
        <v>優良</v>
      </c>
      <c r="J7" s="57">
        <f t="shared" ca="1" si="6"/>
        <v>2</v>
      </c>
      <c r="K7" s="57" t="str">
        <f t="shared" ca="1" si="7"/>
        <v>☆</v>
      </c>
      <c r="L7" s="59">
        <f t="shared" ca="1" si="8"/>
        <v>3</v>
      </c>
      <c r="M7" s="59" t="str">
        <f t="shared" ca="1" si="9"/>
        <v>B</v>
      </c>
      <c r="N7" s="59" t="str">
        <f t="shared" ca="1" si="10"/>
        <v>晉級</v>
      </c>
      <c r="O7" s="60">
        <f t="shared" ca="1" si="11"/>
        <v>27.005999999999997</v>
      </c>
      <c r="P7" s="61" t="s">
        <v>102</v>
      </c>
      <c r="Q7" s="62">
        <v>0.1</v>
      </c>
    </row>
    <row r="8" spans="1:17" ht="17.25" thickBot="1">
      <c r="A8" s="55" t="s">
        <v>103</v>
      </c>
      <c r="B8" s="56">
        <f t="shared" ca="1" si="0"/>
        <v>160</v>
      </c>
      <c r="C8" s="56">
        <f t="shared" ca="1" si="0"/>
        <v>189</v>
      </c>
      <c r="D8" s="56">
        <f t="shared" ca="1" si="0"/>
        <v>90</v>
      </c>
      <c r="E8" s="57">
        <f t="shared" ca="1" si="1"/>
        <v>142.14999999999998</v>
      </c>
      <c r="F8" s="58">
        <f t="shared" ca="1" si="2"/>
        <v>199.00999999999996</v>
      </c>
      <c r="G8" s="58" t="str">
        <f t="shared" ca="1" si="3"/>
        <v/>
      </c>
      <c r="H8" s="58" t="str">
        <f t="shared" ca="1" si="4"/>
        <v/>
      </c>
      <c r="I8" s="57" t="str">
        <f t="shared" ca="1" si="5"/>
        <v>優良</v>
      </c>
      <c r="J8" s="57">
        <f t="shared" ca="1" si="6"/>
        <v>1</v>
      </c>
      <c r="K8" s="57" t="str">
        <f t="shared" ca="1" si="7"/>
        <v>☆☆</v>
      </c>
      <c r="L8" s="59">
        <f t="shared" ca="1" si="8"/>
        <v>2</v>
      </c>
      <c r="M8" s="59" t="str">
        <f t="shared" ca="1" si="9"/>
        <v>B</v>
      </c>
      <c r="N8" s="59" t="str">
        <f t="shared" ca="1" si="10"/>
        <v>晉級</v>
      </c>
      <c r="O8" s="60">
        <f t="shared" ca="1" si="11"/>
        <v>29.851499999999994</v>
      </c>
      <c r="P8" s="61" t="s">
        <v>104</v>
      </c>
      <c r="Q8" s="62">
        <v>0.05</v>
      </c>
    </row>
    <row r="9" spans="1:17" ht="17.25" thickBot="1">
      <c r="A9" s="55" t="s">
        <v>105</v>
      </c>
      <c r="B9" s="56">
        <f t="shared" ca="1" si="0"/>
        <v>106</v>
      </c>
      <c r="C9" s="56">
        <f t="shared" ca="1" si="0"/>
        <v>136</v>
      </c>
      <c r="D9" s="56">
        <f t="shared" ca="1" si="0"/>
        <v>113</v>
      </c>
      <c r="E9" s="57">
        <f t="shared" ca="1" si="1"/>
        <v>119.3</v>
      </c>
      <c r="F9" s="58">
        <f t="shared" ca="1" si="2"/>
        <v>167.01999999999998</v>
      </c>
      <c r="G9" s="58" t="str">
        <f t="shared" ca="1" si="3"/>
        <v/>
      </c>
      <c r="H9" s="58" t="str">
        <f t="shared" ca="1" si="4"/>
        <v/>
      </c>
      <c r="I9" s="57" t="str">
        <f t="shared" ca="1" si="5"/>
        <v>不佳</v>
      </c>
      <c r="J9" s="57">
        <f t="shared" ca="1" si="6"/>
        <v>2</v>
      </c>
      <c r="K9" s="57" t="str">
        <f t="shared" ca="1" si="7"/>
        <v>☆</v>
      </c>
      <c r="L9" s="59">
        <f t="shared" ca="1" si="8"/>
        <v>5</v>
      </c>
      <c r="M9" s="59" t="str">
        <f t="shared" ca="1" si="9"/>
        <v>B</v>
      </c>
      <c r="N9" s="59" t="str">
        <f t="shared" ca="1" si="10"/>
        <v/>
      </c>
      <c r="O9" s="60">
        <f t="shared" ca="1" si="11"/>
        <v>25.052999999999997</v>
      </c>
      <c r="P9" s="61" t="s">
        <v>106</v>
      </c>
      <c r="Q9" s="61">
        <v>0</v>
      </c>
    </row>
    <row r="10" spans="1:17" ht="17.25" thickBot="1">
      <c r="A10" s="55" t="s">
        <v>107</v>
      </c>
      <c r="B10" s="56">
        <f t="shared" ca="1" si="0"/>
        <v>52</v>
      </c>
      <c r="C10" s="56">
        <f t="shared" ca="1" si="0"/>
        <v>153</v>
      </c>
      <c r="D10" s="56">
        <f t="shared" ca="1" si="0"/>
        <v>85</v>
      </c>
      <c r="E10" s="57">
        <f t="shared" ca="1" si="1"/>
        <v>100.55</v>
      </c>
      <c r="F10" s="58">
        <f t="shared" ca="1" si="2"/>
        <v>140.76999999999998</v>
      </c>
      <c r="G10" s="58" t="str">
        <f t="shared" ca="1" si="3"/>
        <v/>
      </c>
      <c r="H10" s="58" t="str">
        <f t="shared" ca="1" si="4"/>
        <v/>
      </c>
      <c r="I10" s="57" t="str">
        <f t="shared" ca="1" si="5"/>
        <v>不佳</v>
      </c>
      <c r="J10" s="57">
        <f t="shared" ca="1" si="6"/>
        <v>2</v>
      </c>
      <c r="K10" s="57" t="str">
        <f t="shared" ca="1" si="7"/>
        <v>☆</v>
      </c>
      <c r="L10" s="59">
        <f t="shared" ca="1" si="8"/>
        <v>6</v>
      </c>
      <c r="M10" s="59" t="str">
        <f t="shared" ca="1" si="9"/>
        <v>C</v>
      </c>
      <c r="N10" s="59" t="str">
        <f t="shared" ca="1" si="10"/>
        <v/>
      </c>
      <c r="O10" s="60">
        <f t="shared" ca="1" si="11"/>
        <v>14.076999999999998</v>
      </c>
      <c r="P10" s="61"/>
      <c r="Q10" s="61"/>
    </row>
    <row r="11" spans="1:17" ht="17.25" thickBot="1">
      <c r="A11" s="55" t="s">
        <v>108</v>
      </c>
      <c r="B11" s="56">
        <f t="shared" ca="1" si="0"/>
        <v>88</v>
      </c>
      <c r="C11" s="56">
        <f t="shared" ca="1" si="0"/>
        <v>111</v>
      </c>
      <c r="D11" s="56">
        <f t="shared" ca="1" si="0"/>
        <v>68</v>
      </c>
      <c r="E11" s="57">
        <f t="shared" ca="1" si="1"/>
        <v>88.05</v>
      </c>
      <c r="F11" s="58">
        <f t="shared" ca="1" si="2"/>
        <v>123.26999999999998</v>
      </c>
      <c r="G11" s="58" t="str">
        <f t="shared" ca="1" si="3"/>
        <v/>
      </c>
      <c r="H11" s="58" t="str">
        <f t="shared" ca="1" si="4"/>
        <v/>
      </c>
      <c r="I11" s="57" t="str">
        <f t="shared" ca="1" si="5"/>
        <v>不佳</v>
      </c>
      <c r="J11" s="57">
        <f t="shared" ca="1" si="6"/>
        <v>3</v>
      </c>
      <c r="K11" s="57" t="str">
        <f t="shared" ca="1" si="7"/>
        <v/>
      </c>
      <c r="L11" s="59">
        <f t="shared" ca="1" si="8"/>
        <v>7</v>
      </c>
      <c r="M11" s="59" t="str">
        <f t="shared" ca="1" si="9"/>
        <v>C</v>
      </c>
      <c r="N11" s="59" t="str">
        <f t="shared" ca="1" si="10"/>
        <v/>
      </c>
      <c r="O11" s="60">
        <f t="shared" ca="1" si="11"/>
        <v>12.326999999999998</v>
      </c>
      <c r="P11" s="61"/>
      <c r="Q11" s="61"/>
    </row>
    <row r="12" spans="1:17" ht="17.25" thickBot="1">
      <c r="A12" s="53" t="s">
        <v>109</v>
      </c>
      <c r="B12" s="57">
        <f ca="1">MEDIAN(B5:B11)</f>
        <v>106</v>
      </c>
      <c r="C12" s="57">
        <f ca="1">MEDIAN(C5:C11)</f>
        <v>153</v>
      </c>
      <c r="D12" s="57">
        <f ca="1">MEDIAN(D5:D11)</f>
        <v>90</v>
      </c>
      <c r="E12" s="57">
        <f ca="1">MEDIAN(E5:E11)</f>
        <v>125.95</v>
      </c>
      <c r="J12" s="63" t="s">
        <v>110</v>
      </c>
      <c r="K12" s="54" t="s">
        <v>111</v>
      </c>
      <c r="L12" s="54" t="s">
        <v>112</v>
      </c>
    </row>
    <row r="13" spans="1:17" ht="17.25" thickBot="1">
      <c r="A13" s="53" t="s">
        <v>113</v>
      </c>
      <c r="B13" s="57">
        <f ca="1">AVERAGE(B5:B11)</f>
        <v>101</v>
      </c>
      <c r="C13" s="57">
        <f ca="1">AVERAGE(C5:C11)</f>
        <v>155</v>
      </c>
      <c r="D13" s="57">
        <f ca="1">AVERAGE(D5:D11)</f>
        <v>113.28571428571429</v>
      </c>
      <c r="E13" s="57">
        <f ca="1">AVERAGE(E5:E11)</f>
        <v>124.81428571428569</v>
      </c>
      <c r="J13" s="61" t="s">
        <v>114</v>
      </c>
      <c r="K13" s="64">
        <v>49</v>
      </c>
      <c r="L13" s="59">
        <f t="array" aca="1" ref="L13:L16" ca="1">FREQUENCY(B5:D11,K13:K16)</f>
        <v>0</v>
      </c>
    </row>
    <row r="14" spans="1:17" ht="17.25" thickBot="1">
      <c r="A14" s="53" t="s">
        <v>115</v>
      </c>
      <c r="B14" s="57">
        <f ca="1">AVERAGE(B5:D11)</f>
        <v>123.0952380952381</v>
      </c>
      <c r="J14" s="61" t="s">
        <v>116</v>
      </c>
      <c r="K14" s="64">
        <v>99</v>
      </c>
      <c r="L14" s="59">
        <f ca="1"/>
        <v>7</v>
      </c>
    </row>
    <row r="15" spans="1:17" ht="17.25" thickBot="1">
      <c r="A15" s="53" t="s">
        <v>117</v>
      </c>
      <c r="B15" s="58">
        <v>1.4</v>
      </c>
      <c r="J15" s="61" t="s">
        <v>118</v>
      </c>
      <c r="K15" s="64">
        <v>149</v>
      </c>
      <c r="L15" s="59">
        <f ca="1"/>
        <v>7</v>
      </c>
    </row>
    <row r="16" spans="1:17">
      <c r="J16" s="61" t="s">
        <v>119</v>
      </c>
      <c r="K16" s="64">
        <v>200</v>
      </c>
      <c r="L16" s="59">
        <f ca="1"/>
        <v>7</v>
      </c>
    </row>
    <row r="18" spans="1:14" s="65" customFormat="1" ht="19.5">
      <c r="A18" s="66">
        <v>1</v>
      </c>
      <c r="B18" s="68" t="s">
        <v>128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4" s="65" customFormat="1" ht="19.5">
      <c r="A19" s="66">
        <v>2</v>
      </c>
      <c r="B19" s="68" t="s">
        <v>129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4" s="65" customFormat="1" ht="19.5">
      <c r="A20" s="66">
        <v>3</v>
      </c>
      <c r="B20" s="68" t="s">
        <v>130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4" s="65" customFormat="1" ht="19.5">
      <c r="A21" s="66">
        <v>4</v>
      </c>
      <c r="B21" s="68" t="s">
        <v>131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4" s="65" customFormat="1" ht="19.5">
      <c r="A22" s="66">
        <v>5</v>
      </c>
      <c r="B22" s="68" t="s">
        <v>132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4" s="65" customFormat="1" ht="19.5">
      <c r="A23" s="66">
        <v>6</v>
      </c>
      <c r="B23" s="68" t="s">
        <v>133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</row>
    <row r="24" spans="1:14" s="65" customFormat="1" ht="19.5">
      <c r="A24" s="66">
        <v>7</v>
      </c>
      <c r="B24" s="68" t="s">
        <v>134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4" s="65" customFormat="1" ht="19.5">
      <c r="A25" s="66">
        <v>8</v>
      </c>
      <c r="B25" s="68" t="s">
        <v>135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</row>
    <row r="26" spans="1:14" s="65" customFormat="1" ht="19.5">
      <c r="A26" s="66">
        <v>9</v>
      </c>
      <c r="B26" s="68" t="s">
        <v>136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</row>
    <row r="27" spans="1:14" s="65" customFormat="1" ht="19.5">
      <c r="A27" s="66">
        <v>10</v>
      </c>
      <c r="B27" s="68" t="s">
        <v>137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</row>
    <row r="28" spans="1:14" s="65" customFormat="1" ht="19.5">
      <c r="A28" s="66">
        <v>11</v>
      </c>
      <c r="B28" s="68" t="s">
        <v>138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</row>
    <row r="29" spans="1:14" s="65" customFormat="1" ht="19.5">
      <c r="A29" s="66">
        <v>12</v>
      </c>
      <c r="B29" s="68" t="s">
        <v>126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spans="1:14" s="65" customFormat="1" ht="19.5">
      <c r="A30" s="66">
        <v>13</v>
      </c>
      <c r="B30" s="68" t="s">
        <v>127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</row>
    <row r="31" spans="1:14" s="65" customFormat="1" ht="19.5">
      <c r="A31" s="66">
        <v>14</v>
      </c>
      <c r="B31" s="68" t="s">
        <v>139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spans="1:14" ht="19.5">
      <c r="A32" s="66">
        <v>15</v>
      </c>
      <c r="B32" s="68" t="s">
        <v>140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</row>
    <row r="33" spans="1:14" ht="19.5">
      <c r="A33" s="66">
        <v>16</v>
      </c>
      <c r="B33" s="68" t="s">
        <v>141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</row>
    <row r="34" spans="1:14" ht="19.5">
      <c r="A34" s="66">
        <v>17</v>
      </c>
      <c r="B34" s="68" t="s">
        <v>142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19.5">
      <c r="A35" s="66">
        <v>18</v>
      </c>
      <c r="B35" s="68" t="s">
        <v>143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</row>
  </sheetData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A5" sqref="A5"/>
    </sheetView>
  </sheetViews>
  <sheetFormatPr defaultColWidth="8" defaultRowHeight="15.75"/>
  <cols>
    <col min="1" max="1" width="13.75" style="103" bestFit="1" customWidth="1"/>
    <col min="2" max="2" width="7.75" style="103" bestFit="1" customWidth="1"/>
    <col min="3" max="3" width="7" style="112" bestFit="1" customWidth="1"/>
    <col min="4" max="4" width="9" style="103" bestFit="1" customWidth="1"/>
    <col min="5" max="7" width="5.25" style="103" bestFit="1" customWidth="1"/>
    <col min="8" max="8" width="9" style="103" bestFit="1" customWidth="1"/>
    <col min="9" max="9" width="1.75" style="103" customWidth="1"/>
    <col min="10" max="10" width="9" style="103" bestFit="1" customWidth="1"/>
    <col min="11" max="11" width="7" style="103" bestFit="1" customWidth="1"/>
    <col min="12" max="12" width="9" style="103" bestFit="1" customWidth="1"/>
    <col min="13" max="16384" width="8" style="103"/>
  </cols>
  <sheetData>
    <row r="1" spans="1:13" s="102" customFormat="1" ht="20.25">
      <c r="A1" s="142" t="s">
        <v>170</v>
      </c>
      <c r="B1" s="143"/>
      <c r="C1" s="143"/>
      <c r="D1" s="143"/>
      <c r="E1" s="143"/>
      <c r="F1" s="143"/>
      <c r="G1" s="143"/>
      <c r="H1" s="143"/>
      <c r="J1" s="103"/>
      <c r="K1" s="103"/>
      <c r="L1" s="103"/>
      <c r="M1" s="103"/>
    </row>
    <row r="2" spans="1:13" s="102" customFormat="1" ht="16.5">
      <c r="A2" s="104" t="s">
        <v>171</v>
      </c>
      <c r="B2" s="144">
        <f ca="1">TODAY()</f>
        <v>41575</v>
      </c>
      <c r="C2" s="144"/>
      <c r="D2" s="105"/>
      <c r="E2" s="106"/>
      <c r="J2" s="103"/>
      <c r="K2" s="103"/>
      <c r="L2" s="103"/>
      <c r="M2" s="103"/>
    </row>
    <row r="3" spans="1:13" s="102" customFormat="1" ht="16.5" thickBot="1">
      <c r="B3" s="107"/>
      <c r="C3" s="108"/>
      <c r="D3" s="105"/>
      <c r="E3" s="107"/>
    </row>
    <row r="4" spans="1:13" s="102" customFormat="1" ht="16.5">
      <c r="A4" s="77" t="s">
        <v>172</v>
      </c>
      <c r="B4" s="77" t="s">
        <v>85</v>
      </c>
      <c r="C4" s="109" t="s">
        <v>173</v>
      </c>
      <c r="D4" s="78" t="s">
        <v>174</v>
      </c>
      <c r="E4" s="77" t="s">
        <v>92</v>
      </c>
      <c r="F4" s="77" t="s">
        <v>93</v>
      </c>
      <c r="G4" s="77" t="s">
        <v>94</v>
      </c>
      <c r="H4" s="77" t="s">
        <v>95</v>
      </c>
      <c r="J4" s="78" t="s">
        <v>173</v>
      </c>
      <c r="K4" s="77" t="s">
        <v>93</v>
      </c>
      <c r="L4" s="77" t="s">
        <v>96</v>
      </c>
    </row>
    <row r="5" spans="1:13" ht="16.5">
      <c r="A5" s="110">
        <f t="shared" ref="A5:A34" ca="1" si="0">RANDBETWEEN(30000,37500)</f>
        <v>36314</v>
      </c>
      <c r="B5" s="111" t="s">
        <v>175</v>
      </c>
      <c r="C5" s="112">
        <f t="shared" ref="C5:C34" ca="1" si="1">RANDBETWEEN(0,100)*100</f>
        <v>7700</v>
      </c>
      <c r="D5" s="113">
        <f ca="1">IF(OR(MONTH(A5)&lt;MONTH($B$2),AND(MONTH(A5)=MONTH($B$2),DAY(A5)&lt;DAY($B$2))),YEAR($B$2)-YEAR(A5),YEAR($B$2)-YEAR(A5)-1)</f>
        <v>14</v>
      </c>
      <c r="E5" s="114">
        <f t="shared" ref="E5:E34" ca="1" si="2">RANK(C5,$C$5:$C$34)</f>
        <v>7</v>
      </c>
      <c r="F5" s="114" t="str">
        <f t="shared" ref="F5:F34" ca="1" si="3">VLOOKUP(C5,$J$5:$L$9,2)</f>
        <v>B</v>
      </c>
      <c r="G5" s="118" t="str">
        <f ca="1">IF(OR(D5&gt;=20,F5="A"),"晉級","")</f>
        <v/>
      </c>
      <c r="H5" s="115">
        <f ca="1">C5*INDEX($K$5:$L$9,MATCH(F5,$K$5:$K$9,0),2)</f>
        <v>1155</v>
      </c>
      <c r="J5" s="103">
        <v>0</v>
      </c>
      <c r="K5" s="103" t="s">
        <v>106</v>
      </c>
      <c r="L5" s="103">
        <v>0</v>
      </c>
    </row>
    <row r="6" spans="1:13" ht="16.5">
      <c r="A6" s="110">
        <f t="shared" ca="1" si="0"/>
        <v>33840</v>
      </c>
      <c r="B6" s="111" t="s">
        <v>105</v>
      </c>
      <c r="C6" s="112">
        <f t="shared" ca="1" si="1"/>
        <v>1200</v>
      </c>
      <c r="D6" s="113">
        <f t="shared" ref="D6:D34" ca="1" si="4">IF(OR(MONTH(A6)&lt;MONTH($B$2),AND(MONTH(A6)=MONTH($B$2),DAY(A6)&lt;DAY($B$2))),YEAR($B$2)-YEAR(A6),YEAR($B$2)-YEAR(A6)-1)</f>
        <v>21</v>
      </c>
      <c r="E6" s="114">
        <f t="shared" ca="1" si="2"/>
        <v>22</v>
      </c>
      <c r="F6" s="114" t="str">
        <f t="shared" ca="1" si="3"/>
        <v>E</v>
      </c>
      <c r="G6" s="118" t="str">
        <f t="shared" ref="G6:G34" ca="1" si="5">IF(OR(D6&gt;=20,F6="A"),"晉級","")</f>
        <v>晉級</v>
      </c>
      <c r="H6" s="115">
        <f t="shared" ref="H6:H34" ca="1" si="6">C6*INDEX($K$5:$L$9,MATCH(F6,$K$5:$K$9,0),2)</f>
        <v>0</v>
      </c>
      <c r="J6" s="112">
        <v>2000</v>
      </c>
      <c r="K6" s="103" t="s">
        <v>104</v>
      </c>
      <c r="L6" s="116">
        <v>0.05</v>
      </c>
    </row>
    <row r="7" spans="1:13" ht="16.5">
      <c r="A7" s="110">
        <f t="shared" ca="1" si="0"/>
        <v>36129</v>
      </c>
      <c r="B7" s="111" t="s">
        <v>176</v>
      </c>
      <c r="C7" s="112">
        <f t="shared" ca="1" si="1"/>
        <v>5900</v>
      </c>
      <c r="D7" s="113">
        <f t="shared" ca="1" si="4"/>
        <v>14</v>
      </c>
      <c r="E7" s="114">
        <f t="shared" ca="1" si="2"/>
        <v>11</v>
      </c>
      <c r="F7" s="114" t="str">
        <f t="shared" ca="1" si="3"/>
        <v>C</v>
      </c>
      <c r="G7" s="118" t="str">
        <f t="shared" ca="1" si="5"/>
        <v/>
      </c>
      <c r="H7" s="115">
        <f t="shared" ca="1" si="6"/>
        <v>590</v>
      </c>
      <c r="J7" s="112">
        <v>4000</v>
      </c>
      <c r="K7" s="103" t="s">
        <v>102</v>
      </c>
      <c r="L7" s="116">
        <v>0.1</v>
      </c>
    </row>
    <row r="8" spans="1:13" ht="16.5">
      <c r="A8" s="110">
        <f t="shared" ca="1" si="0"/>
        <v>37129</v>
      </c>
      <c r="B8" s="111" t="s">
        <v>177</v>
      </c>
      <c r="C8" s="112">
        <f t="shared" ca="1" si="1"/>
        <v>300</v>
      </c>
      <c r="D8" s="113">
        <f t="shared" ca="1" si="4"/>
        <v>12</v>
      </c>
      <c r="E8" s="114">
        <f t="shared" ca="1" si="2"/>
        <v>28</v>
      </c>
      <c r="F8" s="114" t="str">
        <f t="shared" ca="1" si="3"/>
        <v>E</v>
      </c>
      <c r="G8" s="118" t="str">
        <f t="shared" ca="1" si="5"/>
        <v/>
      </c>
      <c r="H8" s="115">
        <f t="shared" ca="1" si="6"/>
        <v>0</v>
      </c>
      <c r="J8" s="112">
        <v>6000</v>
      </c>
      <c r="K8" s="103" t="s">
        <v>100</v>
      </c>
      <c r="L8" s="116">
        <v>0.15</v>
      </c>
    </row>
    <row r="9" spans="1:13" ht="16.5">
      <c r="A9" s="110">
        <f t="shared" ca="1" si="0"/>
        <v>37012</v>
      </c>
      <c r="B9" s="111" t="s">
        <v>178</v>
      </c>
      <c r="C9" s="112">
        <f t="shared" ca="1" si="1"/>
        <v>8900</v>
      </c>
      <c r="D9" s="113">
        <f t="shared" ca="1" si="4"/>
        <v>12</v>
      </c>
      <c r="E9" s="114">
        <f t="shared" ca="1" si="2"/>
        <v>4</v>
      </c>
      <c r="F9" s="114" t="str">
        <f t="shared" ca="1" si="3"/>
        <v>A</v>
      </c>
      <c r="G9" s="118" t="str">
        <f t="shared" ca="1" si="5"/>
        <v>晉級</v>
      </c>
      <c r="H9" s="115">
        <f t="shared" ca="1" si="6"/>
        <v>1780</v>
      </c>
      <c r="J9" s="112">
        <v>8000</v>
      </c>
      <c r="K9" s="103" t="s">
        <v>98</v>
      </c>
      <c r="L9" s="116">
        <v>0.2</v>
      </c>
    </row>
    <row r="10" spans="1:13" ht="16.5">
      <c r="A10" s="110">
        <f t="shared" ca="1" si="0"/>
        <v>31824</v>
      </c>
      <c r="B10" s="111" t="s">
        <v>179</v>
      </c>
      <c r="C10" s="112">
        <f t="shared" ca="1" si="1"/>
        <v>2300</v>
      </c>
      <c r="D10" s="113">
        <f t="shared" ca="1" si="4"/>
        <v>26</v>
      </c>
      <c r="E10" s="114">
        <f t="shared" ca="1" si="2"/>
        <v>18</v>
      </c>
      <c r="F10" s="114" t="str">
        <f t="shared" ca="1" si="3"/>
        <v>D</v>
      </c>
      <c r="G10" s="118" t="str">
        <f t="shared" ca="1" si="5"/>
        <v>晉級</v>
      </c>
      <c r="H10" s="115">
        <f t="shared" ca="1" si="6"/>
        <v>115</v>
      </c>
    </row>
    <row r="11" spans="1:13" ht="17.25" thickBot="1">
      <c r="A11" s="110">
        <f t="shared" ca="1" si="0"/>
        <v>36920</v>
      </c>
      <c r="B11" s="111" t="s">
        <v>108</v>
      </c>
      <c r="C11" s="112">
        <f t="shared" ca="1" si="1"/>
        <v>800</v>
      </c>
      <c r="D11" s="113">
        <f t="shared" ca="1" si="4"/>
        <v>12</v>
      </c>
      <c r="E11" s="114">
        <f t="shared" ca="1" si="2"/>
        <v>25</v>
      </c>
      <c r="F11" s="114" t="str">
        <f t="shared" ca="1" si="3"/>
        <v>E</v>
      </c>
      <c r="G11" s="118" t="str">
        <f t="shared" ca="1" si="5"/>
        <v/>
      </c>
      <c r="H11" s="115">
        <f t="shared" ca="1" si="6"/>
        <v>0</v>
      </c>
    </row>
    <row r="12" spans="1:13" ht="16.5">
      <c r="A12" s="110">
        <f t="shared" ca="1" si="0"/>
        <v>35619</v>
      </c>
      <c r="B12" s="111" t="s">
        <v>180</v>
      </c>
      <c r="C12" s="112">
        <f t="shared" ca="1" si="1"/>
        <v>4000</v>
      </c>
      <c r="D12" s="113">
        <f t="shared" ca="1" si="4"/>
        <v>16</v>
      </c>
      <c r="E12" s="114">
        <f t="shared" ca="1" si="2"/>
        <v>13</v>
      </c>
      <c r="F12" s="114" t="str">
        <f t="shared" ca="1" si="3"/>
        <v>C</v>
      </c>
      <c r="G12" s="118" t="str">
        <f t="shared" ca="1" si="5"/>
        <v/>
      </c>
      <c r="H12" s="115">
        <f t="shared" ca="1" si="6"/>
        <v>400</v>
      </c>
      <c r="J12" s="78" t="s">
        <v>110</v>
      </c>
      <c r="K12" s="77" t="s">
        <v>111</v>
      </c>
      <c r="L12" s="77" t="s">
        <v>112</v>
      </c>
    </row>
    <row r="13" spans="1:13" ht="16.5">
      <c r="A13" s="110">
        <f t="shared" ca="1" si="0"/>
        <v>32658</v>
      </c>
      <c r="B13" s="111" t="s">
        <v>181</v>
      </c>
      <c r="C13" s="112">
        <f t="shared" ca="1" si="1"/>
        <v>1600</v>
      </c>
      <c r="D13" s="113">
        <f t="shared" ca="1" si="4"/>
        <v>24</v>
      </c>
      <c r="E13" s="114">
        <f t="shared" ca="1" si="2"/>
        <v>21</v>
      </c>
      <c r="F13" s="114" t="str">
        <f t="shared" ca="1" si="3"/>
        <v>E</v>
      </c>
      <c r="G13" s="118" t="str">
        <f t="shared" ca="1" si="5"/>
        <v>晉級</v>
      </c>
      <c r="H13" s="115">
        <f t="shared" ca="1" si="6"/>
        <v>0</v>
      </c>
      <c r="J13" s="103" t="s">
        <v>182</v>
      </c>
      <c r="K13" s="117">
        <v>2000</v>
      </c>
      <c r="L13" s="114">
        <f t="array" aca="1" ref="L13:L17" ca="1">FREQUENCY(C5:C34,K13:K17)</f>
        <v>11</v>
      </c>
    </row>
    <row r="14" spans="1:13" ht="16.5">
      <c r="A14" s="110">
        <f t="shared" ca="1" si="0"/>
        <v>35645</v>
      </c>
      <c r="B14" s="111" t="s">
        <v>183</v>
      </c>
      <c r="C14" s="112">
        <f t="shared" ca="1" si="1"/>
        <v>3900</v>
      </c>
      <c r="D14" s="113">
        <f t="shared" ca="1" si="4"/>
        <v>16</v>
      </c>
      <c r="E14" s="114">
        <f t="shared" ca="1" si="2"/>
        <v>14</v>
      </c>
      <c r="F14" s="114" t="str">
        <f t="shared" ca="1" si="3"/>
        <v>D</v>
      </c>
      <c r="G14" s="118" t="str">
        <f t="shared" ca="1" si="5"/>
        <v/>
      </c>
      <c r="H14" s="115">
        <f t="shared" ca="1" si="6"/>
        <v>195</v>
      </c>
      <c r="J14" s="103" t="s">
        <v>184</v>
      </c>
      <c r="K14" s="117">
        <v>4000</v>
      </c>
      <c r="L14" s="114">
        <f ca="1"/>
        <v>7</v>
      </c>
    </row>
    <row r="15" spans="1:13" ht="16.5">
      <c r="A15" s="110">
        <f t="shared" ca="1" si="0"/>
        <v>31899</v>
      </c>
      <c r="B15" s="111" t="s">
        <v>185</v>
      </c>
      <c r="C15" s="112">
        <f t="shared" ca="1" si="1"/>
        <v>9800</v>
      </c>
      <c r="D15" s="113">
        <f t="shared" ca="1" si="4"/>
        <v>26</v>
      </c>
      <c r="E15" s="114">
        <f t="shared" ca="1" si="2"/>
        <v>1</v>
      </c>
      <c r="F15" s="114" t="str">
        <f t="shared" ca="1" si="3"/>
        <v>A</v>
      </c>
      <c r="G15" s="118" t="str">
        <f t="shared" ca="1" si="5"/>
        <v>晉級</v>
      </c>
      <c r="H15" s="115">
        <f t="shared" ca="1" si="6"/>
        <v>1960</v>
      </c>
      <c r="J15" s="103" t="s">
        <v>186</v>
      </c>
      <c r="K15" s="117">
        <v>6000</v>
      </c>
      <c r="L15" s="114">
        <f ca="1"/>
        <v>2</v>
      </c>
    </row>
    <row r="16" spans="1:13" ht="16.5">
      <c r="A16" s="110">
        <f t="shared" ca="1" si="0"/>
        <v>35086</v>
      </c>
      <c r="B16" s="111" t="s">
        <v>187</v>
      </c>
      <c r="C16" s="112">
        <f t="shared" ca="1" si="1"/>
        <v>9100</v>
      </c>
      <c r="D16" s="113">
        <f t="shared" ca="1" si="4"/>
        <v>17</v>
      </c>
      <c r="E16" s="114">
        <f t="shared" ca="1" si="2"/>
        <v>2</v>
      </c>
      <c r="F16" s="114" t="str">
        <f t="shared" ca="1" si="3"/>
        <v>A</v>
      </c>
      <c r="G16" s="118" t="str">
        <f t="shared" ca="1" si="5"/>
        <v>晉級</v>
      </c>
      <c r="H16" s="115">
        <f t="shared" ca="1" si="6"/>
        <v>1820</v>
      </c>
      <c r="J16" s="103" t="s">
        <v>188</v>
      </c>
      <c r="K16" s="117">
        <v>8000</v>
      </c>
      <c r="L16" s="114">
        <f ca="1"/>
        <v>4</v>
      </c>
    </row>
    <row r="17" spans="1:12" ht="16.5">
      <c r="A17" s="110">
        <f t="shared" ca="1" si="0"/>
        <v>36950</v>
      </c>
      <c r="B17" s="111" t="s">
        <v>169</v>
      </c>
      <c r="C17" s="112">
        <f t="shared" ca="1" si="1"/>
        <v>2100</v>
      </c>
      <c r="D17" s="113">
        <f t="shared" ca="1" si="4"/>
        <v>12</v>
      </c>
      <c r="E17" s="114">
        <f t="shared" ca="1" si="2"/>
        <v>19</v>
      </c>
      <c r="F17" s="114" t="str">
        <f t="shared" ca="1" si="3"/>
        <v>D</v>
      </c>
      <c r="G17" s="118" t="str">
        <f t="shared" ca="1" si="5"/>
        <v/>
      </c>
      <c r="H17" s="115">
        <f t="shared" ca="1" si="6"/>
        <v>105</v>
      </c>
      <c r="J17" s="103" t="s">
        <v>189</v>
      </c>
      <c r="K17" s="117">
        <v>10000</v>
      </c>
      <c r="L17" s="114">
        <f ca="1"/>
        <v>6</v>
      </c>
    </row>
    <row r="18" spans="1:12" ht="16.5">
      <c r="A18" s="110">
        <f t="shared" ca="1" si="0"/>
        <v>33894</v>
      </c>
      <c r="B18" s="111" t="s">
        <v>107</v>
      </c>
      <c r="C18" s="112">
        <f t="shared" ca="1" si="1"/>
        <v>300</v>
      </c>
      <c r="D18" s="113">
        <f t="shared" ca="1" si="4"/>
        <v>21</v>
      </c>
      <c r="E18" s="114">
        <f t="shared" ca="1" si="2"/>
        <v>28</v>
      </c>
      <c r="F18" s="114" t="str">
        <f t="shared" ca="1" si="3"/>
        <v>E</v>
      </c>
      <c r="G18" s="118" t="str">
        <f t="shared" ca="1" si="5"/>
        <v>晉級</v>
      </c>
      <c r="H18" s="115">
        <f t="shared" ca="1" si="6"/>
        <v>0</v>
      </c>
    </row>
    <row r="19" spans="1:12" ht="16.5">
      <c r="A19" s="110">
        <f t="shared" ca="1" si="0"/>
        <v>32478</v>
      </c>
      <c r="B19" s="111" t="s">
        <v>190</v>
      </c>
      <c r="C19" s="112">
        <f t="shared" ca="1" si="1"/>
        <v>9000</v>
      </c>
      <c r="D19" s="113">
        <f t="shared" ca="1" si="4"/>
        <v>24</v>
      </c>
      <c r="E19" s="114">
        <f t="shared" ca="1" si="2"/>
        <v>3</v>
      </c>
      <c r="F19" s="114" t="str">
        <f t="shared" ca="1" si="3"/>
        <v>A</v>
      </c>
      <c r="G19" s="118" t="str">
        <f t="shared" ca="1" si="5"/>
        <v>晉級</v>
      </c>
      <c r="H19" s="115">
        <f t="shared" ca="1" si="6"/>
        <v>1800</v>
      </c>
    </row>
    <row r="20" spans="1:12" ht="16.5">
      <c r="A20" s="110">
        <f t="shared" ca="1" si="0"/>
        <v>34033</v>
      </c>
      <c r="B20" s="111" t="s">
        <v>48</v>
      </c>
      <c r="C20" s="112">
        <f t="shared" ca="1" si="1"/>
        <v>2700</v>
      </c>
      <c r="D20" s="113">
        <f t="shared" ca="1" si="4"/>
        <v>20</v>
      </c>
      <c r="E20" s="114">
        <f t="shared" ca="1" si="2"/>
        <v>15</v>
      </c>
      <c r="F20" s="114" t="str">
        <f t="shared" ca="1" si="3"/>
        <v>D</v>
      </c>
      <c r="G20" s="118" t="str">
        <f t="shared" ca="1" si="5"/>
        <v>晉級</v>
      </c>
      <c r="H20" s="115">
        <f t="shared" ca="1" si="6"/>
        <v>135</v>
      </c>
    </row>
    <row r="21" spans="1:12" ht="16.5">
      <c r="A21" s="110">
        <f t="shared" ca="1" si="0"/>
        <v>36465</v>
      </c>
      <c r="B21" s="111" t="s">
        <v>44</v>
      </c>
      <c r="C21" s="112">
        <f t="shared" ca="1" si="1"/>
        <v>1000</v>
      </c>
      <c r="D21" s="113">
        <f t="shared" ca="1" si="4"/>
        <v>13</v>
      </c>
      <c r="E21" s="114">
        <f t="shared" ca="1" si="2"/>
        <v>23</v>
      </c>
      <c r="F21" s="114" t="str">
        <f t="shared" ca="1" si="3"/>
        <v>E</v>
      </c>
      <c r="G21" s="118" t="str">
        <f t="shared" ca="1" si="5"/>
        <v/>
      </c>
      <c r="H21" s="115">
        <f t="shared" ca="1" si="6"/>
        <v>0</v>
      </c>
    </row>
    <row r="22" spans="1:12" ht="16.5">
      <c r="A22" s="110">
        <f t="shared" ca="1" si="0"/>
        <v>32579</v>
      </c>
      <c r="B22" s="111" t="s">
        <v>191</v>
      </c>
      <c r="C22" s="112">
        <f t="shared" ca="1" si="1"/>
        <v>1000</v>
      </c>
      <c r="D22" s="113">
        <f t="shared" ca="1" si="4"/>
        <v>24</v>
      </c>
      <c r="E22" s="114">
        <f t="shared" ca="1" si="2"/>
        <v>23</v>
      </c>
      <c r="F22" s="114" t="str">
        <f t="shared" ca="1" si="3"/>
        <v>E</v>
      </c>
      <c r="G22" s="118" t="str">
        <f t="shared" ca="1" si="5"/>
        <v>晉級</v>
      </c>
      <c r="H22" s="115">
        <f t="shared" ca="1" si="6"/>
        <v>0</v>
      </c>
    </row>
    <row r="23" spans="1:12" ht="16.5">
      <c r="A23" s="110">
        <f t="shared" ca="1" si="0"/>
        <v>35294</v>
      </c>
      <c r="B23" s="111" t="s">
        <v>192</v>
      </c>
      <c r="C23" s="112">
        <f t="shared" ca="1" si="1"/>
        <v>400</v>
      </c>
      <c r="D23" s="113">
        <f t="shared" ca="1" si="4"/>
        <v>17</v>
      </c>
      <c r="E23" s="114">
        <f t="shared" ca="1" si="2"/>
        <v>27</v>
      </c>
      <c r="F23" s="114" t="str">
        <f t="shared" ca="1" si="3"/>
        <v>E</v>
      </c>
      <c r="G23" s="118" t="str">
        <f t="shared" ca="1" si="5"/>
        <v/>
      </c>
      <c r="H23" s="115">
        <f t="shared" ca="1" si="6"/>
        <v>0</v>
      </c>
    </row>
    <row r="24" spans="1:12" ht="16.5">
      <c r="A24" s="110">
        <f t="shared" ca="1" si="0"/>
        <v>34564</v>
      </c>
      <c r="B24" s="111" t="s">
        <v>190</v>
      </c>
      <c r="C24" s="112">
        <f t="shared" ca="1" si="1"/>
        <v>300</v>
      </c>
      <c r="D24" s="113">
        <f t="shared" ca="1" si="4"/>
        <v>19</v>
      </c>
      <c r="E24" s="114">
        <f t="shared" ca="1" si="2"/>
        <v>28</v>
      </c>
      <c r="F24" s="114" t="str">
        <f t="shared" ca="1" si="3"/>
        <v>E</v>
      </c>
      <c r="G24" s="118" t="str">
        <f t="shared" ca="1" si="5"/>
        <v/>
      </c>
      <c r="H24" s="115">
        <f t="shared" ca="1" si="6"/>
        <v>0</v>
      </c>
    </row>
    <row r="25" spans="1:12" ht="16.5">
      <c r="A25" s="110">
        <f t="shared" ca="1" si="0"/>
        <v>35285</v>
      </c>
      <c r="B25" s="111" t="s">
        <v>193</v>
      </c>
      <c r="C25" s="112">
        <f t="shared" ca="1" si="1"/>
        <v>7000</v>
      </c>
      <c r="D25" s="113">
        <f t="shared" ca="1" si="4"/>
        <v>17</v>
      </c>
      <c r="E25" s="114">
        <f t="shared" ca="1" si="2"/>
        <v>9</v>
      </c>
      <c r="F25" s="114" t="str">
        <f t="shared" ca="1" si="3"/>
        <v>B</v>
      </c>
      <c r="G25" s="118" t="str">
        <f t="shared" ca="1" si="5"/>
        <v/>
      </c>
      <c r="H25" s="115">
        <f t="shared" ca="1" si="6"/>
        <v>1050</v>
      </c>
    </row>
    <row r="26" spans="1:12" ht="16.5">
      <c r="A26" s="110">
        <f t="shared" ca="1" si="0"/>
        <v>34047</v>
      </c>
      <c r="B26" s="111" t="s">
        <v>40</v>
      </c>
      <c r="C26" s="112">
        <f t="shared" ca="1" si="1"/>
        <v>2400</v>
      </c>
      <c r="D26" s="113">
        <f t="shared" ca="1" si="4"/>
        <v>20</v>
      </c>
      <c r="E26" s="114">
        <f t="shared" ca="1" si="2"/>
        <v>16</v>
      </c>
      <c r="F26" s="114" t="str">
        <f t="shared" ca="1" si="3"/>
        <v>D</v>
      </c>
      <c r="G26" s="118" t="str">
        <f t="shared" ca="1" si="5"/>
        <v>晉級</v>
      </c>
      <c r="H26" s="115">
        <f t="shared" ca="1" si="6"/>
        <v>120</v>
      </c>
    </row>
    <row r="27" spans="1:12" ht="16.5">
      <c r="A27" s="110">
        <f t="shared" ca="1" si="0"/>
        <v>37067</v>
      </c>
      <c r="B27" s="111" t="s">
        <v>194</v>
      </c>
      <c r="C27" s="112">
        <f t="shared" ca="1" si="1"/>
        <v>8600</v>
      </c>
      <c r="D27" s="113">
        <f t="shared" ca="1" si="4"/>
        <v>12</v>
      </c>
      <c r="E27" s="114">
        <f t="shared" ca="1" si="2"/>
        <v>5</v>
      </c>
      <c r="F27" s="114" t="str">
        <f t="shared" ca="1" si="3"/>
        <v>A</v>
      </c>
      <c r="G27" s="118" t="str">
        <f t="shared" ca="1" si="5"/>
        <v>晉級</v>
      </c>
      <c r="H27" s="115">
        <f t="shared" ca="1" si="6"/>
        <v>1720</v>
      </c>
    </row>
    <row r="28" spans="1:12" ht="16.5">
      <c r="A28" s="110">
        <f t="shared" ca="1" si="0"/>
        <v>36284</v>
      </c>
      <c r="B28" s="111" t="s">
        <v>195</v>
      </c>
      <c r="C28" s="112">
        <f t="shared" ca="1" si="1"/>
        <v>2400</v>
      </c>
      <c r="D28" s="113">
        <f t="shared" ca="1" si="4"/>
        <v>14</v>
      </c>
      <c r="E28" s="114">
        <f t="shared" ca="1" si="2"/>
        <v>16</v>
      </c>
      <c r="F28" s="114" t="str">
        <f t="shared" ca="1" si="3"/>
        <v>D</v>
      </c>
      <c r="G28" s="118" t="str">
        <f t="shared" ca="1" si="5"/>
        <v/>
      </c>
      <c r="H28" s="115">
        <f t="shared" ca="1" si="6"/>
        <v>120</v>
      </c>
    </row>
    <row r="29" spans="1:12" ht="16.5">
      <c r="A29" s="110">
        <f t="shared" ca="1" si="0"/>
        <v>37047</v>
      </c>
      <c r="B29" s="111" t="s">
        <v>97</v>
      </c>
      <c r="C29" s="112">
        <f t="shared" ca="1" si="1"/>
        <v>6900</v>
      </c>
      <c r="D29" s="113">
        <f t="shared" ca="1" si="4"/>
        <v>12</v>
      </c>
      <c r="E29" s="114">
        <f t="shared" ca="1" si="2"/>
        <v>10</v>
      </c>
      <c r="F29" s="114" t="str">
        <f t="shared" ca="1" si="3"/>
        <v>B</v>
      </c>
      <c r="G29" s="118" t="str">
        <f t="shared" ca="1" si="5"/>
        <v/>
      </c>
      <c r="H29" s="115">
        <f t="shared" ca="1" si="6"/>
        <v>1035</v>
      </c>
    </row>
    <row r="30" spans="1:12" ht="16.5">
      <c r="A30" s="110">
        <f t="shared" ca="1" si="0"/>
        <v>35264</v>
      </c>
      <c r="B30" s="111" t="s">
        <v>196</v>
      </c>
      <c r="C30" s="112">
        <f t="shared" ca="1" si="1"/>
        <v>500</v>
      </c>
      <c r="D30" s="113">
        <f t="shared" ca="1" si="4"/>
        <v>17</v>
      </c>
      <c r="E30" s="114">
        <f t="shared" ca="1" si="2"/>
        <v>26</v>
      </c>
      <c r="F30" s="114" t="str">
        <f t="shared" ca="1" si="3"/>
        <v>E</v>
      </c>
      <c r="G30" s="118" t="str">
        <f t="shared" ca="1" si="5"/>
        <v/>
      </c>
      <c r="H30" s="115">
        <f t="shared" ca="1" si="6"/>
        <v>0</v>
      </c>
    </row>
    <row r="31" spans="1:12" ht="16.5">
      <c r="A31" s="110">
        <f t="shared" ca="1" si="0"/>
        <v>31140</v>
      </c>
      <c r="B31" s="111" t="s">
        <v>101</v>
      </c>
      <c r="C31" s="112">
        <f t="shared" ca="1" si="1"/>
        <v>4800</v>
      </c>
      <c r="D31" s="113">
        <f t="shared" ca="1" si="4"/>
        <v>28</v>
      </c>
      <c r="E31" s="114">
        <f t="shared" ca="1" si="2"/>
        <v>12</v>
      </c>
      <c r="F31" s="114" t="str">
        <f t="shared" ca="1" si="3"/>
        <v>C</v>
      </c>
      <c r="G31" s="118" t="str">
        <f t="shared" ca="1" si="5"/>
        <v>晉級</v>
      </c>
      <c r="H31" s="115">
        <f t="shared" ca="1" si="6"/>
        <v>480</v>
      </c>
    </row>
    <row r="32" spans="1:12" ht="16.5">
      <c r="A32" s="110">
        <f t="shared" ca="1" si="0"/>
        <v>34926</v>
      </c>
      <c r="B32" s="111" t="s">
        <v>197</v>
      </c>
      <c r="C32" s="112">
        <f t="shared" ca="1" si="1"/>
        <v>8300</v>
      </c>
      <c r="D32" s="113">
        <f t="shared" ca="1" si="4"/>
        <v>18</v>
      </c>
      <c r="E32" s="114">
        <f t="shared" ca="1" si="2"/>
        <v>6</v>
      </c>
      <c r="F32" s="114" t="str">
        <f t="shared" ca="1" si="3"/>
        <v>A</v>
      </c>
      <c r="G32" s="118" t="str">
        <f t="shared" ca="1" si="5"/>
        <v>晉級</v>
      </c>
      <c r="H32" s="115">
        <f t="shared" ca="1" si="6"/>
        <v>1660</v>
      </c>
    </row>
    <row r="33" spans="1:8" ht="16.5">
      <c r="A33" s="110">
        <f t="shared" ca="1" si="0"/>
        <v>35175</v>
      </c>
      <c r="B33" s="111" t="s">
        <v>198</v>
      </c>
      <c r="C33" s="112">
        <f t="shared" ca="1" si="1"/>
        <v>7600</v>
      </c>
      <c r="D33" s="113">
        <f t="shared" ca="1" si="4"/>
        <v>17</v>
      </c>
      <c r="E33" s="114">
        <f t="shared" ca="1" si="2"/>
        <v>8</v>
      </c>
      <c r="F33" s="114" t="str">
        <f t="shared" ca="1" si="3"/>
        <v>B</v>
      </c>
      <c r="G33" s="118" t="str">
        <f t="shared" ca="1" si="5"/>
        <v/>
      </c>
      <c r="H33" s="115">
        <f t="shared" ca="1" si="6"/>
        <v>1140</v>
      </c>
    </row>
    <row r="34" spans="1:8" ht="16.5">
      <c r="A34" s="110">
        <f t="shared" ca="1" si="0"/>
        <v>33419</v>
      </c>
      <c r="B34" s="111" t="s">
        <v>199</v>
      </c>
      <c r="C34" s="112">
        <f t="shared" ca="1" si="1"/>
        <v>1700</v>
      </c>
      <c r="D34" s="113">
        <f t="shared" ca="1" si="4"/>
        <v>22</v>
      </c>
      <c r="E34" s="114">
        <f t="shared" ca="1" si="2"/>
        <v>20</v>
      </c>
      <c r="F34" s="114" t="str">
        <f t="shared" ca="1" si="3"/>
        <v>E</v>
      </c>
      <c r="G34" s="118" t="str">
        <f t="shared" ca="1" si="5"/>
        <v>晉級</v>
      </c>
      <c r="H34" s="115">
        <f t="shared" ca="1" si="6"/>
        <v>0</v>
      </c>
    </row>
  </sheetData>
  <mergeCells count="2">
    <mergeCell ref="A1:H1"/>
    <mergeCell ref="B2:C2"/>
  </mergeCells>
  <phoneticPr fontId="1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"/>
    </sheetView>
  </sheetViews>
  <sheetFormatPr defaultColWidth="8" defaultRowHeight="15.75"/>
  <cols>
    <col min="1" max="1" width="16" style="31" bestFit="1" customWidth="1"/>
    <col min="2" max="16384" width="8" style="31"/>
  </cols>
  <sheetData>
    <row r="1" spans="1:7" s="128" customFormat="1" ht="16.5">
      <c r="A1" s="125" t="s">
        <v>200</v>
      </c>
      <c r="B1" s="127">
        <v>100</v>
      </c>
    </row>
    <row r="2" spans="1:7" s="128" customFormat="1" ht="16.5">
      <c r="A2" s="125" t="s">
        <v>201</v>
      </c>
      <c r="B2" s="127">
        <v>5</v>
      </c>
    </row>
    <row r="3" spans="1:7" s="128" customFormat="1" ht="16.5">
      <c r="A3" s="125" t="s">
        <v>202</v>
      </c>
      <c r="B3" s="127">
        <v>20</v>
      </c>
    </row>
    <row r="4" spans="1:7" ht="16.5">
      <c r="A4" s="128"/>
      <c r="B4" s="126" t="s">
        <v>207</v>
      </c>
      <c r="C4" s="126" t="s">
        <v>208</v>
      </c>
      <c r="D4" s="126" t="s">
        <v>209</v>
      </c>
      <c r="E4" s="126" t="s">
        <v>210</v>
      </c>
      <c r="F4" s="126" t="s">
        <v>211</v>
      </c>
    </row>
    <row r="5" spans="1:7" ht="16.5">
      <c r="A5" s="125" t="s">
        <v>203</v>
      </c>
      <c r="B5" s="129">
        <f>SLN($B$1,$B$3,$B$2)</f>
        <v>16</v>
      </c>
      <c r="C5" s="129">
        <f>SLN($B$1,$B$3,$B$2)</f>
        <v>16</v>
      </c>
      <c r="D5" s="129">
        <f>SLN($B$1,$B$3,$B$2)</f>
        <v>16</v>
      </c>
      <c r="E5" s="129">
        <f>SLN($B$1,$B$3,$B$2)</f>
        <v>16</v>
      </c>
      <c r="F5" s="129">
        <f>SLN($B$1,$B$3,$B$2)</f>
        <v>16</v>
      </c>
      <c r="G5" s="130"/>
    </row>
    <row r="6" spans="1:7" ht="16.5">
      <c r="A6" s="125" t="s">
        <v>204</v>
      </c>
      <c r="B6" s="129">
        <f>DB($B$1,$B$3,$B$2,1)</f>
        <v>27.500000000000004</v>
      </c>
      <c r="C6" s="129">
        <f>DB($B$1,$B$3,$B$2,2)</f>
        <v>19.9375</v>
      </c>
      <c r="D6" s="129">
        <f>DB($B$1,$B$3,$B$2,3)</f>
        <v>14.4546875</v>
      </c>
      <c r="E6" s="129">
        <f>DB($B$1,$B$3,$B$2,4)</f>
        <v>10.479648437500002</v>
      </c>
      <c r="F6" s="129">
        <f>DB($B$1,$B$3,$B$2,5)</f>
        <v>7.5977451171875003</v>
      </c>
      <c r="G6" s="130"/>
    </row>
    <row r="7" spans="1:7" ht="16.5">
      <c r="A7" s="125" t="s">
        <v>205</v>
      </c>
      <c r="B7" s="129">
        <f>DDB($B$1,$B$3,$B$2,1,3)</f>
        <v>60</v>
      </c>
      <c r="C7" s="129">
        <f>DDB($B$1,$B$3,$B$2,2,3)</f>
        <v>20</v>
      </c>
      <c r="D7" s="129">
        <f>DDB($B$1,$B$3,$B$2,3,3)</f>
        <v>0</v>
      </c>
      <c r="E7" s="129">
        <f>DDB($B$1,$B$3,$B$2,4,3)</f>
        <v>0</v>
      </c>
      <c r="F7" s="129">
        <f>DDB($B$1,$B$3,$B$2,5,3)</f>
        <v>0</v>
      </c>
      <c r="G7" s="130"/>
    </row>
    <row r="8" spans="1:7" ht="16.5">
      <c r="A8" s="125" t="s">
        <v>206</v>
      </c>
      <c r="B8" s="129">
        <f>SYD($B$1,$B$3,$B$2,1)</f>
        <v>26.666666666666668</v>
      </c>
      <c r="C8" s="129">
        <f>SYD($B$1,$B$3,$B$2,2)</f>
        <v>21.333333333333332</v>
      </c>
      <c r="D8" s="129">
        <f>SYD($B$1,$B$3,$B$2,3)</f>
        <v>16</v>
      </c>
      <c r="E8" s="129">
        <f>SYD($B$1,$B$3,$B$2,4)</f>
        <v>10.666666666666666</v>
      </c>
      <c r="F8" s="129">
        <f>SYD($B$1,$B$3,$B$2,5)</f>
        <v>5.333333333333333</v>
      </c>
      <c r="G8" s="13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"/>
    </sheetView>
  </sheetViews>
  <sheetFormatPr defaultRowHeight="15.75"/>
  <cols>
    <col min="1" max="1" width="64.375" customWidth="1"/>
    <col min="2" max="2" width="14.125" customWidth="1"/>
  </cols>
  <sheetData>
    <row r="1" spans="1:2" ht="17.25" thickBot="1">
      <c r="A1" s="135" t="s">
        <v>212</v>
      </c>
      <c r="B1" s="135" t="s">
        <v>213</v>
      </c>
    </row>
    <row r="2" spans="1:2" ht="48" thickBot="1">
      <c r="A2" s="136" t="s">
        <v>214</v>
      </c>
      <c r="B2" s="131">
        <f>ROUND(PV(2.25%,5,,420000),0)</f>
        <v>-375779</v>
      </c>
    </row>
    <row r="3" spans="1:2" ht="48" thickBot="1">
      <c r="A3" s="136" t="s">
        <v>215</v>
      </c>
      <c r="B3" s="132">
        <f>ROUNDUP(PMT(5%/12,300,,15000000,1),0)</f>
        <v>-25084</v>
      </c>
    </row>
    <row r="4" spans="1:2" ht="32.25" thickBot="1">
      <c r="A4" s="136" t="s">
        <v>216</v>
      </c>
      <c r="B4" s="132">
        <f>ROUND(PMT(12.5%/12,8*12,600000,,1),0)</f>
        <v>-9815</v>
      </c>
    </row>
    <row r="5" spans="1:2" ht="48" thickBot="1">
      <c r="A5" s="136" t="s">
        <v>217</v>
      </c>
      <c r="B5" s="132">
        <f>ROUND(PMT(2%/12,5*12,,1000000,0),0)</f>
        <v>-15861</v>
      </c>
    </row>
    <row r="6" spans="1:2" ht="32.25" thickBot="1">
      <c r="A6" s="136" t="s">
        <v>218</v>
      </c>
      <c r="B6" s="132">
        <f>ROUNDUP(NPER(2%/12,-11000,,1000000,0),0)</f>
        <v>85</v>
      </c>
    </row>
    <row r="7" spans="1:2" ht="48" thickBot="1">
      <c r="A7" s="136" t="s">
        <v>219</v>
      </c>
      <c r="B7" s="133">
        <f>RATE(10,20000,-100000,10000)</f>
        <v>0.15720808768148109</v>
      </c>
    </row>
    <row r="8" spans="1:2" ht="32.25" thickBot="1">
      <c r="A8" s="136" t="s">
        <v>220</v>
      </c>
      <c r="B8" s="134">
        <f>RATE(12,18000,-1000000,1000000)*12</f>
        <v>0.21600000000001107</v>
      </c>
    </row>
    <row r="9" spans="1:2" ht="48" thickBot="1">
      <c r="A9" s="136" t="s">
        <v>221</v>
      </c>
      <c r="B9" s="132">
        <f>ROUND(FV(2.25%/12,60,-60000,-200000,1),0)</f>
        <v>4037468</v>
      </c>
    </row>
    <row r="10" spans="1:2" ht="32.25" thickBot="1">
      <c r="A10" s="136" t="s">
        <v>222</v>
      </c>
      <c r="B10" s="132">
        <f>FVSCHEDULE(100000,{0.1,0.08,0.12,0.1,0.12})</f>
        <v>163924.99200000009</v>
      </c>
    </row>
    <row r="11" spans="1:2" ht="32.25" thickBot="1">
      <c r="A11" s="136" t="s">
        <v>223</v>
      </c>
      <c r="B11" s="132">
        <f>ROUND(FV(EFFECT(4%,4),10,-1000000,,1),0)</f>
        <v>12528653</v>
      </c>
    </row>
  </sheetData>
  <phoneticPr fontId="4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" sqref="B2"/>
    </sheetView>
  </sheetViews>
  <sheetFormatPr defaultColWidth="12.625" defaultRowHeight="16.5"/>
  <cols>
    <col min="1" max="1" width="11.5" style="75" bestFit="1" customWidth="1"/>
    <col min="2" max="2" width="13.875" style="75" customWidth="1"/>
    <col min="3" max="3" width="13.75" style="74" bestFit="1" customWidth="1"/>
    <col min="4" max="4" width="9.75" style="74" bestFit="1" customWidth="1"/>
    <col min="5" max="5" width="7.75" style="75" bestFit="1" customWidth="1"/>
    <col min="6" max="6" width="9.75" style="75" bestFit="1" customWidth="1"/>
    <col min="7" max="16384" width="12.625" style="72"/>
  </cols>
  <sheetData>
    <row r="1" spans="1:6" ht="27.75">
      <c r="A1" s="69" t="s">
        <v>146</v>
      </c>
      <c r="B1" s="70"/>
      <c r="C1" s="71"/>
      <c r="D1" s="71"/>
      <c r="E1" s="70"/>
      <c r="F1" s="70"/>
    </row>
    <row r="2" spans="1:6">
      <c r="A2" s="73" t="s">
        <v>147</v>
      </c>
      <c r="B2" s="98">
        <f ca="1">TODAY()</f>
        <v>41575</v>
      </c>
      <c r="F2" s="76"/>
    </row>
    <row r="3" spans="1:6" ht="17.25" thickBot="1"/>
    <row r="4" spans="1:6" ht="17.25" thickTop="1">
      <c r="A4" s="87" t="s">
        <v>150</v>
      </c>
      <c r="B4" s="88" t="s">
        <v>7</v>
      </c>
      <c r="C4" s="95" t="s">
        <v>14</v>
      </c>
      <c r="D4" s="95" t="s">
        <v>148</v>
      </c>
      <c r="E4" s="96" t="s">
        <v>151</v>
      </c>
      <c r="F4" s="97" t="s">
        <v>149</v>
      </c>
    </row>
    <row r="5" spans="1:6">
      <c r="A5" s="92" t="s">
        <v>152</v>
      </c>
      <c r="B5" s="124" t="s">
        <v>144</v>
      </c>
      <c r="C5" s="90">
        <f ca="1">RAND()*15000+15000</f>
        <v>16691.007661619195</v>
      </c>
      <c r="D5" s="91">
        <f ca="1">IF(OR(MONTH(C5)&lt;MONTH($B$2),AND(MONTH(C5)=MONTH($B$2),DAY(C5)&lt;DAY($B$2))),YEAR($B$2)-YEAR(C5),YEAR($B$2)-YEAR(C5)-1)</f>
        <v>68</v>
      </c>
      <c r="E5" s="89" t="s">
        <v>153</v>
      </c>
      <c r="F5" s="99" t="str">
        <f ca="1">IF(AND(LEFT(E5,2)="台北",D5&gt;=20,D5&lt;=40),"符合","")</f>
        <v/>
      </c>
    </row>
    <row r="6" spans="1:6">
      <c r="A6" s="93" t="s">
        <v>154</v>
      </c>
      <c r="B6" s="120" t="s">
        <v>8</v>
      </c>
      <c r="C6" s="82">
        <f t="shared" ref="C6:C22" ca="1" si="0">RAND()*15000+15000</f>
        <v>15309.474034613058</v>
      </c>
      <c r="D6" s="83">
        <f t="shared" ref="D6:D22" ca="1" si="1">IF(OR(MONTH(C6)&lt;MONTH($B$2),AND(MONTH(C6)=MONTH($B$2),DAY(C6)&lt;DAY($B$2))),YEAR($B$2)-YEAR(C6),YEAR($B$2)-YEAR(C6)-1)</f>
        <v>71</v>
      </c>
      <c r="E6" s="81" t="s">
        <v>155</v>
      </c>
      <c r="F6" s="100" t="str">
        <f t="shared" ref="F6:F22" ca="1" si="2">IF(AND(LEFT(E6,2)="台北",D6&gt;=20,D6&lt;=40),"符合","")</f>
        <v/>
      </c>
    </row>
    <row r="7" spans="1:6">
      <c r="A7" s="92" t="s">
        <v>15</v>
      </c>
      <c r="B7" s="119" t="s">
        <v>2</v>
      </c>
      <c r="C7" s="90">
        <f t="shared" ca="1" si="0"/>
        <v>19246.904592926872</v>
      </c>
      <c r="D7" s="91">
        <f t="shared" ca="1" si="1"/>
        <v>61</v>
      </c>
      <c r="E7" s="89" t="s">
        <v>156</v>
      </c>
      <c r="F7" s="99" t="str">
        <f t="shared" ca="1" si="2"/>
        <v/>
      </c>
    </row>
    <row r="8" spans="1:6">
      <c r="A8" s="93" t="s">
        <v>16</v>
      </c>
      <c r="B8" s="120" t="s">
        <v>157</v>
      </c>
      <c r="C8" s="82">
        <f t="shared" ca="1" si="0"/>
        <v>15086.325622435634</v>
      </c>
      <c r="D8" s="83">
        <f t="shared" ca="1" si="1"/>
        <v>72</v>
      </c>
      <c r="E8" s="81" t="s">
        <v>158</v>
      </c>
      <c r="F8" s="100" t="str">
        <f t="shared" ca="1" si="2"/>
        <v/>
      </c>
    </row>
    <row r="9" spans="1:6">
      <c r="A9" s="92" t="s">
        <v>17</v>
      </c>
      <c r="B9" s="119" t="s">
        <v>3</v>
      </c>
      <c r="C9" s="90">
        <f t="shared" ca="1" si="0"/>
        <v>23743.936867593664</v>
      </c>
      <c r="D9" s="91">
        <f t="shared" ca="1" si="1"/>
        <v>48</v>
      </c>
      <c r="E9" s="89" t="s">
        <v>159</v>
      </c>
      <c r="F9" s="99" t="str">
        <f t="shared" ca="1" si="2"/>
        <v/>
      </c>
    </row>
    <row r="10" spans="1:6">
      <c r="A10" s="93" t="s">
        <v>18</v>
      </c>
      <c r="B10" s="120" t="s">
        <v>10</v>
      </c>
      <c r="C10" s="82">
        <f t="shared" ca="1" si="0"/>
        <v>25733.312591039492</v>
      </c>
      <c r="D10" s="83">
        <f t="shared" ca="1" si="1"/>
        <v>43</v>
      </c>
      <c r="E10" s="81" t="s">
        <v>153</v>
      </c>
      <c r="F10" s="100" t="str">
        <f t="shared" ca="1" si="2"/>
        <v/>
      </c>
    </row>
    <row r="11" spans="1:6">
      <c r="A11" s="92" t="s">
        <v>19</v>
      </c>
      <c r="B11" s="119" t="s">
        <v>160</v>
      </c>
      <c r="C11" s="90">
        <f t="shared" ca="1" si="0"/>
        <v>28446.566419178263</v>
      </c>
      <c r="D11" s="91">
        <f t="shared" ca="1" si="1"/>
        <v>35</v>
      </c>
      <c r="E11" s="89" t="s">
        <v>153</v>
      </c>
      <c r="F11" s="99" t="str">
        <f t="shared" ca="1" si="2"/>
        <v>符合</v>
      </c>
    </row>
    <row r="12" spans="1:6">
      <c r="A12" s="93" t="s">
        <v>20</v>
      </c>
      <c r="B12" s="120" t="s">
        <v>161</v>
      </c>
      <c r="C12" s="82">
        <f t="shared" ca="1" si="0"/>
        <v>29927.74620894319</v>
      </c>
      <c r="D12" s="83">
        <f t="shared" ca="1" si="1"/>
        <v>31</v>
      </c>
      <c r="E12" s="81" t="s">
        <v>162</v>
      </c>
      <c r="F12" s="100" t="str">
        <f t="shared" ca="1" si="2"/>
        <v/>
      </c>
    </row>
    <row r="13" spans="1:6">
      <c r="A13" s="92" t="s">
        <v>21</v>
      </c>
      <c r="B13" s="119" t="s">
        <v>11</v>
      </c>
      <c r="C13" s="90">
        <f t="shared" ca="1" si="0"/>
        <v>18508.944463171883</v>
      </c>
      <c r="D13" s="91">
        <f t="shared" ca="1" si="1"/>
        <v>63</v>
      </c>
      <c r="E13" s="89" t="s">
        <v>163</v>
      </c>
      <c r="F13" s="99" t="str">
        <f t="shared" ca="1" si="2"/>
        <v/>
      </c>
    </row>
    <row r="14" spans="1:6">
      <c r="A14" s="93" t="s">
        <v>22</v>
      </c>
      <c r="B14" s="120" t="s">
        <v>0</v>
      </c>
      <c r="C14" s="82">
        <f t="shared" ca="1" si="0"/>
        <v>16768.159270691405</v>
      </c>
      <c r="D14" s="83">
        <f t="shared" ca="1" si="1"/>
        <v>67</v>
      </c>
      <c r="E14" s="81" t="s">
        <v>164</v>
      </c>
      <c r="F14" s="100" t="str">
        <f t="shared" ca="1" si="2"/>
        <v/>
      </c>
    </row>
    <row r="15" spans="1:6">
      <c r="A15" s="92" t="s">
        <v>23</v>
      </c>
      <c r="B15" s="121" t="s">
        <v>6</v>
      </c>
      <c r="C15" s="90">
        <f t="shared" ca="1" si="0"/>
        <v>19015.369268951839</v>
      </c>
      <c r="D15" s="91">
        <f t="shared" ca="1" si="1"/>
        <v>61</v>
      </c>
      <c r="E15" s="89" t="s">
        <v>153</v>
      </c>
      <c r="F15" s="99" t="str">
        <f t="shared" ca="1" si="2"/>
        <v/>
      </c>
    </row>
    <row r="16" spans="1:6">
      <c r="A16" s="93" t="s">
        <v>24</v>
      </c>
      <c r="B16" s="122" t="s">
        <v>5</v>
      </c>
      <c r="C16" s="82">
        <f t="shared" ca="1" si="0"/>
        <v>17058.16261616466</v>
      </c>
      <c r="D16" s="83">
        <f t="shared" ca="1" si="1"/>
        <v>67</v>
      </c>
      <c r="E16" s="81" t="s">
        <v>162</v>
      </c>
      <c r="F16" s="100" t="str">
        <f t="shared" ca="1" si="2"/>
        <v/>
      </c>
    </row>
    <row r="17" spans="1:6">
      <c r="A17" s="92" t="s">
        <v>25</v>
      </c>
      <c r="B17" s="121" t="s">
        <v>12</v>
      </c>
      <c r="C17" s="90">
        <f t="shared" ca="1" si="0"/>
        <v>17839.009958532039</v>
      </c>
      <c r="D17" s="91">
        <f t="shared" ca="1" si="1"/>
        <v>64</v>
      </c>
      <c r="E17" s="89" t="s">
        <v>158</v>
      </c>
      <c r="F17" s="99" t="str">
        <f t="shared" ca="1" si="2"/>
        <v/>
      </c>
    </row>
    <row r="18" spans="1:6">
      <c r="A18" s="93" t="s">
        <v>26</v>
      </c>
      <c r="B18" s="122" t="s">
        <v>165</v>
      </c>
      <c r="C18" s="82">
        <f t="shared" ca="1" si="0"/>
        <v>24075.59987409749</v>
      </c>
      <c r="D18" s="83">
        <f t="shared" ca="1" si="1"/>
        <v>47</v>
      </c>
      <c r="E18" s="81" t="s">
        <v>159</v>
      </c>
      <c r="F18" s="100" t="str">
        <f t="shared" ca="1" si="2"/>
        <v/>
      </c>
    </row>
    <row r="19" spans="1:6">
      <c r="A19" s="92" t="s">
        <v>27</v>
      </c>
      <c r="B19" s="121" t="s">
        <v>166</v>
      </c>
      <c r="C19" s="90">
        <f t="shared" ca="1" si="0"/>
        <v>23495.436851978935</v>
      </c>
      <c r="D19" s="91">
        <f t="shared" ca="1" si="1"/>
        <v>49</v>
      </c>
      <c r="E19" s="89" t="s">
        <v>163</v>
      </c>
      <c r="F19" s="99" t="str">
        <f t="shared" ca="1" si="2"/>
        <v/>
      </c>
    </row>
    <row r="20" spans="1:6">
      <c r="A20" s="93" t="s">
        <v>28</v>
      </c>
      <c r="B20" s="122" t="s">
        <v>167</v>
      </c>
      <c r="C20" s="82">
        <f t="shared" ca="1" si="0"/>
        <v>27826.757186096089</v>
      </c>
      <c r="D20" s="83">
        <f t="shared" ca="1" si="1"/>
        <v>37</v>
      </c>
      <c r="E20" s="81" t="s">
        <v>145</v>
      </c>
      <c r="F20" s="100" t="str">
        <f t="shared" ca="1" si="2"/>
        <v/>
      </c>
    </row>
    <row r="21" spans="1:6">
      <c r="A21" s="92" t="s">
        <v>29</v>
      </c>
      <c r="B21" s="121" t="s">
        <v>168</v>
      </c>
      <c r="C21" s="90">
        <f t="shared" ca="1" si="0"/>
        <v>23129.2394555969</v>
      </c>
      <c r="D21" s="91">
        <f t="shared" ca="1" si="1"/>
        <v>50</v>
      </c>
      <c r="E21" s="89" t="s">
        <v>162</v>
      </c>
      <c r="F21" s="99" t="str">
        <f t="shared" ca="1" si="2"/>
        <v/>
      </c>
    </row>
    <row r="22" spans="1:6" ht="17.25" thickBot="1">
      <c r="A22" s="94" t="s">
        <v>30</v>
      </c>
      <c r="B22" s="123" t="s">
        <v>13</v>
      </c>
      <c r="C22" s="84">
        <f t="shared" ca="1" si="0"/>
        <v>27842.756311723555</v>
      </c>
      <c r="D22" s="85">
        <f t="shared" ca="1" si="1"/>
        <v>37</v>
      </c>
      <c r="E22" s="86" t="s">
        <v>145</v>
      </c>
      <c r="F22" s="101" t="str">
        <f t="shared" ca="1" si="2"/>
        <v/>
      </c>
    </row>
    <row r="23" spans="1:6" ht="17.25" thickTop="1">
      <c r="C23" s="79"/>
      <c r="D23" s="80"/>
    </row>
    <row r="24" spans="1:6">
      <c r="A24" s="145" t="s">
        <v>225</v>
      </c>
      <c r="B24" s="145"/>
      <c r="C24" s="145"/>
      <c r="D24" s="145"/>
      <c r="E24" s="145"/>
      <c r="F24" s="145"/>
    </row>
    <row r="25" spans="1:6" ht="64.150000000000006" customHeight="1">
      <c r="A25" s="146" t="s">
        <v>226</v>
      </c>
      <c r="B25" s="146"/>
      <c r="C25" s="146"/>
      <c r="D25" s="146"/>
      <c r="E25" s="146"/>
      <c r="F25" s="146"/>
    </row>
    <row r="26" spans="1:6" ht="49.15" customHeight="1">
      <c r="A26" s="146" t="s">
        <v>227</v>
      </c>
      <c r="B26" s="146"/>
      <c r="C26" s="146"/>
      <c r="D26" s="146"/>
      <c r="E26" s="146"/>
      <c r="F26" s="146"/>
    </row>
  </sheetData>
  <mergeCells count="3">
    <mergeCell ref="A24:F24"/>
    <mergeCell ref="A25:F25"/>
    <mergeCell ref="A26:F26"/>
  </mergeCells>
  <phoneticPr fontId="11" type="noConversion"/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7</vt:i4>
      </vt:variant>
    </vt:vector>
  </HeadingPairs>
  <TitlesOfParts>
    <vt:vector size="14" baseType="lpstr">
      <vt:lpstr>銷售業績</vt:lpstr>
      <vt:lpstr>模式1</vt:lpstr>
      <vt:lpstr>模式2</vt:lpstr>
      <vt:lpstr>模式3</vt:lpstr>
      <vt:lpstr>折舊</vt:lpstr>
      <vt:lpstr>財務函數</vt:lpstr>
      <vt:lpstr>日期函數</vt:lpstr>
      <vt:lpstr>一月</vt:lpstr>
      <vt:lpstr>二月</vt:lpstr>
      <vt:lpstr>平均</vt:lpstr>
      <vt:lpstr>姓名</vt:lpstr>
      <vt:lpstr>性別</vt:lpstr>
      <vt:lpstr>部門</vt:lpstr>
      <vt:lpstr>總和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林宏諭</dc:creator>
  <cp:lastModifiedBy>Windows 使用者</cp:lastModifiedBy>
  <dcterms:created xsi:type="dcterms:W3CDTF">1999-04-24T13:57:20Z</dcterms:created>
  <dcterms:modified xsi:type="dcterms:W3CDTF">2013-10-28T12:55:50Z</dcterms:modified>
</cp:coreProperties>
</file>