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1\完成檔案\"/>
    </mc:Choice>
  </mc:AlternateContent>
  <bookViews>
    <workbookView xWindow="0" yWindow="0" windowWidth="20490" windowHeight="7485" activeTab="6" xr2:uid="{1DD230F6-E0AA-4CDD-A5E8-87F285181BB6}"/>
  </bookViews>
  <sheets>
    <sheet name="員工基本資料" sheetId="2" r:id="rId1"/>
    <sheet name="簽到記錄" sheetId="1" r:id="rId2"/>
    <sheet name="簽到統計" sheetId="3" r:id="rId3"/>
    <sheet name="薪資表" sheetId="4" r:id="rId4"/>
    <sheet name="薪資比較" sheetId="5" r:id="rId5"/>
    <sheet name="勞健保分攤" sheetId="6" r:id="rId6"/>
    <sheet name="員工薪資明細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A4" i="7" s="1"/>
  <c r="F4" i="7"/>
  <c r="H4" i="7"/>
  <c r="B5" i="7"/>
  <c r="C5" i="7" s="1"/>
  <c r="F5" i="7"/>
  <c r="B6" i="7"/>
  <c r="A6" i="7" s="1"/>
  <c r="F6" i="7"/>
  <c r="H6" i="7"/>
  <c r="B7" i="7"/>
  <c r="B8" i="7"/>
  <c r="A8" i="7" s="1"/>
  <c r="H8" i="7"/>
  <c r="B9" i="7"/>
  <c r="B10" i="7"/>
  <c r="A10" i="7" s="1"/>
  <c r="F10" i="7"/>
  <c r="H10" i="7"/>
  <c r="B11" i="7"/>
  <c r="F11" i="7" s="1"/>
  <c r="B12" i="7"/>
  <c r="A12" i="7" s="1"/>
  <c r="H12" i="7"/>
  <c r="B13" i="7"/>
  <c r="F13" i="7" s="1"/>
  <c r="B14" i="7"/>
  <c r="A14" i="7" s="1"/>
  <c r="H14" i="7"/>
  <c r="B15" i="7"/>
  <c r="B16" i="7"/>
  <c r="F16" i="7"/>
  <c r="H16" i="7"/>
  <c r="B17" i="7"/>
  <c r="F17" i="7"/>
  <c r="H17" i="7"/>
  <c r="B18" i="7"/>
  <c r="F18" i="7" s="1"/>
  <c r="B19" i="7"/>
  <c r="B20" i="7"/>
  <c r="F20" i="7"/>
  <c r="H20" i="7"/>
  <c r="B21" i="7"/>
  <c r="F21" i="7"/>
  <c r="H21" i="7"/>
  <c r="B22" i="7"/>
  <c r="B23" i="7"/>
  <c r="B24" i="7"/>
  <c r="F24" i="7"/>
  <c r="H24" i="7"/>
  <c r="A22" i="7" l="1"/>
  <c r="E22" i="7"/>
  <c r="C22" i="7"/>
  <c r="G22" i="7"/>
  <c r="C9" i="7"/>
  <c r="G9" i="7"/>
  <c r="H9" i="7"/>
  <c r="A9" i="7"/>
  <c r="E9" i="7"/>
  <c r="C7" i="7"/>
  <c r="G7" i="7"/>
  <c r="H7" i="7"/>
  <c r="A7" i="7"/>
  <c r="E7" i="7"/>
  <c r="C15" i="7"/>
  <c r="G15" i="7"/>
  <c r="A15" i="7"/>
  <c r="E15" i="7"/>
  <c r="C23" i="7"/>
  <c r="G23" i="7"/>
  <c r="A23" i="7"/>
  <c r="E23" i="7"/>
  <c r="H22" i="7"/>
  <c r="C19" i="7"/>
  <c r="G19" i="7"/>
  <c r="A19" i="7"/>
  <c r="E19" i="7"/>
  <c r="H18" i="7"/>
  <c r="A24" i="7"/>
  <c r="E24" i="7"/>
  <c r="C24" i="7"/>
  <c r="G24" i="7"/>
  <c r="H23" i="7"/>
  <c r="F22" i="7"/>
  <c r="A20" i="7"/>
  <c r="E20" i="7"/>
  <c r="C20" i="7"/>
  <c r="G20" i="7"/>
  <c r="H19" i="7"/>
  <c r="A16" i="7"/>
  <c r="E16" i="7"/>
  <c r="C16" i="7"/>
  <c r="G16" i="7"/>
  <c r="H15" i="7"/>
  <c r="A18" i="7"/>
  <c r="E18" i="7"/>
  <c r="C18" i="7"/>
  <c r="G18" i="7"/>
  <c r="F23" i="7"/>
  <c r="C21" i="7"/>
  <c r="G21" i="7"/>
  <c r="A21" i="7"/>
  <c r="E21" i="7"/>
  <c r="F19" i="7"/>
  <c r="C17" i="7"/>
  <c r="G17" i="7"/>
  <c r="A17" i="7"/>
  <c r="E17" i="7"/>
  <c r="F15" i="7"/>
  <c r="C13" i="7"/>
  <c r="G13" i="7"/>
  <c r="H13" i="7"/>
  <c r="A13" i="7"/>
  <c r="E13" i="7"/>
  <c r="C11" i="7"/>
  <c r="G11" i="7"/>
  <c r="H11" i="7"/>
  <c r="A11" i="7"/>
  <c r="E11" i="7"/>
  <c r="F9" i="7"/>
  <c r="F7" i="7"/>
  <c r="G14" i="7"/>
  <c r="C14" i="7"/>
  <c r="G12" i="7"/>
  <c r="C12" i="7"/>
  <c r="G10" i="7"/>
  <c r="C10" i="7"/>
  <c r="G8" i="7"/>
  <c r="C8" i="7"/>
  <c r="G6" i="7"/>
  <c r="C6" i="7"/>
  <c r="E5" i="7"/>
  <c r="A5" i="7"/>
  <c r="G4" i="7"/>
  <c r="C4" i="7"/>
  <c r="F8" i="7"/>
  <c r="H5" i="7"/>
  <c r="F14" i="7"/>
  <c r="F12" i="7"/>
  <c r="E14" i="7"/>
  <c r="E12" i="7"/>
  <c r="E10" i="7"/>
  <c r="E8" i="7"/>
  <c r="E6" i="7"/>
  <c r="G5" i="7"/>
  <c r="E4" i="7"/>
  <c r="C3" i="7" l="1"/>
  <c r="A3" i="7"/>
  <c r="B3" i="7"/>
  <c r="H3" i="7" l="1"/>
  <c r="G3" i="7"/>
  <c r="E3" i="7"/>
  <c r="F3" i="7"/>
  <c r="F3" i="5"/>
  <c r="F4" i="5"/>
  <c r="F5" i="5"/>
  <c r="F6" i="5"/>
  <c r="F7" i="5"/>
  <c r="F2" i="5"/>
  <c r="B3" i="5"/>
  <c r="B4" i="5"/>
  <c r="B5" i="5"/>
  <c r="B6" i="5"/>
  <c r="B2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" i="4"/>
  <c r="O2" i="4"/>
  <c r="I3" i="4" s="1"/>
  <c r="I17" i="4" l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C30" i="1"/>
  <c r="D30" i="1"/>
  <c r="E30" i="1"/>
  <c r="F30" i="1"/>
  <c r="BM30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C31" i="1"/>
  <c r="BM31" i="1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C32" i="1"/>
  <c r="BM32" i="1" s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C34" i="1"/>
  <c r="D34" i="1"/>
  <c r="E34" i="1"/>
  <c r="F34" i="1"/>
  <c r="BM34" i="1" s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C35" i="1"/>
  <c r="BM35" i="1" s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C36" i="1"/>
  <c r="BM36" i="1" s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C38" i="1"/>
  <c r="D38" i="1"/>
  <c r="E38" i="1"/>
  <c r="F38" i="1"/>
  <c r="BM38" i="1" s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C39" i="1"/>
  <c r="BM39" i="1" s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C40" i="1"/>
  <c r="BM40" i="1" s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C42" i="1"/>
  <c r="D42" i="1"/>
  <c r="E42" i="1"/>
  <c r="F42" i="1"/>
  <c r="BM42" i="1" s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C43" i="1"/>
  <c r="BM43" i="1" s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C44" i="1"/>
  <c r="BM44" i="1" s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C46" i="1"/>
  <c r="D46" i="1"/>
  <c r="E46" i="1"/>
  <c r="F46" i="1"/>
  <c r="BM46" i="1" s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C47" i="1"/>
  <c r="BM47" i="1" s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C48" i="1"/>
  <c r="BM48" i="1" s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C50" i="1"/>
  <c r="D50" i="1"/>
  <c r="E50" i="1"/>
  <c r="F50" i="1"/>
  <c r="BM50" i="1" s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C29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D2" i="4"/>
  <c r="C2" i="4"/>
  <c r="B2" i="4"/>
  <c r="D6" i="3" l="1"/>
  <c r="D7" i="3"/>
  <c r="D8" i="3"/>
  <c r="D9" i="3"/>
  <c r="D10" i="3"/>
  <c r="D12" i="3"/>
  <c r="D13" i="3"/>
  <c r="D14" i="3"/>
  <c r="D15" i="3"/>
  <c r="D16" i="3"/>
  <c r="D19" i="3"/>
  <c r="D2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D18" i="3" l="1"/>
  <c r="D21" i="3"/>
  <c r="D17" i="3"/>
  <c r="D5" i="3"/>
  <c r="D2" i="3"/>
  <c r="D20" i="3"/>
  <c r="D4" i="3"/>
  <c r="D23" i="3"/>
  <c r="D11" i="3"/>
  <c r="D3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5" i="1"/>
  <c r="C3" i="1" l="1"/>
  <c r="C4" i="1" s="1"/>
  <c r="E3" i="1" l="1"/>
  <c r="K3" i="2"/>
  <c r="E3" i="4" s="1"/>
  <c r="D4" i="7" s="1"/>
  <c r="K4" i="2"/>
  <c r="E4" i="4" s="1"/>
  <c r="D5" i="7" s="1"/>
  <c r="K5" i="2"/>
  <c r="E5" i="4" s="1"/>
  <c r="D6" i="7" s="1"/>
  <c r="K6" i="2"/>
  <c r="E6" i="4" s="1"/>
  <c r="D7" i="7" s="1"/>
  <c r="K7" i="2"/>
  <c r="E7" i="4" s="1"/>
  <c r="D8" i="7" s="1"/>
  <c r="K8" i="2"/>
  <c r="E8" i="4" s="1"/>
  <c r="D9" i="7" s="1"/>
  <c r="K9" i="2"/>
  <c r="E9" i="4" s="1"/>
  <c r="D10" i="7" s="1"/>
  <c r="K10" i="2"/>
  <c r="E10" i="4" s="1"/>
  <c r="D11" i="7" s="1"/>
  <c r="K11" i="2"/>
  <c r="E11" i="4" s="1"/>
  <c r="D12" i="7" s="1"/>
  <c r="K12" i="2"/>
  <c r="E12" i="4" s="1"/>
  <c r="D13" i="7" s="1"/>
  <c r="K13" i="2"/>
  <c r="E13" i="4" s="1"/>
  <c r="D14" i="7" s="1"/>
  <c r="K14" i="2"/>
  <c r="E14" i="4" s="1"/>
  <c r="D15" i="7" s="1"/>
  <c r="K15" i="2"/>
  <c r="E15" i="4" s="1"/>
  <c r="D16" i="7" s="1"/>
  <c r="K16" i="2"/>
  <c r="E16" i="4" s="1"/>
  <c r="D17" i="7" s="1"/>
  <c r="K17" i="2"/>
  <c r="E17" i="4" s="1"/>
  <c r="D18" i="7" s="1"/>
  <c r="K18" i="2"/>
  <c r="E18" i="4" s="1"/>
  <c r="D19" i="7" s="1"/>
  <c r="K19" i="2"/>
  <c r="E19" i="4" s="1"/>
  <c r="D20" i="7" s="1"/>
  <c r="K20" i="2"/>
  <c r="E20" i="4" s="1"/>
  <c r="D21" i="7" s="1"/>
  <c r="K21" i="2"/>
  <c r="E21" i="4" s="1"/>
  <c r="D22" i="7" s="1"/>
  <c r="K22" i="2"/>
  <c r="E22" i="4" s="1"/>
  <c r="D23" i="7" s="1"/>
  <c r="K23" i="2"/>
  <c r="E23" i="4" s="1"/>
  <c r="D24" i="7" s="1"/>
  <c r="K2" i="2"/>
  <c r="E2" i="4" s="1"/>
  <c r="D3" i="7" s="1"/>
  <c r="M3" i="7" s="1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J2" i="2"/>
  <c r="E2" i="2"/>
  <c r="M22" i="7" l="1"/>
  <c r="M18" i="7"/>
  <c r="M14" i="7"/>
  <c r="M10" i="7"/>
  <c r="M6" i="7"/>
  <c r="M21" i="7"/>
  <c r="M17" i="7"/>
  <c r="M13" i="7"/>
  <c r="M9" i="7"/>
  <c r="M5" i="7"/>
  <c r="M24" i="7"/>
  <c r="M20" i="7"/>
  <c r="M16" i="7"/>
  <c r="M12" i="7"/>
  <c r="M8" i="7"/>
  <c r="M4" i="7"/>
  <c r="M23" i="7"/>
  <c r="M19" i="7"/>
  <c r="M15" i="7"/>
  <c r="M11" i="7"/>
  <c r="M7" i="7"/>
  <c r="J17" i="4"/>
  <c r="J9" i="4"/>
  <c r="J5" i="4"/>
  <c r="J20" i="4"/>
  <c r="F21" i="6" s="1"/>
  <c r="L21" i="7" s="1"/>
  <c r="J16" i="4"/>
  <c r="D17" i="6" s="1"/>
  <c r="J17" i="7" s="1"/>
  <c r="J12" i="4"/>
  <c r="J8" i="4"/>
  <c r="D9" i="6" s="1"/>
  <c r="J9" i="7" s="1"/>
  <c r="J4" i="4"/>
  <c r="F5" i="6" s="1"/>
  <c r="L5" i="7" s="1"/>
  <c r="J13" i="4"/>
  <c r="F14" i="6" s="1"/>
  <c r="L14" i="7" s="1"/>
  <c r="J23" i="4"/>
  <c r="J19" i="4"/>
  <c r="E20" i="6" s="1"/>
  <c r="K20" i="7" s="1"/>
  <c r="J15" i="4"/>
  <c r="D16" i="6" s="1"/>
  <c r="J16" i="7" s="1"/>
  <c r="J11" i="4"/>
  <c r="E12" i="6" s="1"/>
  <c r="K12" i="7" s="1"/>
  <c r="J7" i="4"/>
  <c r="J3" i="4"/>
  <c r="J21" i="4"/>
  <c r="D22" i="6" s="1"/>
  <c r="J22" i="7" s="1"/>
  <c r="J22" i="4"/>
  <c r="J18" i="4"/>
  <c r="J14" i="4"/>
  <c r="J10" i="4"/>
  <c r="F11" i="6" s="1"/>
  <c r="L11" i="7" s="1"/>
  <c r="J6" i="4"/>
  <c r="J2" i="4"/>
  <c r="F3" i="6" s="1"/>
  <c r="L3" i="7" s="1"/>
  <c r="C14" i="6"/>
  <c r="I14" i="7" s="1"/>
  <c r="N14" i="7" s="1"/>
  <c r="D14" i="6"/>
  <c r="J14" i="7" s="1"/>
  <c r="E14" i="6"/>
  <c r="K14" i="7" s="1"/>
  <c r="E17" i="6"/>
  <c r="K17" i="7" s="1"/>
  <c r="F17" i="6"/>
  <c r="L17" i="7" s="1"/>
  <c r="C17" i="6"/>
  <c r="I17" i="7" s="1"/>
  <c r="E13" i="6"/>
  <c r="K13" i="7" s="1"/>
  <c r="F13" i="6"/>
  <c r="L13" i="7" s="1"/>
  <c r="C13" i="6"/>
  <c r="I13" i="7" s="1"/>
  <c r="N13" i="7" s="1"/>
  <c r="D13" i="6"/>
  <c r="J13" i="7" s="1"/>
  <c r="E9" i="6"/>
  <c r="K9" i="7" s="1"/>
  <c r="F9" i="6"/>
  <c r="L9" i="7" s="1"/>
  <c r="C9" i="6"/>
  <c r="I9" i="7" s="1"/>
  <c r="N9" i="7" s="1"/>
  <c r="E5" i="6"/>
  <c r="K5" i="7" s="1"/>
  <c r="C10" i="6"/>
  <c r="I10" i="7" s="1"/>
  <c r="N10" i="7" s="1"/>
  <c r="D10" i="6"/>
  <c r="J10" i="7" s="1"/>
  <c r="E10" i="6"/>
  <c r="K10" i="7" s="1"/>
  <c r="F10" i="6"/>
  <c r="L10" i="7" s="1"/>
  <c r="C24" i="6"/>
  <c r="I24" i="7" s="1"/>
  <c r="N24" i="7" s="1"/>
  <c r="D24" i="6"/>
  <c r="J24" i="7" s="1"/>
  <c r="E24" i="6"/>
  <c r="K24" i="7" s="1"/>
  <c r="F24" i="6"/>
  <c r="L24" i="7" s="1"/>
  <c r="C20" i="6"/>
  <c r="I20" i="7" s="1"/>
  <c r="D20" i="6"/>
  <c r="J20" i="7" s="1"/>
  <c r="F20" i="6"/>
  <c r="L20" i="7" s="1"/>
  <c r="C12" i="6"/>
  <c r="I12" i="7" s="1"/>
  <c r="D12" i="6"/>
  <c r="J12" i="7" s="1"/>
  <c r="F12" i="6"/>
  <c r="L12" i="7" s="1"/>
  <c r="C8" i="6"/>
  <c r="I8" i="7" s="1"/>
  <c r="N8" i="7" s="1"/>
  <c r="D8" i="6"/>
  <c r="J8" i="7" s="1"/>
  <c r="E8" i="6"/>
  <c r="K8" i="7" s="1"/>
  <c r="F8" i="6"/>
  <c r="L8" i="7" s="1"/>
  <c r="C4" i="6"/>
  <c r="I4" i="7" s="1"/>
  <c r="N4" i="7" s="1"/>
  <c r="D4" i="6"/>
  <c r="J4" i="7" s="1"/>
  <c r="E4" i="6"/>
  <c r="K4" i="7" s="1"/>
  <c r="F4" i="6"/>
  <c r="L4" i="7" s="1"/>
  <c r="C18" i="6"/>
  <c r="I18" i="7" s="1"/>
  <c r="N18" i="7" s="1"/>
  <c r="D18" i="6"/>
  <c r="J18" i="7" s="1"/>
  <c r="E18" i="6"/>
  <c r="K18" i="7" s="1"/>
  <c r="F18" i="6"/>
  <c r="L18" i="7" s="1"/>
  <c r="C6" i="6"/>
  <c r="I6" i="7" s="1"/>
  <c r="N6" i="7" s="1"/>
  <c r="D6" i="6"/>
  <c r="J6" i="7" s="1"/>
  <c r="E6" i="6"/>
  <c r="K6" i="7" s="1"/>
  <c r="F6" i="6"/>
  <c r="L6" i="7" s="1"/>
  <c r="E23" i="6"/>
  <c r="K23" i="7" s="1"/>
  <c r="F23" i="6"/>
  <c r="L23" i="7" s="1"/>
  <c r="C23" i="6"/>
  <c r="I23" i="7" s="1"/>
  <c r="N23" i="7" s="1"/>
  <c r="D23" i="6"/>
  <c r="J23" i="7" s="1"/>
  <c r="E19" i="6"/>
  <c r="K19" i="7" s="1"/>
  <c r="F19" i="6"/>
  <c r="L19" i="7" s="1"/>
  <c r="C19" i="6"/>
  <c r="I19" i="7" s="1"/>
  <c r="N19" i="7" s="1"/>
  <c r="D19" i="6"/>
  <c r="J19" i="7" s="1"/>
  <c r="E15" i="6"/>
  <c r="K15" i="7" s="1"/>
  <c r="F15" i="6"/>
  <c r="L15" i="7" s="1"/>
  <c r="C15" i="6"/>
  <c r="I15" i="7" s="1"/>
  <c r="N15" i="7" s="1"/>
  <c r="D15" i="6"/>
  <c r="J15" i="7" s="1"/>
  <c r="E7" i="6"/>
  <c r="K7" i="7" s="1"/>
  <c r="F7" i="6"/>
  <c r="L7" i="7" s="1"/>
  <c r="C7" i="6"/>
  <c r="I7" i="7" s="1"/>
  <c r="N7" i="7" s="1"/>
  <c r="D7" i="6"/>
  <c r="J7" i="7" s="1"/>
  <c r="E4" i="1"/>
  <c r="G3" i="1"/>
  <c r="N20" i="7" l="1"/>
  <c r="N12" i="7"/>
  <c r="N17" i="7"/>
  <c r="E11" i="6"/>
  <c r="K11" i="7" s="1"/>
  <c r="E21" i="6"/>
  <c r="K21" i="7" s="1"/>
  <c r="C16" i="6"/>
  <c r="I16" i="7" s="1"/>
  <c r="C22" i="6"/>
  <c r="I22" i="7" s="1"/>
  <c r="D11" i="6"/>
  <c r="J11" i="7" s="1"/>
  <c r="F16" i="6"/>
  <c r="L16" i="7" s="1"/>
  <c r="F22" i="6"/>
  <c r="L22" i="7" s="1"/>
  <c r="D5" i="6"/>
  <c r="D21" i="6"/>
  <c r="J21" i="7" s="1"/>
  <c r="C11" i="6"/>
  <c r="I11" i="7" s="1"/>
  <c r="N11" i="7" s="1"/>
  <c r="E16" i="6"/>
  <c r="K16" i="7" s="1"/>
  <c r="E22" i="6"/>
  <c r="C5" i="6"/>
  <c r="I5" i="7" s="1"/>
  <c r="C21" i="6"/>
  <c r="I21" i="7" s="1"/>
  <c r="N21" i="7" s="1"/>
  <c r="C3" i="6"/>
  <c r="I3" i="7" s="1"/>
  <c r="D3" i="6"/>
  <c r="J3" i="7" s="1"/>
  <c r="E3" i="6"/>
  <c r="K3" i="7" s="1"/>
  <c r="H7" i="6"/>
  <c r="H11" i="6"/>
  <c r="H15" i="6"/>
  <c r="H19" i="6"/>
  <c r="H23" i="6"/>
  <c r="H9" i="6"/>
  <c r="H13" i="6"/>
  <c r="H17" i="6"/>
  <c r="H21" i="6"/>
  <c r="G7" i="6"/>
  <c r="G11" i="6"/>
  <c r="G15" i="6"/>
  <c r="G19" i="6"/>
  <c r="G23" i="6"/>
  <c r="G5" i="6"/>
  <c r="G9" i="6"/>
  <c r="G13" i="6"/>
  <c r="G17" i="6"/>
  <c r="G21" i="6"/>
  <c r="H6" i="6"/>
  <c r="H18" i="6"/>
  <c r="H4" i="6"/>
  <c r="H8" i="6"/>
  <c r="H12" i="6"/>
  <c r="H16" i="6"/>
  <c r="H20" i="6"/>
  <c r="H24" i="6"/>
  <c r="H10" i="6"/>
  <c r="H22" i="6"/>
  <c r="H14" i="6"/>
  <c r="G6" i="6"/>
  <c r="G18" i="6"/>
  <c r="G4" i="6"/>
  <c r="G8" i="6"/>
  <c r="G12" i="6"/>
  <c r="G16" i="6"/>
  <c r="G20" i="6"/>
  <c r="G24" i="6"/>
  <c r="G10" i="6"/>
  <c r="G14" i="6"/>
  <c r="I3" i="1"/>
  <c r="G4" i="1"/>
  <c r="G22" i="6" l="1"/>
  <c r="K22" i="7"/>
  <c r="N22" i="7" s="1"/>
  <c r="H5" i="6"/>
  <c r="J5" i="7"/>
  <c r="N5" i="7" s="1"/>
  <c r="G3" i="6"/>
  <c r="N16" i="7"/>
  <c r="H3" i="6"/>
  <c r="N3" i="7"/>
  <c r="I4" i="1"/>
  <c r="K3" i="1"/>
  <c r="K4" i="1" l="1"/>
  <c r="M3" i="1"/>
  <c r="M4" i="1" l="1"/>
  <c r="O3" i="1"/>
  <c r="O4" i="1" l="1"/>
  <c r="Q3" i="1"/>
  <c r="Q4" i="1" l="1"/>
  <c r="S3" i="1"/>
  <c r="S4" i="1" l="1"/>
  <c r="U3" i="1"/>
  <c r="U4" i="1" l="1"/>
  <c r="W3" i="1"/>
  <c r="W4" i="1" l="1"/>
  <c r="Y3" i="1"/>
  <c r="Y4" i="1" l="1"/>
  <c r="AA3" i="1"/>
  <c r="AA4" i="1" l="1"/>
  <c r="AC3" i="1"/>
  <c r="AC4" i="1" l="1"/>
  <c r="AE3" i="1"/>
  <c r="AE4" i="1" l="1"/>
  <c r="AG3" i="1"/>
  <c r="AG4" i="1" l="1"/>
  <c r="AI3" i="1"/>
  <c r="AI4" i="1" l="1"/>
  <c r="AK3" i="1"/>
  <c r="AK4" i="1" l="1"/>
  <c r="AM3" i="1"/>
  <c r="AM4" i="1" l="1"/>
  <c r="AO3" i="1"/>
  <c r="AO4" i="1" l="1"/>
  <c r="AQ3" i="1"/>
  <c r="AQ4" i="1" l="1"/>
  <c r="AS3" i="1"/>
  <c r="AS4" i="1" l="1"/>
  <c r="AU3" i="1"/>
  <c r="AU4" i="1" l="1"/>
  <c r="AW3" i="1"/>
  <c r="AW4" i="1" l="1"/>
  <c r="AY3" i="1"/>
  <c r="AY4" i="1" l="1"/>
  <c r="BA3" i="1"/>
  <c r="BA4" i="1" l="1"/>
  <c r="BC3" i="1"/>
  <c r="BC4" i="1" l="1"/>
  <c r="BE3" i="1"/>
  <c r="BE4" i="1" l="1"/>
  <c r="BG3" i="1"/>
  <c r="BG4" i="1" l="1"/>
  <c r="BI3" i="1"/>
  <c r="BI4" i="1" l="1"/>
  <c r="BK3" i="1"/>
  <c r="BK4" i="1" s="1"/>
</calcChain>
</file>

<file path=xl/sharedStrings.xml><?xml version="1.0" encoding="utf-8"?>
<sst xmlns="http://schemas.openxmlformats.org/spreadsheetml/2006/main" count="324" uniqueCount="164">
  <si>
    <t>員工編號</t>
    <phoneticPr fontId="2" type="noConversion"/>
  </si>
  <si>
    <t>姓</t>
    <phoneticPr fontId="2" type="noConversion"/>
  </si>
  <si>
    <t>名</t>
    <phoneticPr fontId="2" type="noConversion"/>
  </si>
  <si>
    <t>身分證字號</t>
    <phoneticPr fontId="2" type="noConversion"/>
  </si>
  <si>
    <t>性別</t>
    <phoneticPr fontId="2" type="noConversion"/>
  </si>
  <si>
    <t>出生日期</t>
    <phoneticPr fontId="2" type="noConversion"/>
  </si>
  <si>
    <t>到職日期</t>
    <phoneticPr fontId="2" type="noConversion"/>
  </si>
  <si>
    <t>部門</t>
    <phoneticPr fontId="2" type="noConversion"/>
  </si>
  <si>
    <t>職稱</t>
    <phoneticPr fontId="2" type="noConversion"/>
  </si>
  <si>
    <t>年齡</t>
    <phoneticPr fontId="2" type="noConversion"/>
  </si>
  <si>
    <t>年資</t>
    <phoneticPr fontId="2" type="noConversion"/>
  </si>
  <si>
    <t>林</t>
    <phoneticPr fontId="2" type="noConversion"/>
  </si>
  <si>
    <t>淑卿</t>
    <phoneticPr fontId="2" type="noConversion"/>
  </si>
  <si>
    <t>A241083446</t>
  </si>
  <si>
    <t>業務</t>
    <phoneticPr fontId="2" type="noConversion"/>
  </si>
  <si>
    <t>經理</t>
    <phoneticPr fontId="2" type="noConversion"/>
  </si>
  <si>
    <t>鄭</t>
    <phoneticPr fontId="2" type="noConversion"/>
  </si>
  <si>
    <t>力高</t>
    <phoneticPr fontId="2" type="noConversion"/>
  </si>
  <si>
    <t>F157332542</t>
  </si>
  <si>
    <t>品管</t>
    <phoneticPr fontId="2" type="noConversion"/>
  </si>
  <si>
    <t>汪</t>
    <phoneticPr fontId="2" type="noConversion"/>
  </si>
  <si>
    <t>喜洋</t>
    <phoneticPr fontId="2" type="noConversion"/>
  </si>
  <si>
    <t>A161519838</t>
  </si>
  <si>
    <t>人資</t>
    <phoneticPr fontId="2" type="noConversion"/>
  </si>
  <si>
    <t>協理</t>
    <phoneticPr fontId="2" type="noConversion"/>
  </si>
  <si>
    <t>劉</t>
    <phoneticPr fontId="2" type="noConversion"/>
  </si>
  <si>
    <t>全生</t>
    <phoneticPr fontId="2" type="noConversion"/>
  </si>
  <si>
    <t>F151336402</t>
  </si>
  <si>
    <t>陳</t>
    <phoneticPr fontId="2" type="noConversion"/>
  </si>
  <si>
    <t>錦相</t>
    <phoneticPr fontId="2" type="noConversion"/>
  </si>
  <si>
    <t>A125113134</t>
  </si>
  <si>
    <t>製造</t>
    <phoneticPr fontId="2" type="noConversion"/>
  </si>
  <si>
    <t>技師</t>
    <phoneticPr fontId="2" type="noConversion"/>
  </si>
  <si>
    <t>世傑</t>
    <phoneticPr fontId="2" type="noConversion"/>
  </si>
  <si>
    <t>H164451349</t>
  </si>
  <si>
    <t>資訊</t>
    <phoneticPr fontId="2" type="noConversion"/>
  </si>
  <si>
    <t>副理</t>
    <phoneticPr fontId="2" type="noConversion"/>
  </si>
  <si>
    <t>美姿</t>
    <phoneticPr fontId="2" type="noConversion"/>
  </si>
  <si>
    <t>F266438175</t>
  </si>
  <si>
    <t>專員</t>
    <phoneticPr fontId="2" type="noConversion"/>
  </si>
  <si>
    <t>沈</t>
    <phoneticPr fontId="2" type="noConversion"/>
  </si>
  <si>
    <t>朗錦</t>
    <phoneticPr fontId="2" type="noConversion"/>
  </si>
  <si>
    <t>H104943862</t>
  </si>
  <si>
    <t>張</t>
    <phoneticPr fontId="2" type="noConversion"/>
  </si>
  <si>
    <t>一心</t>
    <phoneticPr fontId="2" type="noConversion"/>
  </si>
  <si>
    <t>H204832339</t>
  </si>
  <si>
    <t>黃</t>
    <phoneticPr fontId="2" type="noConversion"/>
  </si>
  <si>
    <t>于齡</t>
    <phoneticPr fontId="2" type="noConversion"/>
  </si>
  <si>
    <t>H184834451</t>
  </si>
  <si>
    <t>余</t>
    <phoneticPr fontId="2" type="noConversion"/>
  </si>
  <si>
    <t>思嫻</t>
    <phoneticPr fontId="2" type="noConversion"/>
  </si>
  <si>
    <t>A298401812</t>
  </si>
  <si>
    <t>及梁</t>
    <phoneticPr fontId="2" type="noConversion"/>
  </si>
  <si>
    <t>H128041874</t>
  </si>
  <si>
    <t>工程師</t>
    <phoneticPr fontId="2" type="noConversion"/>
  </si>
  <si>
    <t>許</t>
    <phoneticPr fontId="2" type="noConversion"/>
  </si>
  <si>
    <t>敬中</t>
    <phoneticPr fontId="2" type="noConversion"/>
  </si>
  <si>
    <t>A169153869</t>
  </si>
  <si>
    <t>李</t>
    <phoneticPr fontId="2" type="noConversion"/>
  </si>
  <si>
    <t>淑芬</t>
    <phoneticPr fontId="2" type="noConversion"/>
  </si>
  <si>
    <t>F211933367</t>
  </si>
  <si>
    <t>繼燁</t>
    <phoneticPr fontId="2" type="noConversion"/>
  </si>
  <si>
    <t>F175183403</t>
  </si>
  <si>
    <t>王</t>
    <phoneticPr fontId="2" type="noConversion"/>
  </si>
  <si>
    <t>翠侞</t>
    <phoneticPr fontId="2" type="noConversion"/>
  </si>
  <si>
    <t>A260631417</t>
  </si>
  <si>
    <t>芳榕</t>
    <phoneticPr fontId="2" type="noConversion"/>
  </si>
  <si>
    <t>H273373538</t>
  </si>
  <si>
    <t>謝</t>
    <phoneticPr fontId="2" type="noConversion"/>
  </si>
  <si>
    <t>梁志</t>
    <phoneticPr fontId="2" type="noConversion"/>
  </si>
  <si>
    <t>H156976042</t>
  </si>
  <si>
    <t>洪旭</t>
    <phoneticPr fontId="2" type="noConversion"/>
  </si>
  <si>
    <t>A136872297</t>
  </si>
  <si>
    <t>徐</t>
    <phoneticPr fontId="2" type="noConversion"/>
  </si>
  <si>
    <t>志祥</t>
    <phoneticPr fontId="2" type="noConversion"/>
  </si>
  <si>
    <t>H137436014</t>
  </si>
  <si>
    <t>信佳</t>
    <phoneticPr fontId="2" type="noConversion"/>
  </si>
  <si>
    <t>F136367669</t>
    <phoneticPr fontId="2" type="noConversion"/>
  </si>
  <si>
    <t>文洋</t>
    <phoneticPr fontId="2" type="noConversion"/>
  </si>
  <si>
    <t>A113365780</t>
  </si>
  <si>
    <t xml:space="preserve">             日期</t>
    <phoneticPr fontId="2" type="noConversion"/>
  </si>
  <si>
    <t>姓名      星期</t>
    <phoneticPr fontId="2" type="noConversion"/>
  </si>
  <si>
    <t>月份考績紀錄表</t>
  </si>
  <si>
    <t>簽到、簽退說明：</t>
    <phoneticPr fontId="2" type="noConversion"/>
  </si>
  <si>
    <t>上班時間為：</t>
    <phoneticPr fontId="2" type="noConversion"/>
  </si>
  <si>
    <t>下班時間為：</t>
    <phoneticPr fontId="2" type="noConversion"/>
  </si>
  <si>
    <t>姓名</t>
    <phoneticPr fontId="2" type="noConversion"/>
  </si>
  <si>
    <t>遲到早退次數</t>
    <phoneticPr fontId="2" type="noConversion"/>
  </si>
  <si>
    <t>遲到罰款</t>
    <phoneticPr fontId="2" type="noConversion"/>
  </si>
  <si>
    <t>加班時間</t>
    <phoneticPr fontId="2" type="noConversion"/>
  </si>
  <si>
    <t>加班工資</t>
    <phoneticPr fontId="2" type="noConversion"/>
  </si>
  <si>
    <t>請假天數</t>
    <phoneticPr fontId="2" type="noConversion"/>
  </si>
  <si>
    <t>林淑卿</t>
  </si>
  <si>
    <t>鄭力高</t>
  </si>
  <si>
    <t>汪喜洋</t>
  </si>
  <si>
    <t>劉全生</t>
  </si>
  <si>
    <t>陳錦相</t>
  </si>
  <si>
    <t>陳世傑</t>
  </si>
  <si>
    <t>林美姿</t>
  </si>
  <si>
    <t>沈朗錦</t>
  </si>
  <si>
    <t>張一心</t>
  </si>
  <si>
    <t>黃于齡</t>
  </si>
  <si>
    <t>余思嫻</t>
  </si>
  <si>
    <t>鄭及梁</t>
  </si>
  <si>
    <t>許敬中</t>
  </si>
  <si>
    <t>李淑芬</t>
  </si>
  <si>
    <t>林繼燁</t>
  </si>
  <si>
    <t>王翠侞</t>
  </si>
  <si>
    <t>張芳榕</t>
  </si>
  <si>
    <t>謝梁志</t>
  </si>
  <si>
    <t>張洪旭</t>
  </si>
  <si>
    <t>徐志祥</t>
  </si>
  <si>
    <t>陳信佳</t>
  </si>
  <si>
    <t>劉文洋</t>
  </si>
  <si>
    <t>罰款</t>
    <phoneticPr fontId="2" type="noConversion"/>
  </si>
  <si>
    <t>&lt;=3</t>
    <phoneticPr fontId="2" type="noConversion"/>
  </si>
  <si>
    <t>&gt;3 AND &lt;=6</t>
    <phoneticPr fontId="2" type="noConversion"/>
  </si>
  <si>
    <t>&gt;6</t>
    <phoneticPr fontId="2" type="noConversion"/>
  </si>
  <si>
    <t>員工姓名</t>
    <phoneticPr fontId="2" type="noConversion"/>
  </si>
  <si>
    <t>全勤獎金</t>
    <phoneticPr fontId="2" type="noConversion"/>
  </si>
  <si>
    <t>請假扣款</t>
    <phoneticPr fontId="2" type="noConversion"/>
  </si>
  <si>
    <t>薪資合計</t>
    <phoneticPr fontId="2" type="noConversion"/>
  </si>
  <si>
    <t>基本薪資</t>
    <phoneticPr fontId="2" type="noConversion"/>
  </si>
  <si>
    <t>請假單日扣款</t>
    <phoneticPr fontId="2" type="noConversion"/>
  </si>
  <si>
    <t>業務</t>
  </si>
  <si>
    <t>品管</t>
  </si>
  <si>
    <t>人資</t>
  </si>
  <si>
    <t>製造</t>
  </si>
  <si>
    <t>資訊</t>
  </si>
  <si>
    <t>經理</t>
  </si>
  <si>
    <t>協理</t>
  </si>
  <si>
    <t>技師</t>
  </si>
  <si>
    <t>副理</t>
  </si>
  <si>
    <t>專員</t>
  </si>
  <si>
    <t>工程師</t>
  </si>
  <si>
    <t>平均加班工資</t>
    <phoneticPr fontId="2" type="noConversion"/>
  </si>
  <si>
    <t>平均遲到罰款</t>
    <phoneticPr fontId="2" type="noConversion"/>
  </si>
  <si>
    <t>級數</t>
    <phoneticPr fontId="2" type="noConversion"/>
  </si>
  <si>
    <t>投保級距</t>
    <phoneticPr fontId="2" type="noConversion"/>
  </si>
  <si>
    <t>勞保(本人)</t>
    <phoneticPr fontId="2" type="noConversion"/>
  </si>
  <si>
    <t>勞保(單位)</t>
    <phoneticPr fontId="2" type="noConversion"/>
  </si>
  <si>
    <t>健保(本人)</t>
    <phoneticPr fontId="2" type="noConversion"/>
  </si>
  <si>
    <t>健保(單位)</t>
    <phoneticPr fontId="2" type="noConversion"/>
  </si>
  <si>
    <t>合計(本人)</t>
    <phoneticPr fontId="2" type="noConversion"/>
  </si>
  <si>
    <t>合計(單位)</t>
    <phoneticPr fontId="2" type="noConversion"/>
  </si>
  <si>
    <t>備註</t>
    <phoneticPr fontId="2" type="noConversion"/>
  </si>
  <si>
    <t>最低工資調高為22,000元</t>
  </si>
  <si>
    <t>最低工資調高為22,000</t>
  </si>
  <si>
    <t>保險繳納資料表</t>
    <phoneticPr fontId="2" type="noConversion"/>
  </si>
  <si>
    <t>勞健保保費對照表</t>
    <phoneticPr fontId="2" type="noConversion"/>
  </si>
  <si>
    <t>月份</t>
    <phoneticPr fontId="2" type="noConversion"/>
  </si>
  <si>
    <t>實領薪資</t>
    <phoneticPr fontId="2" type="noConversion"/>
  </si>
  <si>
    <t>員工薪資明細</t>
    <phoneticPr fontId="2" type="noConversion"/>
  </si>
  <si>
    <t>個人所得稅</t>
    <phoneticPr fontId="2" type="noConversion"/>
  </si>
  <si>
    <t>綜合所得淨額</t>
  </si>
  <si>
    <t>稅率</t>
  </si>
  <si>
    <t>累進差額</t>
  </si>
  <si>
    <t>全年應納稅額</t>
  </si>
  <si>
    <t>~</t>
  </si>
  <si>
    <t>×</t>
  </si>
  <si>
    <t>－</t>
  </si>
  <si>
    <t>＝</t>
  </si>
  <si>
    <t>以上</t>
  </si>
  <si>
    <t>綜合所得稅速算公式一覽表 （單位：新台幣元）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</si>
</sst>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SH000&quot;General"/>
    <numFmt numFmtId="177" formatCode="&quot;SH00&quot;General"/>
    <numFmt numFmtId="178" formatCode="d"/>
    <numFmt numFmtId="179" formatCode=";;"/>
    <numFmt numFmtId="180" formatCode="0_);[Red]\(0\)"/>
    <numFmt numFmtId="181" formatCode="#,##0_ "/>
    <numFmt numFmtId="186" formatCode="#,##0_);[Red]\(#,##0\)"/>
  </numFmts>
  <fonts count="12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26"/>
      <color theme="1"/>
      <name val="華康魏碑體"/>
      <family val="4"/>
      <charset val="136"/>
    </font>
    <font>
      <sz val="12"/>
      <color theme="1"/>
      <name val="新細明體"/>
      <family val="3"/>
      <charset val="134"/>
      <scheme val="minor"/>
    </font>
    <font>
      <sz val="12"/>
      <color theme="1"/>
      <name val="新細明體"/>
      <family val="2"/>
      <charset val="134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333333"/>
      <name val="新細明體"/>
      <family val="1"/>
      <charset val="136"/>
    </font>
    <font>
      <b/>
      <sz val="22"/>
      <color theme="1"/>
      <name val="華康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4F1EF"/>
        <bgColor indexed="64"/>
      </patternFill>
    </fill>
    <fill>
      <patternFill patternType="solid">
        <fgColor rgb="FFF0F0F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4" borderId="1" xfId="0" applyFont="1" applyFill="1" applyBorder="1">
      <alignment vertical="center"/>
    </xf>
    <xf numFmtId="0" fontId="0" fillId="3" borderId="4" xfId="0" applyFont="1" applyFill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4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3" fillId="2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176" fontId="0" fillId="4" borderId="5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7" fontId="0" fillId="4" borderId="5" xfId="0" applyNumberFormat="1" applyFont="1" applyFill="1" applyBorder="1">
      <alignment vertical="center"/>
    </xf>
    <xf numFmtId="177" fontId="0" fillId="3" borderId="5" xfId="0" applyNumberFormat="1" applyFont="1" applyFill="1" applyBorder="1">
      <alignment vertical="center"/>
    </xf>
    <xf numFmtId="0" fontId="0" fillId="0" borderId="6" xfId="0" applyBorder="1">
      <alignment vertical="center"/>
    </xf>
    <xf numFmtId="20" fontId="0" fillId="0" borderId="6" xfId="0" applyNumberFormat="1" applyBorder="1">
      <alignment vertical="center"/>
    </xf>
    <xf numFmtId="20" fontId="0" fillId="0" borderId="6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4" fillId="0" borderId="0" xfId="0" applyFont="1">
      <alignment vertical="center"/>
    </xf>
    <xf numFmtId="0" fontId="0" fillId="6" borderId="6" xfId="0" applyFill="1" applyBorder="1" applyAlignment="1">
      <alignment horizontal="center" vertical="center"/>
    </xf>
    <xf numFmtId="0" fontId="5" fillId="6" borderId="9" xfId="0" applyFont="1" applyFill="1" applyBorder="1">
      <alignment vertical="center"/>
    </xf>
    <xf numFmtId="0" fontId="4" fillId="0" borderId="0" xfId="0" applyFont="1" applyAlignment="1">
      <alignment vertical="center"/>
    </xf>
    <xf numFmtId="0" fontId="6" fillId="6" borderId="10" xfId="0" applyFont="1" applyFill="1" applyBorder="1" applyAlignment="1">
      <alignment horizontal="right" vertical="top"/>
    </xf>
    <xf numFmtId="176" fontId="0" fillId="5" borderId="9" xfId="0" applyNumberFormat="1" applyFill="1" applyBorder="1" applyAlignment="1">
      <alignment horizontal="center" vertical="center"/>
    </xf>
    <xf numFmtId="177" fontId="0" fillId="5" borderId="9" xfId="0" applyNumberFormat="1" applyFill="1" applyBorder="1" applyAlignment="1">
      <alignment horizontal="center" vertical="center"/>
    </xf>
    <xf numFmtId="20" fontId="0" fillId="0" borderId="0" xfId="0" applyNumberFormat="1">
      <alignment vertical="center"/>
    </xf>
    <xf numFmtId="0" fontId="1" fillId="8" borderId="0" xfId="0" applyFont="1" applyFill="1" applyBorder="1">
      <alignment vertical="center"/>
    </xf>
    <xf numFmtId="0" fontId="3" fillId="8" borderId="2" xfId="0" applyFont="1" applyFill="1" applyBorder="1">
      <alignment vertical="center"/>
    </xf>
    <xf numFmtId="176" fontId="0" fillId="9" borderId="3" xfId="0" applyNumberFormat="1" applyFont="1" applyFill="1" applyBorder="1">
      <alignment vertical="center"/>
    </xf>
    <xf numFmtId="0" fontId="0" fillId="9" borderId="4" xfId="0" applyFont="1" applyFill="1" applyBorder="1">
      <alignment vertical="center"/>
    </xf>
    <xf numFmtId="176" fontId="0" fillId="10" borderId="5" xfId="0" applyNumberFormat="1" applyFont="1" applyFill="1" applyBorder="1">
      <alignment vertical="center"/>
    </xf>
    <xf numFmtId="0" fontId="0" fillId="10" borderId="1" xfId="0" applyFont="1" applyFill="1" applyBorder="1">
      <alignment vertical="center"/>
    </xf>
    <xf numFmtId="176" fontId="0" fillId="9" borderId="5" xfId="0" applyNumberFormat="1" applyFont="1" applyFill="1" applyBorder="1">
      <alignment vertical="center"/>
    </xf>
    <xf numFmtId="0" fontId="0" fillId="9" borderId="1" xfId="0" applyFont="1" applyFill="1" applyBorder="1">
      <alignment vertical="center"/>
    </xf>
    <xf numFmtId="177" fontId="0" fillId="10" borderId="5" xfId="0" applyNumberFormat="1" applyFont="1" applyFill="1" applyBorder="1">
      <alignment vertical="center"/>
    </xf>
    <xf numFmtId="177" fontId="0" fillId="9" borderId="5" xfId="0" applyNumberFormat="1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0" fillId="4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9" borderId="4" xfId="0" applyNumberFormat="1" applyFont="1" applyFill="1" applyBorder="1">
      <alignment vertical="center"/>
    </xf>
    <xf numFmtId="20" fontId="0" fillId="9" borderId="4" xfId="0" applyNumberFormat="1" applyFont="1" applyFill="1" applyBorder="1">
      <alignment vertical="center"/>
    </xf>
    <xf numFmtId="0" fontId="1" fillId="11" borderId="16" xfId="0" applyFont="1" applyFill="1" applyBorder="1">
      <alignment vertical="center"/>
    </xf>
    <xf numFmtId="0" fontId="1" fillId="11" borderId="17" xfId="0" applyFont="1" applyFill="1" applyBorder="1">
      <alignment vertical="center"/>
    </xf>
    <xf numFmtId="176" fontId="0" fillId="12" borderId="16" xfId="0" applyNumberFormat="1" applyFont="1" applyFill="1" applyBorder="1">
      <alignment vertical="center"/>
    </xf>
    <xf numFmtId="0" fontId="0" fillId="12" borderId="16" xfId="0" applyFont="1" applyFill="1" applyBorder="1">
      <alignment vertical="center"/>
    </xf>
    <xf numFmtId="0" fontId="0" fillId="12" borderId="17" xfId="0" applyFont="1" applyFill="1" applyBorder="1">
      <alignment vertical="center"/>
    </xf>
    <xf numFmtId="176" fontId="0" fillId="11" borderId="16" xfId="0" applyNumberFormat="1" applyFont="1" applyFill="1" applyBorder="1">
      <alignment vertical="center"/>
    </xf>
    <xf numFmtId="0" fontId="0" fillId="11" borderId="16" xfId="0" applyFont="1" applyFill="1" applyBorder="1">
      <alignment vertical="center"/>
    </xf>
    <xf numFmtId="177" fontId="0" fillId="11" borderId="16" xfId="0" applyNumberFormat="1" applyFont="1" applyFill="1" applyBorder="1">
      <alignment vertical="center"/>
    </xf>
    <xf numFmtId="177" fontId="0" fillId="12" borderId="16" xfId="0" applyNumberFormat="1" applyFont="1" applyFill="1" applyBorder="1">
      <alignment vertical="center"/>
    </xf>
    <xf numFmtId="177" fontId="0" fillId="11" borderId="18" xfId="0" applyNumberFormat="1" applyFont="1" applyFill="1" applyBorder="1">
      <alignment vertical="center"/>
    </xf>
    <xf numFmtId="0" fontId="0" fillId="11" borderId="18" xfId="0" applyFont="1" applyFill="1" applyBorder="1">
      <alignment vertical="center"/>
    </xf>
    <xf numFmtId="20" fontId="0" fillId="10" borderId="1" xfId="0" applyNumberFormat="1" applyFont="1" applyFill="1" applyBorder="1">
      <alignment vertical="center"/>
    </xf>
    <xf numFmtId="20" fontId="0" fillId="9" borderId="1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80" fontId="0" fillId="9" borderId="4" xfId="0" applyNumberFormat="1" applyFont="1" applyFill="1" applyBorder="1">
      <alignment vertical="center"/>
    </xf>
    <xf numFmtId="0" fontId="0" fillId="12" borderId="18" xfId="0" applyFont="1" applyFill="1" applyBorder="1">
      <alignment vertical="center"/>
    </xf>
    <xf numFmtId="0" fontId="7" fillId="11" borderId="15" xfId="0" applyFont="1" applyFill="1" applyBorder="1">
      <alignment vertical="center"/>
    </xf>
    <xf numFmtId="0" fontId="3" fillId="11" borderId="16" xfId="0" applyFont="1" applyFill="1" applyBorder="1">
      <alignment vertical="center"/>
    </xf>
    <xf numFmtId="0" fontId="3" fillId="11" borderId="18" xfId="0" applyFont="1" applyFill="1" applyBorder="1">
      <alignment vertical="center"/>
    </xf>
    <xf numFmtId="0" fontId="7" fillId="11" borderId="17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0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8" fillId="13" borderId="22" xfId="0" applyFont="1" applyFill="1" applyBorder="1" applyAlignment="1">
      <alignment horizontal="right" vertical="center" wrapText="1"/>
    </xf>
    <xf numFmtId="3" fontId="9" fillId="13" borderId="22" xfId="0" applyNumberFormat="1" applyFont="1" applyFill="1" applyBorder="1" applyAlignment="1">
      <alignment horizontal="right" vertical="center"/>
    </xf>
    <xf numFmtId="0" fontId="9" fillId="13" borderId="22" xfId="0" applyFont="1" applyFill="1" applyBorder="1" applyAlignment="1">
      <alignment horizontal="right" vertical="center"/>
    </xf>
    <xf numFmtId="0" fontId="10" fillId="13" borderId="23" xfId="0" applyFont="1" applyFill="1" applyBorder="1">
      <alignment vertical="center"/>
    </xf>
    <xf numFmtId="0" fontId="8" fillId="0" borderId="20" xfId="0" applyFont="1" applyBorder="1" applyAlignment="1">
      <alignment horizontal="right" vertical="center" wrapText="1"/>
    </xf>
    <xf numFmtId="3" fontId="9" fillId="0" borderId="20" xfId="0" applyNumberFormat="1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10" fillId="0" borderId="21" xfId="0" applyFont="1" applyBorder="1">
      <alignment vertical="center"/>
    </xf>
    <xf numFmtId="0" fontId="8" fillId="13" borderId="20" xfId="0" applyFont="1" applyFill="1" applyBorder="1" applyAlignment="1">
      <alignment horizontal="right" vertical="center" wrapText="1"/>
    </xf>
    <xf numFmtId="3" fontId="9" fillId="13" borderId="20" xfId="0" applyNumberFormat="1" applyFont="1" applyFill="1" applyBorder="1" applyAlignment="1">
      <alignment horizontal="right" vertical="center"/>
    </xf>
    <xf numFmtId="0" fontId="9" fillId="13" borderId="20" xfId="0" applyFont="1" applyFill="1" applyBorder="1" applyAlignment="1">
      <alignment horizontal="right" vertical="center"/>
    </xf>
    <xf numFmtId="0" fontId="10" fillId="13" borderId="21" xfId="0" applyFont="1" applyFill="1" applyBorder="1">
      <alignment vertical="center"/>
    </xf>
    <xf numFmtId="0" fontId="8" fillId="0" borderId="24" xfId="0" applyFont="1" applyBorder="1" applyAlignment="1">
      <alignment horizontal="right" vertical="center" wrapText="1"/>
    </xf>
    <xf numFmtId="3" fontId="9" fillId="0" borderId="24" xfId="0" applyNumberFormat="1" applyFont="1" applyBorder="1" applyAlignment="1">
      <alignment horizontal="right" vertical="center"/>
    </xf>
    <xf numFmtId="0" fontId="9" fillId="0" borderId="24" xfId="0" applyFont="1" applyBorder="1" applyAlignment="1">
      <alignment horizontal="right" vertical="center"/>
    </xf>
    <xf numFmtId="176" fontId="0" fillId="13" borderId="22" xfId="0" applyNumberFormat="1" applyFont="1" applyFill="1" applyBorder="1">
      <alignment vertical="center"/>
    </xf>
    <xf numFmtId="0" fontId="0" fillId="13" borderId="22" xfId="0" applyFont="1" applyFill="1" applyBorder="1">
      <alignment vertical="center"/>
    </xf>
    <xf numFmtId="176" fontId="0" fillId="0" borderId="20" xfId="0" applyNumberFormat="1" applyFont="1" applyBorder="1">
      <alignment vertical="center"/>
    </xf>
    <xf numFmtId="0" fontId="0" fillId="0" borderId="20" xfId="0" applyFont="1" applyBorder="1">
      <alignment vertical="center"/>
    </xf>
    <xf numFmtId="176" fontId="0" fillId="13" borderId="20" xfId="0" applyNumberFormat="1" applyFont="1" applyFill="1" applyBorder="1">
      <alignment vertical="center"/>
    </xf>
    <xf numFmtId="0" fontId="0" fillId="13" borderId="20" xfId="0" applyFont="1" applyFill="1" applyBorder="1">
      <alignment vertical="center"/>
    </xf>
    <xf numFmtId="177" fontId="0" fillId="0" borderId="20" xfId="0" applyNumberFormat="1" applyFont="1" applyBorder="1">
      <alignment vertical="center"/>
    </xf>
    <xf numFmtId="177" fontId="0" fillId="13" borderId="20" xfId="0" applyNumberFormat="1" applyFont="1" applyFill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181" fontId="0" fillId="13" borderId="22" xfId="0" applyNumberFormat="1" applyFont="1" applyFill="1" applyBorder="1">
      <alignment vertical="center"/>
    </xf>
    <xf numFmtId="181" fontId="0" fillId="13" borderId="23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178" fontId="0" fillId="7" borderId="8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center" vertical="center" wrapText="1"/>
    </xf>
    <xf numFmtId="3" fontId="7" fillId="0" borderId="26" xfId="0" applyNumberFormat="1" applyFont="1" applyBorder="1" applyAlignment="1">
      <alignment horizontal="right" vertical="center" wrapText="1"/>
    </xf>
    <xf numFmtId="9" fontId="7" fillId="0" borderId="26" xfId="0" applyNumberFormat="1" applyFont="1" applyBorder="1" applyAlignment="1">
      <alignment horizontal="right" vertical="center" wrapText="1"/>
    </xf>
    <xf numFmtId="3" fontId="7" fillId="15" borderId="26" xfId="0" applyNumberFormat="1" applyFont="1" applyFill="1" applyBorder="1" applyAlignment="1">
      <alignment horizontal="right" vertical="center" wrapText="1"/>
    </xf>
    <xf numFmtId="0" fontId="7" fillId="15" borderId="26" xfId="0" applyFont="1" applyFill="1" applyBorder="1" applyAlignment="1">
      <alignment horizontal="center" vertical="center" wrapText="1"/>
    </xf>
    <xf numFmtId="9" fontId="7" fillId="15" borderId="26" xfId="0" applyNumberFormat="1" applyFont="1" applyFill="1" applyBorder="1" applyAlignment="1">
      <alignment horizontal="right" vertical="center" wrapText="1"/>
    </xf>
    <xf numFmtId="0" fontId="7" fillId="15" borderId="26" xfId="0" applyFont="1" applyFill="1" applyBorder="1" applyAlignment="1">
      <alignment horizontal="right" vertical="center" wrapText="1"/>
    </xf>
    <xf numFmtId="0" fontId="7" fillId="14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86" fontId="0" fillId="12" borderId="16" xfId="0" applyNumberFormat="1" applyFont="1" applyFill="1" applyBorder="1">
      <alignment vertical="center"/>
    </xf>
    <xf numFmtId="186" fontId="0" fillId="12" borderId="17" xfId="0" applyNumberFormat="1" applyFont="1" applyFill="1" applyBorder="1">
      <alignment vertical="center"/>
    </xf>
  </cellXfs>
  <cellStyles count="1">
    <cellStyle name="一般" xfId="0" builtinId="0"/>
  </cellStyles>
  <dxfs count="2">
    <dxf>
      <fill>
        <patternFill patternType="gray125"/>
      </fill>
    </dxf>
    <dxf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薪資比較!$B$1</c:f>
              <c:strCache>
                <c:ptCount val="1"/>
                <c:pt idx="0">
                  <c:v>平均加班工資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739-4264-B59D-1B4AB7AFC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6739-4264-B59D-1B4AB7AFC19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739-4264-B59D-1B4AB7AFC198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739-4264-B59D-1B4AB7AFC1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739-4264-B59D-1B4AB7AFC19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739-4264-B59D-1B4AB7AFC198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6739-4264-B59D-1B4AB7AFC198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739-4264-B59D-1B4AB7AFC198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739-4264-B59D-1B4AB7AFC198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739-4264-B59D-1B4AB7AFC19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薪資比較!$A$2:$A$6</c:f>
              <c:strCache>
                <c:ptCount val="5"/>
                <c:pt idx="0">
                  <c:v>業務</c:v>
                </c:pt>
                <c:pt idx="1">
                  <c:v>品管</c:v>
                </c:pt>
                <c:pt idx="2">
                  <c:v>人資</c:v>
                </c:pt>
                <c:pt idx="3">
                  <c:v>製造</c:v>
                </c:pt>
                <c:pt idx="4">
                  <c:v>資訊</c:v>
                </c:pt>
              </c:strCache>
            </c:strRef>
          </c:cat>
          <c:val>
            <c:numRef>
              <c:f>薪資比較!$B$2:$B$6</c:f>
              <c:numCache>
                <c:formatCode>General</c:formatCode>
                <c:ptCount val="5"/>
                <c:pt idx="0">
                  <c:v>813</c:v>
                </c:pt>
                <c:pt idx="1">
                  <c:v>373</c:v>
                </c:pt>
                <c:pt idx="2">
                  <c:v>920</c:v>
                </c:pt>
                <c:pt idx="3">
                  <c:v>1093</c:v>
                </c:pt>
                <c:pt idx="4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4264-B59D-1B4AB7AFC1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平均遲到罰款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20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薪資比較!$F$1</c:f>
              <c:strCache>
                <c:ptCount val="1"/>
                <c:pt idx="0">
                  <c:v>平均遲到罰款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739-4264-B59D-1B4AB7AFC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6739-4264-B59D-1B4AB7AFC19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739-4264-B59D-1B4AB7AFC198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739-4264-B59D-1B4AB7AFC1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739-4264-B59D-1B4AB7AFC1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BDB7-4742-B1F9-E7E36A1501C1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739-4264-B59D-1B4AB7AFC198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6739-4264-B59D-1B4AB7AFC198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739-4264-B59D-1B4AB7AFC198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739-4264-B59D-1B4AB7AFC198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739-4264-B59D-1B4AB7AFC198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DB7-4742-B1F9-E7E36A1501C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薪資比較!$E$2:$E$7</c:f>
              <c:strCache>
                <c:ptCount val="6"/>
                <c:pt idx="0">
                  <c:v>經理</c:v>
                </c:pt>
                <c:pt idx="1">
                  <c:v>協理</c:v>
                </c:pt>
                <c:pt idx="2">
                  <c:v>技師</c:v>
                </c:pt>
                <c:pt idx="3">
                  <c:v>副理</c:v>
                </c:pt>
                <c:pt idx="4">
                  <c:v>專員</c:v>
                </c:pt>
                <c:pt idx="5">
                  <c:v>工程師</c:v>
                </c:pt>
              </c:strCache>
            </c:strRef>
          </c:cat>
          <c:val>
            <c:numRef>
              <c:f>薪資比較!$F$2:$F$7</c:f>
              <c:numCache>
                <c:formatCode>General</c:formatCode>
                <c:ptCount val="6"/>
                <c:pt idx="0">
                  <c:v>567</c:v>
                </c:pt>
                <c:pt idx="1">
                  <c:v>600</c:v>
                </c:pt>
                <c:pt idx="2">
                  <c:v>600</c:v>
                </c:pt>
                <c:pt idx="3">
                  <c:v>500</c:v>
                </c:pt>
                <c:pt idx="4">
                  <c:v>639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4264-B59D-1B4AB7AFC1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2</xdr:row>
      <xdr:rowOff>19050</xdr:rowOff>
    </xdr:from>
    <xdr:to>
      <xdr:col>1</xdr:col>
      <xdr:colOff>685800</xdr:colOff>
      <xdr:row>4</xdr:row>
      <xdr:rowOff>9525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8025B52A-9947-44A7-BEF1-329B7F08FD2C}"/>
            </a:ext>
          </a:extLst>
        </xdr:cNvPr>
        <xdr:cNvCxnSpPr/>
      </xdr:nvCxnSpPr>
      <xdr:spPr>
        <a:xfrm>
          <a:off x="723898" y="638175"/>
          <a:ext cx="676277" cy="6762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5</xdr:col>
      <xdr:colOff>685800</xdr:colOff>
      <xdr:row>28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C2B32DF-ABE4-453F-B3D3-18994A198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13</xdr:row>
      <xdr:rowOff>204787</xdr:rowOff>
    </xdr:from>
    <xdr:to>
      <xdr:col>13</xdr:col>
      <xdr:colOff>28575</xdr:colOff>
      <xdr:row>27</xdr:row>
      <xdr:rowOff>14287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D6C362-7854-47B8-8D52-A5B75B20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4B3D-1423-4BCF-A8C7-4CA982A171F0}">
  <dimension ref="A1:K23"/>
  <sheetViews>
    <sheetView topLeftCell="A5" workbookViewId="0">
      <selection activeCell="H2" sqref="H2:H23"/>
    </sheetView>
  </sheetViews>
  <sheetFormatPr defaultRowHeight="16.5" x14ac:dyDescent="0.25"/>
  <cols>
    <col min="1" max="1" width="10.75" customWidth="1"/>
    <col min="2" max="2" width="7.375" customWidth="1"/>
    <col min="3" max="3" width="10.25" customWidth="1"/>
    <col min="4" max="4" width="14.75" customWidth="1"/>
    <col min="5" max="5" width="8.25" customWidth="1"/>
    <col min="6" max="6" width="13.375" customWidth="1"/>
    <col min="7" max="7" width="13.5" customWidth="1"/>
    <col min="8" max="8" width="11.125" customWidth="1"/>
    <col min="9" max="9" width="10.375" customWidth="1"/>
    <col min="10" max="10" width="9.75" customWidth="1"/>
    <col min="11" max="11" width="9.5" bestFit="1" customWidth="1"/>
  </cols>
  <sheetData>
    <row r="1" spans="1:11" ht="17.2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17.25" thickTop="1" x14ac:dyDescent="0.25">
      <c r="A2" s="9">
        <v>1</v>
      </c>
      <c r="B2" s="2" t="s">
        <v>11</v>
      </c>
      <c r="C2" s="2" t="s">
        <v>12</v>
      </c>
      <c r="D2" s="2" t="s">
        <v>13</v>
      </c>
      <c r="E2" s="2" t="str">
        <f>IF(MID(D2,2,1)="1","男","女")</f>
        <v>女</v>
      </c>
      <c r="F2" s="3">
        <v>30252</v>
      </c>
      <c r="G2" s="3">
        <v>39558</v>
      </c>
      <c r="H2" s="2" t="s">
        <v>14</v>
      </c>
      <c r="I2" s="2" t="s">
        <v>15</v>
      </c>
      <c r="J2" s="2">
        <f ca="1">DATEDIF(F2,TODAY(),"Y")</f>
        <v>35</v>
      </c>
      <c r="K2" s="2">
        <f ca="1">DATEDIF(G2,TODAY(),"Y")</f>
        <v>9</v>
      </c>
    </row>
    <row r="3" spans="1:11" x14ac:dyDescent="0.25">
      <c r="A3" s="10">
        <v>2</v>
      </c>
      <c r="B3" s="1" t="s">
        <v>16</v>
      </c>
      <c r="C3" s="1" t="s">
        <v>17</v>
      </c>
      <c r="D3" s="1" t="s">
        <v>18</v>
      </c>
      <c r="E3" s="1" t="str">
        <f t="shared" ref="E3:E23" si="0">IF(MID(D3,2,1)="1","男","女")</f>
        <v>男</v>
      </c>
      <c r="F3" s="4">
        <v>29041</v>
      </c>
      <c r="G3" s="4">
        <v>40417</v>
      </c>
      <c r="H3" s="1" t="s">
        <v>19</v>
      </c>
      <c r="I3" s="1" t="s">
        <v>15</v>
      </c>
      <c r="J3" s="1">
        <f t="shared" ref="J3:J23" ca="1" si="1">DATEDIF(F3,TODAY(),"Y")</f>
        <v>38</v>
      </c>
      <c r="K3" s="1">
        <f t="shared" ref="K3:K23" ca="1" si="2">DATEDIF(G3,TODAY(),"Y")</f>
        <v>7</v>
      </c>
    </row>
    <row r="4" spans="1:11" x14ac:dyDescent="0.25">
      <c r="A4" s="11">
        <v>3</v>
      </c>
      <c r="B4" s="5" t="s">
        <v>20</v>
      </c>
      <c r="C4" s="5" t="s">
        <v>21</v>
      </c>
      <c r="D4" s="5" t="s">
        <v>22</v>
      </c>
      <c r="E4" s="5" t="str">
        <f t="shared" si="0"/>
        <v>男</v>
      </c>
      <c r="F4" s="6">
        <v>27189</v>
      </c>
      <c r="G4" s="6">
        <v>39214</v>
      </c>
      <c r="H4" s="5" t="s">
        <v>23</v>
      </c>
      <c r="I4" s="5" t="s">
        <v>24</v>
      </c>
      <c r="J4" s="5">
        <f t="shared" ca="1" si="1"/>
        <v>43</v>
      </c>
      <c r="K4" s="5">
        <f t="shared" ca="1" si="2"/>
        <v>10</v>
      </c>
    </row>
    <row r="5" spans="1:11" x14ac:dyDescent="0.25">
      <c r="A5" s="10">
        <v>4</v>
      </c>
      <c r="B5" s="1" t="s">
        <v>25</v>
      </c>
      <c r="C5" s="1" t="s">
        <v>26</v>
      </c>
      <c r="D5" s="1" t="s">
        <v>27</v>
      </c>
      <c r="E5" s="1" t="str">
        <f t="shared" si="0"/>
        <v>男</v>
      </c>
      <c r="F5" s="4">
        <v>28096</v>
      </c>
      <c r="G5" s="4">
        <v>37317</v>
      </c>
      <c r="H5" s="1" t="s">
        <v>14</v>
      </c>
      <c r="I5" s="1" t="s">
        <v>24</v>
      </c>
      <c r="J5" s="1">
        <f t="shared" ca="1" si="1"/>
        <v>41</v>
      </c>
      <c r="K5" s="1">
        <f t="shared" ca="1" si="2"/>
        <v>15</v>
      </c>
    </row>
    <row r="6" spans="1:11" x14ac:dyDescent="0.25">
      <c r="A6" s="11">
        <v>5</v>
      </c>
      <c r="B6" s="5" t="s">
        <v>28</v>
      </c>
      <c r="C6" s="5" t="s">
        <v>29</v>
      </c>
      <c r="D6" s="5" t="s">
        <v>30</v>
      </c>
      <c r="E6" s="5" t="str">
        <f t="shared" si="0"/>
        <v>男</v>
      </c>
      <c r="F6" s="6">
        <v>30061</v>
      </c>
      <c r="G6" s="6">
        <v>39994</v>
      </c>
      <c r="H6" s="5" t="s">
        <v>31</v>
      </c>
      <c r="I6" s="5" t="s">
        <v>32</v>
      </c>
      <c r="J6" s="5">
        <f t="shared" ca="1" si="1"/>
        <v>35</v>
      </c>
      <c r="K6" s="5">
        <f t="shared" ca="1" si="2"/>
        <v>8</v>
      </c>
    </row>
    <row r="7" spans="1:11" x14ac:dyDescent="0.25">
      <c r="A7" s="10">
        <v>6</v>
      </c>
      <c r="B7" s="1" t="s">
        <v>28</v>
      </c>
      <c r="C7" s="1" t="s">
        <v>33</v>
      </c>
      <c r="D7" s="1" t="s">
        <v>34</v>
      </c>
      <c r="E7" s="1" t="str">
        <f t="shared" si="0"/>
        <v>男</v>
      </c>
      <c r="F7" s="4">
        <v>31283</v>
      </c>
      <c r="G7" s="4">
        <v>39654</v>
      </c>
      <c r="H7" s="1" t="s">
        <v>35</v>
      </c>
      <c r="I7" s="1" t="s">
        <v>36</v>
      </c>
      <c r="J7" s="1">
        <f t="shared" ca="1" si="1"/>
        <v>32</v>
      </c>
      <c r="K7" s="1">
        <f t="shared" ca="1" si="2"/>
        <v>9</v>
      </c>
    </row>
    <row r="8" spans="1:11" x14ac:dyDescent="0.25">
      <c r="A8" s="11">
        <v>7</v>
      </c>
      <c r="B8" s="5" t="s">
        <v>11</v>
      </c>
      <c r="C8" s="5" t="s">
        <v>37</v>
      </c>
      <c r="D8" s="5" t="s">
        <v>38</v>
      </c>
      <c r="E8" s="5" t="str">
        <f t="shared" si="0"/>
        <v>女</v>
      </c>
      <c r="F8" s="6">
        <v>31926</v>
      </c>
      <c r="G8" s="6">
        <v>40293</v>
      </c>
      <c r="H8" s="5" t="s">
        <v>14</v>
      </c>
      <c r="I8" s="5" t="s">
        <v>39</v>
      </c>
      <c r="J8" s="5">
        <f t="shared" ca="1" si="1"/>
        <v>30</v>
      </c>
      <c r="K8" s="5">
        <f t="shared" ca="1" si="2"/>
        <v>7</v>
      </c>
    </row>
    <row r="9" spans="1:11" x14ac:dyDescent="0.25">
      <c r="A9" s="10">
        <v>8</v>
      </c>
      <c r="B9" s="1" t="s">
        <v>40</v>
      </c>
      <c r="C9" s="1" t="s">
        <v>41</v>
      </c>
      <c r="D9" s="1" t="s">
        <v>42</v>
      </c>
      <c r="E9" s="1" t="str">
        <f t="shared" si="0"/>
        <v>男</v>
      </c>
      <c r="F9" s="4">
        <v>30234</v>
      </c>
      <c r="G9" s="4">
        <v>41172</v>
      </c>
      <c r="H9" s="1" t="s">
        <v>23</v>
      </c>
      <c r="I9" s="1" t="s">
        <v>39</v>
      </c>
      <c r="J9" s="1">
        <f t="shared" ca="1" si="1"/>
        <v>35</v>
      </c>
      <c r="K9" s="1">
        <f t="shared" ca="1" si="2"/>
        <v>5</v>
      </c>
    </row>
    <row r="10" spans="1:11" x14ac:dyDescent="0.25">
      <c r="A10" s="11">
        <v>9</v>
      </c>
      <c r="B10" s="5" t="s">
        <v>43</v>
      </c>
      <c r="C10" s="5" t="s">
        <v>44</v>
      </c>
      <c r="D10" s="5" t="s">
        <v>45</v>
      </c>
      <c r="E10" s="5" t="str">
        <f t="shared" si="0"/>
        <v>女</v>
      </c>
      <c r="F10" s="6">
        <v>27547</v>
      </c>
      <c r="G10" s="6">
        <v>39607</v>
      </c>
      <c r="H10" s="5" t="s">
        <v>35</v>
      </c>
      <c r="I10" s="5" t="s">
        <v>39</v>
      </c>
      <c r="J10" s="5">
        <f t="shared" ca="1" si="1"/>
        <v>42</v>
      </c>
      <c r="K10" s="5">
        <f t="shared" ca="1" si="2"/>
        <v>9</v>
      </c>
    </row>
    <row r="11" spans="1:11" x14ac:dyDescent="0.25">
      <c r="A11" s="12">
        <v>10</v>
      </c>
      <c r="B11" s="1" t="s">
        <v>46</v>
      </c>
      <c r="C11" s="1" t="s">
        <v>47</v>
      </c>
      <c r="D11" s="1" t="s">
        <v>48</v>
      </c>
      <c r="E11" s="1" t="str">
        <f t="shared" si="0"/>
        <v>男</v>
      </c>
      <c r="F11" s="4">
        <v>27296</v>
      </c>
      <c r="G11" s="4">
        <v>40018</v>
      </c>
      <c r="H11" s="1" t="s">
        <v>23</v>
      </c>
      <c r="I11" s="1" t="s">
        <v>39</v>
      </c>
      <c r="J11" s="1">
        <f t="shared" ca="1" si="1"/>
        <v>43</v>
      </c>
      <c r="K11" s="1">
        <f t="shared" ca="1" si="2"/>
        <v>8</v>
      </c>
    </row>
    <row r="12" spans="1:11" x14ac:dyDescent="0.25">
      <c r="A12" s="13">
        <v>11</v>
      </c>
      <c r="B12" s="5" t="s">
        <v>49</v>
      </c>
      <c r="C12" s="5" t="s">
        <v>50</v>
      </c>
      <c r="D12" s="5" t="s">
        <v>51</v>
      </c>
      <c r="E12" s="5" t="str">
        <f t="shared" si="0"/>
        <v>女</v>
      </c>
      <c r="F12" s="6">
        <v>29486</v>
      </c>
      <c r="G12" s="6">
        <v>38849</v>
      </c>
      <c r="H12" s="5" t="s">
        <v>14</v>
      </c>
      <c r="I12" s="5" t="s">
        <v>36</v>
      </c>
      <c r="J12" s="5">
        <f t="shared" ca="1" si="1"/>
        <v>37</v>
      </c>
      <c r="K12" s="5">
        <f t="shared" ca="1" si="2"/>
        <v>11</v>
      </c>
    </row>
    <row r="13" spans="1:11" x14ac:dyDescent="0.25">
      <c r="A13" s="12">
        <v>12</v>
      </c>
      <c r="B13" s="1" t="s">
        <v>16</v>
      </c>
      <c r="C13" s="1" t="s">
        <v>52</v>
      </c>
      <c r="D13" s="1" t="s">
        <v>53</v>
      </c>
      <c r="E13" s="1" t="str">
        <f t="shared" si="0"/>
        <v>男</v>
      </c>
      <c r="F13" s="4">
        <v>30070</v>
      </c>
      <c r="G13" s="4">
        <v>39014</v>
      </c>
      <c r="H13" s="1" t="s">
        <v>35</v>
      </c>
      <c r="I13" s="1" t="s">
        <v>54</v>
      </c>
      <c r="J13" s="1">
        <f t="shared" ca="1" si="1"/>
        <v>35</v>
      </c>
      <c r="K13" s="1">
        <f t="shared" ca="1" si="2"/>
        <v>11</v>
      </c>
    </row>
    <row r="14" spans="1:11" x14ac:dyDescent="0.25">
      <c r="A14" s="13">
        <v>13</v>
      </c>
      <c r="B14" s="5" t="s">
        <v>55</v>
      </c>
      <c r="C14" s="5" t="s">
        <v>56</v>
      </c>
      <c r="D14" s="5" t="s">
        <v>57</v>
      </c>
      <c r="E14" s="5" t="str">
        <f t="shared" si="0"/>
        <v>男</v>
      </c>
      <c r="F14" s="6">
        <v>32040</v>
      </c>
      <c r="G14" s="6">
        <v>41027</v>
      </c>
      <c r="H14" s="5" t="s">
        <v>31</v>
      </c>
      <c r="I14" s="5" t="s">
        <v>36</v>
      </c>
      <c r="J14" s="5">
        <f t="shared" ca="1" si="1"/>
        <v>30</v>
      </c>
      <c r="K14" s="5">
        <f t="shared" ca="1" si="2"/>
        <v>5</v>
      </c>
    </row>
    <row r="15" spans="1:11" x14ac:dyDescent="0.25">
      <c r="A15" s="12">
        <v>14</v>
      </c>
      <c r="B15" s="1" t="s">
        <v>58</v>
      </c>
      <c r="C15" s="1" t="s">
        <v>59</v>
      </c>
      <c r="D15" s="1" t="s">
        <v>60</v>
      </c>
      <c r="E15" s="1" t="str">
        <f t="shared" si="0"/>
        <v>女</v>
      </c>
      <c r="F15" s="4">
        <v>31504</v>
      </c>
      <c r="G15" s="4">
        <v>37600</v>
      </c>
      <c r="H15" s="1" t="s">
        <v>14</v>
      </c>
      <c r="I15" s="1" t="s">
        <v>39</v>
      </c>
      <c r="J15" s="1">
        <f t="shared" ca="1" si="1"/>
        <v>31</v>
      </c>
      <c r="K15" s="1">
        <f t="shared" ca="1" si="2"/>
        <v>15</v>
      </c>
    </row>
    <row r="16" spans="1:11" x14ac:dyDescent="0.25">
      <c r="A16" s="13">
        <v>15</v>
      </c>
      <c r="B16" s="5" t="s">
        <v>11</v>
      </c>
      <c r="C16" s="5" t="s">
        <v>61</v>
      </c>
      <c r="D16" s="5" t="s">
        <v>62</v>
      </c>
      <c r="E16" s="5" t="str">
        <f t="shared" si="0"/>
        <v>男</v>
      </c>
      <c r="F16" s="6">
        <v>31238</v>
      </c>
      <c r="G16" s="6">
        <v>39338</v>
      </c>
      <c r="H16" s="5" t="s">
        <v>14</v>
      </c>
      <c r="I16" s="5" t="s">
        <v>39</v>
      </c>
      <c r="J16" s="5">
        <f t="shared" ca="1" si="1"/>
        <v>32</v>
      </c>
      <c r="K16" s="5">
        <f t="shared" ca="1" si="2"/>
        <v>10</v>
      </c>
    </row>
    <row r="17" spans="1:11" x14ac:dyDescent="0.25">
      <c r="A17" s="12">
        <v>16</v>
      </c>
      <c r="B17" s="1" t="s">
        <v>63</v>
      </c>
      <c r="C17" s="1" t="s">
        <v>64</v>
      </c>
      <c r="D17" s="1" t="s">
        <v>65</v>
      </c>
      <c r="E17" s="1" t="str">
        <f t="shared" si="0"/>
        <v>女</v>
      </c>
      <c r="F17" s="4">
        <v>29214</v>
      </c>
      <c r="G17" s="4">
        <v>40520</v>
      </c>
      <c r="H17" s="1" t="s">
        <v>31</v>
      </c>
      <c r="I17" s="1" t="s">
        <v>24</v>
      </c>
      <c r="J17" s="1">
        <f t="shared" ca="1" si="1"/>
        <v>38</v>
      </c>
      <c r="K17" s="1">
        <f t="shared" ca="1" si="2"/>
        <v>7</v>
      </c>
    </row>
    <row r="18" spans="1:11" x14ac:dyDescent="0.25">
      <c r="A18" s="13">
        <v>17</v>
      </c>
      <c r="B18" s="5" t="s">
        <v>43</v>
      </c>
      <c r="C18" s="5" t="s">
        <v>66</v>
      </c>
      <c r="D18" s="5" t="s">
        <v>67</v>
      </c>
      <c r="E18" s="5" t="str">
        <f t="shared" si="0"/>
        <v>女</v>
      </c>
      <c r="F18" s="6">
        <v>29851</v>
      </c>
      <c r="G18" s="6">
        <v>41118</v>
      </c>
      <c r="H18" s="5" t="s">
        <v>31</v>
      </c>
      <c r="I18" s="5" t="s">
        <v>39</v>
      </c>
      <c r="J18" s="5">
        <f t="shared" ca="1" si="1"/>
        <v>36</v>
      </c>
      <c r="K18" s="5">
        <f t="shared" ca="1" si="2"/>
        <v>5</v>
      </c>
    </row>
    <row r="19" spans="1:11" x14ac:dyDescent="0.25">
      <c r="A19" s="12">
        <v>18</v>
      </c>
      <c r="B19" s="1" t="s">
        <v>68</v>
      </c>
      <c r="C19" s="1" t="s">
        <v>69</v>
      </c>
      <c r="D19" s="1" t="s">
        <v>70</v>
      </c>
      <c r="E19" s="1" t="str">
        <f t="shared" si="0"/>
        <v>男</v>
      </c>
      <c r="F19" s="4">
        <v>29488</v>
      </c>
      <c r="G19" s="4">
        <v>39513</v>
      </c>
      <c r="H19" s="1" t="s">
        <v>19</v>
      </c>
      <c r="I19" s="1" t="s">
        <v>39</v>
      </c>
      <c r="J19" s="1">
        <f t="shared" ca="1" si="1"/>
        <v>37</v>
      </c>
      <c r="K19" s="1">
        <f t="shared" ca="1" si="2"/>
        <v>9</v>
      </c>
    </row>
    <row r="20" spans="1:11" x14ac:dyDescent="0.25">
      <c r="A20" s="13">
        <v>19</v>
      </c>
      <c r="B20" s="5" t="s">
        <v>43</v>
      </c>
      <c r="C20" s="5" t="s">
        <v>71</v>
      </c>
      <c r="D20" s="5" t="s">
        <v>72</v>
      </c>
      <c r="E20" s="5" t="str">
        <f t="shared" si="0"/>
        <v>男</v>
      </c>
      <c r="F20" s="6">
        <v>29076</v>
      </c>
      <c r="G20" s="6">
        <v>39408</v>
      </c>
      <c r="H20" s="5" t="s">
        <v>19</v>
      </c>
      <c r="I20" s="5" t="s">
        <v>36</v>
      </c>
      <c r="J20" s="5">
        <f t="shared" ca="1" si="1"/>
        <v>38</v>
      </c>
      <c r="K20" s="5">
        <f t="shared" ca="1" si="2"/>
        <v>10</v>
      </c>
    </row>
    <row r="21" spans="1:11" x14ac:dyDescent="0.25">
      <c r="A21" s="12">
        <v>20</v>
      </c>
      <c r="B21" s="1" t="s">
        <v>73</v>
      </c>
      <c r="C21" s="1" t="s">
        <v>74</v>
      </c>
      <c r="D21" s="1" t="s">
        <v>75</v>
      </c>
      <c r="E21" s="1" t="str">
        <f t="shared" si="0"/>
        <v>男</v>
      </c>
      <c r="F21" s="4">
        <v>30487</v>
      </c>
      <c r="G21" s="4">
        <v>38537</v>
      </c>
      <c r="H21" s="1" t="s">
        <v>31</v>
      </c>
      <c r="I21" s="1" t="s">
        <v>39</v>
      </c>
      <c r="J21" s="1">
        <f t="shared" ca="1" si="1"/>
        <v>34</v>
      </c>
      <c r="K21" s="1">
        <f t="shared" ca="1" si="2"/>
        <v>12</v>
      </c>
    </row>
    <row r="22" spans="1:11" x14ac:dyDescent="0.25">
      <c r="A22" s="13">
        <v>21</v>
      </c>
      <c r="B22" s="5" t="s">
        <v>28</v>
      </c>
      <c r="C22" s="5" t="s">
        <v>76</v>
      </c>
      <c r="D22" s="5" t="s">
        <v>77</v>
      </c>
      <c r="E22" s="5" t="str">
        <f t="shared" si="0"/>
        <v>男</v>
      </c>
      <c r="F22" s="6">
        <v>30218</v>
      </c>
      <c r="G22" s="6">
        <v>39357</v>
      </c>
      <c r="H22" s="5" t="s">
        <v>23</v>
      </c>
      <c r="I22" s="5" t="s">
        <v>15</v>
      </c>
      <c r="J22" s="5">
        <f t="shared" ca="1" si="1"/>
        <v>35</v>
      </c>
      <c r="K22" s="5">
        <f t="shared" ca="1" si="2"/>
        <v>10</v>
      </c>
    </row>
    <row r="23" spans="1:11" x14ac:dyDescent="0.25">
      <c r="A23" s="12">
        <v>22</v>
      </c>
      <c r="B23" s="1" t="s">
        <v>25</v>
      </c>
      <c r="C23" s="1" t="s">
        <v>78</v>
      </c>
      <c r="D23" s="1" t="s">
        <v>79</v>
      </c>
      <c r="E23" s="1" t="str">
        <f t="shared" si="0"/>
        <v>男</v>
      </c>
      <c r="F23" s="4">
        <v>30753</v>
      </c>
      <c r="G23" s="4">
        <v>40031</v>
      </c>
      <c r="H23" s="1" t="s">
        <v>31</v>
      </c>
      <c r="I23" s="1" t="s">
        <v>54</v>
      </c>
      <c r="J23" s="1">
        <f t="shared" ca="1" si="1"/>
        <v>33</v>
      </c>
      <c r="K23" s="1">
        <f t="shared" ca="1" si="2"/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0AEC-5FFD-40A0-87F4-A144108B236C}">
  <dimension ref="A1:BM52"/>
  <sheetViews>
    <sheetView zoomScale="70" zoomScaleNormal="70" workbookViewId="0">
      <pane ySplit="6" topLeftCell="A26" activePane="bottomLeft" state="frozen"/>
      <selection pane="bottomLeft"/>
    </sheetView>
  </sheetViews>
  <sheetFormatPr defaultRowHeight="16.5" x14ac:dyDescent="0.25"/>
  <cols>
    <col min="1" max="1" width="9.375" bestFit="1" customWidth="1"/>
    <col min="2" max="2" width="13.375" customWidth="1"/>
    <col min="13" max="16" width="0" hidden="1" customWidth="1"/>
    <col min="27" max="30" width="0" hidden="1" customWidth="1"/>
    <col min="41" max="44" width="0" hidden="1" customWidth="1"/>
    <col min="55" max="58" width="0" hidden="1" customWidth="1"/>
  </cols>
  <sheetData>
    <row r="1" spans="1:64" s="18" customFormat="1" ht="32.25" x14ac:dyDescent="0.25">
      <c r="A1" s="21">
        <v>1</v>
      </c>
      <c r="B1" s="21" t="s">
        <v>82</v>
      </c>
      <c r="C1" s="21"/>
      <c r="D1" s="21"/>
      <c r="E1" s="21"/>
      <c r="F1" s="21"/>
    </row>
    <row r="3" spans="1:64" ht="30" customHeight="1" x14ac:dyDescent="0.25">
      <c r="A3" s="104" t="s">
        <v>0</v>
      </c>
      <c r="B3" s="22" t="s">
        <v>80</v>
      </c>
      <c r="C3" s="102">
        <f>DATE(2018,A1,1)</f>
        <v>43101</v>
      </c>
      <c r="D3" s="103"/>
      <c r="E3" s="102">
        <f>C3+1</f>
        <v>43102</v>
      </c>
      <c r="F3" s="103"/>
      <c r="G3" s="102">
        <f t="shared" ref="G3" si="0">E3+1</f>
        <v>43103</v>
      </c>
      <c r="H3" s="103"/>
      <c r="I3" s="102">
        <f t="shared" ref="I3" si="1">G3+1</f>
        <v>43104</v>
      </c>
      <c r="J3" s="103"/>
      <c r="K3" s="102">
        <f t="shared" ref="K3" si="2">I3+1</f>
        <v>43105</v>
      </c>
      <c r="L3" s="103"/>
      <c r="M3" s="102">
        <f t="shared" ref="M3" si="3">K3+1</f>
        <v>43106</v>
      </c>
      <c r="N3" s="103"/>
      <c r="O3" s="102">
        <f t="shared" ref="O3" si="4">M3+1</f>
        <v>43107</v>
      </c>
      <c r="P3" s="103"/>
      <c r="Q3" s="102">
        <f t="shared" ref="Q3" si="5">O3+1</f>
        <v>43108</v>
      </c>
      <c r="R3" s="103"/>
      <c r="S3" s="102">
        <f t="shared" ref="S3" si="6">Q3+1</f>
        <v>43109</v>
      </c>
      <c r="T3" s="103"/>
      <c r="U3" s="102">
        <f t="shared" ref="U3" si="7">S3+1</f>
        <v>43110</v>
      </c>
      <c r="V3" s="103"/>
      <c r="W3" s="102">
        <f t="shared" ref="W3" si="8">U3+1</f>
        <v>43111</v>
      </c>
      <c r="X3" s="103"/>
      <c r="Y3" s="102">
        <f t="shared" ref="Y3" si="9">W3+1</f>
        <v>43112</v>
      </c>
      <c r="Z3" s="103"/>
      <c r="AA3" s="102">
        <f t="shared" ref="AA3" si="10">Y3+1</f>
        <v>43113</v>
      </c>
      <c r="AB3" s="103"/>
      <c r="AC3" s="102">
        <f t="shared" ref="AC3" si="11">AA3+1</f>
        <v>43114</v>
      </c>
      <c r="AD3" s="103"/>
      <c r="AE3" s="102">
        <f t="shared" ref="AE3" si="12">AC3+1</f>
        <v>43115</v>
      </c>
      <c r="AF3" s="103"/>
      <c r="AG3" s="102">
        <f t="shared" ref="AG3" si="13">AE3+1</f>
        <v>43116</v>
      </c>
      <c r="AH3" s="103"/>
      <c r="AI3" s="102">
        <f t="shared" ref="AI3" si="14">AG3+1</f>
        <v>43117</v>
      </c>
      <c r="AJ3" s="103"/>
      <c r="AK3" s="102">
        <f t="shared" ref="AK3" si="15">AI3+1</f>
        <v>43118</v>
      </c>
      <c r="AL3" s="103"/>
      <c r="AM3" s="102">
        <f t="shared" ref="AM3" si="16">AK3+1</f>
        <v>43119</v>
      </c>
      <c r="AN3" s="103"/>
      <c r="AO3" s="102">
        <f t="shared" ref="AO3" si="17">AM3+1</f>
        <v>43120</v>
      </c>
      <c r="AP3" s="103"/>
      <c r="AQ3" s="102">
        <f t="shared" ref="AQ3" si="18">AO3+1</f>
        <v>43121</v>
      </c>
      <c r="AR3" s="103"/>
      <c r="AS3" s="102">
        <f t="shared" ref="AS3" si="19">AQ3+1</f>
        <v>43122</v>
      </c>
      <c r="AT3" s="103"/>
      <c r="AU3" s="102">
        <f t="shared" ref="AU3" si="20">AS3+1</f>
        <v>43123</v>
      </c>
      <c r="AV3" s="103"/>
      <c r="AW3" s="102">
        <f t="shared" ref="AW3" si="21">AU3+1</f>
        <v>43124</v>
      </c>
      <c r="AX3" s="103"/>
      <c r="AY3" s="102">
        <f t="shared" ref="AY3" si="22">AW3+1</f>
        <v>43125</v>
      </c>
      <c r="AZ3" s="103"/>
      <c r="BA3" s="102">
        <f t="shared" ref="BA3" si="23">AY3+1</f>
        <v>43126</v>
      </c>
      <c r="BB3" s="103"/>
      <c r="BC3" s="102">
        <f t="shared" ref="BC3" si="24">BA3+1</f>
        <v>43127</v>
      </c>
      <c r="BD3" s="103"/>
      <c r="BE3" s="102">
        <f t="shared" ref="BE3" si="25">BC3+1</f>
        <v>43128</v>
      </c>
      <c r="BF3" s="103"/>
      <c r="BG3" s="102">
        <f t="shared" ref="BG3" si="26">BE3+1</f>
        <v>43129</v>
      </c>
      <c r="BH3" s="103"/>
      <c r="BI3" s="102">
        <f t="shared" ref="BI3" si="27">BG3+1</f>
        <v>43130</v>
      </c>
      <c r="BJ3" s="103"/>
      <c r="BK3" s="102">
        <f t="shared" ref="BK3" si="28">BI3+1</f>
        <v>43131</v>
      </c>
      <c r="BL3" s="103"/>
    </row>
    <row r="4" spans="1:64" ht="30" customHeight="1" x14ac:dyDescent="0.25">
      <c r="A4" s="104"/>
      <c r="B4" s="20" t="s">
        <v>81</v>
      </c>
      <c r="C4" s="100" t="str">
        <f>IF(C3="","",CHOOSE(WEEKDAY(C3,2),"一","二","三","四","五","六","日"))</f>
        <v>一</v>
      </c>
      <c r="D4" s="101"/>
      <c r="E4" s="100" t="str">
        <f t="shared" ref="E4" si="29">IF(E3="","",CHOOSE(WEEKDAY(E3,2),"一","二","三","四","五","六","日"))</f>
        <v>二</v>
      </c>
      <c r="F4" s="101"/>
      <c r="G4" s="100" t="str">
        <f t="shared" ref="G4" si="30">IF(G3="","",CHOOSE(WEEKDAY(G3,2),"一","二","三","四","五","六","日"))</f>
        <v>三</v>
      </c>
      <c r="H4" s="101"/>
      <c r="I4" s="100" t="str">
        <f t="shared" ref="I4" si="31">IF(I3="","",CHOOSE(WEEKDAY(I3,2),"一","二","三","四","五","六","日"))</f>
        <v>四</v>
      </c>
      <c r="J4" s="101"/>
      <c r="K4" s="100" t="str">
        <f t="shared" ref="K4" si="32">IF(K3="","",CHOOSE(WEEKDAY(K3,2),"一","二","三","四","五","六","日"))</f>
        <v>五</v>
      </c>
      <c r="L4" s="101"/>
      <c r="M4" s="100" t="str">
        <f t="shared" ref="M4" si="33">IF(M3="","",CHOOSE(WEEKDAY(M3,2),"一","二","三","四","五","六","日"))</f>
        <v>六</v>
      </c>
      <c r="N4" s="101"/>
      <c r="O4" s="100" t="str">
        <f t="shared" ref="O4" si="34">IF(O3="","",CHOOSE(WEEKDAY(O3,2),"一","二","三","四","五","六","日"))</f>
        <v>日</v>
      </c>
      <c r="P4" s="101"/>
      <c r="Q4" s="100" t="str">
        <f t="shared" ref="Q4" si="35">IF(Q3="","",CHOOSE(WEEKDAY(Q3,2),"一","二","三","四","五","六","日"))</f>
        <v>一</v>
      </c>
      <c r="R4" s="101"/>
      <c r="S4" s="100" t="str">
        <f t="shared" ref="S4" si="36">IF(S3="","",CHOOSE(WEEKDAY(S3,2),"一","二","三","四","五","六","日"))</f>
        <v>二</v>
      </c>
      <c r="T4" s="101"/>
      <c r="U4" s="100" t="str">
        <f t="shared" ref="U4" si="37">IF(U3="","",CHOOSE(WEEKDAY(U3,2),"一","二","三","四","五","六","日"))</f>
        <v>三</v>
      </c>
      <c r="V4" s="101"/>
      <c r="W4" s="100" t="str">
        <f t="shared" ref="W4" si="38">IF(W3="","",CHOOSE(WEEKDAY(W3,2),"一","二","三","四","五","六","日"))</f>
        <v>四</v>
      </c>
      <c r="X4" s="101"/>
      <c r="Y4" s="100" t="str">
        <f t="shared" ref="Y4" si="39">IF(Y3="","",CHOOSE(WEEKDAY(Y3,2),"一","二","三","四","五","六","日"))</f>
        <v>五</v>
      </c>
      <c r="Z4" s="101"/>
      <c r="AA4" s="100" t="str">
        <f t="shared" ref="AA4" si="40">IF(AA3="","",CHOOSE(WEEKDAY(AA3,2),"一","二","三","四","五","六","日"))</f>
        <v>六</v>
      </c>
      <c r="AB4" s="101"/>
      <c r="AC4" s="100" t="str">
        <f t="shared" ref="AC4" si="41">IF(AC3="","",CHOOSE(WEEKDAY(AC3,2),"一","二","三","四","五","六","日"))</f>
        <v>日</v>
      </c>
      <c r="AD4" s="101"/>
      <c r="AE4" s="100" t="str">
        <f t="shared" ref="AE4" si="42">IF(AE3="","",CHOOSE(WEEKDAY(AE3,2),"一","二","三","四","五","六","日"))</f>
        <v>一</v>
      </c>
      <c r="AF4" s="101"/>
      <c r="AG4" s="100" t="str">
        <f t="shared" ref="AG4" si="43">IF(AG3="","",CHOOSE(WEEKDAY(AG3,2),"一","二","三","四","五","六","日"))</f>
        <v>二</v>
      </c>
      <c r="AH4" s="101"/>
      <c r="AI4" s="100" t="str">
        <f t="shared" ref="AI4" si="44">IF(AI3="","",CHOOSE(WEEKDAY(AI3,2),"一","二","三","四","五","六","日"))</f>
        <v>三</v>
      </c>
      <c r="AJ4" s="101"/>
      <c r="AK4" s="100" t="str">
        <f t="shared" ref="AK4" si="45">IF(AK3="","",CHOOSE(WEEKDAY(AK3,2),"一","二","三","四","五","六","日"))</f>
        <v>四</v>
      </c>
      <c r="AL4" s="101"/>
      <c r="AM4" s="100" t="str">
        <f t="shared" ref="AM4" si="46">IF(AM3="","",CHOOSE(WEEKDAY(AM3,2),"一","二","三","四","五","六","日"))</f>
        <v>五</v>
      </c>
      <c r="AN4" s="101"/>
      <c r="AO4" s="100" t="str">
        <f t="shared" ref="AO4" si="47">IF(AO3="","",CHOOSE(WEEKDAY(AO3,2),"一","二","三","四","五","六","日"))</f>
        <v>六</v>
      </c>
      <c r="AP4" s="101"/>
      <c r="AQ4" s="100" t="str">
        <f t="shared" ref="AQ4" si="48">IF(AQ3="","",CHOOSE(WEEKDAY(AQ3,2),"一","二","三","四","五","六","日"))</f>
        <v>日</v>
      </c>
      <c r="AR4" s="101"/>
      <c r="AS4" s="100" t="str">
        <f t="shared" ref="AS4" si="49">IF(AS3="","",CHOOSE(WEEKDAY(AS3,2),"一","二","三","四","五","六","日"))</f>
        <v>一</v>
      </c>
      <c r="AT4" s="101"/>
      <c r="AU4" s="100" t="str">
        <f t="shared" ref="AU4" si="50">IF(AU3="","",CHOOSE(WEEKDAY(AU3,2),"一","二","三","四","五","六","日"))</f>
        <v>二</v>
      </c>
      <c r="AV4" s="101"/>
      <c r="AW4" s="100" t="str">
        <f t="shared" ref="AW4" si="51">IF(AW3="","",CHOOSE(WEEKDAY(AW3,2),"一","二","三","四","五","六","日"))</f>
        <v>三</v>
      </c>
      <c r="AX4" s="101"/>
      <c r="AY4" s="100" t="str">
        <f t="shared" ref="AY4" si="52">IF(AY3="","",CHOOSE(WEEKDAY(AY3,2),"一","二","三","四","五","六","日"))</f>
        <v>四</v>
      </c>
      <c r="AZ4" s="101"/>
      <c r="BA4" s="100" t="str">
        <f t="shared" ref="BA4" si="53">IF(BA3="","",CHOOSE(WEEKDAY(BA3,2),"一","二","三","四","五","六","日"))</f>
        <v>五</v>
      </c>
      <c r="BB4" s="101"/>
      <c r="BC4" s="100" t="str">
        <f t="shared" ref="BC4" si="54">IF(BC3="","",CHOOSE(WEEKDAY(BC3,2),"一","二","三","四","五","六","日"))</f>
        <v>六</v>
      </c>
      <c r="BD4" s="101"/>
      <c r="BE4" s="100" t="str">
        <f t="shared" ref="BE4" si="55">IF(BE3="","",CHOOSE(WEEKDAY(BE3,2),"一","二","三","四","五","六","日"))</f>
        <v>日</v>
      </c>
      <c r="BF4" s="101"/>
      <c r="BG4" s="100" t="str">
        <f t="shared" ref="BG4" si="56">IF(BG3="","",CHOOSE(WEEKDAY(BG3,2),"一","二","三","四","五","六","日"))</f>
        <v>一</v>
      </c>
      <c r="BH4" s="101"/>
      <c r="BI4" s="100" t="str">
        <f t="shared" ref="BI4" si="57">IF(BI3="","",CHOOSE(WEEKDAY(BI3,2),"一","二","三","四","五","六","日"))</f>
        <v>二</v>
      </c>
      <c r="BJ4" s="101"/>
      <c r="BK4" s="100" t="str">
        <f t="shared" ref="BK4" si="58">IF(BK3="","",CHOOSE(WEEKDAY(BK3,2),"一","二","三","四","五","六","日"))</f>
        <v>三</v>
      </c>
      <c r="BL4" s="101"/>
    </row>
    <row r="5" spans="1:64" ht="30" customHeight="1" x14ac:dyDescent="0.25">
      <c r="A5" s="23">
        <v>1</v>
      </c>
      <c r="B5" s="19" t="str">
        <f>員工基本資料!B2&amp;員工基本資料!C2</f>
        <v>林淑卿</v>
      </c>
      <c r="C5" s="15">
        <v>0.36736111111111108</v>
      </c>
      <c r="D5" s="15">
        <v>0.91388888888888886</v>
      </c>
      <c r="E5" s="15">
        <v>0.36736111111111108</v>
      </c>
      <c r="F5" s="15">
        <v>0.91388888888888886</v>
      </c>
      <c r="G5" s="15">
        <v>0.35972222222222222</v>
      </c>
      <c r="H5" s="15">
        <v>0.77847222222222223</v>
      </c>
      <c r="I5" s="15">
        <v>0.35347222222222219</v>
      </c>
      <c r="J5" s="15">
        <v>0.91874999999999996</v>
      </c>
      <c r="K5" s="16">
        <v>0.34791666666666665</v>
      </c>
      <c r="L5" s="16">
        <v>0.8027777777777777</v>
      </c>
      <c r="M5" s="15"/>
      <c r="N5" s="15"/>
      <c r="O5" s="15"/>
      <c r="P5" s="15"/>
      <c r="Q5" s="15">
        <v>0.36874999999999997</v>
      </c>
      <c r="R5" s="15">
        <v>0.92500000000000004</v>
      </c>
      <c r="S5" s="16">
        <v>0.35486111111111113</v>
      </c>
      <c r="T5" s="16">
        <v>0.73888888888888893</v>
      </c>
      <c r="U5" s="16">
        <v>0.35416666666666669</v>
      </c>
      <c r="V5" s="16">
        <v>0.8652777777777777</v>
      </c>
      <c r="W5" s="15">
        <v>0.35972222222222222</v>
      </c>
      <c r="X5" s="15">
        <v>0.73888888888888893</v>
      </c>
      <c r="Y5" s="15">
        <v>0.35416666666666669</v>
      </c>
      <c r="Z5" s="15">
        <v>0.7597222222222223</v>
      </c>
      <c r="AA5" s="15"/>
      <c r="AB5" s="15"/>
      <c r="AC5" s="14"/>
      <c r="AD5" s="14"/>
      <c r="AE5" s="15">
        <v>0.34236111111111112</v>
      </c>
      <c r="AF5" s="15">
        <v>0.73888888888888893</v>
      </c>
      <c r="AG5" s="16">
        <v>0.3527777777777778</v>
      </c>
      <c r="AH5" s="16">
        <v>0.87916666666666676</v>
      </c>
      <c r="AI5" s="16">
        <v>0.3527777777777778</v>
      </c>
      <c r="AJ5" s="16">
        <v>0.77847222222222223</v>
      </c>
      <c r="AK5" s="15">
        <v>0.35347222222222219</v>
      </c>
      <c r="AL5" s="15">
        <v>0.9277777777777777</v>
      </c>
      <c r="AM5" s="15">
        <v>0.35138888888888892</v>
      </c>
      <c r="AN5" s="15">
        <v>0.73819444444444438</v>
      </c>
      <c r="AO5" s="15"/>
      <c r="AP5" s="15"/>
      <c r="AQ5" s="14"/>
      <c r="AR5" s="14"/>
      <c r="AS5" s="15">
        <v>0.35138888888888892</v>
      </c>
      <c r="AT5" s="15">
        <v>0.87708333333333333</v>
      </c>
      <c r="AU5" s="16">
        <v>0.35833333333333334</v>
      </c>
      <c r="AV5" s="16">
        <v>0.73958333333333337</v>
      </c>
      <c r="AW5" s="16">
        <v>0.3527777777777778</v>
      </c>
      <c r="AX5" s="16">
        <v>0.88263888888888886</v>
      </c>
      <c r="AY5" s="15">
        <v>0.35972222222222222</v>
      </c>
      <c r="AZ5" s="15">
        <v>0.73888888888888893</v>
      </c>
      <c r="BA5" s="15">
        <v>0.35972222222222222</v>
      </c>
      <c r="BB5" s="15">
        <v>0.7583333333333333</v>
      </c>
      <c r="BC5" s="16"/>
      <c r="BD5" s="16"/>
      <c r="BE5" s="14"/>
      <c r="BF5" s="14"/>
      <c r="BG5" s="16">
        <v>0.35138888888888892</v>
      </c>
      <c r="BH5" s="16">
        <v>0.71319444444444446</v>
      </c>
      <c r="BI5" s="16"/>
      <c r="BJ5" s="16"/>
      <c r="BK5" s="16">
        <v>0.3527777777777778</v>
      </c>
      <c r="BL5" s="15">
        <v>0.73888888888888893</v>
      </c>
    </row>
    <row r="6" spans="1:64" ht="30" customHeight="1" x14ac:dyDescent="0.25">
      <c r="A6" s="23">
        <v>2</v>
      </c>
      <c r="B6" s="19" t="str">
        <f>員工基本資料!B3&amp;員工基本資料!C3</f>
        <v>鄭力高</v>
      </c>
      <c r="C6" s="15"/>
      <c r="D6" s="15"/>
      <c r="E6" s="15"/>
      <c r="F6" s="15"/>
      <c r="G6" s="15"/>
      <c r="H6" s="15"/>
      <c r="I6" s="15"/>
      <c r="J6" s="15"/>
      <c r="K6" s="16">
        <v>0.35486111111111113</v>
      </c>
      <c r="L6" s="16">
        <v>0.74513888888888891</v>
      </c>
      <c r="M6" s="15"/>
      <c r="N6" s="15"/>
      <c r="O6" s="14"/>
      <c r="P6" s="14"/>
      <c r="Q6" s="15">
        <v>0.34930555555555554</v>
      </c>
      <c r="R6" s="15">
        <v>0.73541666666666661</v>
      </c>
      <c r="S6" s="16">
        <v>0.34722222222222227</v>
      </c>
      <c r="T6" s="16">
        <v>0.73333333333333339</v>
      </c>
      <c r="U6" s="16">
        <v>0.35833333333333334</v>
      </c>
      <c r="V6" s="16">
        <v>0.83333333333333337</v>
      </c>
      <c r="W6" s="15">
        <v>0.34652777777777777</v>
      </c>
      <c r="X6" s="15">
        <v>0.73263888888888884</v>
      </c>
      <c r="Y6" s="15"/>
      <c r="Z6" s="15"/>
      <c r="AA6" s="15"/>
      <c r="AB6" s="15"/>
      <c r="AC6" s="14"/>
      <c r="AD6" s="14"/>
      <c r="AE6" s="15">
        <v>0.34652777777777777</v>
      </c>
      <c r="AF6" s="15">
        <v>0.73541666666666661</v>
      </c>
      <c r="AG6" s="16">
        <v>0.35972222222222222</v>
      </c>
      <c r="AH6" s="16">
        <v>0.73472222222222217</v>
      </c>
      <c r="AI6" s="16">
        <v>0.35069444444444442</v>
      </c>
      <c r="AJ6" s="16">
        <v>0.71527777777777779</v>
      </c>
      <c r="AK6" s="15">
        <v>0.3576388888888889</v>
      </c>
      <c r="AL6" s="15">
        <v>0.73472222222222217</v>
      </c>
      <c r="AM6" s="15">
        <v>0.35555555555555557</v>
      </c>
      <c r="AN6" s="15">
        <v>0.77847222222222223</v>
      </c>
      <c r="AO6" s="15"/>
      <c r="AP6" s="15"/>
      <c r="AQ6" s="14"/>
      <c r="AR6" s="14"/>
      <c r="AS6" s="15"/>
      <c r="AT6" s="15"/>
      <c r="AU6" s="16"/>
      <c r="AV6" s="16"/>
      <c r="AW6" s="16"/>
      <c r="AX6" s="16"/>
      <c r="AY6" s="15"/>
      <c r="AZ6" s="15"/>
      <c r="BA6" s="15"/>
      <c r="BB6" s="15"/>
      <c r="BC6" s="16"/>
      <c r="BD6" s="16"/>
      <c r="BE6" s="14"/>
      <c r="BF6" s="14"/>
      <c r="BG6" s="16">
        <v>0.36736111111111108</v>
      </c>
      <c r="BH6" s="16">
        <v>0.73333333333333339</v>
      </c>
      <c r="BI6" s="16">
        <v>0.36944444444444446</v>
      </c>
      <c r="BJ6" s="16">
        <v>0.73333333333333339</v>
      </c>
      <c r="BK6" s="16">
        <v>0.35972222222222222</v>
      </c>
      <c r="BL6" s="15"/>
    </row>
    <row r="7" spans="1:64" ht="30" customHeight="1" x14ac:dyDescent="0.25">
      <c r="A7" s="23">
        <v>3</v>
      </c>
      <c r="B7" s="19" t="str">
        <f>員工基本資料!B4&amp;員工基本資料!C4</f>
        <v>汪喜洋</v>
      </c>
      <c r="C7" s="15">
        <v>0.36736111111111108</v>
      </c>
      <c r="D7" s="15">
        <v>0.7909722222222223</v>
      </c>
      <c r="E7" s="15">
        <v>0.36736111111111108</v>
      </c>
      <c r="F7" s="15">
        <v>0.7909722222222223</v>
      </c>
      <c r="G7" s="15">
        <v>0.34722222222222227</v>
      </c>
      <c r="H7" s="15">
        <v>0.77430555555555547</v>
      </c>
      <c r="I7" s="15">
        <v>0.34930555555555554</v>
      </c>
      <c r="J7" s="15">
        <v>0.78472222222222221</v>
      </c>
      <c r="K7" s="16">
        <v>0.28819444444444448</v>
      </c>
      <c r="L7" s="16">
        <v>0.81597222222222221</v>
      </c>
      <c r="M7" s="15"/>
      <c r="N7" s="15"/>
      <c r="O7" s="14"/>
      <c r="P7" s="14"/>
      <c r="Q7" s="15">
        <v>0.3527777777777778</v>
      </c>
      <c r="R7" s="15">
        <v>0.75277777777777777</v>
      </c>
      <c r="S7" s="16">
        <v>0.34722222222222227</v>
      </c>
      <c r="T7" s="16">
        <v>0.76597222222222217</v>
      </c>
      <c r="U7" s="16">
        <v>0.33888888888888885</v>
      </c>
      <c r="V7" s="16">
        <v>0.78263888888888899</v>
      </c>
      <c r="W7" s="15">
        <v>0.34652777777777777</v>
      </c>
      <c r="X7" s="15">
        <v>0.74652777777777779</v>
      </c>
      <c r="Y7" s="15">
        <v>0.34930555555555554</v>
      </c>
      <c r="Z7" s="15">
        <v>0.7270833333333333</v>
      </c>
      <c r="AA7" s="15"/>
      <c r="AB7" s="15"/>
      <c r="AC7" s="14"/>
      <c r="AD7" s="14"/>
      <c r="AE7" s="15">
        <v>0.34097222222222223</v>
      </c>
      <c r="AF7" s="15">
        <v>0.78263888888888899</v>
      </c>
      <c r="AG7" s="16">
        <v>0.35347222222222219</v>
      </c>
      <c r="AH7" s="16">
        <v>0.73263888888888884</v>
      </c>
      <c r="AI7" s="16">
        <v>0.34791666666666665</v>
      </c>
      <c r="AJ7" s="16">
        <v>0.74375000000000002</v>
      </c>
      <c r="AK7" s="15">
        <v>0.34166666666666662</v>
      </c>
      <c r="AL7" s="15">
        <v>0.77638888888888891</v>
      </c>
      <c r="AM7" s="15">
        <v>0.35833333333333334</v>
      </c>
      <c r="AN7" s="15">
        <v>0.76388888888888884</v>
      </c>
      <c r="AO7" s="15"/>
      <c r="AP7" s="15"/>
      <c r="AQ7" s="14"/>
      <c r="AR7" s="14"/>
      <c r="AS7" s="15">
        <v>0.34097222222222223</v>
      </c>
      <c r="AT7" s="15">
        <v>0.74513888888888891</v>
      </c>
      <c r="AU7" s="16">
        <v>0.34097222222222223</v>
      </c>
      <c r="AV7" s="16">
        <v>0.80833333333333324</v>
      </c>
      <c r="AW7" s="16">
        <v>0.3527777777777778</v>
      </c>
      <c r="AX7" s="16">
        <v>0.81458333333333333</v>
      </c>
      <c r="AY7" s="15">
        <v>0.36736111111111108</v>
      </c>
      <c r="AZ7" s="15">
        <v>0.77222222222222225</v>
      </c>
      <c r="BA7" s="15">
        <v>0.34791666666666665</v>
      </c>
      <c r="BB7" s="15">
        <v>0.77847222222222223</v>
      </c>
      <c r="BC7" s="16"/>
      <c r="BD7" s="16"/>
      <c r="BE7" s="14"/>
      <c r="BF7" s="14"/>
      <c r="BG7" s="16">
        <v>0.37083333333333335</v>
      </c>
      <c r="BH7" s="16">
        <v>0.81736111111111109</v>
      </c>
      <c r="BI7" s="16">
        <v>0.22638888888888889</v>
      </c>
      <c r="BJ7" s="16">
        <v>0.73333333333333339</v>
      </c>
      <c r="BK7" s="16">
        <v>0.35347222222222219</v>
      </c>
      <c r="BL7" s="15">
        <v>0.77222222222222225</v>
      </c>
    </row>
    <row r="8" spans="1:64" ht="30" customHeight="1" x14ac:dyDescent="0.25">
      <c r="A8" s="23">
        <v>4</v>
      </c>
      <c r="B8" s="19" t="str">
        <f>員工基本資料!B5&amp;員工基本資料!C5</f>
        <v>劉全生</v>
      </c>
      <c r="C8" s="15">
        <v>0.36736111111111108</v>
      </c>
      <c r="D8" s="15">
        <v>0.7583333333333333</v>
      </c>
      <c r="E8" s="15">
        <v>0.36736111111111108</v>
      </c>
      <c r="F8" s="15">
        <v>0.7583333333333333</v>
      </c>
      <c r="G8" s="15">
        <v>0.34166666666666662</v>
      </c>
      <c r="H8" s="15">
        <v>0.73472222222222217</v>
      </c>
      <c r="I8" s="15">
        <v>0.3430555555555555</v>
      </c>
      <c r="J8" s="15">
        <v>0.73541666666666661</v>
      </c>
      <c r="K8" s="16">
        <v>0.36736111111111108</v>
      </c>
      <c r="L8" s="16">
        <v>0.73263888888888884</v>
      </c>
      <c r="M8" s="15"/>
      <c r="N8" s="15"/>
      <c r="O8" s="14"/>
      <c r="P8" s="14"/>
      <c r="Q8" s="15">
        <v>0.34236111111111112</v>
      </c>
      <c r="R8" s="15">
        <v>0.77847222222222223</v>
      </c>
      <c r="S8" s="16">
        <v>0.36736111111111108</v>
      </c>
      <c r="T8" s="16">
        <v>0.73472222222222217</v>
      </c>
      <c r="U8" s="16">
        <v>0.3430555555555555</v>
      </c>
      <c r="V8" s="16">
        <v>0.73819444444444438</v>
      </c>
      <c r="W8" s="15">
        <v>0.35972222222222222</v>
      </c>
      <c r="X8" s="15">
        <v>0.83125000000000004</v>
      </c>
      <c r="Y8" s="15"/>
      <c r="Z8" s="15"/>
      <c r="AA8" s="15"/>
      <c r="AB8" s="15"/>
      <c r="AC8" s="14"/>
      <c r="AD8" s="14"/>
      <c r="AE8" s="15">
        <v>0.35972222222222222</v>
      </c>
      <c r="AF8" s="15">
        <v>0.78680555555555554</v>
      </c>
      <c r="AG8" s="16">
        <v>0.36736111111111108</v>
      </c>
      <c r="AH8" s="16">
        <v>0.73541666666666661</v>
      </c>
      <c r="AI8" s="16"/>
      <c r="AJ8" s="16"/>
      <c r="AK8" s="15">
        <v>0.35972222222222222</v>
      </c>
      <c r="AL8" s="15">
        <v>0.73541666666666661</v>
      </c>
      <c r="AM8" s="15">
        <v>0.34166666666666662</v>
      </c>
      <c r="AN8" s="15">
        <v>0.7583333333333333</v>
      </c>
      <c r="AO8" s="15"/>
      <c r="AP8" s="15"/>
      <c r="AQ8" s="14"/>
      <c r="AR8" s="14"/>
      <c r="AS8" s="15">
        <v>0.36736111111111108</v>
      </c>
      <c r="AT8" s="15">
        <v>0.73263888888888884</v>
      </c>
      <c r="AU8" s="16">
        <v>0.3430555555555555</v>
      </c>
      <c r="AV8" s="16">
        <v>0.74513888888888891</v>
      </c>
      <c r="AW8" s="16">
        <v>0.3430555555555555</v>
      </c>
      <c r="AX8" s="16">
        <v>0.73263888888888884</v>
      </c>
      <c r="AY8" s="15">
        <v>0.34236111111111112</v>
      </c>
      <c r="AZ8" s="15">
        <v>0.73472222222222217</v>
      </c>
      <c r="BA8" s="15"/>
      <c r="BB8" s="15"/>
      <c r="BC8" s="16"/>
      <c r="BD8" s="16"/>
      <c r="BE8" s="14"/>
      <c r="BF8" s="14"/>
      <c r="BG8" s="16">
        <v>0.34791666666666665</v>
      </c>
      <c r="BH8" s="16">
        <v>0.74652777777777779</v>
      </c>
      <c r="BI8" s="16">
        <v>0.35833333333333334</v>
      </c>
      <c r="BJ8" s="16">
        <v>0.74513888888888891</v>
      </c>
      <c r="BK8" s="16">
        <v>0.36736111111111108</v>
      </c>
      <c r="BL8" s="15">
        <v>0.73472222222222217</v>
      </c>
    </row>
    <row r="9" spans="1:64" ht="30" customHeight="1" x14ac:dyDescent="0.25">
      <c r="A9" s="23">
        <v>5</v>
      </c>
      <c r="B9" s="19" t="str">
        <f>員工基本資料!B6&amp;員工基本資料!C6</f>
        <v>陳錦相</v>
      </c>
      <c r="C9" s="15">
        <v>0.3527777777777778</v>
      </c>
      <c r="D9" s="15">
        <v>0.83958333333333324</v>
      </c>
      <c r="E9" s="15">
        <v>0.3527777777777778</v>
      </c>
      <c r="F9" s="15">
        <v>0.83958333333333324</v>
      </c>
      <c r="G9" s="15">
        <v>0.3527777777777778</v>
      </c>
      <c r="H9" s="15">
        <v>0.7583333333333333</v>
      </c>
      <c r="I9" s="15">
        <v>0.35347222222222219</v>
      </c>
      <c r="J9" s="15">
        <v>0.87847222222222221</v>
      </c>
      <c r="K9" s="16">
        <v>0.3354166666666667</v>
      </c>
      <c r="L9" s="16">
        <v>0.8847222222222223</v>
      </c>
      <c r="M9" s="15"/>
      <c r="N9" s="15"/>
      <c r="O9" s="14"/>
      <c r="P9" s="14"/>
      <c r="Q9" s="15">
        <v>0.36944444444444446</v>
      </c>
      <c r="R9" s="15">
        <v>0.76527777777777783</v>
      </c>
      <c r="S9" s="16">
        <v>0.3527777777777778</v>
      </c>
      <c r="T9" s="16">
        <v>0.84097222222222223</v>
      </c>
      <c r="U9" s="16">
        <v>0.35000000000000003</v>
      </c>
      <c r="V9" s="16">
        <v>0.73819444444444438</v>
      </c>
      <c r="W9" s="15">
        <v>0.36944444444444446</v>
      </c>
      <c r="X9" s="15">
        <v>0.85555555555555562</v>
      </c>
      <c r="Y9" s="15">
        <v>0.35347222222222219</v>
      </c>
      <c r="Z9" s="15">
        <v>0.73263888888888884</v>
      </c>
      <c r="AA9" s="15"/>
      <c r="AB9" s="15"/>
      <c r="AC9" s="14"/>
      <c r="AD9" s="14"/>
      <c r="AE9" s="15">
        <v>0.35555555555555557</v>
      </c>
      <c r="AF9" s="15">
        <v>0.73958333333333337</v>
      </c>
      <c r="AG9" s="16">
        <v>0.35069444444444442</v>
      </c>
      <c r="AH9" s="16">
        <v>0.73819444444444438</v>
      </c>
      <c r="AI9" s="16">
        <v>0.35416666666666669</v>
      </c>
      <c r="AJ9" s="16">
        <v>0.74652777777777779</v>
      </c>
      <c r="AK9" s="15">
        <v>0.3527777777777778</v>
      </c>
      <c r="AL9" s="15">
        <v>0.73888888888888893</v>
      </c>
      <c r="AM9" s="15">
        <v>0.35486111111111113</v>
      </c>
      <c r="AN9" s="15">
        <v>0.87083333333333324</v>
      </c>
      <c r="AO9" s="15"/>
      <c r="AP9" s="15"/>
      <c r="AQ9" s="14"/>
      <c r="AR9" s="14"/>
      <c r="AS9" s="15">
        <v>0.35138888888888892</v>
      </c>
      <c r="AT9" s="15">
        <v>0.72916666666666663</v>
      </c>
      <c r="AU9" s="16">
        <v>0.35694444444444445</v>
      </c>
      <c r="AV9" s="16">
        <v>0.85</v>
      </c>
      <c r="AW9" s="16">
        <v>0.35972222222222222</v>
      </c>
      <c r="AX9" s="16">
        <v>0.75347222222222221</v>
      </c>
      <c r="AY9" s="15">
        <v>0.35972222222222222</v>
      </c>
      <c r="AZ9" s="15">
        <v>0.77013888888888893</v>
      </c>
      <c r="BA9" s="15">
        <v>0.34236111111111112</v>
      </c>
      <c r="BB9" s="15">
        <v>0.73263888888888884</v>
      </c>
      <c r="BC9" s="16"/>
      <c r="BD9" s="16"/>
      <c r="BE9" s="14"/>
      <c r="BF9" s="14"/>
      <c r="BG9" s="16">
        <v>0.3354166666666667</v>
      </c>
      <c r="BH9" s="16">
        <v>0.73819444444444438</v>
      </c>
      <c r="BI9" s="16">
        <v>0.3527777777777778</v>
      </c>
      <c r="BJ9" s="16">
        <v>0.72916666666666663</v>
      </c>
      <c r="BK9" s="16">
        <v>0.35069444444444442</v>
      </c>
      <c r="BL9" s="15">
        <v>0.77013888888888893</v>
      </c>
    </row>
    <row r="10" spans="1:64" ht="30" customHeight="1" x14ac:dyDescent="0.25">
      <c r="A10" s="23">
        <v>6</v>
      </c>
      <c r="B10" s="19" t="str">
        <f>員工基本資料!B7&amp;員工基本資料!C7</f>
        <v>陳世傑</v>
      </c>
      <c r="C10" s="15">
        <v>0.36944444444444446</v>
      </c>
      <c r="D10" s="15">
        <v>0.74652777777777779</v>
      </c>
      <c r="E10" s="15">
        <v>0.36944444444444446</v>
      </c>
      <c r="F10" s="15">
        <v>0.74652777777777779</v>
      </c>
      <c r="G10" s="15">
        <v>0.35972222222222222</v>
      </c>
      <c r="H10" s="15">
        <v>0.76388888888888884</v>
      </c>
      <c r="I10" s="15">
        <v>0.35972222222222222</v>
      </c>
      <c r="J10" s="15">
        <v>0.76458333333333339</v>
      </c>
      <c r="K10" s="16">
        <v>0.34166666666666662</v>
      </c>
      <c r="L10" s="16">
        <v>0.81319444444444444</v>
      </c>
      <c r="M10" s="15"/>
      <c r="N10" s="15"/>
      <c r="O10" s="14"/>
      <c r="P10" s="14"/>
      <c r="Q10" s="15">
        <v>0.35069444444444442</v>
      </c>
      <c r="R10" s="15">
        <v>0.75208333333333333</v>
      </c>
      <c r="S10" s="16">
        <v>0.36944444444444446</v>
      </c>
      <c r="T10" s="16">
        <v>0.82499999999999996</v>
      </c>
      <c r="U10" s="16"/>
      <c r="V10" s="16"/>
      <c r="W10" s="15">
        <v>0.3430555555555555</v>
      </c>
      <c r="X10" s="15">
        <v>0.74652777777777779</v>
      </c>
      <c r="Y10" s="15">
        <v>0.34722222222222227</v>
      </c>
      <c r="Z10" s="15">
        <v>0.72916666666666663</v>
      </c>
      <c r="AA10" s="15"/>
      <c r="AB10" s="15"/>
      <c r="AC10" s="14"/>
      <c r="AD10" s="14"/>
      <c r="AE10" s="15">
        <v>0.34930555555555554</v>
      </c>
      <c r="AF10" s="15">
        <v>0.72916666666666663</v>
      </c>
      <c r="AG10" s="16">
        <v>0.35347222222222219</v>
      </c>
      <c r="AH10" s="16">
        <v>0.74513888888888891</v>
      </c>
      <c r="AI10" s="16"/>
      <c r="AJ10" s="16"/>
      <c r="AK10" s="15">
        <v>0.34930555555555554</v>
      </c>
      <c r="AL10" s="15">
        <v>0.77638888888888891</v>
      </c>
      <c r="AM10" s="15">
        <v>0.34930555555555554</v>
      </c>
      <c r="AN10" s="15">
        <v>0.76111111111111107</v>
      </c>
      <c r="AO10" s="15"/>
      <c r="AP10" s="15"/>
      <c r="AQ10" s="14"/>
      <c r="AR10" s="14"/>
      <c r="AS10" s="15">
        <v>0.34791666666666665</v>
      </c>
      <c r="AT10" s="15">
        <v>0.74375000000000002</v>
      </c>
      <c r="AU10" s="16">
        <v>0.35000000000000003</v>
      </c>
      <c r="AV10" s="16">
        <v>0.80694444444444446</v>
      </c>
      <c r="AW10" s="16">
        <v>0.34722222222222227</v>
      </c>
      <c r="AX10" s="16">
        <v>0.8</v>
      </c>
      <c r="AY10" s="15">
        <v>0.34166666666666662</v>
      </c>
      <c r="AZ10" s="15">
        <v>0.77083333333333337</v>
      </c>
      <c r="BA10" s="15">
        <v>0.34722222222222227</v>
      </c>
      <c r="BB10" s="15">
        <v>0.73958333333333337</v>
      </c>
      <c r="BC10" s="16"/>
      <c r="BD10" s="16"/>
      <c r="BE10" s="14"/>
      <c r="BF10" s="14"/>
      <c r="BG10" s="16">
        <v>0.3527777777777778</v>
      </c>
      <c r="BH10" s="16">
        <v>0.81388888888888899</v>
      </c>
      <c r="BI10" s="16">
        <v>0.35833333333333334</v>
      </c>
      <c r="BJ10" s="16">
        <v>0.73333333333333339</v>
      </c>
      <c r="BK10" s="16">
        <v>0.35347222222222219</v>
      </c>
      <c r="BL10" s="15">
        <v>0.77083333333333337</v>
      </c>
    </row>
    <row r="11" spans="1:64" ht="30" customHeight="1" x14ac:dyDescent="0.25">
      <c r="A11" s="23">
        <v>7</v>
      </c>
      <c r="B11" s="19" t="str">
        <f>員工基本資料!B8&amp;員工基本資料!C8</f>
        <v>林美姿</v>
      </c>
      <c r="C11" s="15">
        <v>0.35138888888888892</v>
      </c>
      <c r="D11" s="15">
        <v>0.74930555555555556</v>
      </c>
      <c r="E11" s="15">
        <v>0.35138888888888892</v>
      </c>
      <c r="F11" s="15">
        <v>0.74930555555555556</v>
      </c>
      <c r="G11" s="15">
        <v>0.34722222222222227</v>
      </c>
      <c r="H11" s="15">
        <v>0.73888888888888893</v>
      </c>
      <c r="I11" s="15">
        <v>0.34166666666666662</v>
      </c>
      <c r="J11" s="15">
        <v>0.78263888888888899</v>
      </c>
      <c r="K11" s="16">
        <v>0.34791666666666665</v>
      </c>
      <c r="L11" s="16">
        <v>0.81388888888888899</v>
      </c>
      <c r="M11" s="15"/>
      <c r="N11" s="15"/>
      <c r="O11" s="14"/>
      <c r="P11" s="14"/>
      <c r="Q11" s="15">
        <v>0.34236111111111112</v>
      </c>
      <c r="R11" s="15">
        <v>0.73333333333333339</v>
      </c>
      <c r="S11" s="16">
        <v>0.36944444444444446</v>
      </c>
      <c r="T11" s="16">
        <v>0.77847222222222223</v>
      </c>
      <c r="U11" s="16">
        <v>0.34722222222222227</v>
      </c>
      <c r="V11" s="16">
        <v>0.85555555555555562</v>
      </c>
      <c r="W11" s="15">
        <v>0.35972222222222222</v>
      </c>
      <c r="X11" s="15">
        <v>0.7402777777777777</v>
      </c>
      <c r="Y11" s="15">
        <v>0.34722222222222227</v>
      </c>
      <c r="Z11" s="15">
        <v>0.74236111111111114</v>
      </c>
      <c r="AA11" s="15"/>
      <c r="AB11" s="15"/>
      <c r="AC11" s="14"/>
      <c r="AD11" s="14"/>
      <c r="AE11" s="15">
        <v>0.34930555555555554</v>
      </c>
      <c r="AF11" s="15">
        <v>0.73819444444444438</v>
      </c>
      <c r="AG11" s="16">
        <v>0.34791666666666665</v>
      </c>
      <c r="AH11" s="16">
        <v>0.81597222222222221</v>
      </c>
      <c r="AI11" s="16">
        <v>0.34930555555555554</v>
      </c>
      <c r="AJ11" s="16">
        <v>0.73263888888888884</v>
      </c>
      <c r="AK11" s="15">
        <v>0.34791666666666665</v>
      </c>
      <c r="AL11" s="15">
        <v>0.73888888888888893</v>
      </c>
      <c r="AM11" s="15">
        <v>0.34722222222222227</v>
      </c>
      <c r="AN11" s="15">
        <v>0.73472222222222217</v>
      </c>
      <c r="AO11" s="15"/>
      <c r="AP11" s="15"/>
      <c r="AQ11" s="14"/>
      <c r="AR11" s="14"/>
      <c r="AS11" s="15">
        <v>0.35000000000000003</v>
      </c>
      <c r="AT11" s="15">
        <v>0.73958333333333337</v>
      </c>
      <c r="AU11" s="16">
        <v>0.34930555555555554</v>
      </c>
      <c r="AV11" s="16">
        <v>0.7416666666666667</v>
      </c>
      <c r="AW11" s="16">
        <v>0.34930555555555554</v>
      </c>
      <c r="AX11" s="16">
        <v>0.8569444444444444</v>
      </c>
      <c r="AY11" s="15">
        <v>0.34791666666666665</v>
      </c>
      <c r="AZ11" s="15">
        <v>0.73958333333333337</v>
      </c>
      <c r="BA11" s="15">
        <v>0.35000000000000003</v>
      </c>
      <c r="BB11" s="15">
        <v>0.7583333333333333</v>
      </c>
      <c r="BC11" s="16"/>
      <c r="BD11" s="16"/>
      <c r="BE11" s="14"/>
      <c r="BF11" s="14"/>
      <c r="BG11" s="16">
        <v>0.35972222222222222</v>
      </c>
      <c r="BH11" s="16">
        <v>0.79166666666666663</v>
      </c>
      <c r="BI11" s="16">
        <v>0.35833333333333334</v>
      </c>
      <c r="BJ11" s="16">
        <v>0.73472222222222217</v>
      </c>
      <c r="BK11" s="16">
        <v>0.34791666666666665</v>
      </c>
      <c r="BL11" s="15">
        <v>0.73958333333333337</v>
      </c>
    </row>
    <row r="12" spans="1:64" ht="30" customHeight="1" x14ac:dyDescent="0.25">
      <c r="A12" s="23">
        <v>8</v>
      </c>
      <c r="B12" s="19" t="str">
        <f>員工基本資料!B9&amp;員工基本資料!C9</f>
        <v>沈朗錦</v>
      </c>
      <c r="C12" s="15">
        <v>0.35347222222222219</v>
      </c>
      <c r="D12" s="15">
        <v>0.74305555555555547</v>
      </c>
      <c r="E12" s="15">
        <v>0.35347222222222219</v>
      </c>
      <c r="F12" s="15">
        <v>0.74305555555555547</v>
      </c>
      <c r="G12" s="15">
        <v>0.34930555555555554</v>
      </c>
      <c r="H12" s="15">
        <v>0.80625000000000002</v>
      </c>
      <c r="I12" s="15">
        <v>0.34791666666666665</v>
      </c>
      <c r="J12" s="15">
        <v>0.78472222222222221</v>
      </c>
      <c r="K12" s="16">
        <v>0.35069444444444442</v>
      </c>
      <c r="L12" s="16">
        <v>0.82986111111111116</v>
      </c>
      <c r="M12" s="15"/>
      <c r="N12" s="15"/>
      <c r="O12" s="14"/>
      <c r="P12" s="14"/>
      <c r="Q12" s="15">
        <v>0.3611111111111111</v>
      </c>
      <c r="R12" s="15">
        <v>0.85416666666666663</v>
      </c>
      <c r="S12" s="16">
        <v>0.35555555555555557</v>
      </c>
      <c r="T12" s="16">
        <v>0.77916666666666667</v>
      </c>
      <c r="U12" s="16">
        <v>0.3576388888888889</v>
      </c>
      <c r="V12" s="16">
        <v>0.75763888888888886</v>
      </c>
      <c r="W12" s="15">
        <v>0.35347222222222219</v>
      </c>
      <c r="X12" s="15">
        <v>0.74236111111111114</v>
      </c>
      <c r="Y12" s="15"/>
      <c r="Z12" s="15"/>
      <c r="AA12" s="15"/>
      <c r="AB12" s="15"/>
      <c r="AC12" s="14"/>
      <c r="AD12" s="14"/>
      <c r="AE12" s="15">
        <v>0.35486111111111113</v>
      </c>
      <c r="AF12" s="15">
        <v>0.78055555555555556</v>
      </c>
      <c r="AG12" s="16">
        <v>0.35555555555555557</v>
      </c>
      <c r="AH12" s="16">
        <v>0.7416666666666667</v>
      </c>
      <c r="AI12" s="16">
        <v>0.3527777777777778</v>
      </c>
      <c r="AJ12" s="16">
        <v>0.75277777777777777</v>
      </c>
      <c r="AK12" s="15">
        <v>0.35486111111111113</v>
      </c>
      <c r="AL12" s="15">
        <v>0.84375</v>
      </c>
      <c r="AM12" s="15">
        <v>0.35416666666666669</v>
      </c>
      <c r="AN12" s="15">
        <v>0.83680555555555547</v>
      </c>
      <c r="AO12" s="15"/>
      <c r="AP12" s="15"/>
      <c r="AQ12" s="14"/>
      <c r="AR12" s="14"/>
      <c r="AS12" s="15">
        <v>0.35486111111111113</v>
      </c>
      <c r="AT12" s="15">
        <v>0.8256944444444444</v>
      </c>
      <c r="AU12" s="16">
        <v>0.35625000000000001</v>
      </c>
      <c r="AV12" s="16">
        <v>0.8256944444444444</v>
      </c>
      <c r="AW12" s="16">
        <v>0.3527777777777778</v>
      </c>
      <c r="AX12" s="16">
        <v>0.83750000000000002</v>
      </c>
      <c r="AY12" s="15">
        <v>0.35625000000000001</v>
      </c>
      <c r="AZ12" s="15">
        <v>0.84513888888888899</v>
      </c>
      <c r="BA12" s="15">
        <v>0.35416666666666669</v>
      </c>
      <c r="BB12" s="15">
        <v>0.72916666666666663</v>
      </c>
      <c r="BC12" s="16"/>
      <c r="BD12" s="16"/>
      <c r="BE12" s="14"/>
      <c r="BF12" s="14"/>
      <c r="BG12" s="16">
        <v>0.3527777777777778</v>
      </c>
      <c r="BH12" s="16">
        <v>0.88124999999999998</v>
      </c>
      <c r="BI12" s="16">
        <v>0.35138888888888892</v>
      </c>
      <c r="BJ12" s="16">
        <v>0.78888888888888886</v>
      </c>
      <c r="BK12" s="16">
        <v>0.35555555555555557</v>
      </c>
      <c r="BL12" s="15">
        <v>0.84513888888888899</v>
      </c>
    </row>
    <row r="13" spans="1:64" ht="30" customHeight="1" x14ac:dyDescent="0.25">
      <c r="A13" s="23">
        <v>9</v>
      </c>
      <c r="B13" s="19" t="str">
        <f>員工基本資料!B10&amp;員工基本資料!C10</f>
        <v>張一心</v>
      </c>
      <c r="C13" s="15">
        <v>0.34791666666666665</v>
      </c>
      <c r="D13" s="15">
        <v>0.83958333333333324</v>
      </c>
      <c r="E13" s="15">
        <v>0.34791666666666665</v>
      </c>
      <c r="F13" s="15">
        <v>0.83958333333333324</v>
      </c>
      <c r="G13" s="15">
        <v>0.34652777777777777</v>
      </c>
      <c r="H13" s="15">
        <v>0.83888888888888891</v>
      </c>
      <c r="I13" s="15">
        <v>0.34930555555555554</v>
      </c>
      <c r="J13" s="15">
        <v>0.83611111111111114</v>
      </c>
      <c r="K13" s="16">
        <v>0.34791666666666665</v>
      </c>
      <c r="L13" s="16">
        <v>0.87777777777777777</v>
      </c>
      <c r="M13" s="15"/>
      <c r="N13" s="15"/>
      <c r="O13" s="14"/>
      <c r="P13" s="14"/>
      <c r="Q13" s="15">
        <v>0.34791666666666665</v>
      </c>
      <c r="R13" s="15">
        <v>0.74583333333333324</v>
      </c>
      <c r="S13" s="16">
        <v>0.34791666666666665</v>
      </c>
      <c r="T13" s="16">
        <v>0.82986111111111116</v>
      </c>
      <c r="U13" s="16">
        <v>0.34791666666666665</v>
      </c>
      <c r="V13" s="16">
        <v>0.86944444444444446</v>
      </c>
      <c r="W13" s="15">
        <v>0.34722222222222227</v>
      </c>
      <c r="X13" s="15">
        <v>0.82986111111111116</v>
      </c>
      <c r="Y13" s="15">
        <v>0.34791666666666665</v>
      </c>
      <c r="Z13" s="15">
        <v>0.72986111111111107</v>
      </c>
      <c r="AA13" s="15"/>
      <c r="AB13" s="15"/>
      <c r="AC13" s="14"/>
      <c r="AD13" s="14"/>
      <c r="AE13" s="15">
        <v>0.36944444444444446</v>
      </c>
      <c r="AF13" s="15">
        <v>0.8305555555555556</v>
      </c>
      <c r="AG13" s="16">
        <v>0.36944444444444446</v>
      </c>
      <c r="AH13" s="16">
        <v>0.87916666666666676</v>
      </c>
      <c r="AI13" s="16">
        <v>0.35069444444444442</v>
      </c>
      <c r="AJ13" s="16">
        <v>0.73541666666666661</v>
      </c>
      <c r="AK13" s="15">
        <v>0.34930555555555554</v>
      </c>
      <c r="AL13" s="15">
        <v>0.86805555555555547</v>
      </c>
      <c r="AM13" s="15">
        <v>0.34791666666666665</v>
      </c>
      <c r="AN13" s="15">
        <v>0.8027777777777777</v>
      </c>
      <c r="AO13" s="15"/>
      <c r="AP13" s="15"/>
      <c r="AQ13" s="14"/>
      <c r="AR13" s="14"/>
      <c r="AS13" s="15">
        <v>0.34791666666666665</v>
      </c>
      <c r="AT13" s="15">
        <v>0.84166666666666667</v>
      </c>
      <c r="AU13" s="16">
        <v>0.34722222222222227</v>
      </c>
      <c r="AV13" s="16">
        <v>0.83194444444444438</v>
      </c>
      <c r="AW13" s="16">
        <v>0.34722222222222227</v>
      </c>
      <c r="AX13" s="16">
        <v>0.83888888888888891</v>
      </c>
      <c r="AY13" s="15">
        <v>0.34722222222222227</v>
      </c>
      <c r="AZ13" s="15">
        <v>0.88124999999999998</v>
      </c>
      <c r="BA13" s="15">
        <v>0.36944444444444446</v>
      </c>
      <c r="BB13" s="15">
        <v>0.73472222222222217</v>
      </c>
      <c r="BC13" s="16"/>
      <c r="BD13" s="16"/>
      <c r="BE13" s="14"/>
      <c r="BF13" s="14"/>
      <c r="BG13" s="16">
        <v>0.36944444444444446</v>
      </c>
      <c r="BH13" s="16">
        <v>0.84097222222222223</v>
      </c>
      <c r="BI13" s="16">
        <v>0.34791666666666665</v>
      </c>
      <c r="BJ13" s="16">
        <v>0.74513888888888891</v>
      </c>
      <c r="BK13" s="16">
        <v>0.36944444444444446</v>
      </c>
      <c r="BL13" s="15">
        <v>0.88124999999999998</v>
      </c>
    </row>
    <row r="14" spans="1:64" ht="30" customHeight="1" x14ac:dyDescent="0.25">
      <c r="A14" s="24">
        <v>10</v>
      </c>
      <c r="B14" s="19" t="str">
        <f>員工基本資料!B11&amp;員工基本資料!C11</f>
        <v>黃于齡</v>
      </c>
      <c r="C14" s="15">
        <v>0.33749999999999997</v>
      </c>
      <c r="D14" s="15">
        <v>0.73333333333333339</v>
      </c>
      <c r="E14" s="15">
        <v>0.33749999999999997</v>
      </c>
      <c r="F14" s="15">
        <v>0.73333333333333339</v>
      </c>
      <c r="G14" s="15">
        <v>0.35972222222222222</v>
      </c>
      <c r="H14" s="15">
        <v>0.73472222222222217</v>
      </c>
      <c r="I14" s="15">
        <v>0.35972222222222222</v>
      </c>
      <c r="J14" s="15">
        <v>0.74375000000000002</v>
      </c>
      <c r="K14" s="16">
        <v>0.33958333333333335</v>
      </c>
      <c r="L14" s="16">
        <v>0.74722222222222223</v>
      </c>
      <c r="M14" s="15"/>
      <c r="N14" s="15"/>
      <c r="O14" s="14"/>
      <c r="P14" s="14"/>
      <c r="Q14" s="15">
        <v>0.36736111111111108</v>
      </c>
      <c r="R14" s="15">
        <v>0.73541666666666661</v>
      </c>
      <c r="S14" s="16">
        <v>0.35972222222222222</v>
      </c>
      <c r="T14" s="16">
        <v>0.73333333333333339</v>
      </c>
      <c r="U14" s="16">
        <v>0.34166666666666662</v>
      </c>
      <c r="V14" s="16">
        <v>0.83472222222222225</v>
      </c>
      <c r="W14" s="15">
        <v>0.34166666666666662</v>
      </c>
      <c r="X14" s="15">
        <v>0.73333333333333339</v>
      </c>
      <c r="Y14" s="15"/>
      <c r="Z14" s="15"/>
      <c r="AA14" s="15"/>
      <c r="AB14" s="15"/>
      <c r="AC14" s="14"/>
      <c r="AD14" s="14"/>
      <c r="AE14" s="15">
        <v>0.35972222222222222</v>
      </c>
      <c r="AF14" s="15">
        <v>0.73541666666666661</v>
      </c>
      <c r="AG14" s="16">
        <v>0.34652777777777777</v>
      </c>
      <c r="AH14" s="16">
        <v>0.73472222222222217</v>
      </c>
      <c r="AI14" s="16"/>
      <c r="AJ14" s="16"/>
      <c r="AK14" s="15">
        <v>0.34652777777777777</v>
      </c>
      <c r="AL14" s="15">
        <v>0.73541666666666661</v>
      </c>
      <c r="AM14" s="15">
        <v>0.34722222222222227</v>
      </c>
      <c r="AN14" s="15">
        <v>0.73541666666666661</v>
      </c>
      <c r="AO14" s="15"/>
      <c r="AP14" s="15"/>
      <c r="AQ14" s="14"/>
      <c r="AR14" s="14"/>
      <c r="AS14" s="15">
        <v>0.35833333333333334</v>
      </c>
      <c r="AT14" s="15">
        <v>0.74513888888888891</v>
      </c>
      <c r="AU14" s="16">
        <v>0.35972222222222222</v>
      </c>
      <c r="AV14" s="16">
        <v>0.74513888888888891</v>
      </c>
      <c r="AW14" s="16">
        <v>0.34166666666666662</v>
      </c>
      <c r="AX14" s="16">
        <v>0.74236111111111114</v>
      </c>
      <c r="AY14" s="15">
        <v>0.36736111111111108</v>
      </c>
      <c r="AZ14" s="15">
        <v>0.88124999999999998</v>
      </c>
      <c r="BA14" s="15">
        <v>0.35972222222222222</v>
      </c>
      <c r="BB14" s="15">
        <v>0.73472222222222217</v>
      </c>
      <c r="BC14" s="16"/>
      <c r="BD14" s="16"/>
      <c r="BE14" s="14"/>
      <c r="BF14" s="14"/>
      <c r="BG14" s="16">
        <v>0.34097222222222223</v>
      </c>
      <c r="BH14" s="16">
        <v>0.81597222222222221</v>
      </c>
      <c r="BI14" s="16">
        <v>0.33888888888888885</v>
      </c>
      <c r="BJ14" s="16">
        <v>0.74583333333333324</v>
      </c>
      <c r="BK14" s="16">
        <v>0.34652777777777777</v>
      </c>
      <c r="BL14" s="15">
        <v>0.88124999999999998</v>
      </c>
    </row>
    <row r="15" spans="1:64" ht="30" customHeight="1" x14ac:dyDescent="0.25">
      <c r="A15" s="24">
        <v>11</v>
      </c>
      <c r="B15" s="19" t="str">
        <f>員工基本資料!B12&amp;員工基本資料!C12</f>
        <v>余思嫻</v>
      </c>
      <c r="C15" s="15">
        <v>0.35138888888888892</v>
      </c>
      <c r="D15" s="15">
        <v>0.73541666666666661</v>
      </c>
      <c r="E15" s="15">
        <v>0.35138888888888892</v>
      </c>
      <c r="F15" s="15">
        <v>0.73541666666666661</v>
      </c>
      <c r="G15" s="15">
        <v>0.3527777777777778</v>
      </c>
      <c r="H15" s="15">
        <v>0.7583333333333333</v>
      </c>
      <c r="I15" s="15">
        <v>0.34722222222222227</v>
      </c>
      <c r="J15" s="15">
        <v>0.74097222222222225</v>
      </c>
      <c r="K15" s="16">
        <v>0.36944444444444446</v>
      </c>
      <c r="L15" s="16">
        <v>0.88611111111111107</v>
      </c>
      <c r="M15" s="15"/>
      <c r="N15" s="15"/>
      <c r="O15" s="14"/>
      <c r="P15" s="14"/>
      <c r="Q15" s="15">
        <v>0.34930555555555554</v>
      </c>
      <c r="R15" s="15">
        <v>0.73472222222222217</v>
      </c>
      <c r="S15" s="16">
        <v>0.35069444444444442</v>
      </c>
      <c r="T15" s="16">
        <v>0.7583333333333333</v>
      </c>
      <c r="U15" s="16">
        <v>0.35138888888888892</v>
      </c>
      <c r="V15" s="16">
        <v>0.78819444444444453</v>
      </c>
      <c r="W15" s="15">
        <v>0.3527777777777778</v>
      </c>
      <c r="X15" s="15">
        <v>0.74375000000000002</v>
      </c>
      <c r="Y15" s="15">
        <v>0.35138888888888892</v>
      </c>
      <c r="Z15" s="15">
        <v>0.73333333333333339</v>
      </c>
      <c r="AA15" s="15"/>
      <c r="AB15" s="15"/>
      <c r="AC15" s="14"/>
      <c r="AD15" s="14"/>
      <c r="AE15" s="15">
        <v>0.35138888888888892</v>
      </c>
      <c r="AF15" s="15">
        <v>0.73888888888888893</v>
      </c>
      <c r="AG15" s="16">
        <v>0.35138888888888892</v>
      </c>
      <c r="AH15" s="16">
        <v>0.82777777777777783</v>
      </c>
      <c r="AI15" s="16">
        <v>0.34930555555555554</v>
      </c>
      <c r="AJ15" s="16">
        <v>0.77847222222222223</v>
      </c>
      <c r="AK15" s="15">
        <v>0.35000000000000003</v>
      </c>
      <c r="AL15" s="15">
        <v>0.73888888888888893</v>
      </c>
      <c r="AM15" s="15">
        <v>0.35069444444444442</v>
      </c>
      <c r="AN15" s="15">
        <v>0.73541666666666661</v>
      </c>
      <c r="AO15" s="15"/>
      <c r="AP15" s="15"/>
      <c r="AQ15" s="14"/>
      <c r="AR15" s="14"/>
      <c r="AS15" s="15">
        <v>0.35000000000000003</v>
      </c>
      <c r="AT15" s="15">
        <v>0.85624999999999996</v>
      </c>
      <c r="AU15" s="16">
        <v>0.3527777777777778</v>
      </c>
      <c r="AV15" s="16">
        <v>0.7402777777777777</v>
      </c>
      <c r="AW15" s="16">
        <v>0.35416666666666669</v>
      </c>
      <c r="AX15" s="16">
        <v>0.73472222222222217</v>
      </c>
      <c r="AY15" s="15">
        <v>0.3527777777777778</v>
      </c>
      <c r="AZ15" s="15">
        <v>0.77847222222222223</v>
      </c>
      <c r="BA15" s="15"/>
      <c r="BB15" s="15"/>
      <c r="BC15" s="16"/>
      <c r="BD15" s="16"/>
      <c r="BE15" s="14"/>
      <c r="BF15" s="14"/>
      <c r="BG15" s="16">
        <v>0.34652777777777777</v>
      </c>
      <c r="BH15" s="16">
        <v>0.73472222222222217</v>
      </c>
      <c r="BI15" s="16">
        <v>0.36944444444444446</v>
      </c>
      <c r="BJ15" s="16">
        <v>0.7416666666666667</v>
      </c>
      <c r="BK15" s="16">
        <v>0.35138888888888892</v>
      </c>
      <c r="BL15" s="15">
        <v>0.77847222222222223</v>
      </c>
    </row>
    <row r="16" spans="1:64" ht="30" customHeight="1" x14ac:dyDescent="0.25">
      <c r="A16" s="24">
        <v>12</v>
      </c>
      <c r="B16" s="19" t="str">
        <f>員工基本資料!B13&amp;員工基本資料!C13</f>
        <v>鄭及梁</v>
      </c>
      <c r="C16" s="15">
        <v>0.35000000000000003</v>
      </c>
      <c r="D16" s="15">
        <v>0.73819444444444438</v>
      </c>
      <c r="E16" s="15">
        <v>0.35000000000000003</v>
      </c>
      <c r="F16" s="15">
        <v>0.73819444444444438</v>
      </c>
      <c r="G16" s="15">
        <v>0.3527777777777778</v>
      </c>
      <c r="H16" s="15">
        <v>0.7583333333333333</v>
      </c>
      <c r="I16" s="15">
        <v>0.35347222222222219</v>
      </c>
      <c r="J16" s="15">
        <v>0.77847222222222223</v>
      </c>
      <c r="K16" s="16">
        <v>0.3527777777777778</v>
      </c>
      <c r="L16" s="16">
        <v>0.81319444444444444</v>
      </c>
      <c r="M16" s="15"/>
      <c r="N16" s="15"/>
      <c r="O16" s="14"/>
      <c r="P16" s="14"/>
      <c r="Q16" s="15">
        <v>0.3527777777777778</v>
      </c>
      <c r="R16" s="15">
        <v>0.73333333333333339</v>
      </c>
      <c r="S16" s="16">
        <v>0.3527777777777778</v>
      </c>
      <c r="T16" s="16">
        <v>0.73472222222222217</v>
      </c>
      <c r="U16" s="16">
        <v>0.3527777777777778</v>
      </c>
      <c r="V16" s="16">
        <v>0.73263888888888884</v>
      </c>
      <c r="W16" s="15">
        <v>0.35000000000000003</v>
      </c>
      <c r="X16" s="15">
        <v>0.73472222222222217</v>
      </c>
      <c r="Y16" s="15"/>
      <c r="Z16" s="15"/>
      <c r="AA16" s="15"/>
      <c r="AB16" s="15"/>
      <c r="AC16" s="14"/>
      <c r="AD16" s="14"/>
      <c r="AE16" s="15">
        <v>0.35555555555555557</v>
      </c>
      <c r="AF16" s="15">
        <v>0.74652777777777779</v>
      </c>
      <c r="AG16" s="16">
        <v>0.3527777777777778</v>
      </c>
      <c r="AH16" s="16">
        <v>0.77847222222222223</v>
      </c>
      <c r="AI16" s="16">
        <v>0.3527777777777778</v>
      </c>
      <c r="AJ16" s="16">
        <v>0.73333333333333339</v>
      </c>
      <c r="AK16" s="15">
        <v>0.3527777777777778</v>
      </c>
      <c r="AL16" s="15">
        <v>0.74652777777777779</v>
      </c>
      <c r="AM16" s="15">
        <v>0.3527777777777778</v>
      </c>
      <c r="AN16" s="15">
        <v>0.73888888888888893</v>
      </c>
      <c r="AO16" s="15"/>
      <c r="AP16" s="15"/>
      <c r="AQ16" s="14"/>
      <c r="AR16" s="14"/>
      <c r="AS16" s="15">
        <v>0.35138888888888892</v>
      </c>
      <c r="AT16" s="15">
        <v>0.73888888888888893</v>
      </c>
      <c r="AU16" s="16">
        <v>0.35138888888888892</v>
      </c>
      <c r="AV16" s="16">
        <v>0.74652777777777779</v>
      </c>
      <c r="AW16" s="16">
        <v>0.35138888888888892</v>
      </c>
      <c r="AX16" s="16">
        <v>0.73541666666666661</v>
      </c>
      <c r="AY16" s="15">
        <v>0.3527777777777778</v>
      </c>
      <c r="AZ16" s="15">
        <v>0.73333333333333339</v>
      </c>
      <c r="BA16" s="15">
        <v>0.35138888888888892</v>
      </c>
      <c r="BB16" s="15">
        <v>0.77847222222222223</v>
      </c>
      <c r="BC16" s="16"/>
      <c r="BD16" s="16"/>
      <c r="BE16" s="14"/>
      <c r="BF16" s="14"/>
      <c r="BG16" s="16">
        <v>0.3527777777777778</v>
      </c>
      <c r="BH16" s="16">
        <v>0.74652777777777779</v>
      </c>
      <c r="BI16" s="16">
        <v>0.3527777777777778</v>
      </c>
      <c r="BJ16" s="16">
        <v>0.73472222222222217</v>
      </c>
      <c r="BK16" s="16">
        <v>0.3527777777777778</v>
      </c>
      <c r="BL16" s="15">
        <v>0.73333333333333339</v>
      </c>
    </row>
    <row r="17" spans="1:65" ht="30" customHeight="1" x14ac:dyDescent="0.25">
      <c r="A17" s="24">
        <v>13</v>
      </c>
      <c r="B17" s="19" t="str">
        <f>員工基本資料!B14&amp;員工基本資料!C14</f>
        <v>許敬中</v>
      </c>
      <c r="C17" s="15">
        <v>0.36944444444444446</v>
      </c>
      <c r="D17" s="15">
        <v>0.8652777777777777</v>
      </c>
      <c r="E17" s="15">
        <v>0.36944444444444446</v>
      </c>
      <c r="F17" s="15">
        <v>0.8652777777777777</v>
      </c>
      <c r="G17" s="15">
        <v>0.33611111111111108</v>
      </c>
      <c r="H17" s="15">
        <v>0.86736111111111114</v>
      </c>
      <c r="I17" s="15">
        <v>0.35347222222222219</v>
      </c>
      <c r="J17" s="15">
        <v>0.8666666666666667</v>
      </c>
      <c r="K17" s="16">
        <v>0.33958333333333335</v>
      </c>
      <c r="L17" s="16">
        <v>0.85555555555555562</v>
      </c>
      <c r="M17" s="15"/>
      <c r="N17" s="15"/>
      <c r="O17" s="14"/>
      <c r="P17" s="14"/>
      <c r="Q17" s="15">
        <v>0.35833333333333334</v>
      </c>
      <c r="R17" s="15">
        <v>0.86805555555555547</v>
      </c>
      <c r="S17" s="16">
        <v>0.37152777777777773</v>
      </c>
      <c r="T17" s="16">
        <v>0.86597222222222225</v>
      </c>
      <c r="U17" s="16">
        <v>0.35069444444444442</v>
      </c>
      <c r="V17" s="16">
        <v>0.8652777777777777</v>
      </c>
      <c r="W17" s="15">
        <v>0.34930555555555554</v>
      </c>
      <c r="X17" s="15">
        <v>0.86736111111111114</v>
      </c>
      <c r="Y17" s="15">
        <v>0.3527777777777778</v>
      </c>
      <c r="Z17" s="15">
        <v>0.86388888888888893</v>
      </c>
      <c r="AA17" s="15"/>
      <c r="AB17" s="15"/>
      <c r="AC17" s="14"/>
      <c r="AD17" s="14"/>
      <c r="AE17" s="15">
        <v>0.3527777777777778</v>
      </c>
      <c r="AF17" s="15">
        <v>0.8652777777777777</v>
      </c>
      <c r="AG17" s="16">
        <v>0.34236111111111112</v>
      </c>
      <c r="AH17" s="16">
        <v>0.7631944444444444</v>
      </c>
      <c r="AI17" s="16">
        <v>0.3527777777777778</v>
      </c>
      <c r="AJ17" s="16">
        <v>0.75347222222222221</v>
      </c>
      <c r="AK17" s="15">
        <v>0.3527777777777778</v>
      </c>
      <c r="AL17" s="15">
        <v>0.875</v>
      </c>
      <c r="AM17" s="15">
        <v>0.35069444444444442</v>
      </c>
      <c r="AN17" s="15">
        <v>0.86458333333333337</v>
      </c>
      <c r="AO17" s="15"/>
      <c r="AP17" s="15"/>
      <c r="AQ17" s="14"/>
      <c r="AR17" s="14"/>
      <c r="AS17" s="15">
        <v>0.3527777777777778</v>
      </c>
      <c r="AT17" s="15">
        <v>0.89166666666666661</v>
      </c>
      <c r="AU17" s="16">
        <v>0.35555555555555557</v>
      </c>
      <c r="AV17" s="16">
        <v>0.86805555555555547</v>
      </c>
      <c r="AW17" s="16">
        <v>0.35138888888888892</v>
      </c>
      <c r="AX17" s="16">
        <v>0.8569444444444444</v>
      </c>
      <c r="AY17" s="15">
        <v>0.36527777777777781</v>
      </c>
      <c r="AZ17" s="15">
        <v>0.74652777777777779</v>
      </c>
      <c r="BA17" s="15"/>
      <c r="BB17" s="15"/>
      <c r="BC17" s="16"/>
      <c r="BD17" s="16"/>
      <c r="BE17" s="14"/>
      <c r="BF17" s="14"/>
      <c r="BG17" s="16">
        <v>0.33680555555555558</v>
      </c>
      <c r="BH17" s="16">
        <v>0.75416666666666676</v>
      </c>
      <c r="BI17" s="16">
        <v>0.28888888888888892</v>
      </c>
      <c r="BJ17" s="16">
        <v>0.8618055555555556</v>
      </c>
      <c r="BK17" s="16">
        <v>0.34236111111111112</v>
      </c>
      <c r="BL17" s="15">
        <v>0.74652777777777779</v>
      </c>
    </row>
    <row r="18" spans="1:65" ht="30" customHeight="1" x14ac:dyDescent="0.25">
      <c r="A18" s="24">
        <v>14</v>
      </c>
      <c r="B18" s="19" t="str">
        <f>員工基本資料!B15&amp;員工基本資料!C15</f>
        <v>李淑芬</v>
      </c>
      <c r="C18" s="15">
        <v>0.35000000000000003</v>
      </c>
      <c r="D18" s="15">
        <v>0.72986111111111107</v>
      </c>
      <c r="E18" s="15">
        <v>0.35000000000000003</v>
      </c>
      <c r="F18" s="15">
        <v>0.72986111111111107</v>
      </c>
      <c r="G18" s="15">
        <v>0.3527777777777778</v>
      </c>
      <c r="H18" s="15">
        <v>0.875</v>
      </c>
      <c r="I18" s="15">
        <v>0.35347222222222219</v>
      </c>
      <c r="J18" s="15">
        <v>0.73888888888888893</v>
      </c>
      <c r="K18" s="16">
        <v>0.3527777777777778</v>
      </c>
      <c r="L18" s="16">
        <v>0.87916666666666676</v>
      </c>
      <c r="M18" s="15"/>
      <c r="N18" s="15"/>
      <c r="O18" s="14"/>
      <c r="P18" s="14"/>
      <c r="Q18" s="15">
        <v>0.3527777777777778</v>
      </c>
      <c r="R18" s="15">
        <v>0.76597222222222217</v>
      </c>
      <c r="S18" s="16">
        <v>0.35416666666666669</v>
      </c>
      <c r="T18" s="16">
        <v>0.7583333333333333</v>
      </c>
      <c r="U18" s="16">
        <v>0.35138888888888892</v>
      </c>
      <c r="V18" s="16">
        <v>0.83333333333333337</v>
      </c>
      <c r="W18" s="15">
        <v>0.35000000000000003</v>
      </c>
      <c r="X18" s="15">
        <v>0.7416666666666667</v>
      </c>
      <c r="Y18" s="15"/>
      <c r="Z18" s="15"/>
      <c r="AA18" s="15"/>
      <c r="AB18" s="15"/>
      <c r="AC18" s="14"/>
      <c r="AD18" s="14"/>
      <c r="AE18" s="15">
        <v>0.35555555555555557</v>
      </c>
      <c r="AF18" s="15">
        <v>0.73888888888888893</v>
      </c>
      <c r="AG18" s="16">
        <v>0.39444444444444443</v>
      </c>
      <c r="AH18" s="16">
        <v>0.73819444444444438</v>
      </c>
      <c r="AI18" s="16">
        <v>0.3527777777777778</v>
      </c>
      <c r="AJ18" s="16">
        <v>0.74652777777777779</v>
      </c>
      <c r="AK18" s="15">
        <v>0.3527777777777778</v>
      </c>
      <c r="AL18" s="15">
        <v>0.73888888888888893</v>
      </c>
      <c r="AM18" s="15">
        <v>0.35138888888888892</v>
      </c>
      <c r="AN18" s="15">
        <v>0.73819444444444438</v>
      </c>
      <c r="AO18" s="15"/>
      <c r="AP18" s="15"/>
      <c r="AQ18" s="14"/>
      <c r="AR18" s="14"/>
      <c r="AS18" s="15">
        <v>0.35069444444444442</v>
      </c>
      <c r="AT18" s="15">
        <v>0.73819444444444438</v>
      </c>
      <c r="AU18" s="16">
        <v>0.35138888888888892</v>
      </c>
      <c r="AV18" s="16">
        <v>0.87986111111111109</v>
      </c>
      <c r="AW18" s="16">
        <v>0.35138888888888892</v>
      </c>
      <c r="AX18" s="16">
        <v>0.73541666666666661</v>
      </c>
      <c r="AY18" s="15">
        <v>0.35138888888888892</v>
      </c>
      <c r="AZ18" s="15">
        <v>0.77847222222222223</v>
      </c>
      <c r="BA18" s="15">
        <v>0.35138888888888892</v>
      </c>
      <c r="BB18" s="15">
        <v>0.7583333333333333</v>
      </c>
      <c r="BC18" s="16"/>
      <c r="BD18" s="16"/>
      <c r="BE18" s="14"/>
      <c r="BF18" s="14"/>
      <c r="BG18" s="16">
        <v>0.35138888888888892</v>
      </c>
      <c r="BH18" s="16">
        <v>0.73333333333333339</v>
      </c>
      <c r="BI18" s="16">
        <v>0.3527777777777778</v>
      </c>
      <c r="BJ18" s="16">
        <v>0.7402777777777777</v>
      </c>
      <c r="BK18" s="16">
        <v>0.39444444444444443</v>
      </c>
      <c r="BL18" s="15">
        <v>0.77847222222222223</v>
      </c>
    </row>
    <row r="19" spans="1:65" ht="30" customHeight="1" x14ac:dyDescent="0.25">
      <c r="A19" s="24">
        <v>15</v>
      </c>
      <c r="B19" s="19" t="str">
        <f>員工基本資料!B16&amp;員工基本資料!C16</f>
        <v>林繼燁</v>
      </c>
      <c r="C19" s="15">
        <v>0.35069444444444442</v>
      </c>
      <c r="D19" s="15">
        <v>0.76111111111111107</v>
      </c>
      <c r="E19" s="15">
        <v>0.35069444444444442</v>
      </c>
      <c r="F19" s="15">
        <v>0.76111111111111107</v>
      </c>
      <c r="G19" s="15">
        <v>0.3527777777777778</v>
      </c>
      <c r="H19" s="15">
        <v>0.77847222222222223</v>
      </c>
      <c r="I19" s="15">
        <v>0.35347222222222219</v>
      </c>
      <c r="J19" s="15">
        <v>0.87708333333333333</v>
      </c>
      <c r="K19" s="16">
        <v>0.3527777777777778</v>
      </c>
      <c r="L19" s="16">
        <v>0.73402777777777783</v>
      </c>
      <c r="M19" s="15"/>
      <c r="N19" s="15"/>
      <c r="O19" s="14"/>
      <c r="P19" s="14"/>
      <c r="Q19" s="15">
        <v>0.3527777777777778</v>
      </c>
      <c r="R19" s="15">
        <v>0.73541666666666661</v>
      </c>
      <c r="S19" s="16">
        <v>0.3527777777777778</v>
      </c>
      <c r="T19" s="16">
        <v>0.875</v>
      </c>
      <c r="U19" s="16">
        <v>0.3527777777777778</v>
      </c>
      <c r="V19" s="16">
        <v>0.73402777777777783</v>
      </c>
      <c r="W19" s="15">
        <v>0.35069444444444442</v>
      </c>
      <c r="X19" s="15">
        <v>0.77847222222222223</v>
      </c>
      <c r="Y19" s="15">
        <v>0.35000000000000003</v>
      </c>
      <c r="Z19" s="15">
        <v>0.73333333333333339</v>
      </c>
      <c r="AA19" s="15"/>
      <c r="AB19" s="15"/>
      <c r="AC19" s="14"/>
      <c r="AD19" s="14"/>
      <c r="AE19" s="15">
        <v>0.35555555555555557</v>
      </c>
      <c r="AF19" s="15">
        <v>0.77847222222222223</v>
      </c>
      <c r="AG19" s="16">
        <v>0.3527777777777778</v>
      </c>
      <c r="AH19" s="16">
        <v>0.73402777777777783</v>
      </c>
      <c r="AI19" s="16">
        <v>0.3527777777777778</v>
      </c>
      <c r="AJ19" s="16">
        <v>0.74513888888888891</v>
      </c>
      <c r="AK19" s="15">
        <v>0.35347222222222219</v>
      </c>
      <c r="AL19" s="15">
        <v>0.77847222222222223</v>
      </c>
      <c r="AM19" s="15">
        <v>0.35138888888888892</v>
      </c>
      <c r="AN19" s="15">
        <v>0.74652777777777779</v>
      </c>
      <c r="AO19" s="15"/>
      <c r="AP19" s="15"/>
      <c r="AQ19" s="14"/>
      <c r="AR19" s="14"/>
      <c r="AS19" s="15">
        <v>0.35138888888888892</v>
      </c>
      <c r="AT19" s="15">
        <v>0.72916666666666663</v>
      </c>
      <c r="AU19" s="16">
        <v>0.35416666666666669</v>
      </c>
      <c r="AV19" s="16">
        <v>0.73263888888888884</v>
      </c>
      <c r="AW19" s="16">
        <v>0.35138888888888892</v>
      </c>
      <c r="AX19" s="16">
        <v>0.77847222222222223</v>
      </c>
      <c r="AY19" s="15">
        <v>0.3527777777777778</v>
      </c>
      <c r="AZ19" s="15">
        <v>0.7583333333333333</v>
      </c>
      <c r="BA19" s="15">
        <v>0.3527777777777778</v>
      </c>
      <c r="BB19" s="15">
        <v>0.73472222222222217</v>
      </c>
      <c r="BC19" s="16"/>
      <c r="BD19" s="16"/>
      <c r="BE19" s="14"/>
      <c r="BF19" s="14"/>
      <c r="BG19" s="16">
        <v>0.35138888888888892</v>
      </c>
      <c r="BH19" s="16">
        <v>0.73263888888888884</v>
      </c>
      <c r="BI19" s="16">
        <v>0.35069444444444442</v>
      </c>
      <c r="BJ19" s="16">
        <v>0.73472222222222217</v>
      </c>
      <c r="BK19" s="16">
        <v>0.3527777777777778</v>
      </c>
      <c r="BL19" s="15">
        <v>0.7583333333333333</v>
      </c>
    </row>
    <row r="20" spans="1:65" ht="30" customHeight="1" x14ac:dyDescent="0.25">
      <c r="A20" s="24">
        <v>16</v>
      </c>
      <c r="B20" s="19" t="str">
        <f>員工基本資料!B17&amp;員工基本資料!C17</f>
        <v>王翠侞</v>
      </c>
      <c r="C20" s="15">
        <v>0.35000000000000003</v>
      </c>
      <c r="D20" s="15">
        <v>0.73958333333333337</v>
      </c>
      <c r="E20" s="16">
        <v>0.34930555555555554</v>
      </c>
      <c r="F20" s="16">
        <v>0.7416666666666667</v>
      </c>
      <c r="G20" s="16">
        <v>0.34930555555555554</v>
      </c>
      <c r="H20" s="16">
        <v>0.8569444444444444</v>
      </c>
      <c r="I20" s="15">
        <v>0.34791666666666665</v>
      </c>
      <c r="J20" s="15">
        <v>0.73958333333333337</v>
      </c>
      <c r="K20" s="15">
        <v>0.35000000000000003</v>
      </c>
      <c r="L20" s="15">
        <v>0.7583333333333333</v>
      </c>
      <c r="M20" s="15"/>
      <c r="N20" s="15"/>
      <c r="O20" s="14"/>
      <c r="P20" s="14"/>
      <c r="Q20" s="15">
        <v>0.35069444444444442</v>
      </c>
      <c r="R20" s="15">
        <v>0.73472222222222217</v>
      </c>
      <c r="S20" s="16">
        <v>0.35000000000000003</v>
      </c>
      <c r="T20" s="16">
        <v>0.71597222222222223</v>
      </c>
      <c r="U20" s="16"/>
      <c r="V20" s="16"/>
      <c r="W20" s="15"/>
      <c r="X20" s="15"/>
      <c r="Y20" s="15"/>
      <c r="Z20" s="15"/>
      <c r="AA20" s="15"/>
      <c r="AB20" s="15"/>
      <c r="AC20" s="15"/>
      <c r="AD20" s="15"/>
      <c r="AE20" s="15">
        <v>0.35347222222222219</v>
      </c>
      <c r="AF20" s="15">
        <v>0.73541666666666661</v>
      </c>
      <c r="AG20" s="16">
        <v>0.35972222222222222</v>
      </c>
      <c r="AH20" s="16">
        <v>0.73472222222222217</v>
      </c>
      <c r="AI20" s="16"/>
      <c r="AJ20" s="16"/>
      <c r="AK20" s="15">
        <v>0.35347222222222219</v>
      </c>
      <c r="AL20" s="15">
        <v>0.73472222222222217</v>
      </c>
      <c r="AM20" s="15">
        <v>0.35486111111111113</v>
      </c>
      <c r="AN20" s="15">
        <v>0.72916666666666663</v>
      </c>
      <c r="AO20" s="15"/>
      <c r="AP20" s="15"/>
      <c r="AQ20" s="15"/>
      <c r="AR20" s="15"/>
      <c r="AS20" s="15">
        <v>0.36736111111111108</v>
      </c>
      <c r="AT20" s="15">
        <v>0.73541666666666661</v>
      </c>
      <c r="AU20" s="16">
        <v>0.35972222222222222</v>
      </c>
      <c r="AV20" s="16">
        <v>0.73333333333333339</v>
      </c>
      <c r="AW20" s="16">
        <v>0.34166666666666662</v>
      </c>
      <c r="AX20" s="16">
        <v>0.83472222222222225</v>
      </c>
      <c r="AY20" s="15">
        <v>0.34166666666666662</v>
      </c>
      <c r="AZ20" s="15">
        <v>0.73333333333333339</v>
      </c>
      <c r="BA20" s="15"/>
      <c r="BB20" s="15"/>
      <c r="BC20" s="15"/>
      <c r="BD20" s="15"/>
      <c r="BE20" s="14"/>
      <c r="BF20" s="14"/>
      <c r="BG20" s="16">
        <v>0.35069444444444442</v>
      </c>
      <c r="BH20" s="16">
        <v>0.73263888888888884</v>
      </c>
      <c r="BI20" s="16">
        <v>0.3527777777777778</v>
      </c>
      <c r="BJ20" s="16">
        <v>0.73055555555555562</v>
      </c>
      <c r="BK20" s="16">
        <v>0.35972222222222222</v>
      </c>
      <c r="BL20" s="15">
        <v>0.73333333333333339</v>
      </c>
    </row>
    <row r="21" spans="1:65" ht="30" customHeight="1" x14ac:dyDescent="0.25">
      <c r="A21" s="24">
        <v>17</v>
      </c>
      <c r="B21" s="19" t="str">
        <f>員工基本資料!B18&amp;員工基本資料!C18</f>
        <v>張芳榕</v>
      </c>
      <c r="C21" s="15">
        <v>0.35486111111111113</v>
      </c>
      <c r="D21" s="15">
        <v>0.8256944444444444</v>
      </c>
      <c r="E21" s="16">
        <v>0.35625000000000001</v>
      </c>
      <c r="F21" s="16">
        <v>0.8256944444444444</v>
      </c>
      <c r="G21" s="16">
        <v>0.3527777777777778</v>
      </c>
      <c r="H21" s="16">
        <v>0.83750000000000002</v>
      </c>
      <c r="I21" s="15">
        <v>0.35625000000000001</v>
      </c>
      <c r="J21" s="15">
        <v>0.84513888888888899</v>
      </c>
      <c r="K21" s="15">
        <v>0.35416666666666669</v>
      </c>
      <c r="L21" s="15">
        <v>0.72916666666666663</v>
      </c>
      <c r="M21" s="15"/>
      <c r="N21" s="15"/>
      <c r="O21" s="14"/>
      <c r="P21" s="14"/>
      <c r="Q21" s="15">
        <v>0.36736111111111108</v>
      </c>
      <c r="R21" s="15">
        <v>0.72569444444444453</v>
      </c>
      <c r="S21" s="15">
        <v>0.36874999999999997</v>
      </c>
      <c r="T21" s="15">
        <v>0.92500000000000004</v>
      </c>
      <c r="U21" s="16">
        <v>0.35486111111111113</v>
      </c>
      <c r="V21" s="16">
        <v>0.73888888888888893</v>
      </c>
      <c r="W21" s="16">
        <v>0.35416666666666669</v>
      </c>
      <c r="X21" s="16">
        <v>0.8652777777777777</v>
      </c>
      <c r="Y21" s="15">
        <v>0.35972222222222222</v>
      </c>
      <c r="Z21" s="15">
        <v>0.73888888888888893</v>
      </c>
      <c r="AA21" s="15"/>
      <c r="AB21" s="15"/>
      <c r="AC21" s="14"/>
      <c r="AD21" s="14"/>
      <c r="AE21" s="15">
        <v>0.3611111111111111</v>
      </c>
      <c r="AF21" s="15">
        <v>0.84097222222222223</v>
      </c>
      <c r="AG21" s="16">
        <v>0.35833333333333334</v>
      </c>
      <c r="AH21" s="16">
        <v>0.84444444444444444</v>
      </c>
      <c r="AI21" s="16">
        <v>0.35833333333333334</v>
      </c>
      <c r="AJ21" s="16">
        <v>0.73541666666666661</v>
      </c>
      <c r="AK21" s="15">
        <v>0.3430555555555555</v>
      </c>
      <c r="AL21" s="15">
        <v>0.8305555555555556</v>
      </c>
      <c r="AM21" s="15">
        <v>0.33888888888888885</v>
      </c>
      <c r="AN21" s="15">
        <v>0.74513888888888891</v>
      </c>
      <c r="AO21" s="14"/>
      <c r="AP21" s="14"/>
      <c r="AQ21" s="14"/>
      <c r="AR21" s="14"/>
      <c r="AS21" s="15">
        <v>0.34930555555555554</v>
      </c>
      <c r="AT21" s="15">
        <v>0.73472222222222217</v>
      </c>
      <c r="AU21" s="16">
        <v>0.35069444444444442</v>
      </c>
      <c r="AV21" s="16">
        <v>0.7583333333333333</v>
      </c>
      <c r="AW21" s="16">
        <v>0.35138888888888892</v>
      </c>
      <c r="AX21" s="16">
        <v>0.78819444444444453</v>
      </c>
      <c r="AY21" s="15">
        <v>0.3527777777777778</v>
      </c>
      <c r="AZ21" s="15">
        <v>0.74375000000000002</v>
      </c>
      <c r="BA21" s="14"/>
      <c r="BB21" s="14"/>
      <c r="BC21" s="15"/>
      <c r="BD21" s="15"/>
      <c r="BE21" s="17"/>
      <c r="BF21" s="17"/>
      <c r="BG21" s="15">
        <v>0.34930555555555554</v>
      </c>
      <c r="BH21" s="15">
        <v>0.73472222222222217</v>
      </c>
      <c r="BI21" s="16">
        <v>0.35069444444444442</v>
      </c>
      <c r="BJ21" s="16">
        <v>0.7583333333333333</v>
      </c>
      <c r="BK21" s="16">
        <v>0.35833333333333334</v>
      </c>
      <c r="BL21" s="15">
        <v>0.74375000000000002</v>
      </c>
    </row>
    <row r="22" spans="1:65" ht="30" customHeight="1" x14ac:dyDescent="0.25">
      <c r="A22" s="24">
        <v>18</v>
      </c>
      <c r="B22" s="19" t="str">
        <f>員工基本資料!B19&amp;員工基本資料!C19</f>
        <v>謝梁志</v>
      </c>
      <c r="C22" s="15">
        <v>0.34791666666666665</v>
      </c>
      <c r="D22" s="15">
        <v>0.84166666666666667</v>
      </c>
      <c r="E22" s="16">
        <v>0.34722222222222227</v>
      </c>
      <c r="F22" s="16">
        <v>0.83194444444444438</v>
      </c>
      <c r="G22" s="16">
        <v>0.34722222222222227</v>
      </c>
      <c r="H22" s="16">
        <v>0.83888888888888891</v>
      </c>
      <c r="I22" s="15">
        <v>0.34722222222222227</v>
      </c>
      <c r="J22" s="15">
        <v>0.88124999999999998</v>
      </c>
      <c r="K22" s="15">
        <v>0.36944444444444446</v>
      </c>
      <c r="L22" s="15">
        <v>0.73472222222222217</v>
      </c>
      <c r="M22" s="15"/>
      <c r="N22" s="15"/>
      <c r="O22" s="14"/>
      <c r="P22" s="14"/>
      <c r="Q22" s="15">
        <v>0.35138888888888892</v>
      </c>
      <c r="R22" s="15">
        <v>0.73958333333333337</v>
      </c>
      <c r="S22" s="15">
        <v>0.34930555555555554</v>
      </c>
      <c r="T22" s="15">
        <v>0.73541666666666661</v>
      </c>
      <c r="U22" s="16">
        <v>0.34722222222222227</v>
      </c>
      <c r="V22" s="16">
        <v>0.73333333333333339</v>
      </c>
      <c r="W22" s="16">
        <v>0.35833333333333334</v>
      </c>
      <c r="X22" s="16">
        <v>0.83333333333333337</v>
      </c>
      <c r="Y22" s="15">
        <v>0.34652777777777777</v>
      </c>
      <c r="Z22" s="15">
        <v>0.73263888888888884</v>
      </c>
      <c r="AA22" s="15"/>
      <c r="AB22" s="15"/>
      <c r="AC22" s="14"/>
      <c r="AD22" s="14"/>
      <c r="AE22" s="15">
        <v>0.35555555555555557</v>
      </c>
      <c r="AF22" s="15">
        <v>0.74513888888888891</v>
      </c>
      <c r="AG22" s="16">
        <v>0.36944444444444446</v>
      </c>
      <c r="AH22" s="16">
        <v>0.74722222222222223</v>
      </c>
      <c r="AI22" s="16">
        <v>0.35625000000000001</v>
      </c>
      <c r="AJ22" s="16">
        <v>0.73333333333333339</v>
      </c>
      <c r="AK22" s="15">
        <v>0.35000000000000003</v>
      </c>
      <c r="AL22" s="15">
        <v>0.74097222222222225</v>
      </c>
      <c r="AM22" s="15">
        <v>0.34930555555555554</v>
      </c>
      <c r="AN22" s="15">
        <v>0.74861111111111101</v>
      </c>
      <c r="AO22" s="14"/>
      <c r="AP22" s="14"/>
      <c r="AQ22" s="14"/>
      <c r="AR22" s="14"/>
      <c r="AS22" s="15">
        <v>0.3527777777777778</v>
      </c>
      <c r="AT22" s="15">
        <v>0.73333333333333339</v>
      </c>
      <c r="AU22" s="16">
        <v>0.3527777777777778</v>
      </c>
      <c r="AV22" s="16">
        <v>0.73472222222222217</v>
      </c>
      <c r="AW22" s="16">
        <v>0.3527777777777778</v>
      </c>
      <c r="AX22" s="16">
        <v>0.73263888888888884</v>
      </c>
      <c r="AY22" s="15">
        <v>0.35000000000000003</v>
      </c>
      <c r="AZ22" s="15">
        <v>0.73472222222222217</v>
      </c>
      <c r="BA22" s="14"/>
      <c r="BB22" s="14"/>
      <c r="BC22" s="15"/>
      <c r="BD22" s="15"/>
      <c r="BE22" s="17"/>
      <c r="BF22" s="17"/>
      <c r="BG22" s="15">
        <v>0.3527777777777778</v>
      </c>
      <c r="BH22" s="15">
        <v>0.73333333333333339</v>
      </c>
      <c r="BI22" s="16">
        <v>0.3527777777777778</v>
      </c>
      <c r="BJ22" s="16">
        <v>0.73472222222222217</v>
      </c>
      <c r="BK22" s="16">
        <v>0.36944444444444446</v>
      </c>
      <c r="BL22" s="15">
        <v>0.73472222222222217</v>
      </c>
    </row>
    <row r="23" spans="1:65" ht="30" customHeight="1" x14ac:dyDescent="0.25">
      <c r="A23" s="24">
        <v>19</v>
      </c>
      <c r="B23" s="19" t="str">
        <f>員工基本資料!B20&amp;員工基本資料!C20</f>
        <v>張洪旭</v>
      </c>
      <c r="C23" s="15">
        <v>0.35833333333333334</v>
      </c>
      <c r="D23" s="15">
        <v>0.74513888888888891</v>
      </c>
      <c r="E23" s="16">
        <v>0.35972222222222222</v>
      </c>
      <c r="F23" s="16">
        <v>0.74513888888888891</v>
      </c>
      <c r="G23" s="16">
        <v>0.34166666666666662</v>
      </c>
      <c r="H23" s="16">
        <v>0.74236111111111114</v>
      </c>
      <c r="I23" s="15">
        <v>0.36736111111111108</v>
      </c>
      <c r="J23" s="15">
        <v>0.88124999999999998</v>
      </c>
      <c r="K23" s="15">
        <v>0.35972222222222222</v>
      </c>
      <c r="L23" s="15">
        <v>0.73472222222222217</v>
      </c>
      <c r="M23" s="15"/>
      <c r="N23" s="15"/>
      <c r="O23" s="14"/>
      <c r="P23" s="14"/>
      <c r="Q23" s="15">
        <v>0.35138888888888892</v>
      </c>
      <c r="R23" s="15">
        <v>0.73402777777777783</v>
      </c>
      <c r="S23" s="15">
        <v>0.3527777777777778</v>
      </c>
      <c r="T23" s="15">
        <v>0.75277777777777777</v>
      </c>
      <c r="U23" s="16">
        <v>0.34722222222222227</v>
      </c>
      <c r="V23" s="16">
        <v>0.76597222222222217</v>
      </c>
      <c r="W23" s="16">
        <v>0.33888888888888885</v>
      </c>
      <c r="X23" s="16">
        <v>0.78263888888888899</v>
      </c>
      <c r="Y23" s="15">
        <v>0.34652777777777777</v>
      </c>
      <c r="Z23" s="15">
        <v>0.74652777777777779</v>
      </c>
      <c r="AA23" s="15"/>
      <c r="AB23" s="15"/>
      <c r="AC23" s="14"/>
      <c r="AD23" s="14"/>
      <c r="AE23" s="15">
        <v>0.27083333333333331</v>
      </c>
      <c r="AF23" s="15">
        <v>0.74513888888888891</v>
      </c>
      <c r="AG23" s="16">
        <v>0.33958333333333335</v>
      </c>
      <c r="AH23" s="16">
        <v>0.72986111111111107</v>
      </c>
      <c r="AI23" s="16">
        <v>0.35486111111111113</v>
      </c>
      <c r="AJ23" s="16">
        <v>0.73333333333333339</v>
      </c>
      <c r="AK23" s="15">
        <v>0.3527777777777778</v>
      </c>
      <c r="AL23" s="15">
        <v>0.73541666666666661</v>
      </c>
      <c r="AM23" s="15"/>
      <c r="AN23" s="15"/>
      <c r="AO23" s="14"/>
      <c r="AP23" s="14"/>
      <c r="AQ23" s="14"/>
      <c r="AR23" s="14"/>
      <c r="AS23" s="15">
        <v>0.35833333333333334</v>
      </c>
      <c r="AT23" s="15">
        <v>0.86805555555555547</v>
      </c>
      <c r="AU23" s="16">
        <v>0.28819444444444448</v>
      </c>
      <c r="AV23" s="16">
        <v>0.86597222222222225</v>
      </c>
      <c r="AW23" s="16">
        <v>0.35069444444444442</v>
      </c>
      <c r="AX23" s="16">
        <v>0.8652777777777777</v>
      </c>
      <c r="AY23" s="15">
        <v>0.34930555555555554</v>
      </c>
      <c r="AZ23" s="15">
        <v>0.86736111111111114</v>
      </c>
      <c r="BA23" s="14"/>
      <c r="BB23" s="14"/>
      <c r="BC23" s="15"/>
      <c r="BD23" s="15"/>
      <c r="BE23" s="17"/>
      <c r="BF23" s="17"/>
      <c r="BG23" s="15">
        <v>0.35833333333333334</v>
      </c>
      <c r="BH23" s="15">
        <v>0.86805555555555547</v>
      </c>
      <c r="BI23" s="16">
        <v>0.28819444444444448</v>
      </c>
      <c r="BJ23" s="16">
        <v>0.86597222222222225</v>
      </c>
      <c r="BK23" s="16">
        <v>0.33958333333333335</v>
      </c>
      <c r="BL23" s="15">
        <v>0.86736111111111114</v>
      </c>
    </row>
    <row r="24" spans="1:65" ht="30" customHeight="1" x14ac:dyDescent="0.25">
      <c r="A24" s="24">
        <v>20</v>
      </c>
      <c r="B24" s="19" t="str">
        <f>員工基本資料!B21&amp;員工基本資料!C21</f>
        <v>徐志祥</v>
      </c>
      <c r="C24" s="15">
        <v>0.35000000000000003</v>
      </c>
      <c r="D24" s="15">
        <v>0.85624999999999996</v>
      </c>
      <c r="E24" s="16">
        <v>0.3527777777777778</v>
      </c>
      <c r="F24" s="16">
        <v>0.7402777777777777</v>
      </c>
      <c r="G24" s="16">
        <v>0.35416666666666669</v>
      </c>
      <c r="H24" s="16">
        <v>0.73472222222222217</v>
      </c>
      <c r="I24" s="15">
        <v>0.3527777777777778</v>
      </c>
      <c r="J24" s="15">
        <v>0.77847222222222223</v>
      </c>
      <c r="K24" s="15"/>
      <c r="L24" s="15"/>
      <c r="M24" s="15"/>
      <c r="N24" s="15"/>
      <c r="O24" s="14"/>
      <c r="P24" s="14"/>
      <c r="Q24" s="15">
        <v>0.35138888888888892</v>
      </c>
      <c r="R24" s="15">
        <v>0.86805555555555547</v>
      </c>
      <c r="S24" s="15">
        <v>0.34236111111111112</v>
      </c>
      <c r="T24" s="15">
        <v>0.77847222222222223</v>
      </c>
      <c r="U24" s="16">
        <v>0.36736111111111108</v>
      </c>
      <c r="V24" s="16">
        <v>0.73472222222222217</v>
      </c>
      <c r="W24" s="16">
        <v>0.3430555555555555</v>
      </c>
      <c r="X24" s="16">
        <v>0.73819444444444438</v>
      </c>
      <c r="Y24" s="15">
        <v>0.35972222222222222</v>
      </c>
      <c r="Z24" s="15">
        <v>0.83125000000000004</v>
      </c>
      <c r="AA24" s="15"/>
      <c r="AB24" s="15"/>
      <c r="AC24" s="14"/>
      <c r="AD24" s="14"/>
      <c r="AE24" s="15">
        <v>0.34652777777777777</v>
      </c>
      <c r="AF24" s="15">
        <v>0.74513888888888891</v>
      </c>
      <c r="AG24" s="16">
        <v>0.35833333333333334</v>
      </c>
      <c r="AH24" s="16">
        <v>0.73263888888888884</v>
      </c>
      <c r="AI24" s="16">
        <v>0.35972222222222222</v>
      </c>
      <c r="AJ24" s="16">
        <v>0.72569444444444453</v>
      </c>
      <c r="AK24" s="15">
        <v>0.3347222222222222</v>
      </c>
      <c r="AL24" s="15">
        <v>0.73333333333333339</v>
      </c>
      <c r="AM24" s="15">
        <v>0.3527777777777778</v>
      </c>
      <c r="AN24" s="15">
        <v>0.73333333333333339</v>
      </c>
      <c r="AO24" s="14"/>
      <c r="AP24" s="14"/>
      <c r="AQ24" s="14"/>
      <c r="AR24" s="14"/>
      <c r="AS24" s="15">
        <v>0.3527777777777778</v>
      </c>
      <c r="AT24" s="15">
        <v>0.76597222222222217</v>
      </c>
      <c r="AU24" s="16">
        <v>0.35416666666666669</v>
      </c>
      <c r="AV24" s="16">
        <v>0.7583333333333333</v>
      </c>
      <c r="AW24" s="16">
        <v>0.35138888888888892</v>
      </c>
      <c r="AX24" s="16">
        <v>0.83333333333333337</v>
      </c>
      <c r="AY24" s="15">
        <v>0.35000000000000003</v>
      </c>
      <c r="AZ24" s="15">
        <v>0.7416666666666667</v>
      </c>
      <c r="BA24" s="14"/>
      <c r="BB24" s="14"/>
      <c r="BC24" s="15"/>
      <c r="BD24" s="15"/>
      <c r="BE24" s="17"/>
      <c r="BF24" s="17"/>
      <c r="BG24" s="15">
        <v>0.3527777777777778</v>
      </c>
      <c r="BH24" s="15">
        <v>0.76597222222222217</v>
      </c>
      <c r="BI24" s="16">
        <v>0.35416666666666669</v>
      </c>
      <c r="BJ24" s="16">
        <v>0.7583333333333333</v>
      </c>
      <c r="BK24" s="16">
        <v>0.35833333333333334</v>
      </c>
      <c r="BL24" s="15">
        <v>0.7416666666666667</v>
      </c>
    </row>
    <row r="25" spans="1:65" ht="30" customHeight="1" x14ac:dyDescent="0.25">
      <c r="A25" s="24">
        <v>21</v>
      </c>
      <c r="B25" s="19" t="str">
        <f>員工基本資料!B22&amp;員工基本資料!C22</f>
        <v>陳信佳</v>
      </c>
      <c r="C25" s="15">
        <v>0.35138888888888892</v>
      </c>
      <c r="D25" s="15">
        <v>0.73888888888888893</v>
      </c>
      <c r="E25" s="16">
        <v>0.35138888888888892</v>
      </c>
      <c r="F25" s="16">
        <v>0.74652777777777779</v>
      </c>
      <c r="G25" s="16">
        <v>0.35138888888888892</v>
      </c>
      <c r="H25" s="16">
        <v>0.73541666666666661</v>
      </c>
      <c r="I25" s="15">
        <v>0.3527777777777778</v>
      </c>
      <c r="J25" s="15">
        <v>0.73333333333333339</v>
      </c>
      <c r="K25" s="15">
        <v>0.35138888888888892</v>
      </c>
      <c r="L25" s="15">
        <v>0.77847222222222223</v>
      </c>
      <c r="M25" s="15"/>
      <c r="N25" s="15"/>
      <c r="O25" s="14"/>
      <c r="P25" s="14"/>
      <c r="Q25" s="15">
        <v>0.35069444444444442</v>
      </c>
      <c r="R25" s="15">
        <v>0.87430555555555556</v>
      </c>
      <c r="S25" s="15">
        <v>0.36944444444444446</v>
      </c>
      <c r="T25" s="15">
        <v>0.76527777777777783</v>
      </c>
      <c r="U25" s="16">
        <v>0.3527777777777778</v>
      </c>
      <c r="V25" s="16">
        <v>0.84097222222222223</v>
      </c>
      <c r="W25" s="16">
        <v>0.35000000000000003</v>
      </c>
      <c r="X25" s="16">
        <v>0.73819444444444438</v>
      </c>
      <c r="Y25" s="15">
        <v>0.36944444444444446</v>
      </c>
      <c r="Z25" s="15">
        <v>0.85555555555555562</v>
      </c>
      <c r="AA25" s="15"/>
      <c r="AB25" s="15"/>
      <c r="AC25" s="14"/>
      <c r="AD25" s="14"/>
      <c r="AE25" s="15">
        <v>0.37847222222222227</v>
      </c>
      <c r="AF25" s="15">
        <v>0.73819444444444438</v>
      </c>
      <c r="AG25" s="16">
        <v>0.35972222222222222</v>
      </c>
      <c r="AH25" s="16">
        <v>0.74791666666666667</v>
      </c>
      <c r="AI25" s="16">
        <v>0.35138888888888892</v>
      </c>
      <c r="AJ25" s="16">
        <v>0.87638888888888899</v>
      </c>
      <c r="AK25" s="15">
        <v>0.3527777777777778</v>
      </c>
      <c r="AL25" s="15">
        <v>0.7583333333333333</v>
      </c>
      <c r="AM25" s="15">
        <v>0.35625000000000001</v>
      </c>
      <c r="AN25" s="15">
        <v>0.73333333333333339</v>
      </c>
      <c r="AO25" s="14"/>
      <c r="AP25" s="14"/>
      <c r="AQ25" s="14"/>
      <c r="AR25" s="14"/>
      <c r="AS25" s="15">
        <v>0.3527777777777778</v>
      </c>
      <c r="AT25" s="15">
        <v>0.73541666666666661</v>
      </c>
      <c r="AU25" s="16">
        <v>0.3527777777777778</v>
      </c>
      <c r="AV25" s="16">
        <v>0.875</v>
      </c>
      <c r="AW25" s="16">
        <v>0.3527777777777778</v>
      </c>
      <c r="AX25" s="16">
        <v>0.73402777777777783</v>
      </c>
      <c r="AY25" s="15">
        <v>0.35069444444444442</v>
      </c>
      <c r="AZ25" s="15">
        <v>0.77847222222222223</v>
      </c>
      <c r="BA25" s="14"/>
      <c r="BB25" s="14"/>
      <c r="BC25" s="15"/>
      <c r="BD25" s="15"/>
      <c r="BE25" s="17"/>
      <c r="BF25" s="17"/>
      <c r="BG25" s="15">
        <v>0.3527777777777778</v>
      </c>
      <c r="BH25" s="15">
        <v>0.73541666666666661</v>
      </c>
      <c r="BI25" s="16">
        <v>0.3527777777777778</v>
      </c>
      <c r="BJ25" s="16">
        <v>0.875</v>
      </c>
      <c r="BK25" s="16">
        <v>0.35972222222222222</v>
      </c>
      <c r="BL25" s="15">
        <v>0.77847222222222223</v>
      </c>
    </row>
    <row r="26" spans="1:65" ht="30" customHeight="1" x14ac:dyDescent="0.25">
      <c r="A26" s="24">
        <v>22</v>
      </c>
      <c r="B26" s="19" t="str">
        <f>員工基本資料!B23&amp;員工基本資料!C23</f>
        <v>劉文洋</v>
      </c>
      <c r="C26" s="15">
        <v>0.3527777777777778</v>
      </c>
      <c r="D26" s="15">
        <v>0.89166666666666661</v>
      </c>
      <c r="E26" s="16">
        <v>0.35555555555555557</v>
      </c>
      <c r="F26" s="16">
        <v>0.86805555555555547</v>
      </c>
      <c r="G26" s="16">
        <v>0.35138888888888892</v>
      </c>
      <c r="H26" s="16">
        <v>0.8569444444444444</v>
      </c>
      <c r="I26" s="15">
        <v>0.36527777777777781</v>
      </c>
      <c r="J26" s="15">
        <v>0.74652777777777779</v>
      </c>
      <c r="K26" s="16">
        <v>0.3527777777777778</v>
      </c>
      <c r="L26" s="16">
        <v>0.87916666666666676</v>
      </c>
      <c r="M26" s="15"/>
      <c r="N26" s="15"/>
      <c r="O26" s="14"/>
      <c r="P26" s="14"/>
      <c r="Q26" s="15">
        <v>0.35138888888888892</v>
      </c>
      <c r="R26" s="15">
        <v>0.74513888888888891</v>
      </c>
      <c r="S26" s="15">
        <v>0.35069444444444442</v>
      </c>
      <c r="T26" s="15">
        <v>0.75208333333333333</v>
      </c>
      <c r="U26" s="16">
        <v>0.36944444444444446</v>
      </c>
      <c r="V26" s="16">
        <v>0.82499999999999996</v>
      </c>
      <c r="W26" s="16">
        <v>0.36944444444444446</v>
      </c>
      <c r="X26" s="16">
        <v>0.78263888888888899</v>
      </c>
      <c r="Y26" s="15">
        <v>0.3430555555555555</v>
      </c>
      <c r="Z26" s="15">
        <v>0.74652777777777779</v>
      </c>
      <c r="AA26" s="15"/>
      <c r="AB26" s="15"/>
      <c r="AC26" s="14"/>
      <c r="AD26" s="14"/>
      <c r="AE26" s="15">
        <v>0.35833333333333334</v>
      </c>
      <c r="AF26" s="15">
        <v>0.74513888888888891</v>
      </c>
      <c r="AG26" s="16"/>
      <c r="AH26" s="16"/>
      <c r="AI26" s="16">
        <v>0.35833333333333334</v>
      </c>
      <c r="AJ26" s="16">
        <v>0.74444444444444446</v>
      </c>
      <c r="AK26" s="15">
        <v>0.35347222222222219</v>
      </c>
      <c r="AL26" s="15">
        <v>0.74652777777777779</v>
      </c>
      <c r="AM26" s="15">
        <v>0.3527777777777778</v>
      </c>
      <c r="AN26" s="15">
        <v>0.74513888888888891</v>
      </c>
      <c r="AO26" s="15"/>
      <c r="AP26" s="15"/>
      <c r="AQ26" s="14"/>
      <c r="AR26" s="14"/>
      <c r="AS26" s="15">
        <v>0.34097222222222223</v>
      </c>
      <c r="AT26" s="15">
        <v>0.74513888888888891</v>
      </c>
      <c r="AU26" s="16">
        <v>0.34097222222222223</v>
      </c>
      <c r="AV26" s="16">
        <v>0.80833333333333324</v>
      </c>
      <c r="AW26" s="16">
        <v>0.3527777777777778</v>
      </c>
      <c r="AX26" s="16">
        <v>0.81458333333333333</v>
      </c>
      <c r="AY26" s="15">
        <v>0.36736111111111108</v>
      </c>
      <c r="AZ26" s="15">
        <v>0.77222222222222225</v>
      </c>
      <c r="BA26" s="15">
        <v>0.34791666666666665</v>
      </c>
      <c r="BB26" s="15">
        <v>0.77847222222222223</v>
      </c>
      <c r="BC26" s="15"/>
      <c r="BD26" s="15"/>
      <c r="BE26" s="17"/>
      <c r="BF26" s="17"/>
      <c r="BG26" s="16">
        <v>0.35138888888888892</v>
      </c>
      <c r="BH26" s="16">
        <v>0.78819444444444453</v>
      </c>
      <c r="BI26" s="15">
        <v>0.3527777777777778</v>
      </c>
      <c r="BJ26" s="15">
        <v>0.74375000000000002</v>
      </c>
      <c r="BK26" s="16"/>
      <c r="BL26" s="15">
        <v>0.77222222222222225</v>
      </c>
    </row>
    <row r="27" spans="1:65" ht="30" customHeight="1" x14ac:dyDescent="0.25"/>
    <row r="28" spans="1:65" ht="30" customHeight="1" x14ac:dyDescent="0.25"/>
    <row r="29" spans="1:65" ht="30" customHeight="1" x14ac:dyDescent="0.25">
      <c r="C29" s="59">
        <f>IF(C5&gt;$B$34,C5-$B$34,0)</f>
        <v>0</v>
      </c>
      <c r="D29" s="59">
        <f t="shared" ref="D29:BL29" si="59">IF(D5&gt;$B$34,D5-$B$34,0)</f>
        <v>0.16388888888888886</v>
      </c>
      <c r="E29" s="59">
        <f t="shared" si="59"/>
        <v>0</v>
      </c>
      <c r="F29" s="59">
        <f t="shared" si="59"/>
        <v>0.16388888888888886</v>
      </c>
      <c r="G29" s="59">
        <f t="shared" si="59"/>
        <v>0</v>
      </c>
      <c r="H29" s="59">
        <f t="shared" si="59"/>
        <v>2.8472222222222232E-2</v>
      </c>
      <c r="I29" s="59">
        <f t="shared" si="59"/>
        <v>0</v>
      </c>
      <c r="J29" s="59">
        <f t="shared" si="59"/>
        <v>0.16874999999999996</v>
      </c>
      <c r="K29" s="59">
        <f t="shared" si="59"/>
        <v>0</v>
      </c>
      <c r="L29" s="59">
        <f t="shared" si="59"/>
        <v>5.2777777777777701E-2</v>
      </c>
      <c r="M29" s="59">
        <f t="shared" si="59"/>
        <v>0</v>
      </c>
      <c r="N29" s="59">
        <f t="shared" si="59"/>
        <v>0</v>
      </c>
      <c r="O29" s="59">
        <f t="shared" si="59"/>
        <v>0</v>
      </c>
      <c r="P29" s="59">
        <f t="shared" si="59"/>
        <v>0</v>
      </c>
      <c r="Q29" s="59">
        <f t="shared" si="59"/>
        <v>0</v>
      </c>
      <c r="R29" s="59">
        <f t="shared" si="59"/>
        <v>0.17500000000000004</v>
      </c>
      <c r="S29" s="59">
        <f t="shared" si="59"/>
        <v>0</v>
      </c>
      <c r="T29" s="59">
        <f t="shared" si="59"/>
        <v>0</v>
      </c>
      <c r="U29" s="59">
        <f t="shared" si="59"/>
        <v>0</v>
      </c>
      <c r="V29" s="59">
        <f t="shared" si="59"/>
        <v>0.1152777777777777</v>
      </c>
      <c r="W29" s="59">
        <f t="shared" si="59"/>
        <v>0</v>
      </c>
      <c r="X29" s="59">
        <f t="shared" si="59"/>
        <v>0</v>
      </c>
      <c r="Y29" s="59">
        <f t="shared" si="59"/>
        <v>0</v>
      </c>
      <c r="Z29" s="59">
        <f t="shared" si="59"/>
        <v>9.7222222222222987E-3</v>
      </c>
      <c r="AA29" s="59">
        <f t="shared" si="59"/>
        <v>0</v>
      </c>
      <c r="AB29" s="59">
        <f t="shared" si="59"/>
        <v>0</v>
      </c>
      <c r="AC29" s="59">
        <f t="shared" si="59"/>
        <v>0</v>
      </c>
      <c r="AD29" s="59">
        <f t="shared" si="59"/>
        <v>0</v>
      </c>
      <c r="AE29" s="59">
        <f t="shared" si="59"/>
        <v>0</v>
      </c>
      <c r="AF29" s="59">
        <f t="shared" si="59"/>
        <v>0</v>
      </c>
      <c r="AG29" s="59">
        <f t="shared" si="59"/>
        <v>0</v>
      </c>
      <c r="AH29" s="59">
        <f t="shared" si="59"/>
        <v>0.12916666666666676</v>
      </c>
      <c r="AI29" s="59">
        <f t="shared" si="59"/>
        <v>0</v>
      </c>
      <c r="AJ29" s="59">
        <f t="shared" si="59"/>
        <v>2.8472222222222232E-2</v>
      </c>
      <c r="AK29" s="59">
        <f t="shared" si="59"/>
        <v>0</v>
      </c>
      <c r="AL29" s="59">
        <f t="shared" si="59"/>
        <v>0.1777777777777777</v>
      </c>
      <c r="AM29" s="59">
        <f t="shared" si="59"/>
        <v>0</v>
      </c>
      <c r="AN29" s="59">
        <f t="shared" si="59"/>
        <v>0</v>
      </c>
      <c r="AO29" s="59">
        <f t="shared" si="59"/>
        <v>0</v>
      </c>
      <c r="AP29" s="59">
        <f t="shared" si="59"/>
        <v>0</v>
      </c>
      <c r="AQ29" s="59">
        <f t="shared" si="59"/>
        <v>0</v>
      </c>
      <c r="AR29" s="59">
        <f t="shared" si="59"/>
        <v>0</v>
      </c>
      <c r="AS29" s="59">
        <f t="shared" si="59"/>
        <v>0</v>
      </c>
      <c r="AT29" s="59">
        <f t="shared" si="59"/>
        <v>0.12708333333333333</v>
      </c>
      <c r="AU29" s="59">
        <f t="shared" si="59"/>
        <v>0</v>
      </c>
      <c r="AV29" s="59">
        <f t="shared" si="59"/>
        <v>0</v>
      </c>
      <c r="AW29" s="59">
        <f t="shared" si="59"/>
        <v>0</v>
      </c>
      <c r="AX29" s="59">
        <f t="shared" si="59"/>
        <v>0.13263888888888886</v>
      </c>
      <c r="AY29" s="59">
        <f t="shared" si="59"/>
        <v>0</v>
      </c>
      <c r="AZ29" s="59">
        <f t="shared" si="59"/>
        <v>0</v>
      </c>
      <c r="BA29" s="59">
        <f t="shared" si="59"/>
        <v>0</v>
      </c>
      <c r="BB29" s="59">
        <f t="shared" si="59"/>
        <v>8.3333333333333037E-3</v>
      </c>
      <c r="BC29" s="59">
        <f t="shared" si="59"/>
        <v>0</v>
      </c>
      <c r="BD29" s="59">
        <f t="shared" si="59"/>
        <v>0</v>
      </c>
      <c r="BE29" s="59">
        <f t="shared" si="59"/>
        <v>0</v>
      </c>
      <c r="BF29" s="59">
        <f t="shared" si="59"/>
        <v>0</v>
      </c>
      <c r="BG29" s="59">
        <f t="shared" si="59"/>
        <v>0</v>
      </c>
      <c r="BH29" s="59">
        <f t="shared" si="59"/>
        <v>0</v>
      </c>
      <c r="BI29" s="59">
        <f t="shared" si="59"/>
        <v>0</v>
      </c>
      <c r="BJ29" s="59">
        <f t="shared" si="59"/>
        <v>0</v>
      </c>
      <c r="BK29" s="59">
        <f t="shared" si="59"/>
        <v>0</v>
      </c>
      <c r="BL29" s="59">
        <f t="shared" si="59"/>
        <v>0</v>
      </c>
      <c r="BM29" s="59">
        <f>SUM(C29:BL29)</f>
        <v>1.4812499999999997</v>
      </c>
    </row>
    <row r="30" spans="1:65" ht="30" customHeight="1" x14ac:dyDescent="0.25">
      <c r="A30" t="s">
        <v>83</v>
      </c>
      <c r="C30" s="59">
        <f t="shared" ref="C30:BL30" si="60">IF(C6&gt;$B$34,C6-$B$34,0)</f>
        <v>0</v>
      </c>
      <c r="D30" s="59">
        <f t="shared" si="60"/>
        <v>0</v>
      </c>
      <c r="E30" s="59">
        <f t="shared" si="60"/>
        <v>0</v>
      </c>
      <c r="F30" s="59">
        <f t="shared" si="60"/>
        <v>0</v>
      </c>
      <c r="G30" s="59">
        <f t="shared" si="60"/>
        <v>0</v>
      </c>
      <c r="H30" s="59">
        <f t="shared" si="60"/>
        <v>0</v>
      </c>
      <c r="I30" s="59">
        <f t="shared" si="60"/>
        <v>0</v>
      </c>
      <c r="J30" s="59">
        <f t="shared" si="60"/>
        <v>0</v>
      </c>
      <c r="K30" s="59">
        <f t="shared" si="60"/>
        <v>0</v>
      </c>
      <c r="L30" s="59">
        <f t="shared" si="60"/>
        <v>0</v>
      </c>
      <c r="M30" s="59">
        <f t="shared" si="60"/>
        <v>0</v>
      </c>
      <c r="N30" s="59">
        <f t="shared" si="60"/>
        <v>0</v>
      </c>
      <c r="O30" s="59">
        <f t="shared" si="60"/>
        <v>0</v>
      </c>
      <c r="P30" s="59">
        <f t="shared" si="60"/>
        <v>0</v>
      </c>
      <c r="Q30" s="59">
        <f t="shared" si="60"/>
        <v>0</v>
      </c>
      <c r="R30" s="59">
        <f t="shared" si="60"/>
        <v>0</v>
      </c>
      <c r="S30" s="59">
        <f t="shared" si="60"/>
        <v>0</v>
      </c>
      <c r="T30" s="59">
        <f t="shared" si="60"/>
        <v>0</v>
      </c>
      <c r="U30" s="59">
        <f t="shared" si="60"/>
        <v>0</v>
      </c>
      <c r="V30" s="59">
        <f t="shared" si="60"/>
        <v>8.333333333333337E-2</v>
      </c>
      <c r="W30" s="59">
        <f t="shared" si="60"/>
        <v>0</v>
      </c>
      <c r="X30" s="59">
        <f t="shared" si="60"/>
        <v>0</v>
      </c>
      <c r="Y30" s="59">
        <f t="shared" si="60"/>
        <v>0</v>
      </c>
      <c r="Z30" s="59">
        <f t="shared" si="60"/>
        <v>0</v>
      </c>
      <c r="AA30" s="59">
        <f t="shared" si="60"/>
        <v>0</v>
      </c>
      <c r="AB30" s="59">
        <f t="shared" si="60"/>
        <v>0</v>
      </c>
      <c r="AC30" s="59">
        <f t="shared" si="60"/>
        <v>0</v>
      </c>
      <c r="AD30" s="59">
        <f t="shared" si="60"/>
        <v>0</v>
      </c>
      <c r="AE30" s="59">
        <f t="shared" si="60"/>
        <v>0</v>
      </c>
      <c r="AF30" s="59">
        <f t="shared" si="60"/>
        <v>0</v>
      </c>
      <c r="AG30" s="59">
        <f t="shared" si="60"/>
        <v>0</v>
      </c>
      <c r="AH30" s="59">
        <f t="shared" si="60"/>
        <v>0</v>
      </c>
      <c r="AI30" s="59">
        <f t="shared" si="60"/>
        <v>0</v>
      </c>
      <c r="AJ30" s="59">
        <f t="shared" si="60"/>
        <v>0</v>
      </c>
      <c r="AK30" s="59">
        <f t="shared" si="60"/>
        <v>0</v>
      </c>
      <c r="AL30" s="59">
        <f t="shared" si="60"/>
        <v>0</v>
      </c>
      <c r="AM30" s="59">
        <f t="shared" si="60"/>
        <v>0</v>
      </c>
      <c r="AN30" s="59">
        <f t="shared" si="60"/>
        <v>2.8472222222222232E-2</v>
      </c>
      <c r="AO30" s="59">
        <f t="shared" si="60"/>
        <v>0</v>
      </c>
      <c r="AP30" s="59">
        <f t="shared" si="60"/>
        <v>0</v>
      </c>
      <c r="AQ30" s="59">
        <f t="shared" si="60"/>
        <v>0</v>
      </c>
      <c r="AR30" s="59">
        <f t="shared" si="60"/>
        <v>0</v>
      </c>
      <c r="AS30" s="59">
        <f t="shared" si="60"/>
        <v>0</v>
      </c>
      <c r="AT30" s="59">
        <f t="shared" si="60"/>
        <v>0</v>
      </c>
      <c r="AU30" s="59">
        <f t="shared" si="60"/>
        <v>0</v>
      </c>
      <c r="AV30" s="59">
        <f t="shared" si="60"/>
        <v>0</v>
      </c>
      <c r="AW30" s="59">
        <f t="shared" si="60"/>
        <v>0</v>
      </c>
      <c r="AX30" s="59">
        <f t="shared" si="60"/>
        <v>0</v>
      </c>
      <c r="AY30" s="59">
        <f t="shared" si="60"/>
        <v>0</v>
      </c>
      <c r="AZ30" s="59">
        <f t="shared" si="60"/>
        <v>0</v>
      </c>
      <c r="BA30" s="59">
        <f t="shared" si="60"/>
        <v>0</v>
      </c>
      <c r="BB30" s="59">
        <f t="shared" si="60"/>
        <v>0</v>
      </c>
      <c r="BC30" s="59">
        <f t="shared" si="60"/>
        <v>0</v>
      </c>
      <c r="BD30" s="59">
        <f t="shared" si="60"/>
        <v>0</v>
      </c>
      <c r="BE30" s="59">
        <f t="shared" si="60"/>
        <v>0</v>
      </c>
      <c r="BF30" s="59">
        <f t="shared" si="60"/>
        <v>0</v>
      </c>
      <c r="BG30" s="59">
        <f t="shared" si="60"/>
        <v>0</v>
      </c>
      <c r="BH30" s="59">
        <f t="shared" si="60"/>
        <v>0</v>
      </c>
      <c r="BI30" s="59">
        <f t="shared" si="60"/>
        <v>0</v>
      </c>
      <c r="BJ30" s="59">
        <f t="shared" si="60"/>
        <v>0</v>
      </c>
      <c r="BK30" s="59">
        <f t="shared" si="60"/>
        <v>0</v>
      </c>
      <c r="BL30" s="59">
        <f t="shared" si="60"/>
        <v>0</v>
      </c>
      <c r="BM30" s="59">
        <f t="shared" ref="BM30:BM50" si="61">SUM(C30:BL30)</f>
        <v>0.1118055555555556</v>
      </c>
    </row>
    <row r="31" spans="1:65" ht="30" customHeight="1" x14ac:dyDescent="0.25">
      <c r="A31" t="s">
        <v>84</v>
      </c>
      <c r="C31" s="59">
        <f t="shared" ref="C31:BL31" si="62">IF(C7&gt;$B$34,C7-$B$34,0)</f>
        <v>0</v>
      </c>
      <c r="D31" s="59">
        <f t="shared" si="62"/>
        <v>4.0972222222222299E-2</v>
      </c>
      <c r="E31" s="59">
        <f t="shared" si="62"/>
        <v>0</v>
      </c>
      <c r="F31" s="59">
        <f t="shared" si="62"/>
        <v>4.0972222222222299E-2</v>
      </c>
      <c r="G31" s="59">
        <f t="shared" si="62"/>
        <v>0</v>
      </c>
      <c r="H31" s="59">
        <f t="shared" si="62"/>
        <v>2.4305555555555469E-2</v>
      </c>
      <c r="I31" s="59">
        <f t="shared" si="62"/>
        <v>0</v>
      </c>
      <c r="J31" s="59">
        <f t="shared" si="62"/>
        <v>3.472222222222221E-2</v>
      </c>
      <c r="K31" s="59">
        <f t="shared" si="62"/>
        <v>0</v>
      </c>
      <c r="L31" s="59">
        <f t="shared" si="62"/>
        <v>6.597222222222221E-2</v>
      </c>
      <c r="M31" s="59">
        <f t="shared" si="62"/>
        <v>0</v>
      </c>
      <c r="N31" s="59">
        <f t="shared" si="62"/>
        <v>0</v>
      </c>
      <c r="O31" s="59">
        <f t="shared" si="62"/>
        <v>0</v>
      </c>
      <c r="P31" s="59">
        <f t="shared" si="62"/>
        <v>0</v>
      </c>
      <c r="Q31" s="59">
        <f t="shared" si="62"/>
        <v>0</v>
      </c>
      <c r="R31" s="59">
        <f t="shared" si="62"/>
        <v>2.7777777777777679E-3</v>
      </c>
      <c r="S31" s="59">
        <f t="shared" si="62"/>
        <v>0</v>
      </c>
      <c r="T31" s="59">
        <f t="shared" si="62"/>
        <v>1.5972222222222165E-2</v>
      </c>
      <c r="U31" s="59">
        <f t="shared" si="62"/>
        <v>0</v>
      </c>
      <c r="V31" s="59">
        <f t="shared" si="62"/>
        <v>3.2638888888888995E-2</v>
      </c>
      <c r="W31" s="59">
        <f t="shared" si="62"/>
        <v>0</v>
      </c>
      <c r="X31" s="59">
        <f t="shared" si="62"/>
        <v>0</v>
      </c>
      <c r="Y31" s="59">
        <f t="shared" si="62"/>
        <v>0</v>
      </c>
      <c r="Z31" s="59">
        <f t="shared" si="62"/>
        <v>0</v>
      </c>
      <c r="AA31" s="59">
        <f t="shared" si="62"/>
        <v>0</v>
      </c>
      <c r="AB31" s="59">
        <f t="shared" si="62"/>
        <v>0</v>
      </c>
      <c r="AC31" s="59">
        <f t="shared" si="62"/>
        <v>0</v>
      </c>
      <c r="AD31" s="59">
        <f t="shared" si="62"/>
        <v>0</v>
      </c>
      <c r="AE31" s="59">
        <f t="shared" si="62"/>
        <v>0</v>
      </c>
      <c r="AF31" s="59">
        <f t="shared" si="62"/>
        <v>3.2638888888888995E-2</v>
      </c>
      <c r="AG31" s="59">
        <f t="shared" si="62"/>
        <v>0</v>
      </c>
      <c r="AH31" s="59">
        <f t="shared" si="62"/>
        <v>0</v>
      </c>
      <c r="AI31" s="59">
        <f t="shared" si="62"/>
        <v>0</v>
      </c>
      <c r="AJ31" s="59">
        <f t="shared" si="62"/>
        <v>0</v>
      </c>
      <c r="AK31" s="59">
        <f t="shared" si="62"/>
        <v>0</v>
      </c>
      <c r="AL31" s="59">
        <f t="shared" si="62"/>
        <v>2.6388888888888906E-2</v>
      </c>
      <c r="AM31" s="59">
        <f t="shared" si="62"/>
        <v>0</v>
      </c>
      <c r="AN31" s="59">
        <f t="shared" si="62"/>
        <v>1.388888888888884E-2</v>
      </c>
      <c r="AO31" s="59">
        <f t="shared" si="62"/>
        <v>0</v>
      </c>
      <c r="AP31" s="59">
        <f t="shared" si="62"/>
        <v>0</v>
      </c>
      <c r="AQ31" s="59">
        <f t="shared" si="62"/>
        <v>0</v>
      </c>
      <c r="AR31" s="59">
        <f t="shared" si="62"/>
        <v>0</v>
      </c>
      <c r="AS31" s="59">
        <f t="shared" si="62"/>
        <v>0</v>
      </c>
      <c r="AT31" s="59">
        <f t="shared" si="62"/>
        <v>0</v>
      </c>
      <c r="AU31" s="59">
        <f t="shared" si="62"/>
        <v>0</v>
      </c>
      <c r="AV31" s="59">
        <f t="shared" si="62"/>
        <v>5.8333333333333237E-2</v>
      </c>
      <c r="AW31" s="59">
        <f t="shared" si="62"/>
        <v>0</v>
      </c>
      <c r="AX31" s="59">
        <f t="shared" si="62"/>
        <v>6.4583333333333326E-2</v>
      </c>
      <c r="AY31" s="59">
        <f t="shared" si="62"/>
        <v>0</v>
      </c>
      <c r="AZ31" s="59">
        <f t="shared" si="62"/>
        <v>2.2222222222222254E-2</v>
      </c>
      <c r="BA31" s="59">
        <f t="shared" si="62"/>
        <v>0</v>
      </c>
      <c r="BB31" s="59">
        <f t="shared" si="62"/>
        <v>2.8472222222222232E-2</v>
      </c>
      <c r="BC31" s="59">
        <f t="shared" si="62"/>
        <v>0</v>
      </c>
      <c r="BD31" s="59">
        <f t="shared" si="62"/>
        <v>0</v>
      </c>
      <c r="BE31" s="59">
        <f t="shared" si="62"/>
        <v>0</v>
      </c>
      <c r="BF31" s="59">
        <f t="shared" si="62"/>
        <v>0</v>
      </c>
      <c r="BG31" s="59">
        <f t="shared" si="62"/>
        <v>0</v>
      </c>
      <c r="BH31" s="59">
        <f t="shared" si="62"/>
        <v>6.7361111111111094E-2</v>
      </c>
      <c r="BI31" s="59">
        <f t="shared" si="62"/>
        <v>0</v>
      </c>
      <c r="BJ31" s="59">
        <f t="shared" si="62"/>
        <v>0</v>
      </c>
      <c r="BK31" s="59">
        <f t="shared" si="62"/>
        <v>0</v>
      </c>
      <c r="BL31" s="59">
        <f t="shared" si="62"/>
        <v>2.2222222222222254E-2</v>
      </c>
      <c r="BM31" s="59">
        <f t="shared" si="61"/>
        <v>0.59444444444444455</v>
      </c>
    </row>
    <row r="32" spans="1:65" ht="30" customHeight="1" x14ac:dyDescent="0.25">
      <c r="B32" s="25">
        <v>0.36805555555555558</v>
      </c>
      <c r="C32" s="59">
        <f t="shared" ref="C32:BL32" si="63">IF(C8&gt;$B$34,C8-$B$34,0)</f>
        <v>0</v>
      </c>
      <c r="D32" s="59">
        <f t="shared" si="63"/>
        <v>8.3333333333333037E-3</v>
      </c>
      <c r="E32" s="59">
        <f t="shared" si="63"/>
        <v>0</v>
      </c>
      <c r="F32" s="59">
        <f t="shared" si="63"/>
        <v>8.3333333333333037E-3</v>
      </c>
      <c r="G32" s="59">
        <f t="shared" si="63"/>
        <v>0</v>
      </c>
      <c r="H32" s="59">
        <f t="shared" si="63"/>
        <v>0</v>
      </c>
      <c r="I32" s="59">
        <f t="shared" si="63"/>
        <v>0</v>
      </c>
      <c r="J32" s="59">
        <f t="shared" si="63"/>
        <v>0</v>
      </c>
      <c r="K32" s="59">
        <f t="shared" si="63"/>
        <v>0</v>
      </c>
      <c r="L32" s="59">
        <f t="shared" si="63"/>
        <v>0</v>
      </c>
      <c r="M32" s="59">
        <f t="shared" si="63"/>
        <v>0</v>
      </c>
      <c r="N32" s="59">
        <f t="shared" si="63"/>
        <v>0</v>
      </c>
      <c r="O32" s="59">
        <f t="shared" si="63"/>
        <v>0</v>
      </c>
      <c r="P32" s="59">
        <f t="shared" si="63"/>
        <v>0</v>
      </c>
      <c r="Q32" s="59">
        <f t="shared" si="63"/>
        <v>0</v>
      </c>
      <c r="R32" s="59">
        <f t="shared" si="63"/>
        <v>2.8472222222222232E-2</v>
      </c>
      <c r="S32" s="59">
        <f t="shared" si="63"/>
        <v>0</v>
      </c>
      <c r="T32" s="59">
        <f t="shared" si="63"/>
        <v>0</v>
      </c>
      <c r="U32" s="59">
        <f t="shared" si="63"/>
        <v>0</v>
      </c>
      <c r="V32" s="59">
        <f t="shared" si="63"/>
        <v>0</v>
      </c>
      <c r="W32" s="59">
        <f t="shared" si="63"/>
        <v>0</v>
      </c>
      <c r="X32" s="59">
        <f t="shared" si="63"/>
        <v>8.1250000000000044E-2</v>
      </c>
      <c r="Y32" s="59">
        <f t="shared" si="63"/>
        <v>0</v>
      </c>
      <c r="Z32" s="59">
        <f t="shared" si="63"/>
        <v>0</v>
      </c>
      <c r="AA32" s="59">
        <f t="shared" si="63"/>
        <v>0</v>
      </c>
      <c r="AB32" s="59">
        <f t="shared" si="63"/>
        <v>0</v>
      </c>
      <c r="AC32" s="59">
        <f t="shared" si="63"/>
        <v>0</v>
      </c>
      <c r="AD32" s="59">
        <f t="shared" si="63"/>
        <v>0</v>
      </c>
      <c r="AE32" s="59">
        <f t="shared" si="63"/>
        <v>0</v>
      </c>
      <c r="AF32" s="59">
        <f t="shared" si="63"/>
        <v>3.6805555555555536E-2</v>
      </c>
      <c r="AG32" s="59">
        <f t="shared" si="63"/>
        <v>0</v>
      </c>
      <c r="AH32" s="59">
        <f t="shared" si="63"/>
        <v>0</v>
      </c>
      <c r="AI32" s="59">
        <f t="shared" si="63"/>
        <v>0</v>
      </c>
      <c r="AJ32" s="59">
        <f t="shared" si="63"/>
        <v>0</v>
      </c>
      <c r="AK32" s="59">
        <f t="shared" si="63"/>
        <v>0</v>
      </c>
      <c r="AL32" s="59">
        <f t="shared" si="63"/>
        <v>0</v>
      </c>
      <c r="AM32" s="59">
        <f t="shared" si="63"/>
        <v>0</v>
      </c>
      <c r="AN32" s="59">
        <f t="shared" si="63"/>
        <v>8.3333333333333037E-3</v>
      </c>
      <c r="AO32" s="59">
        <f t="shared" si="63"/>
        <v>0</v>
      </c>
      <c r="AP32" s="59">
        <f t="shared" si="63"/>
        <v>0</v>
      </c>
      <c r="AQ32" s="59">
        <f t="shared" si="63"/>
        <v>0</v>
      </c>
      <c r="AR32" s="59">
        <f t="shared" si="63"/>
        <v>0</v>
      </c>
      <c r="AS32" s="59">
        <f t="shared" si="63"/>
        <v>0</v>
      </c>
      <c r="AT32" s="59">
        <f t="shared" si="63"/>
        <v>0</v>
      </c>
      <c r="AU32" s="59">
        <f t="shared" si="63"/>
        <v>0</v>
      </c>
      <c r="AV32" s="59">
        <f t="shared" si="63"/>
        <v>0</v>
      </c>
      <c r="AW32" s="59">
        <f t="shared" si="63"/>
        <v>0</v>
      </c>
      <c r="AX32" s="59">
        <f t="shared" si="63"/>
        <v>0</v>
      </c>
      <c r="AY32" s="59">
        <f t="shared" si="63"/>
        <v>0</v>
      </c>
      <c r="AZ32" s="59">
        <f t="shared" si="63"/>
        <v>0</v>
      </c>
      <c r="BA32" s="59">
        <f t="shared" si="63"/>
        <v>0</v>
      </c>
      <c r="BB32" s="59">
        <f t="shared" si="63"/>
        <v>0</v>
      </c>
      <c r="BC32" s="59">
        <f t="shared" si="63"/>
        <v>0</v>
      </c>
      <c r="BD32" s="59">
        <f t="shared" si="63"/>
        <v>0</v>
      </c>
      <c r="BE32" s="59">
        <f t="shared" si="63"/>
        <v>0</v>
      </c>
      <c r="BF32" s="59">
        <f t="shared" si="63"/>
        <v>0</v>
      </c>
      <c r="BG32" s="59">
        <f t="shared" si="63"/>
        <v>0</v>
      </c>
      <c r="BH32" s="59">
        <f t="shared" si="63"/>
        <v>0</v>
      </c>
      <c r="BI32" s="59">
        <f t="shared" si="63"/>
        <v>0</v>
      </c>
      <c r="BJ32" s="59">
        <f t="shared" si="63"/>
        <v>0</v>
      </c>
      <c r="BK32" s="59">
        <f t="shared" si="63"/>
        <v>0</v>
      </c>
      <c r="BL32" s="59">
        <f t="shared" si="63"/>
        <v>0</v>
      </c>
      <c r="BM32" s="59">
        <f t="shared" si="61"/>
        <v>0.17152777777777772</v>
      </c>
    </row>
    <row r="33" spans="1:65" ht="30" customHeight="1" x14ac:dyDescent="0.25">
      <c r="A33" t="s">
        <v>85</v>
      </c>
      <c r="C33" s="59">
        <f t="shared" ref="C33:BL33" si="64">IF(C9&gt;$B$34,C9-$B$34,0)</f>
        <v>0</v>
      </c>
      <c r="D33" s="59">
        <f t="shared" si="64"/>
        <v>8.9583333333333237E-2</v>
      </c>
      <c r="E33" s="59">
        <f t="shared" si="64"/>
        <v>0</v>
      </c>
      <c r="F33" s="59">
        <f t="shared" si="64"/>
        <v>8.9583333333333237E-2</v>
      </c>
      <c r="G33" s="59">
        <f t="shared" si="64"/>
        <v>0</v>
      </c>
      <c r="H33" s="59">
        <f t="shared" si="64"/>
        <v>8.3333333333333037E-3</v>
      </c>
      <c r="I33" s="59">
        <f t="shared" si="64"/>
        <v>0</v>
      </c>
      <c r="J33" s="59">
        <f t="shared" si="64"/>
        <v>0.12847222222222221</v>
      </c>
      <c r="K33" s="59">
        <f t="shared" si="64"/>
        <v>0</v>
      </c>
      <c r="L33" s="59">
        <f t="shared" si="64"/>
        <v>0.1347222222222223</v>
      </c>
      <c r="M33" s="59">
        <f t="shared" si="64"/>
        <v>0</v>
      </c>
      <c r="N33" s="59">
        <f t="shared" si="64"/>
        <v>0</v>
      </c>
      <c r="O33" s="59">
        <f t="shared" si="64"/>
        <v>0</v>
      </c>
      <c r="P33" s="59">
        <f t="shared" si="64"/>
        <v>0</v>
      </c>
      <c r="Q33" s="59">
        <f t="shared" si="64"/>
        <v>0</v>
      </c>
      <c r="R33" s="59">
        <f t="shared" si="64"/>
        <v>1.5277777777777835E-2</v>
      </c>
      <c r="S33" s="59">
        <f t="shared" si="64"/>
        <v>0</v>
      </c>
      <c r="T33" s="59">
        <f t="shared" si="64"/>
        <v>9.0972222222222232E-2</v>
      </c>
      <c r="U33" s="59">
        <f t="shared" si="64"/>
        <v>0</v>
      </c>
      <c r="V33" s="59">
        <f t="shared" si="64"/>
        <v>0</v>
      </c>
      <c r="W33" s="59">
        <f t="shared" si="64"/>
        <v>0</v>
      </c>
      <c r="X33" s="59">
        <f t="shared" si="64"/>
        <v>0.10555555555555562</v>
      </c>
      <c r="Y33" s="59">
        <f t="shared" si="64"/>
        <v>0</v>
      </c>
      <c r="Z33" s="59">
        <f t="shared" si="64"/>
        <v>0</v>
      </c>
      <c r="AA33" s="59">
        <f t="shared" si="64"/>
        <v>0</v>
      </c>
      <c r="AB33" s="59">
        <f t="shared" si="64"/>
        <v>0</v>
      </c>
      <c r="AC33" s="59">
        <f t="shared" si="64"/>
        <v>0</v>
      </c>
      <c r="AD33" s="59">
        <f t="shared" si="64"/>
        <v>0</v>
      </c>
      <c r="AE33" s="59">
        <f t="shared" si="64"/>
        <v>0</v>
      </c>
      <c r="AF33" s="59">
        <f t="shared" si="64"/>
        <v>0</v>
      </c>
      <c r="AG33" s="59">
        <f t="shared" si="64"/>
        <v>0</v>
      </c>
      <c r="AH33" s="59">
        <f t="shared" si="64"/>
        <v>0</v>
      </c>
      <c r="AI33" s="59">
        <f t="shared" si="64"/>
        <v>0</v>
      </c>
      <c r="AJ33" s="59">
        <f t="shared" si="64"/>
        <v>0</v>
      </c>
      <c r="AK33" s="59">
        <f t="shared" si="64"/>
        <v>0</v>
      </c>
      <c r="AL33" s="59">
        <f t="shared" si="64"/>
        <v>0</v>
      </c>
      <c r="AM33" s="59">
        <f t="shared" si="64"/>
        <v>0</v>
      </c>
      <c r="AN33" s="59">
        <f t="shared" si="64"/>
        <v>0.12083333333333324</v>
      </c>
      <c r="AO33" s="59">
        <f t="shared" si="64"/>
        <v>0</v>
      </c>
      <c r="AP33" s="59">
        <f t="shared" si="64"/>
        <v>0</v>
      </c>
      <c r="AQ33" s="59">
        <f t="shared" si="64"/>
        <v>0</v>
      </c>
      <c r="AR33" s="59">
        <f t="shared" si="64"/>
        <v>0</v>
      </c>
      <c r="AS33" s="59">
        <f t="shared" si="64"/>
        <v>0</v>
      </c>
      <c r="AT33" s="59">
        <f t="shared" si="64"/>
        <v>0</v>
      </c>
      <c r="AU33" s="59">
        <f t="shared" si="64"/>
        <v>0</v>
      </c>
      <c r="AV33" s="59">
        <f t="shared" si="64"/>
        <v>9.9999999999999978E-2</v>
      </c>
      <c r="AW33" s="59">
        <f t="shared" si="64"/>
        <v>0</v>
      </c>
      <c r="AX33" s="59">
        <f t="shared" si="64"/>
        <v>3.4722222222222099E-3</v>
      </c>
      <c r="AY33" s="59">
        <f t="shared" si="64"/>
        <v>0</v>
      </c>
      <c r="AZ33" s="59">
        <f t="shared" si="64"/>
        <v>2.0138888888888928E-2</v>
      </c>
      <c r="BA33" s="59">
        <f t="shared" si="64"/>
        <v>0</v>
      </c>
      <c r="BB33" s="59">
        <f t="shared" si="64"/>
        <v>0</v>
      </c>
      <c r="BC33" s="59">
        <f t="shared" si="64"/>
        <v>0</v>
      </c>
      <c r="BD33" s="59">
        <f t="shared" si="64"/>
        <v>0</v>
      </c>
      <c r="BE33" s="59">
        <f t="shared" si="64"/>
        <v>0</v>
      </c>
      <c r="BF33" s="59">
        <f t="shared" si="64"/>
        <v>0</v>
      </c>
      <c r="BG33" s="59">
        <f t="shared" si="64"/>
        <v>0</v>
      </c>
      <c r="BH33" s="59">
        <f t="shared" si="64"/>
        <v>0</v>
      </c>
      <c r="BI33" s="59">
        <f t="shared" si="64"/>
        <v>0</v>
      </c>
      <c r="BJ33" s="59">
        <f t="shared" si="64"/>
        <v>0</v>
      </c>
      <c r="BK33" s="59">
        <f t="shared" si="64"/>
        <v>0</v>
      </c>
      <c r="BL33" s="59">
        <f t="shared" si="64"/>
        <v>2.0138888888888928E-2</v>
      </c>
      <c r="BM33" s="59">
        <f t="shared" si="61"/>
        <v>0.92708333333333326</v>
      </c>
    </row>
    <row r="34" spans="1:65" ht="30" customHeight="1" x14ac:dyDescent="0.25">
      <c r="B34" s="25">
        <v>0.75</v>
      </c>
      <c r="C34" s="59">
        <f t="shared" ref="C34:BL34" si="65">IF(C10&gt;$B$34,C10-$B$34,0)</f>
        <v>0</v>
      </c>
      <c r="D34" s="59">
        <f t="shared" si="65"/>
        <v>0</v>
      </c>
      <c r="E34" s="59">
        <f t="shared" si="65"/>
        <v>0</v>
      </c>
      <c r="F34" s="59">
        <f t="shared" si="65"/>
        <v>0</v>
      </c>
      <c r="G34" s="59">
        <f t="shared" si="65"/>
        <v>0</v>
      </c>
      <c r="H34" s="59">
        <f t="shared" si="65"/>
        <v>1.388888888888884E-2</v>
      </c>
      <c r="I34" s="59">
        <f t="shared" si="65"/>
        <v>0</v>
      </c>
      <c r="J34" s="59">
        <f t="shared" si="65"/>
        <v>1.4583333333333393E-2</v>
      </c>
      <c r="K34" s="59">
        <f t="shared" si="65"/>
        <v>0</v>
      </c>
      <c r="L34" s="59">
        <f t="shared" si="65"/>
        <v>6.3194444444444442E-2</v>
      </c>
      <c r="M34" s="59">
        <f t="shared" si="65"/>
        <v>0</v>
      </c>
      <c r="N34" s="59">
        <f t="shared" si="65"/>
        <v>0</v>
      </c>
      <c r="O34" s="59">
        <f t="shared" si="65"/>
        <v>0</v>
      </c>
      <c r="P34" s="59">
        <f t="shared" si="65"/>
        <v>0</v>
      </c>
      <c r="Q34" s="59">
        <f t="shared" si="65"/>
        <v>0</v>
      </c>
      <c r="R34" s="59">
        <f t="shared" si="65"/>
        <v>2.0833333333333259E-3</v>
      </c>
      <c r="S34" s="59">
        <f t="shared" si="65"/>
        <v>0</v>
      </c>
      <c r="T34" s="59">
        <f t="shared" si="65"/>
        <v>7.4999999999999956E-2</v>
      </c>
      <c r="U34" s="59">
        <f t="shared" si="65"/>
        <v>0</v>
      </c>
      <c r="V34" s="59">
        <f t="shared" si="65"/>
        <v>0</v>
      </c>
      <c r="W34" s="59">
        <f t="shared" si="65"/>
        <v>0</v>
      </c>
      <c r="X34" s="59">
        <f t="shared" si="65"/>
        <v>0</v>
      </c>
      <c r="Y34" s="59">
        <f t="shared" si="65"/>
        <v>0</v>
      </c>
      <c r="Z34" s="59">
        <f t="shared" si="65"/>
        <v>0</v>
      </c>
      <c r="AA34" s="59">
        <f t="shared" si="65"/>
        <v>0</v>
      </c>
      <c r="AB34" s="59">
        <f t="shared" si="65"/>
        <v>0</v>
      </c>
      <c r="AC34" s="59">
        <f t="shared" si="65"/>
        <v>0</v>
      </c>
      <c r="AD34" s="59">
        <f t="shared" si="65"/>
        <v>0</v>
      </c>
      <c r="AE34" s="59">
        <f t="shared" si="65"/>
        <v>0</v>
      </c>
      <c r="AF34" s="59">
        <f t="shared" si="65"/>
        <v>0</v>
      </c>
      <c r="AG34" s="59">
        <f t="shared" si="65"/>
        <v>0</v>
      </c>
      <c r="AH34" s="59">
        <f t="shared" si="65"/>
        <v>0</v>
      </c>
      <c r="AI34" s="59">
        <f t="shared" si="65"/>
        <v>0</v>
      </c>
      <c r="AJ34" s="59">
        <f t="shared" si="65"/>
        <v>0</v>
      </c>
      <c r="AK34" s="59">
        <f t="shared" si="65"/>
        <v>0</v>
      </c>
      <c r="AL34" s="59">
        <f t="shared" si="65"/>
        <v>2.6388888888888906E-2</v>
      </c>
      <c r="AM34" s="59">
        <f t="shared" si="65"/>
        <v>0</v>
      </c>
      <c r="AN34" s="59">
        <f t="shared" si="65"/>
        <v>1.1111111111111072E-2</v>
      </c>
      <c r="AO34" s="59">
        <f t="shared" si="65"/>
        <v>0</v>
      </c>
      <c r="AP34" s="59">
        <f t="shared" si="65"/>
        <v>0</v>
      </c>
      <c r="AQ34" s="59">
        <f t="shared" si="65"/>
        <v>0</v>
      </c>
      <c r="AR34" s="59">
        <f t="shared" si="65"/>
        <v>0</v>
      </c>
      <c r="AS34" s="59">
        <f t="shared" si="65"/>
        <v>0</v>
      </c>
      <c r="AT34" s="59">
        <f t="shared" si="65"/>
        <v>0</v>
      </c>
      <c r="AU34" s="59">
        <f t="shared" si="65"/>
        <v>0</v>
      </c>
      <c r="AV34" s="59">
        <f t="shared" si="65"/>
        <v>5.6944444444444464E-2</v>
      </c>
      <c r="AW34" s="59">
        <f t="shared" si="65"/>
        <v>0</v>
      </c>
      <c r="AX34" s="59">
        <f t="shared" si="65"/>
        <v>5.0000000000000044E-2</v>
      </c>
      <c r="AY34" s="59">
        <f t="shared" si="65"/>
        <v>0</v>
      </c>
      <c r="AZ34" s="59">
        <f t="shared" si="65"/>
        <v>2.083333333333337E-2</v>
      </c>
      <c r="BA34" s="59">
        <f t="shared" si="65"/>
        <v>0</v>
      </c>
      <c r="BB34" s="59">
        <f t="shared" si="65"/>
        <v>0</v>
      </c>
      <c r="BC34" s="59">
        <f t="shared" si="65"/>
        <v>0</v>
      </c>
      <c r="BD34" s="59">
        <f t="shared" si="65"/>
        <v>0</v>
      </c>
      <c r="BE34" s="59">
        <f t="shared" si="65"/>
        <v>0</v>
      </c>
      <c r="BF34" s="59">
        <f t="shared" si="65"/>
        <v>0</v>
      </c>
      <c r="BG34" s="59">
        <f t="shared" si="65"/>
        <v>0</v>
      </c>
      <c r="BH34" s="59">
        <f t="shared" si="65"/>
        <v>6.3888888888888995E-2</v>
      </c>
      <c r="BI34" s="59">
        <f t="shared" si="65"/>
        <v>0</v>
      </c>
      <c r="BJ34" s="59">
        <f t="shared" si="65"/>
        <v>0</v>
      </c>
      <c r="BK34" s="59">
        <f t="shared" si="65"/>
        <v>0</v>
      </c>
      <c r="BL34" s="59">
        <f t="shared" si="65"/>
        <v>2.083333333333337E-2</v>
      </c>
      <c r="BM34" s="59">
        <f t="shared" si="61"/>
        <v>0.41875000000000018</v>
      </c>
    </row>
    <row r="35" spans="1:65" ht="30" customHeight="1" x14ac:dyDescent="0.25">
      <c r="C35" s="59">
        <f t="shared" ref="C35:BL35" si="66">IF(C11&gt;$B$34,C11-$B$34,0)</f>
        <v>0</v>
      </c>
      <c r="D35" s="59">
        <f t="shared" si="66"/>
        <v>0</v>
      </c>
      <c r="E35" s="59">
        <f t="shared" si="66"/>
        <v>0</v>
      </c>
      <c r="F35" s="59">
        <f t="shared" si="66"/>
        <v>0</v>
      </c>
      <c r="G35" s="59">
        <f t="shared" si="66"/>
        <v>0</v>
      </c>
      <c r="H35" s="59">
        <f t="shared" si="66"/>
        <v>0</v>
      </c>
      <c r="I35" s="59">
        <f t="shared" si="66"/>
        <v>0</v>
      </c>
      <c r="J35" s="59">
        <f t="shared" si="66"/>
        <v>3.2638888888888995E-2</v>
      </c>
      <c r="K35" s="59">
        <f t="shared" si="66"/>
        <v>0</v>
      </c>
      <c r="L35" s="59">
        <f t="shared" si="66"/>
        <v>6.3888888888888995E-2</v>
      </c>
      <c r="M35" s="59">
        <f t="shared" si="66"/>
        <v>0</v>
      </c>
      <c r="N35" s="59">
        <f t="shared" si="66"/>
        <v>0</v>
      </c>
      <c r="O35" s="59">
        <f t="shared" si="66"/>
        <v>0</v>
      </c>
      <c r="P35" s="59">
        <f t="shared" si="66"/>
        <v>0</v>
      </c>
      <c r="Q35" s="59">
        <f t="shared" si="66"/>
        <v>0</v>
      </c>
      <c r="R35" s="59">
        <f t="shared" si="66"/>
        <v>0</v>
      </c>
      <c r="S35" s="59">
        <f t="shared" si="66"/>
        <v>0</v>
      </c>
      <c r="T35" s="59">
        <f t="shared" si="66"/>
        <v>2.8472222222222232E-2</v>
      </c>
      <c r="U35" s="59">
        <f t="shared" si="66"/>
        <v>0</v>
      </c>
      <c r="V35" s="59">
        <f t="shared" si="66"/>
        <v>0.10555555555555562</v>
      </c>
      <c r="W35" s="59">
        <f t="shared" si="66"/>
        <v>0</v>
      </c>
      <c r="X35" s="59">
        <f t="shared" si="66"/>
        <v>0</v>
      </c>
      <c r="Y35" s="59">
        <f t="shared" si="66"/>
        <v>0</v>
      </c>
      <c r="Z35" s="59">
        <f t="shared" si="66"/>
        <v>0</v>
      </c>
      <c r="AA35" s="59">
        <f t="shared" si="66"/>
        <v>0</v>
      </c>
      <c r="AB35" s="59">
        <f t="shared" si="66"/>
        <v>0</v>
      </c>
      <c r="AC35" s="59">
        <f t="shared" si="66"/>
        <v>0</v>
      </c>
      <c r="AD35" s="59">
        <f t="shared" si="66"/>
        <v>0</v>
      </c>
      <c r="AE35" s="59">
        <f t="shared" si="66"/>
        <v>0</v>
      </c>
      <c r="AF35" s="59">
        <f t="shared" si="66"/>
        <v>0</v>
      </c>
      <c r="AG35" s="59">
        <f t="shared" si="66"/>
        <v>0</v>
      </c>
      <c r="AH35" s="59">
        <f t="shared" si="66"/>
        <v>6.597222222222221E-2</v>
      </c>
      <c r="AI35" s="59">
        <f t="shared" si="66"/>
        <v>0</v>
      </c>
      <c r="AJ35" s="59">
        <f t="shared" si="66"/>
        <v>0</v>
      </c>
      <c r="AK35" s="59">
        <f t="shared" si="66"/>
        <v>0</v>
      </c>
      <c r="AL35" s="59">
        <f t="shared" si="66"/>
        <v>0</v>
      </c>
      <c r="AM35" s="59">
        <f t="shared" si="66"/>
        <v>0</v>
      </c>
      <c r="AN35" s="59">
        <f t="shared" si="66"/>
        <v>0</v>
      </c>
      <c r="AO35" s="59">
        <f t="shared" si="66"/>
        <v>0</v>
      </c>
      <c r="AP35" s="59">
        <f t="shared" si="66"/>
        <v>0</v>
      </c>
      <c r="AQ35" s="59">
        <f t="shared" si="66"/>
        <v>0</v>
      </c>
      <c r="AR35" s="59">
        <f t="shared" si="66"/>
        <v>0</v>
      </c>
      <c r="AS35" s="59">
        <f t="shared" si="66"/>
        <v>0</v>
      </c>
      <c r="AT35" s="59">
        <f t="shared" si="66"/>
        <v>0</v>
      </c>
      <c r="AU35" s="59">
        <f t="shared" si="66"/>
        <v>0</v>
      </c>
      <c r="AV35" s="59">
        <f t="shared" si="66"/>
        <v>0</v>
      </c>
      <c r="AW35" s="59">
        <f t="shared" si="66"/>
        <v>0</v>
      </c>
      <c r="AX35" s="59">
        <f t="shared" si="66"/>
        <v>0.1069444444444444</v>
      </c>
      <c r="AY35" s="59">
        <f t="shared" si="66"/>
        <v>0</v>
      </c>
      <c r="AZ35" s="59">
        <f t="shared" si="66"/>
        <v>0</v>
      </c>
      <c r="BA35" s="59">
        <f t="shared" si="66"/>
        <v>0</v>
      </c>
      <c r="BB35" s="59">
        <f t="shared" si="66"/>
        <v>8.3333333333333037E-3</v>
      </c>
      <c r="BC35" s="59">
        <f t="shared" si="66"/>
        <v>0</v>
      </c>
      <c r="BD35" s="59">
        <f t="shared" si="66"/>
        <v>0</v>
      </c>
      <c r="BE35" s="59">
        <f t="shared" si="66"/>
        <v>0</v>
      </c>
      <c r="BF35" s="59">
        <f t="shared" si="66"/>
        <v>0</v>
      </c>
      <c r="BG35" s="59">
        <f t="shared" si="66"/>
        <v>0</v>
      </c>
      <c r="BH35" s="59">
        <f t="shared" si="66"/>
        <v>4.166666666666663E-2</v>
      </c>
      <c r="BI35" s="59">
        <f t="shared" si="66"/>
        <v>0</v>
      </c>
      <c r="BJ35" s="59">
        <f t="shared" si="66"/>
        <v>0</v>
      </c>
      <c r="BK35" s="59">
        <f t="shared" si="66"/>
        <v>0</v>
      </c>
      <c r="BL35" s="59">
        <f t="shared" si="66"/>
        <v>0</v>
      </c>
      <c r="BM35" s="59">
        <f t="shared" si="61"/>
        <v>0.45347222222222239</v>
      </c>
    </row>
    <row r="36" spans="1:65" ht="30" customHeight="1" x14ac:dyDescent="0.25">
      <c r="C36" s="59">
        <f t="shared" ref="C36:BL36" si="67">IF(C12&gt;$B$34,C12-$B$34,0)</f>
        <v>0</v>
      </c>
      <c r="D36" s="59">
        <f t="shared" si="67"/>
        <v>0</v>
      </c>
      <c r="E36" s="59">
        <f t="shared" si="67"/>
        <v>0</v>
      </c>
      <c r="F36" s="59">
        <f t="shared" si="67"/>
        <v>0</v>
      </c>
      <c r="G36" s="59">
        <f t="shared" si="67"/>
        <v>0</v>
      </c>
      <c r="H36" s="59">
        <f t="shared" si="67"/>
        <v>5.6250000000000022E-2</v>
      </c>
      <c r="I36" s="59">
        <f t="shared" si="67"/>
        <v>0</v>
      </c>
      <c r="J36" s="59">
        <f t="shared" si="67"/>
        <v>3.472222222222221E-2</v>
      </c>
      <c r="K36" s="59">
        <f t="shared" si="67"/>
        <v>0</v>
      </c>
      <c r="L36" s="59">
        <f t="shared" si="67"/>
        <v>7.986111111111116E-2</v>
      </c>
      <c r="M36" s="59">
        <f t="shared" si="67"/>
        <v>0</v>
      </c>
      <c r="N36" s="59">
        <f t="shared" si="67"/>
        <v>0</v>
      </c>
      <c r="O36" s="59">
        <f t="shared" si="67"/>
        <v>0</v>
      </c>
      <c r="P36" s="59">
        <f t="shared" si="67"/>
        <v>0</v>
      </c>
      <c r="Q36" s="59">
        <f t="shared" si="67"/>
        <v>0</v>
      </c>
      <c r="R36" s="59">
        <f t="shared" si="67"/>
        <v>0.10416666666666663</v>
      </c>
      <c r="S36" s="59">
        <f t="shared" si="67"/>
        <v>0</v>
      </c>
      <c r="T36" s="59">
        <f t="shared" si="67"/>
        <v>2.9166666666666674E-2</v>
      </c>
      <c r="U36" s="59">
        <f t="shared" si="67"/>
        <v>0</v>
      </c>
      <c r="V36" s="59">
        <f t="shared" si="67"/>
        <v>7.6388888888888618E-3</v>
      </c>
      <c r="W36" s="59">
        <f t="shared" si="67"/>
        <v>0</v>
      </c>
      <c r="X36" s="59">
        <f t="shared" si="67"/>
        <v>0</v>
      </c>
      <c r="Y36" s="59">
        <f t="shared" si="67"/>
        <v>0</v>
      </c>
      <c r="Z36" s="59">
        <f t="shared" si="67"/>
        <v>0</v>
      </c>
      <c r="AA36" s="59">
        <f t="shared" si="67"/>
        <v>0</v>
      </c>
      <c r="AB36" s="59">
        <f t="shared" si="67"/>
        <v>0</v>
      </c>
      <c r="AC36" s="59">
        <f t="shared" si="67"/>
        <v>0</v>
      </c>
      <c r="AD36" s="59">
        <f t="shared" si="67"/>
        <v>0</v>
      </c>
      <c r="AE36" s="59">
        <f t="shared" si="67"/>
        <v>0</v>
      </c>
      <c r="AF36" s="59">
        <f t="shared" si="67"/>
        <v>3.0555555555555558E-2</v>
      </c>
      <c r="AG36" s="59">
        <f t="shared" si="67"/>
        <v>0</v>
      </c>
      <c r="AH36" s="59">
        <f t="shared" si="67"/>
        <v>0</v>
      </c>
      <c r="AI36" s="59">
        <f t="shared" si="67"/>
        <v>0</v>
      </c>
      <c r="AJ36" s="59">
        <f t="shared" si="67"/>
        <v>2.7777777777777679E-3</v>
      </c>
      <c r="AK36" s="59">
        <f t="shared" si="67"/>
        <v>0</v>
      </c>
      <c r="AL36" s="59">
        <f t="shared" si="67"/>
        <v>9.375E-2</v>
      </c>
      <c r="AM36" s="59">
        <f t="shared" si="67"/>
        <v>0</v>
      </c>
      <c r="AN36" s="59">
        <f t="shared" si="67"/>
        <v>8.6805555555555469E-2</v>
      </c>
      <c r="AO36" s="59">
        <f t="shared" si="67"/>
        <v>0</v>
      </c>
      <c r="AP36" s="59">
        <f t="shared" si="67"/>
        <v>0</v>
      </c>
      <c r="AQ36" s="59">
        <f t="shared" si="67"/>
        <v>0</v>
      </c>
      <c r="AR36" s="59">
        <f t="shared" si="67"/>
        <v>0</v>
      </c>
      <c r="AS36" s="59">
        <f t="shared" si="67"/>
        <v>0</v>
      </c>
      <c r="AT36" s="59">
        <f t="shared" si="67"/>
        <v>7.5694444444444398E-2</v>
      </c>
      <c r="AU36" s="59">
        <f t="shared" si="67"/>
        <v>0</v>
      </c>
      <c r="AV36" s="59">
        <f t="shared" si="67"/>
        <v>7.5694444444444398E-2</v>
      </c>
      <c r="AW36" s="59">
        <f t="shared" si="67"/>
        <v>0</v>
      </c>
      <c r="AX36" s="59">
        <f t="shared" si="67"/>
        <v>8.7500000000000022E-2</v>
      </c>
      <c r="AY36" s="59">
        <f t="shared" si="67"/>
        <v>0</v>
      </c>
      <c r="AZ36" s="59">
        <f t="shared" si="67"/>
        <v>9.5138888888888995E-2</v>
      </c>
      <c r="BA36" s="59">
        <f t="shared" si="67"/>
        <v>0</v>
      </c>
      <c r="BB36" s="59">
        <f t="shared" si="67"/>
        <v>0</v>
      </c>
      <c r="BC36" s="59">
        <f t="shared" si="67"/>
        <v>0</v>
      </c>
      <c r="BD36" s="59">
        <f t="shared" si="67"/>
        <v>0</v>
      </c>
      <c r="BE36" s="59">
        <f t="shared" si="67"/>
        <v>0</v>
      </c>
      <c r="BF36" s="59">
        <f t="shared" si="67"/>
        <v>0</v>
      </c>
      <c r="BG36" s="59">
        <f t="shared" si="67"/>
        <v>0</v>
      </c>
      <c r="BH36" s="59">
        <f t="shared" si="67"/>
        <v>0.13124999999999998</v>
      </c>
      <c r="BI36" s="59">
        <f t="shared" si="67"/>
        <v>0</v>
      </c>
      <c r="BJ36" s="59">
        <f t="shared" si="67"/>
        <v>3.8888888888888862E-2</v>
      </c>
      <c r="BK36" s="59">
        <f t="shared" si="67"/>
        <v>0</v>
      </c>
      <c r="BL36" s="59">
        <f t="shared" si="67"/>
        <v>9.5138888888888995E-2</v>
      </c>
      <c r="BM36" s="59">
        <f t="shared" si="61"/>
        <v>1.125</v>
      </c>
    </row>
    <row r="37" spans="1:65" ht="30" customHeight="1" x14ac:dyDescent="0.25">
      <c r="C37" s="59">
        <f t="shared" ref="C37:BL37" si="68">IF(C13&gt;$B$34,C13-$B$34,0)</f>
        <v>0</v>
      </c>
      <c r="D37" s="59">
        <f t="shared" si="68"/>
        <v>8.9583333333333237E-2</v>
      </c>
      <c r="E37" s="59">
        <f t="shared" si="68"/>
        <v>0</v>
      </c>
      <c r="F37" s="59">
        <f t="shared" si="68"/>
        <v>8.9583333333333237E-2</v>
      </c>
      <c r="G37" s="59">
        <f t="shared" si="68"/>
        <v>0</v>
      </c>
      <c r="H37" s="59">
        <f t="shared" si="68"/>
        <v>8.8888888888888906E-2</v>
      </c>
      <c r="I37" s="59">
        <f t="shared" si="68"/>
        <v>0</v>
      </c>
      <c r="J37" s="59">
        <f t="shared" si="68"/>
        <v>8.6111111111111138E-2</v>
      </c>
      <c r="K37" s="59">
        <f t="shared" si="68"/>
        <v>0</v>
      </c>
      <c r="L37" s="59">
        <f t="shared" si="68"/>
        <v>0.12777777777777777</v>
      </c>
      <c r="M37" s="59">
        <f t="shared" si="68"/>
        <v>0</v>
      </c>
      <c r="N37" s="59">
        <f t="shared" si="68"/>
        <v>0</v>
      </c>
      <c r="O37" s="59">
        <f t="shared" si="68"/>
        <v>0</v>
      </c>
      <c r="P37" s="59">
        <f t="shared" si="68"/>
        <v>0</v>
      </c>
      <c r="Q37" s="59">
        <f t="shared" si="68"/>
        <v>0</v>
      </c>
      <c r="R37" s="59">
        <f t="shared" si="68"/>
        <v>0</v>
      </c>
      <c r="S37" s="59">
        <f t="shared" si="68"/>
        <v>0</v>
      </c>
      <c r="T37" s="59">
        <f t="shared" si="68"/>
        <v>7.986111111111116E-2</v>
      </c>
      <c r="U37" s="59">
        <f t="shared" si="68"/>
        <v>0</v>
      </c>
      <c r="V37" s="59">
        <f t="shared" si="68"/>
        <v>0.11944444444444446</v>
      </c>
      <c r="W37" s="59">
        <f t="shared" si="68"/>
        <v>0</v>
      </c>
      <c r="X37" s="59">
        <f t="shared" si="68"/>
        <v>7.986111111111116E-2</v>
      </c>
      <c r="Y37" s="59">
        <f t="shared" si="68"/>
        <v>0</v>
      </c>
      <c r="Z37" s="59">
        <f t="shared" si="68"/>
        <v>0</v>
      </c>
      <c r="AA37" s="59">
        <f t="shared" si="68"/>
        <v>0</v>
      </c>
      <c r="AB37" s="59">
        <f t="shared" si="68"/>
        <v>0</v>
      </c>
      <c r="AC37" s="59">
        <f t="shared" si="68"/>
        <v>0</v>
      </c>
      <c r="AD37" s="59">
        <f t="shared" si="68"/>
        <v>0</v>
      </c>
      <c r="AE37" s="59">
        <f t="shared" si="68"/>
        <v>0</v>
      </c>
      <c r="AF37" s="59">
        <f t="shared" si="68"/>
        <v>8.0555555555555602E-2</v>
      </c>
      <c r="AG37" s="59">
        <f t="shared" si="68"/>
        <v>0</v>
      </c>
      <c r="AH37" s="59">
        <f t="shared" si="68"/>
        <v>0.12916666666666676</v>
      </c>
      <c r="AI37" s="59">
        <f t="shared" si="68"/>
        <v>0</v>
      </c>
      <c r="AJ37" s="59">
        <f t="shared" si="68"/>
        <v>0</v>
      </c>
      <c r="AK37" s="59">
        <f t="shared" si="68"/>
        <v>0</v>
      </c>
      <c r="AL37" s="59">
        <f t="shared" si="68"/>
        <v>0.11805555555555547</v>
      </c>
      <c r="AM37" s="59">
        <f t="shared" si="68"/>
        <v>0</v>
      </c>
      <c r="AN37" s="59">
        <f t="shared" si="68"/>
        <v>5.2777777777777701E-2</v>
      </c>
      <c r="AO37" s="59">
        <f t="shared" si="68"/>
        <v>0</v>
      </c>
      <c r="AP37" s="59">
        <f t="shared" si="68"/>
        <v>0</v>
      </c>
      <c r="AQ37" s="59">
        <f t="shared" si="68"/>
        <v>0</v>
      </c>
      <c r="AR37" s="59">
        <f t="shared" si="68"/>
        <v>0</v>
      </c>
      <c r="AS37" s="59">
        <f t="shared" si="68"/>
        <v>0</v>
      </c>
      <c r="AT37" s="59">
        <f t="shared" si="68"/>
        <v>9.1666666666666674E-2</v>
      </c>
      <c r="AU37" s="59">
        <f t="shared" si="68"/>
        <v>0</v>
      </c>
      <c r="AV37" s="59">
        <f t="shared" si="68"/>
        <v>8.1944444444444375E-2</v>
      </c>
      <c r="AW37" s="59">
        <f t="shared" si="68"/>
        <v>0</v>
      </c>
      <c r="AX37" s="59">
        <f t="shared" si="68"/>
        <v>8.8888888888888906E-2</v>
      </c>
      <c r="AY37" s="59">
        <f t="shared" si="68"/>
        <v>0</v>
      </c>
      <c r="AZ37" s="59">
        <f t="shared" si="68"/>
        <v>0.13124999999999998</v>
      </c>
      <c r="BA37" s="59">
        <f t="shared" si="68"/>
        <v>0</v>
      </c>
      <c r="BB37" s="59">
        <f t="shared" si="68"/>
        <v>0</v>
      </c>
      <c r="BC37" s="59">
        <f t="shared" si="68"/>
        <v>0</v>
      </c>
      <c r="BD37" s="59">
        <f t="shared" si="68"/>
        <v>0</v>
      </c>
      <c r="BE37" s="59">
        <f t="shared" si="68"/>
        <v>0</v>
      </c>
      <c r="BF37" s="59">
        <f t="shared" si="68"/>
        <v>0</v>
      </c>
      <c r="BG37" s="59">
        <f t="shared" si="68"/>
        <v>0</v>
      </c>
      <c r="BH37" s="59">
        <f t="shared" si="68"/>
        <v>9.0972222222222232E-2</v>
      </c>
      <c r="BI37" s="59">
        <f t="shared" si="68"/>
        <v>0</v>
      </c>
      <c r="BJ37" s="59">
        <f t="shared" si="68"/>
        <v>0</v>
      </c>
      <c r="BK37" s="59">
        <f t="shared" si="68"/>
        <v>0</v>
      </c>
      <c r="BL37" s="59">
        <f t="shared" si="68"/>
        <v>0.13124999999999998</v>
      </c>
      <c r="BM37" s="59">
        <f t="shared" si="61"/>
        <v>1.7576388888888892</v>
      </c>
    </row>
    <row r="38" spans="1:65" ht="30" customHeight="1" x14ac:dyDescent="0.25">
      <c r="C38" s="59">
        <f t="shared" ref="C38:BL38" si="69">IF(C14&gt;$B$34,C14-$B$34,0)</f>
        <v>0</v>
      </c>
      <c r="D38" s="59">
        <f t="shared" si="69"/>
        <v>0</v>
      </c>
      <c r="E38" s="59">
        <f t="shared" si="69"/>
        <v>0</v>
      </c>
      <c r="F38" s="59">
        <f t="shared" si="69"/>
        <v>0</v>
      </c>
      <c r="G38" s="59">
        <f t="shared" si="69"/>
        <v>0</v>
      </c>
      <c r="H38" s="59">
        <f t="shared" si="69"/>
        <v>0</v>
      </c>
      <c r="I38" s="59">
        <f t="shared" si="69"/>
        <v>0</v>
      </c>
      <c r="J38" s="59">
        <f t="shared" si="69"/>
        <v>0</v>
      </c>
      <c r="K38" s="59">
        <f t="shared" si="69"/>
        <v>0</v>
      </c>
      <c r="L38" s="59">
        <f t="shared" si="69"/>
        <v>0</v>
      </c>
      <c r="M38" s="59">
        <f t="shared" si="69"/>
        <v>0</v>
      </c>
      <c r="N38" s="59">
        <f t="shared" si="69"/>
        <v>0</v>
      </c>
      <c r="O38" s="59">
        <f t="shared" si="69"/>
        <v>0</v>
      </c>
      <c r="P38" s="59">
        <f t="shared" si="69"/>
        <v>0</v>
      </c>
      <c r="Q38" s="59">
        <f t="shared" si="69"/>
        <v>0</v>
      </c>
      <c r="R38" s="59">
        <f t="shared" si="69"/>
        <v>0</v>
      </c>
      <c r="S38" s="59">
        <f t="shared" si="69"/>
        <v>0</v>
      </c>
      <c r="T38" s="59">
        <f t="shared" si="69"/>
        <v>0</v>
      </c>
      <c r="U38" s="59">
        <f t="shared" si="69"/>
        <v>0</v>
      </c>
      <c r="V38" s="59">
        <f t="shared" si="69"/>
        <v>8.4722222222222254E-2</v>
      </c>
      <c r="W38" s="59">
        <f t="shared" si="69"/>
        <v>0</v>
      </c>
      <c r="X38" s="59">
        <f t="shared" si="69"/>
        <v>0</v>
      </c>
      <c r="Y38" s="59">
        <f t="shared" si="69"/>
        <v>0</v>
      </c>
      <c r="Z38" s="59">
        <f t="shared" si="69"/>
        <v>0</v>
      </c>
      <c r="AA38" s="59">
        <f t="shared" si="69"/>
        <v>0</v>
      </c>
      <c r="AB38" s="59">
        <f t="shared" si="69"/>
        <v>0</v>
      </c>
      <c r="AC38" s="59">
        <f t="shared" si="69"/>
        <v>0</v>
      </c>
      <c r="AD38" s="59">
        <f t="shared" si="69"/>
        <v>0</v>
      </c>
      <c r="AE38" s="59">
        <f t="shared" si="69"/>
        <v>0</v>
      </c>
      <c r="AF38" s="59">
        <f t="shared" si="69"/>
        <v>0</v>
      </c>
      <c r="AG38" s="59">
        <f t="shared" si="69"/>
        <v>0</v>
      </c>
      <c r="AH38" s="59">
        <f t="shared" si="69"/>
        <v>0</v>
      </c>
      <c r="AI38" s="59">
        <f t="shared" si="69"/>
        <v>0</v>
      </c>
      <c r="AJ38" s="59">
        <f t="shared" si="69"/>
        <v>0</v>
      </c>
      <c r="AK38" s="59">
        <f t="shared" si="69"/>
        <v>0</v>
      </c>
      <c r="AL38" s="59">
        <f t="shared" si="69"/>
        <v>0</v>
      </c>
      <c r="AM38" s="59">
        <f t="shared" si="69"/>
        <v>0</v>
      </c>
      <c r="AN38" s="59">
        <f t="shared" si="69"/>
        <v>0</v>
      </c>
      <c r="AO38" s="59">
        <f t="shared" si="69"/>
        <v>0</v>
      </c>
      <c r="AP38" s="59">
        <f t="shared" si="69"/>
        <v>0</v>
      </c>
      <c r="AQ38" s="59">
        <f t="shared" si="69"/>
        <v>0</v>
      </c>
      <c r="AR38" s="59">
        <f t="shared" si="69"/>
        <v>0</v>
      </c>
      <c r="AS38" s="59">
        <f t="shared" si="69"/>
        <v>0</v>
      </c>
      <c r="AT38" s="59">
        <f t="shared" si="69"/>
        <v>0</v>
      </c>
      <c r="AU38" s="59">
        <f t="shared" si="69"/>
        <v>0</v>
      </c>
      <c r="AV38" s="59">
        <f t="shared" si="69"/>
        <v>0</v>
      </c>
      <c r="AW38" s="59">
        <f t="shared" si="69"/>
        <v>0</v>
      </c>
      <c r="AX38" s="59">
        <f t="shared" si="69"/>
        <v>0</v>
      </c>
      <c r="AY38" s="59">
        <f t="shared" si="69"/>
        <v>0</v>
      </c>
      <c r="AZ38" s="59">
        <f t="shared" si="69"/>
        <v>0.13124999999999998</v>
      </c>
      <c r="BA38" s="59">
        <f t="shared" si="69"/>
        <v>0</v>
      </c>
      <c r="BB38" s="59">
        <f t="shared" si="69"/>
        <v>0</v>
      </c>
      <c r="BC38" s="59">
        <f t="shared" si="69"/>
        <v>0</v>
      </c>
      <c r="BD38" s="59">
        <f t="shared" si="69"/>
        <v>0</v>
      </c>
      <c r="BE38" s="59">
        <f t="shared" si="69"/>
        <v>0</v>
      </c>
      <c r="BF38" s="59">
        <f t="shared" si="69"/>
        <v>0</v>
      </c>
      <c r="BG38" s="59">
        <f t="shared" si="69"/>
        <v>0</v>
      </c>
      <c r="BH38" s="59">
        <f t="shared" si="69"/>
        <v>6.597222222222221E-2</v>
      </c>
      <c r="BI38" s="59">
        <f t="shared" si="69"/>
        <v>0</v>
      </c>
      <c r="BJ38" s="59">
        <f t="shared" si="69"/>
        <v>0</v>
      </c>
      <c r="BK38" s="59">
        <f t="shared" si="69"/>
        <v>0</v>
      </c>
      <c r="BL38" s="59">
        <f t="shared" si="69"/>
        <v>0.13124999999999998</v>
      </c>
      <c r="BM38" s="59">
        <f t="shared" si="61"/>
        <v>0.41319444444444442</v>
      </c>
    </row>
    <row r="39" spans="1:65" ht="30" customHeight="1" x14ac:dyDescent="0.25">
      <c r="C39" s="59">
        <f t="shared" ref="C39:BL39" si="70">IF(C15&gt;$B$34,C15-$B$34,0)</f>
        <v>0</v>
      </c>
      <c r="D39" s="59">
        <f t="shared" si="70"/>
        <v>0</v>
      </c>
      <c r="E39" s="59">
        <f t="shared" si="70"/>
        <v>0</v>
      </c>
      <c r="F39" s="59">
        <f t="shared" si="70"/>
        <v>0</v>
      </c>
      <c r="G39" s="59">
        <f t="shared" si="70"/>
        <v>0</v>
      </c>
      <c r="H39" s="59">
        <f t="shared" si="70"/>
        <v>8.3333333333333037E-3</v>
      </c>
      <c r="I39" s="59">
        <f t="shared" si="70"/>
        <v>0</v>
      </c>
      <c r="J39" s="59">
        <f t="shared" si="70"/>
        <v>0</v>
      </c>
      <c r="K39" s="59">
        <f t="shared" si="70"/>
        <v>0</v>
      </c>
      <c r="L39" s="59">
        <f t="shared" si="70"/>
        <v>0.13611111111111107</v>
      </c>
      <c r="M39" s="59">
        <f t="shared" si="70"/>
        <v>0</v>
      </c>
      <c r="N39" s="59">
        <f t="shared" si="70"/>
        <v>0</v>
      </c>
      <c r="O39" s="59">
        <f t="shared" si="70"/>
        <v>0</v>
      </c>
      <c r="P39" s="59">
        <f t="shared" si="70"/>
        <v>0</v>
      </c>
      <c r="Q39" s="59">
        <f t="shared" si="70"/>
        <v>0</v>
      </c>
      <c r="R39" s="59">
        <f t="shared" si="70"/>
        <v>0</v>
      </c>
      <c r="S39" s="59">
        <f t="shared" si="70"/>
        <v>0</v>
      </c>
      <c r="T39" s="59">
        <f t="shared" si="70"/>
        <v>8.3333333333333037E-3</v>
      </c>
      <c r="U39" s="59">
        <f t="shared" si="70"/>
        <v>0</v>
      </c>
      <c r="V39" s="59">
        <f t="shared" si="70"/>
        <v>3.8194444444444531E-2</v>
      </c>
      <c r="W39" s="59">
        <f t="shared" si="70"/>
        <v>0</v>
      </c>
      <c r="X39" s="59">
        <f t="shared" si="70"/>
        <v>0</v>
      </c>
      <c r="Y39" s="59">
        <f t="shared" si="70"/>
        <v>0</v>
      </c>
      <c r="Z39" s="59">
        <f t="shared" si="70"/>
        <v>0</v>
      </c>
      <c r="AA39" s="59">
        <f t="shared" si="70"/>
        <v>0</v>
      </c>
      <c r="AB39" s="59">
        <f t="shared" si="70"/>
        <v>0</v>
      </c>
      <c r="AC39" s="59">
        <f t="shared" si="70"/>
        <v>0</v>
      </c>
      <c r="AD39" s="59">
        <f t="shared" si="70"/>
        <v>0</v>
      </c>
      <c r="AE39" s="59">
        <f t="shared" si="70"/>
        <v>0</v>
      </c>
      <c r="AF39" s="59">
        <f t="shared" si="70"/>
        <v>0</v>
      </c>
      <c r="AG39" s="59">
        <f t="shared" si="70"/>
        <v>0</v>
      </c>
      <c r="AH39" s="59">
        <f t="shared" si="70"/>
        <v>7.7777777777777835E-2</v>
      </c>
      <c r="AI39" s="59">
        <f t="shared" si="70"/>
        <v>0</v>
      </c>
      <c r="AJ39" s="59">
        <f t="shared" si="70"/>
        <v>2.8472222222222232E-2</v>
      </c>
      <c r="AK39" s="59">
        <f t="shared" si="70"/>
        <v>0</v>
      </c>
      <c r="AL39" s="59">
        <f t="shared" si="70"/>
        <v>0</v>
      </c>
      <c r="AM39" s="59">
        <f t="shared" si="70"/>
        <v>0</v>
      </c>
      <c r="AN39" s="59">
        <f t="shared" si="70"/>
        <v>0</v>
      </c>
      <c r="AO39" s="59">
        <f t="shared" si="70"/>
        <v>0</v>
      </c>
      <c r="AP39" s="59">
        <f t="shared" si="70"/>
        <v>0</v>
      </c>
      <c r="AQ39" s="59">
        <f t="shared" si="70"/>
        <v>0</v>
      </c>
      <c r="AR39" s="59">
        <f t="shared" si="70"/>
        <v>0</v>
      </c>
      <c r="AS39" s="59">
        <f t="shared" si="70"/>
        <v>0</v>
      </c>
      <c r="AT39" s="59">
        <f t="shared" si="70"/>
        <v>0.10624999999999996</v>
      </c>
      <c r="AU39" s="59">
        <f t="shared" si="70"/>
        <v>0</v>
      </c>
      <c r="AV39" s="59">
        <f t="shared" si="70"/>
        <v>0</v>
      </c>
      <c r="AW39" s="59">
        <f t="shared" si="70"/>
        <v>0</v>
      </c>
      <c r="AX39" s="59">
        <f t="shared" si="70"/>
        <v>0</v>
      </c>
      <c r="AY39" s="59">
        <f t="shared" si="70"/>
        <v>0</v>
      </c>
      <c r="AZ39" s="59">
        <f t="shared" si="70"/>
        <v>2.8472222222222232E-2</v>
      </c>
      <c r="BA39" s="59">
        <f t="shared" si="70"/>
        <v>0</v>
      </c>
      <c r="BB39" s="59">
        <f t="shared" si="70"/>
        <v>0</v>
      </c>
      <c r="BC39" s="59">
        <f t="shared" si="70"/>
        <v>0</v>
      </c>
      <c r="BD39" s="59">
        <f t="shared" si="70"/>
        <v>0</v>
      </c>
      <c r="BE39" s="59">
        <f t="shared" si="70"/>
        <v>0</v>
      </c>
      <c r="BF39" s="59">
        <f t="shared" si="70"/>
        <v>0</v>
      </c>
      <c r="BG39" s="59">
        <f t="shared" si="70"/>
        <v>0</v>
      </c>
      <c r="BH39" s="59">
        <f t="shared" si="70"/>
        <v>0</v>
      </c>
      <c r="BI39" s="59">
        <f t="shared" si="70"/>
        <v>0</v>
      </c>
      <c r="BJ39" s="59">
        <f t="shared" si="70"/>
        <v>0</v>
      </c>
      <c r="BK39" s="59">
        <f t="shared" si="70"/>
        <v>0</v>
      </c>
      <c r="BL39" s="59">
        <f t="shared" si="70"/>
        <v>2.8472222222222232E-2</v>
      </c>
      <c r="BM39" s="59">
        <f t="shared" si="61"/>
        <v>0.4604166666666667</v>
      </c>
    </row>
    <row r="40" spans="1:65" ht="30" customHeight="1" x14ac:dyDescent="0.25">
      <c r="C40" s="59">
        <f t="shared" ref="C40:BL40" si="71">IF(C16&gt;$B$34,C16-$B$34,0)</f>
        <v>0</v>
      </c>
      <c r="D40" s="59">
        <f t="shared" si="71"/>
        <v>0</v>
      </c>
      <c r="E40" s="59">
        <f t="shared" si="71"/>
        <v>0</v>
      </c>
      <c r="F40" s="59">
        <f t="shared" si="71"/>
        <v>0</v>
      </c>
      <c r="G40" s="59">
        <f t="shared" si="71"/>
        <v>0</v>
      </c>
      <c r="H40" s="59">
        <f t="shared" si="71"/>
        <v>8.3333333333333037E-3</v>
      </c>
      <c r="I40" s="59">
        <f t="shared" si="71"/>
        <v>0</v>
      </c>
      <c r="J40" s="59">
        <f t="shared" si="71"/>
        <v>2.8472222222222232E-2</v>
      </c>
      <c r="K40" s="59">
        <f t="shared" si="71"/>
        <v>0</v>
      </c>
      <c r="L40" s="59">
        <f t="shared" si="71"/>
        <v>6.3194444444444442E-2</v>
      </c>
      <c r="M40" s="59">
        <f t="shared" si="71"/>
        <v>0</v>
      </c>
      <c r="N40" s="59">
        <f t="shared" si="71"/>
        <v>0</v>
      </c>
      <c r="O40" s="59">
        <f t="shared" si="71"/>
        <v>0</v>
      </c>
      <c r="P40" s="59">
        <f t="shared" si="71"/>
        <v>0</v>
      </c>
      <c r="Q40" s="59">
        <f t="shared" si="71"/>
        <v>0</v>
      </c>
      <c r="R40" s="59">
        <f t="shared" si="71"/>
        <v>0</v>
      </c>
      <c r="S40" s="59">
        <f t="shared" si="71"/>
        <v>0</v>
      </c>
      <c r="T40" s="59">
        <f t="shared" si="71"/>
        <v>0</v>
      </c>
      <c r="U40" s="59">
        <f t="shared" si="71"/>
        <v>0</v>
      </c>
      <c r="V40" s="59">
        <f t="shared" si="71"/>
        <v>0</v>
      </c>
      <c r="W40" s="59">
        <f t="shared" si="71"/>
        <v>0</v>
      </c>
      <c r="X40" s="59">
        <f t="shared" si="71"/>
        <v>0</v>
      </c>
      <c r="Y40" s="59">
        <f t="shared" si="71"/>
        <v>0</v>
      </c>
      <c r="Z40" s="59">
        <f t="shared" si="71"/>
        <v>0</v>
      </c>
      <c r="AA40" s="59">
        <f t="shared" si="71"/>
        <v>0</v>
      </c>
      <c r="AB40" s="59">
        <f t="shared" si="71"/>
        <v>0</v>
      </c>
      <c r="AC40" s="59">
        <f t="shared" si="71"/>
        <v>0</v>
      </c>
      <c r="AD40" s="59">
        <f t="shared" si="71"/>
        <v>0</v>
      </c>
      <c r="AE40" s="59">
        <f t="shared" si="71"/>
        <v>0</v>
      </c>
      <c r="AF40" s="59">
        <f t="shared" si="71"/>
        <v>0</v>
      </c>
      <c r="AG40" s="59">
        <f t="shared" si="71"/>
        <v>0</v>
      </c>
      <c r="AH40" s="59">
        <f t="shared" si="71"/>
        <v>2.8472222222222232E-2</v>
      </c>
      <c r="AI40" s="59">
        <f t="shared" si="71"/>
        <v>0</v>
      </c>
      <c r="AJ40" s="59">
        <f t="shared" si="71"/>
        <v>0</v>
      </c>
      <c r="AK40" s="59">
        <f t="shared" si="71"/>
        <v>0</v>
      </c>
      <c r="AL40" s="59">
        <f t="shared" si="71"/>
        <v>0</v>
      </c>
      <c r="AM40" s="59">
        <f t="shared" si="71"/>
        <v>0</v>
      </c>
      <c r="AN40" s="59">
        <f t="shared" si="71"/>
        <v>0</v>
      </c>
      <c r="AO40" s="59">
        <f t="shared" si="71"/>
        <v>0</v>
      </c>
      <c r="AP40" s="59">
        <f t="shared" si="71"/>
        <v>0</v>
      </c>
      <c r="AQ40" s="59">
        <f t="shared" si="71"/>
        <v>0</v>
      </c>
      <c r="AR40" s="59">
        <f t="shared" si="71"/>
        <v>0</v>
      </c>
      <c r="AS40" s="59">
        <f t="shared" si="71"/>
        <v>0</v>
      </c>
      <c r="AT40" s="59">
        <f t="shared" si="71"/>
        <v>0</v>
      </c>
      <c r="AU40" s="59">
        <f t="shared" si="71"/>
        <v>0</v>
      </c>
      <c r="AV40" s="59">
        <f t="shared" si="71"/>
        <v>0</v>
      </c>
      <c r="AW40" s="59">
        <f t="shared" si="71"/>
        <v>0</v>
      </c>
      <c r="AX40" s="59">
        <f t="shared" si="71"/>
        <v>0</v>
      </c>
      <c r="AY40" s="59">
        <f t="shared" si="71"/>
        <v>0</v>
      </c>
      <c r="AZ40" s="59">
        <f t="shared" si="71"/>
        <v>0</v>
      </c>
      <c r="BA40" s="59">
        <f t="shared" si="71"/>
        <v>0</v>
      </c>
      <c r="BB40" s="59">
        <f t="shared" si="71"/>
        <v>2.8472222222222232E-2</v>
      </c>
      <c r="BC40" s="59">
        <f t="shared" si="71"/>
        <v>0</v>
      </c>
      <c r="BD40" s="59">
        <f t="shared" si="71"/>
        <v>0</v>
      </c>
      <c r="BE40" s="59">
        <f t="shared" si="71"/>
        <v>0</v>
      </c>
      <c r="BF40" s="59">
        <f t="shared" si="71"/>
        <v>0</v>
      </c>
      <c r="BG40" s="59">
        <f t="shared" si="71"/>
        <v>0</v>
      </c>
      <c r="BH40" s="59">
        <f t="shared" si="71"/>
        <v>0</v>
      </c>
      <c r="BI40" s="59">
        <f t="shared" si="71"/>
        <v>0</v>
      </c>
      <c r="BJ40" s="59">
        <f t="shared" si="71"/>
        <v>0</v>
      </c>
      <c r="BK40" s="59">
        <f t="shared" si="71"/>
        <v>0</v>
      </c>
      <c r="BL40" s="59">
        <f t="shared" si="71"/>
        <v>0</v>
      </c>
      <c r="BM40" s="59">
        <f t="shared" si="61"/>
        <v>0.15694444444444444</v>
      </c>
    </row>
    <row r="41" spans="1:65" ht="30" customHeight="1" x14ac:dyDescent="0.25">
      <c r="C41" s="59">
        <f t="shared" ref="C41:BL41" si="72">IF(C17&gt;$B$34,C17-$B$34,0)</f>
        <v>0</v>
      </c>
      <c r="D41" s="59">
        <f t="shared" si="72"/>
        <v>0.1152777777777777</v>
      </c>
      <c r="E41" s="59">
        <f t="shared" si="72"/>
        <v>0</v>
      </c>
      <c r="F41" s="59">
        <f t="shared" si="72"/>
        <v>0.1152777777777777</v>
      </c>
      <c r="G41" s="59">
        <f t="shared" si="72"/>
        <v>0</v>
      </c>
      <c r="H41" s="59">
        <f t="shared" si="72"/>
        <v>0.11736111111111114</v>
      </c>
      <c r="I41" s="59">
        <f t="shared" si="72"/>
        <v>0</v>
      </c>
      <c r="J41" s="59">
        <f t="shared" si="72"/>
        <v>0.1166666666666667</v>
      </c>
      <c r="K41" s="59">
        <f t="shared" si="72"/>
        <v>0</v>
      </c>
      <c r="L41" s="59">
        <f t="shared" si="72"/>
        <v>0.10555555555555562</v>
      </c>
      <c r="M41" s="59">
        <f t="shared" si="72"/>
        <v>0</v>
      </c>
      <c r="N41" s="59">
        <f t="shared" si="72"/>
        <v>0</v>
      </c>
      <c r="O41" s="59">
        <f t="shared" si="72"/>
        <v>0</v>
      </c>
      <c r="P41" s="59">
        <f t="shared" si="72"/>
        <v>0</v>
      </c>
      <c r="Q41" s="59">
        <f t="shared" si="72"/>
        <v>0</v>
      </c>
      <c r="R41" s="59">
        <f t="shared" si="72"/>
        <v>0.11805555555555547</v>
      </c>
      <c r="S41" s="59">
        <f t="shared" si="72"/>
        <v>0</v>
      </c>
      <c r="T41" s="59">
        <f t="shared" si="72"/>
        <v>0.11597222222222225</v>
      </c>
      <c r="U41" s="59">
        <f t="shared" si="72"/>
        <v>0</v>
      </c>
      <c r="V41" s="59">
        <f t="shared" si="72"/>
        <v>0.1152777777777777</v>
      </c>
      <c r="W41" s="59">
        <f t="shared" si="72"/>
        <v>0</v>
      </c>
      <c r="X41" s="59">
        <f t="shared" si="72"/>
        <v>0.11736111111111114</v>
      </c>
      <c r="Y41" s="59">
        <f t="shared" si="72"/>
        <v>0</v>
      </c>
      <c r="Z41" s="59">
        <f t="shared" si="72"/>
        <v>0.11388888888888893</v>
      </c>
      <c r="AA41" s="59">
        <f t="shared" si="72"/>
        <v>0</v>
      </c>
      <c r="AB41" s="59">
        <f t="shared" si="72"/>
        <v>0</v>
      </c>
      <c r="AC41" s="59">
        <f t="shared" si="72"/>
        <v>0</v>
      </c>
      <c r="AD41" s="59">
        <f t="shared" si="72"/>
        <v>0</v>
      </c>
      <c r="AE41" s="59">
        <f t="shared" si="72"/>
        <v>0</v>
      </c>
      <c r="AF41" s="59">
        <f t="shared" si="72"/>
        <v>0.1152777777777777</v>
      </c>
      <c r="AG41" s="59">
        <f t="shared" si="72"/>
        <v>0</v>
      </c>
      <c r="AH41" s="59">
        <f t="shared" si="72"/>
        <v>1.3194444444444398E-2</v>
      </c>
      <c r="AI41" s="59">
        <f t="shared" si="72"/>
        <v>0</v>
      </c>
      <c r="AJ41" s="59">
        <f t="shared" si="72"/>
        <v>3.4722222222222099E-3</v>
      </c>
      <c r="AK41" s="59">
        <f t="shared" si="72"/>
        <v>0</v>
      </c>
      <c r="AL41" s="59">
        <f t="shared" si="72"/>
        <v>0.125</v>
      </c>
      <c r="AM41" s="59">
        <f t="shared" si="72"/>
        <v>0</v>
      </c>
      <c r="AN41" s="59">
        <f t="shared" si="72"/>
        <v>0.11458333333333337</v>
      </c>
      <c r="AO41" s="59">
        <f t="shared" si="72"/>
        <v>0</v>
      </c>
      <c r="AP41" s="59">
        <f t="shared" si="72"/>
        <v>0</v>
      </c>
      <c r="AQ41" s="59">
        <f t="shared" si="72"/>
        <v>0</v>
      </c>
      <c r="AR41" s="59">
        <f t="shared" si="72"/>
        <v>0</v>
      </c>
      <c r="AS41" s="59">
        <f t="shared" si="72"/>
        <v>0</v>
      </c>
      <c r="AT41" s="59">
        <f t="shared" si="72"/>
        <v>0.14166666666666661</v>
      </c>
      <c r="AU41" s="59">
        <f t="shared" si="72"/>
        <v>0</v>
      </c>
      <c r="AV41" s="59">
        <f t="shared" si="72"/>
        <v>0.11805555555555547</v>
      </c>
      <c r="AW41" s="59">
        <f t="shared" si="72"/>
        <v>0</v>
      </c>
      <c r="AX41" s="59">
        <f t="shared" si="72"/>
        <v>0.1069444444444444</v>
      </c>
      <c r="AY41" s="59">
        <f t="shared" si="72"/>
        <v>0</v>
      </c>
      <c r="AZ41" s="59">
        <f t="shared" si="72"/>
        <v>0</v>
      </c>
      <c r="BA41" s="59">
        <f t="shared" si="72"/>
        <v>0</v>
      </c>
      <c r="BB41" s="59">
        <f t="shared" si="72"/>
        <v>0</v>
      </c>
      <c r="BC41" s="59">
        <f t="shared" si="72"/>
        <v>0</v>
      </c>
      <c r="BD41" s="59">
        <f t="shared" si="72"/>
        <v>0</v>
      </c>
      <c r="BE41" s="59">
        <f t="shared" si="72"/>
        <v>0</v>
      </c>
      <c r="BF41" s="59">
        <f t="shared" si="72"/>
        <v>0</v>
      </c>
      <c r="BG41" s="59">
        <f t="shared" si="72"/>
        <v>0</v>
      </c>
      <c r="BH41" s="59">
        <f t="shared" si="72"/>
        <v>4.1666666666667629E-3</v>
      </c>
      <c r="BI41" s="59">
        <f t="shared" si="72"/>
        <v>0</v>
      </c>
      <c r="BJ41" s="59">
        <f t="shared" si="72"/>
        <v>0.1118055555555556</v>
      </c>
      <c r="BK41" s="59">
        <f t="shared" si="72"/>
        <v>0</v>
      </c>
      <c r="BL41" s="59">
        <f t="shared" si="72"/>
        <v>0</v>
      </c>
      <c r="BM41" s="59">
        <f t="shared" si="61"/>
        <v>2.004861111111111</v>
      </c>
    </row>
    <row r="42" spans="1:65" ht="30" customHeight="1" x14ac:dyDescent="0.25">
      <c r="C42" s="59">
        <f t="shared" ref="C42:BL42" si="73">IF(C18&gt;$B$34,C18-$B$34,0)</f>
        <v>0</v>
      </c>
      <c r="D42" s="59">
        <f t="shared" si="73"/>
        <v>0</v>
      </c>
      <c r="E42" s="59">
        <f t="shared" si="73"/>
        <v>0</v>
      </c>
      <c r="F42" s="59">
        <f t="shared" si="73"/>
        <v>0</v>
      </c>
      <c r="G42" s="59">
        <f t="shared" si="73"/>
        <v>0</v>
      </c>
      <c r="H42" s="59">
        <f t="shared" si="73"/>
        <v>0.125</v>
      </c>
      <c r="I42" s="59">
        <f t="shared" si="73"/>
        <v>0</v>
      </c>
      <c r="J42" s="59">
        <f t="shared" si="73"/>
        <v>0</v>
      </c>
      <c r="K42" s="59">
        <f t="shared" si="73"/>
        <v>0</v>
      </c>
      <c r="L42" s="59">
        <f t="shared" si="73"/>
        <v>0.12916666666666676</v>
      </c>
      <c r="M42" s="59">
        <f t="shared" si="73"/>
        <v>0</v>
      </c>
      <c r="N42" s="59">
        <f t="shared" si="73"/>
        <v>0</v>
      </c>
      <c r="O42" s="59">
        <f t="shared" si="73"/>
        <v>0</v>
      </c>
      <c r="P42" s="59">
        <f t="shared" si="73"/>
        <v>0</v>
      </c>
      <c r="Q42" s="59">
        <f t="shared" si="73"/>
        <v>0</v>
      </c>
      <c r="R42" s="59">
        <f t="shared" si="73"/>
        <v>1.5972222222222165E-2</v>
      </c>
      <c r="S42" s="59">
        <f t="shared" si="73"/>
        <v>0</v>
      </c>
      <c r="T42" s="59">
        <f t="shared" si="73"/>
        <v>8.3333333333333037E-3</v>
      </c>
      <c r="U42" s="59">
        <f t="shared" si="73"/>
        <v>0</v>
      </c>
      <c r="V42" s="59">
        <f t="shared" si="73"/>
        <v>8.333333333333337E-2</v>
      </c>
      <c r="W42" s="59">
        <f t="shared" si="73"/>
        <v>0</v>
      </c>
      <c r="X42" s="59">
        <f t="shared" si="73"/>
        <v>0</v>
      </c>
      <c r="Y42" s="59">
        <f t="shared" si="73"/>
        <v>0</v>
      </c>
      <c r="Z42" s="59">
        <f t="shared" si="73"/>
        <v>0</v>
      </c>
      <c r="AA42" s="59">
        <f t="shared" si="73"/>
        <v>0</v>
      </c>
      <c r="AB42" s="59">
        <f t="shared" si="73"/>
        <v>0</v>
      </c>
      <c r="AC42" s="59">
        <f t="shared" si="73"/>
        <v>0</v>
      </c>
      <c r="AD42" s="59">
        <f t="shared" si="73"/>
        <v>0</v>
      </c>
      <c r="AE42" s="59">
        <f t="shared" si="73"/>
        <v>0</v>
      </c>
      <c r="AF42" s="59">
        <f t="shared" si="73"/>
        <v>0</v>
      </c>
      <c r="AG42" s="59">
        <f t="shared" si="73"/>
        <v>0</v>
      </c>
      <c r="AH42" s="59">
        <f t="shared" si="73"/>
        <v>0</v>
      </c>
      <c r="AI42" s="59">
        <f t="shared" si="73"/>
        <v>0</v>
      </c>
      <c r="AJ42" s="59">
        <f t="shared" si="73"/>
        <v>0</v>
      </c>
      <c r="AK42" s="59">
        <f t="shared" si="73"/>
        <v>0</v>
      </c>
      <c r="AL42" s="59">
        <f t="shared" si="73"/>
        <v>0</v>
      </c>
      <c r="AM42" s="59">
        <f t="shared" si="73"/>
        <v>0</v>
      </c>
      <c r="AN42" s="59">
        <f t="shared" si="73"/>
        <v>0</v>
      </c>
      <c r="AO42" s="59">
        <f t="shared" si="73"/>
        <v>0</v>
      </c>
      <c r="AP42" s="59">
        <f t="shared" si="73"/>
        <v>0</v>
      </c>
      <c r="AQ42" s="59">
        <f t="shared" si="73"/>
        <v>0</v>
      </c>
      <c r="AR42" s="59">
        <f t="shared" si="73"/>
        <v>0</v>
      </c>
      <c r="AS42" s="59">
        <f t="shared" si="73"/>
        <v>0</v>
      </c>
      <c r="AT42" s="59">
        <f t="shared" si="73"/>
        <v>0</v>
      </c>
      <c r="AU42" s="59">
        <f t="shared" si="73"/>
        <v>0</v>
      </c>
      <c r="AV42" s="59">
        <f t="shared" si="73"/>
        <v>0.12986111111111109</v>
      </c>
      <c r="AW42" s="59">
        <f t="shared" si="73"/>
        <v>0</v>
      </c>
      <c r="AX42" s="59">
        <f t="shared" si="73"/>
        <v>0</v>
      </c>
      <c r="AY42" s="59">
        <f t="shared" si="73"/>
        <v>0</v>
      </c>
      <c r="AZ42" s="59">
        <f t="shared" si="73"/>
        <v>2.8472222222222232E-2</v>
      </c>
      <c r="BA42" s="59">
        <f t="shared" si="73"/>
        <v>0</v>
      </c>
      <c r="BB42" s="59">
        <f t="shared" si="73"/>
        <v>8.3333333333333037E-3</v>
      </c>
      <c r="BC42" s="59">
        <f t="shared" si="73"/>
        <v>0</v>
      </c>
      <c r="BD42" s="59">
        <f t="shared" si="73"/>
        <v>0</v>
      </c>
      <c r="BE42" s="59">
        <f t="shared" si="73"/>
        <v>0</v>
      </c>
      <c r="BF42" s="59">
        <f t="shared" si="73"/>
        <v>0</v>
      </c>
      <c r="BG42" s="59">
        <f t="shared" si="73"/>
        <v>0</v>
      </c>
      <c r="BH42" s="59">
        <f t="shared" si="73"/>
        <v>0</v>
      </c>
      <c r="BI42" s="59">
        <f t="shared" si="73"/>
        <v>0</v>
      </c>
      <c r="BJ42" s="59">
        <f t="shared" si="73"/>
        <v>0</v>
      </c>
      <c r="BK42" s="59">
        <f t="shared" si="73"/>
        <v>0</v>
      </c>
      <c r="BL42" s="59">
        <f t="shared" si="73"/>
        <v>2.8472222222222232E-2</v>
      </c>
      <c r="BM42" s="59">
        <f t="shared" si="61"/>
        <v>0.55694444444444446</v>
      </c>
    </row>
    <row r="43" spans="1:65" ht="30" customHeight="1" x14ac:dyDescent="0.25">
      <c r="C43" s="59">
        <f t="shared" ref="C43:BL43" si="74">IF(C19&gt;$B$34,C19-$B$34,0)</f>
        <v>0</v>
      </c>
      <c r="D43" s="59">
        <f t="shared" si="74"/>
        <v>1.1111111111111072E-2</v>
      </c>
      <c r="E43" s="59">
        <f t="shared" si="74"/>
        <v>0</v>
      </c>
      <c r="F43" s="59">
        <f t="shared" si="74"/>
        <v>1.1111111111111072E-2</v>
      </c>
      <c r="G43" s="59">
        <f t="shared" si="74"/>
        <v>0</v>
      </c>
      <c r="H43" s="59">
        <f t="shared" si="74"/>
        <v>2.8472222222222232E-2</v>
      </c>
      <c r="I43" s="59">
        <f t="shared" si="74"/>
        <v>0</v>
      </c>
      <c r="J43" s="59">
        <f t="shared" si="74"/>
        <v>0.12708333333333333</v>
      </c>
      <c r="K43" s="59">
        <f t="shared" si="74"/>
        <v>0</v>
      </c>
      <c r="L43" s="59">
        <f t="shared" si="74"/>
        <v>0</v>
      </c>
      <c r="M43" s="59">
        <f t="shared" si="74"/>
        <v>0</v>
      </c>
      <c r="N43" s="59">
        <f t="shared" si="74"/>
        <v>0</v>
      </c>
      <c r="O43" s="59">
        <f t="shared" si="74"/>
        <v>0</v>
      </c>
      <c r="P43" s="59">
        <f t="shared" si="74"/>
        <v>0</v>
      </c>
      <c r="Q43" s="59">
        <f t="shared" si="74"/>
        <v>0</v>
      </c>
      <c r="R43" s="59">
        <f t="shared" si="74"/>
        <v>0</v>
      </c>
      <c r="S43" s="59">
        <f t="shared" si="74"/>
        <v>0</v>
      </c>
      <c r="T43" s="59">
        <f t="shared" si="74"/>
        <v>0.125</v>
      </c>
      <c r="U43" s="59">
        <f t="shared" si="74"/>
        <v>0</v>
      </c>
      <c r="V43" s="59">
        <f t="shared" si="74"/>
        <v>0</v>
      </c>
      <c r="W43" s="59">
        <f t="shared" si="74"/>
        <v>0</v>
      </c>
      <c r="X43" s="59">
        <f t="shared" si="74"/>
        <v>2.8472222222222232E-2</v>
      </c>
      <c r="Y43" s="59">
        <f t="shared" si="74"/>
        <v>0</v>
      </c>
      <c r="Z43" s="59">
        <f t="shared" si="74"/>
        <v>0</v>
      </c>
      <c r="AA43" s="59">
        <f t="shared" si="74"/>
        <v>0</v>
      </c>
      <c r="AB43" s="59">
        <f t="shared" si="74"/>
        <v>0</v>
      </c>
      <c r="AC43" s="59">
        <f t="shared" si="74"/>
        <v>0</v>
      </c>
      <c r="AD43" s="59">
        <f t="shared" si="74"/>
        <v>0</v>
      </c>
      <c r="AE43" s="59">
        <f t="shared" si="74"/>
        <v>0</v>
      </c>
      <c r="AF43" s="59">
        <f t="shared" si="74"/>
        <v>2.8472222222222232E-2</v>
      </c>
      <c r="AG43" s="59">
        <f t="shared" si="74"/>
        <v>0</v>
      </c>
      <c r="AH43" s="59">
        <f t="shared" si="74"/>
        <v>0</v>
      </c>
      <c r="AI43" s="59">
        <f t="shared" si="74"/>
        <v>0</v>
      </c>
      <c r="AJ43" s="59">
        <f t="shared" si="74"/>
        <v>0</v>
      </c>
      <c r="AK43" s="59">
        <f t="shared" si="74"/>
        <v>0</v>
      </c>
      <c r="AL43" s="59">
        <f t="shared" si="74"/>
        <v>2.8472222222222232E-2</v>
      </c>
      <c r="AM43" s="59">
        <f t="shared" si="74"/>
        <v>0</v>
      </c>
      <c r="AN43" s="59">
        <f t="shared" si="74"/>
        <v>0</v>
      </c>
      <c r="AO43" s="59">
        <f t="shared" si="74"/>
        <v>0</v>
      </c>
      <c r="AP43" s="59">
        <f t="shared" si="74"/>
        <v>0</v>
      </c>
      <c r="AQ43" s="59">
        <f t="shared" si="74"/>
        <v>0</v>
      </c>
      <c r="AR43" s="59">
        <f t="shared" si="74"/>
        <v>0</v>
      </c>
      <c r="AS43" s="59">
        <f t="shared" si="74"/>
        <v>0</v>
      </c>
      <c r="AT43" s="59">
        <f t="shared" si="74"/>
        <v>0</v>
      </c>
      <c r="AU43" s="59">
        <f t="shared" si="74"/>
        <v>0</v>
      </c>
      <c r="AV43" s="59">
        <f t="shared" si="74"/>
        <v>0</v>
      </c>
      <c r="AW43" s="59">
        <f t="shared" si="74"/>
        <v>0</v>
      </c>
      <c r="AX43" s="59">
        <f t="shared" si="74"/>
        <v>2.8472222222222232E-2</v>
      </c>
      <c r="AY43" s="59">
        <f t="shared" si="74"/>
        <v>0</v>
      </c>
      <c r="AZ43" s="59">
        <f t="shared" si="74"/>
        <v>8.3333333333333037E-3</v>
      </c>
      <c r="BA43" s="59">
        <f t="shared" si="74"/>
        <v>0</v>
      </c>
      <c r="BB43" s="59">
        <f t="shared" si="74"/>
        <v>0</v>
      </c>
      <c r="BC43" s="59">
        <f t="shared" si="74"/>
        <v>0</v>
      </c>
      <c r="BD43" s="59">
        <f t="shared" si="74"/>
        <v>0</v>
      </c>
      <c r="BE43" s="59">
        <f t="shared" si="74"/>
        <v>0</v>
      </c>
      <c r="BF43" s="59">
        <f t="shared" si="74"/>
        <v>0</v>
      </c>
      <c r="BG43" s="59">
        <f t="shared" si="74"/>
        <v>0</v>
      </c>
      <c r="BH43" s="59">
        <f t="shared" si="74"/>
        <v>0</v>
      </c>
      <c r="BI43" s="59">
        <f t="shared" si="74"/>
        <v>0</v>
      </c>
      <c r="BJ43" s="59">
        <f t="shared" si="74"/>
        <v>0</v>
      </c>
      <c r="BK43" s="59">
        <f t="shared" si="74"/>
        <v>0</v>
      </c>
      <c r="BL43" s="59">
        <f t="shared" si="74"/>
        <v>8.3333333333333037E-3</v>
      </c>
      <c r="BM43" s="59">
        <f t="shared" si="61"/>
        <v>0.43333333333333324</v>
      </c>
    </row>
    <row r="44" spans="1:65" ht="30" customHeight="1" x14ac:dyDescent="0.25">
      <c r="C44" s="59">
        <f t="shared" ref="C44:BL44" si="75">IF(C20&gt;$B$34,C20-$B$34,0)</f>
        <v>0</v>
      </c>
      <c r="D44" s="59">
        <f t="shared" si="75"/>
        <v>0</v>
      </c>
      <c r="E44" s="59">
        <f t="shared" si="75"/>
        <v>0</v>
      </c>
      <c r="F44" s="59">
        <f t="shared" si="75"/>
        <v>0</v>
      </c>
      <c r="G44" s="59">
        <f t="shared" si="75"/>
        <v>0</v>
      </c>
      <c r="H44" s="59">
        <f t="shared" si="75"/>
        <v>0.1069444444444444</v>
      </c>
      <c r="I44" s="59">
        <f t="shared" si="75"/>
        <v>0</v>
      </c>
      <c r="J44" s="59">
        <f t="shared" si="75"/>
        <v>0</v>
      </c>
      <c r="K44" s="59">
        <f t="shared" si="75"/>
        <v>0</v>
      </c>
      <c r="L44" s="59">
        <f t="shared" si="75"/>
        <v>8.3333333333333037E-3</v>
      </c>
      <c r="M44" s="59">
        <f t="shared" si="75"/>
        <v>0</v>
      </c>
      <c r="N44" s="59">
        <f t="shared" si="75"/>
        <v>0</v>
      </c>
      <c r="O44" s="59">
        <f t="shared" si="75"/>
        <v>0</v>
      </c>
      <c r="P44" s="59">
        <f t="shared" si="75"/>
        <v>0</v>
      </c>
      <c r="Q44" s="59">
        <f t="shared" si="75"/>
        <v>0</v>
      </c>
      <c r="R44" s="59">
        <f t="shared" si="75"/>
        <v>0</v>
      </c>
      <c r="S44" s="59">
        <f t="shared" si="75"/>
        <v>0</v>
      </c>
      <c r="T44" s="59">
        <f t="shared" si="75"/>
        <v>0</v>
      </c>
      <c r="U44" s="59">
        <f t="shared" si="75"/>
        <v>0</v>
      </c>
      <c r="V44" s="59">
        <f t="shared" si="75"/>
        <v>0</v>
      </c>
      <c r="W44" s="59">
        <f t="shared" si="75"/>
        <v>0</v>
      </c>
      <c r="X44" s="59">
        <f t="shared" si="75"/>
        <v>0</v>
      </c>
      <c r="Y44" s="59">
        <f t="shared" si="75"/>
        <v>0</v>
      </c>
      <c r="Z44" s="59">
        <f t="shared" si="75"/>
        <v>0</v>
      </c>
      <c r="AA44" s="59">
        <f t="shared" si="75"/>
        <v>0</v>
      </c>
      <c r="AB44" s="59">
        <f t="shared" si="75"/>
        <v>0</v>
      </c>
      <c r="AC44" s="59">
        <f t="shared" si="75"/>
        <v>0</v>
      </c>
      <c r="AD44" s="59">
        <f t="shared" si="75"/>
        <v>0</v>
      </c>
      <c r="AE44" s="59">
        <f t="shared" si="75"/>
        <v>0</v>
      </c>
      <c r="AF44" s="59">
        <f t="shared" si="75"/>
        <v>0</v>
      </c>
      <c r="AG44" s="59">
        <f t="shared" si="75"/>
        <v>0</v>
      </c>
      <c r="AH44" s="59">
        <f t="shared" si="75"/>
        <v>0</v>
      </c>
      <c r="AI44" s="59">
        <f t="shared" si="75"/>
        <v>0</v>
      </c>
      <c r="AJ44" s="59">
        <f t="shared" si="75"/>
        <v>0</v>
      </c>
      <c r="AK44" s="59">
        <f t="shared" si="75"/>
        <v>0</v>
      </c>
      <c r="AL44" s="59">
        <f t="shared" si="75"/>
        <v>0</v>
      </c>
      <c r="AM44" s="59">
        <f t="shared" si="75"/>
        <v>0</v>
      </c>
      <c r="AN44" s="59">
        <f t="shared" si="75"/>
        <v>0</v>
      </c>
      <c r="AO44" s="59">
        <f t="shared" si="75"/>
        <v>0</v>
      </c>
      <c r="AP44" s="59">
        <f t="shared" si="75"/>
        <v>0</v>
      </c>
      <c r="AQ44" s="59">
        <f t="shared" si="75"/>
        <v>0</v>
      </c>
      <c r="AR44" s="59">
        <f t="shared" si="75"/>
        <v>0</v>
      </c>
      <c r="AS44" s="59">
        <f t="shared" si="75"/>
        <v>0</v>
      </c>
      <c r="AT44" s="59">
        <f t="shared" si="75"/>
        <v>0</v>
      </c>
      <c r="AU44" s="59">
        <f t="shared" si="75"/>
        <v>0</v>
      </c>
      <c r="AV44" s="59">
        <f t="shared" si="75"/>
        <v>0</v>
      </c>
      <c r="AW44" s="59">
        <f t="shared" si="75"/>
        <v>0</v>
      </c>
      <c r="AX44" s="59">
        <f t="shared" si="75"/>
        <v>8.4722222222222254E-2</v>
      </c>
      <c r="AY44" s="59">
        <f t="shared" si="75"/>
        <v>0</v>
      </c>
      <c r="AZ44" s="59">
        <f t="shared" si="75"/>
        <v>0</v>
      </c>
      <c r="BA44" s="59">
        <f t="shared" si="75"/>
        <v>0</v>
      </c>
      <c r="BB44" s="59">
        <f t="shared" si="75"/>
        <v>0</v>
      </c>
      <c r="BC44" s="59">
        <f t="shared" si="75"/>
        <v>0</v>
      </c>
      <c r="BD44" s="59">
        <f t="shared" si="75"/>
        <v>0</v>
      </c>
      <c r="BE44" s="59">
        <f t="shared" si="75"/>
        <v>0</v>
      </c>
      <c r="BF44" s="59">
        <f t="shared" si="75"/>
        <v>0</v>
      </c>
      <c r="BG44" s="59">
        <f t="shared" si="75"/>
        <v>0</v>
      </c>
      <c r="BH44" s="59">
        <f t="shared" si="75"/>
        <v>0</v>
      </c>
      <c r="BI44" s="59">
        <f t="shared" si="75"/>
        <v>0</v>
      </c>
      <c r="BJ44" s="59">
        <f t="shared" si="75"/>
        <v>0</v>
      </c>
      <c r="BK44" s="59">
        <f t="shared" si="75"/>
        <v>0</v>
      </c>
      <c r="BL44" s="59">
        <f t="shared" si="75"/>
        <v>0</v>
      </c>
      <c r="BM44" s="59">
        <f t="shared" si="61"/>
        <v>0.19999999999999996</v>
      </c>
    </row>
    <row r="45" spans="1:65" ht="30" customHeight="1" x14ac:dyDescent="0.25">
      <c r="C45" s="59">
        <f t="shared" ref="C45:BL45" si="76">IF(C21&gt;$B$34,C21-$B$34,0)</f>
        <v>0</v>
      </c>
      <c r="D45" s="59">
        <f t="shared" si="76"/>
        <v>7.5694444444444398E-2</v>
      </c>
      <c r="E45" s="59">
        <f t="shared" si="76"/>
        <v>0</v>
      </c>
      <c r="F45" s="59">
        <f t="shared" si="76"/>
        <v>7.5694444444444398E-2</v>
      </c>
      <c r="G45" s="59">
        <f t="shared" si="76"/>
        <v>0</v>
      </c>
      <c r="H45" s="59">
        <f t="shared" si="76"/>
        <v>8.7500000000000022E-2</v>
      </c>
      <c r="I45" s="59">
        <f t="shared" si="76"/>
        <v>0</v>
      </c>
      <c r="J45" s="59">
        <f t="shared" si="76"/>
        <v>9.5138888888888995E-2</v>
      </c>
      <c r="K45" s="59">
        <f t="shared" si="76"/>
        <v>0</v>
      </c>
      <c r="L45" s="59">
        <f t="shared" si="76"/>
        <v>0</v>
      </c>
      <c r="M45" s="59">
        <f t="shared" si="76"/>
        <v>0</v>
      </c>
      <c r="N45" s="59">
        <f t="shared" si="76"/>
        <v>0</v>
      </c>
      <c r="O45" s="59">
        <f t="shared" si="76"/>
        <v>0</v>
      </c>
      <c r="P45" s="59">
        <f t="shared" si="76"/>
        <v>0</v>
      </c>
      <c r="Q45" s="59">
        <f t="shared" si="76"/>
        <v>0</v>
      </c>
      <c r="R45" s="59">
        <f t="shared" si="76"/>
        <v>0</v>
      </c>
      <c r="S45" s="59">
        <f t="shared" si="76"/>
        <v>0</v>
      </c>
      <c r="T45" s="59">
        <f t="shared" si="76"/>
        <v>0.17500000000000004</v>
      </c>
      <c r="U45" s="59">
        <f t="shared" si="76"/>
        <v>0</v>
      </c>
      <c r="V45" s="59">
        <f t="shared" si="76"/>
        <v>0</v>
      </c>
      <c r="W45" s="59">
        <f t="shared" si="76"/>
        <v>0</v>
      </c>
      <c r="X45" s="59">
        <f t="shared" si="76"/>
        <v>0.1152777777777777</v>
      </c>
      <c r="Y45" s="59">
        <f t="shared" si="76"/>
        <v>0</v>
      </c>
      <c r="Z45" s="59">
        <f t="shared" si="76"/>
        <v>0</v>
      </c>
      <c r="AA45" s="59">
        <f t="shared" si="76"/>
        <v>0</v>
      </c>
      <c r="AB45" s="59">
        <f t="shared" si="76"/>
        <v>0</v>
      </c>
      <c r="AC45" s="59">
        <f t="shared" si="76"/>
        <v>0</v>
      </c>
      <c r="AD45" s="59">
        <f t="shared" si="76"/>
        <v>0</v>
      </c>
      <c r="AE45" s="59">
        <f t="shared" si="76"/>
        <v>0</v>
      </c>
      <c r="AF45" s="59">
        <f t="shared" si="76"/>
        <v>9.0972222222222232E-2</v>
      </c>
      <c r="AG45" s="59">
        <f t="shared" si="76"/>
        <v>0</v>
      </c>
      <c r="AH45" s="59">
        <f t="shared" si="76"/>
        <v>9.4444444444444442E-2</v>
      </c>
      <c r="AI45" s="59">
        <f t="shared" si="76"/>
        <v>0</v>
      </c>
      <c r="AJ45" s="59">
        <f t="shared" si="76"/>
        <v>0</v>
      </c>
      <c r="AK45" s="59">
        <f t="shared" si="76"/>
        <v>0</v>
      </c>
      <c r="AL45" s="59">
        <f t="shared" si="76"/>
        <v>8.0555555555555602E-2</v>
      </c>
      <c r="AM45" s="59">
        <f t="shared" si="76"/>
        <v>0</v>
      </c>
      <c r="AN45" s="59">
        <f t="shared" si="76"/>
        <v>0</v>
      </c>
      <c r="AO45" s="59">
        <f t="shared" si="76"/>
        <v>0</v>
      </c>
      <c r="AP45" s="59">
        <f t="shared" si="76"/>
        <v>0</v>
      </c>
      <c r="AQ45" s="59">
        <f t="shared" si="76"/>
        <v>0</v>
      </c>
      <c r="AR45" s="59">
        <f t="shared" si="76"/>
        <v>0</v>
      </c>
      <c r="AS45" s="59">
        <f t="shared" si="76"/>
        <v>0</v>
      </c>
      <c r="AT45" s="59">
        <f t="shared" si="76"/>
        <v>0</v>
      </c>
      <c r="AU45" s="59">
        <f t="shared" si="76"/>
        <v>0</v>
      </c>
      <c r="AV45" s="59">
        <f t="shared" si="76"/>
        <v>8.3333333333333037E-3</v>
      </c>
      <c r="AW45" s="59">
        <f t="shared" si="76"/>
        <v>0</v>
      </c>
      <c r="AX45" s="59">
        <f t="shared" si="76"/>
        <v>3.8194444444444531E-2</v>
      </c>
      <c r="AY45" s="59">
        <f t="shared" si="76"/>
        <v>0</v>
      </c>
      <c r="AZ45" s="59">
        <f t="shared" si="76"/>
        <v>0</v>
      </c>
      <c r="BA45" s="59">
        <f t="shared" si="76"/>
        <v>0</v>
      </c>
      <c r="BB45" s="59">
        <f t="shared" si="76"/>
        <v>0</v>
      </c>
      <c r="BC45" s="59">
        <f t="shared" si="76"/>
        <v>0</v>
      </c>
      <c r="BD45" s="59">
        <f t="shared" si="76"/>
        <v>0</v>
      </c>
      <c r="BE45" s="59">
        <f t="shared" si="76"/>
        <v>0</v>
      </c>
      <c r="BF45" s="59">
        <f t="shared" si="76"/>
        <v>0</v>
      </c>
      <c r="BG45" s="59">
        <f t="shared" si="76"/>
        <v>0</v>
      </c>
      <c r="BH45" s="59">
        <f t="shared" si="76"/>
        <v>0</v>
      </c>
      <c r="BI45" s="59">
        <f t="shared" si="76"/>
        <v>0</v>
      </c>
      <c r="BJ45" s="59">
        <f t="shared" si="76"/>
        <v>8.3333333333333037E-3</v>
      </c>
      <c r="BK45" s="59">
        <f t="shared" si="76"/>
        <v>0</v>
      </c>
      <c r="BL45" s="59">
        <f t="shared" si="76"/>
        <v>0</v>
      </c>
      <c r="BM45" s="59">
        <f t="shared" si="61"/>
        <v>0.94513888888888897</v>
      </c>
    </row>
    <row r="46" spans="1:65" ht="30" customHeight="1" x14ac:dyDescent="0.25">
      <c r="C46" s="59">
        <f t="shared" ref="C46:BL46" si="77">IF(C22&gt;$B$34,C22-$B$34,0)</f>
        <v>0</v>
      </c>
      <c r="D46" s="59">
        <f t="shared" si="77"/>
        <v>9.1666666666666674E-2</v>
      </c>
      <c r="E46" s="59">
        <f t="shared" si="77"/>
        <v>0</v>
      </c>
      <c r="F46" s="59">
        <f t="shared" si="77"/>
        <v>8.1944444444444375E-2</v>
      </c>
      <c r="G46" s="59">
        <f t="shared" si="77"/>
        <v>0</v>
      </c>
      <c r="H46" s="59">
        <f t="shared" si="77"/>
        <v>8.8888888888888906E-2</v>
      </c>
      <c r="I46" s="59">
        <f t="shared" si="77"/>
        <v>0</v>
      </c>
      <c r="J46" s="59">
        <f t="shared" si="77"/>
        <v>0.13124999999999998</v>
      </c>
      <c r="K46" s="59">
        <f t="shared" si="77"/>
        <v>0</v>
      </c>
      <c r="L46" s="59">
        <f t="shared" si="77"/>
        <v>0</v>
      </c>
      <c r="M46" s="59">
        <f t="shared" si="77"/>
        <v>0</v>
      </c>
      <c r="N46" s="59">
        <f t="shared" si="77"/>
        <v>0</v>
      </c>
      <c r="O46" s="59">
        <f t="shared" si="77"/>
        <v>0</v>
      </c>
      <c r="P46" s="59">
        <f t="shared" si="77"/>
        <v>0</v>
      </c>
      <c r="Q46" s="59">
        <f t="shared" si="77"/>
        <v>0</v>
      </c>
      <c r="R46" s="59">
        <f t="shared" si="77"/>
        <v>0</v>
      </c>
      <c r="S46" s="59">
        <f t="shared" si="77"/>
        <v>0</v>
      </c>
      <c r="T46" s="59">
        <f t="shared" si="77"/>
        <v>0</v>
      </c>
      <c r="U46" s="59">
        <f t="shared" si="77"/>
        <v>0</v>
      </c>
      <c r="V46" s="59">
        <f t="shared" si="77"/>
        <v>0</v>
      </c>
      <c r="W46" s="59">
        <f t="shared" si="77"/>
        <v>0</v>
      </c>
      <c r="X46" s="59">
        <f t="shared" si="77"/>
        <v>8.333333333333337E-2</v>
      </c>
      <c r="Y46" s="59">
        <f t="shared" si="77"/>
        <v>0</v>
      </c>
      <c r="Z46" s="59">
        <f t="shared" si="77"/>
        <v>0</v>
      </c>
      <c r="AA46" s="59">
        <f t="shared" si="77"/>
        <v>0</v>
      </c>
      <c r="AB46" s="59">
        <f t="shared" si="77"/>
        <v>0</v>
      </c>
      <c r="AC46" s="59">
        <f t="shared" si="77"/>
        <v>0</v>
      </c>
      <c r="AD46" s="59">
        <f t="shared" si="77"/>
        <v>0</v>
      </c>
      <c r="AE46" s="59">
        <f t="shared" si="77"/>
        <v>0</v>
      </c>
      <c r="AF46" s="59">
        <f t="shared" si="77"/>
        <v>0</v>
      </c>
      <c r="AG46" s="59">
        <f t="shared" si="77"/>
        <v>0</v>
      </c>
      <c r="AH46" s="59">
        <f t="shared" si="77"/>
        <v>0</v>
      </c>
      <c r="AI46" s="59">
        <f t="shared" si="77"/>
        <v>0</v>
      </c>
      <c r="AJ46" s="59">
        <f t="shared" si="77"/>
        <v>0</v>
      </c>
      <c r="AK46" s="59">
        <f t="shared" si="77"/>
        <v>0</v>
      </c>
      <c r="AL46" s="59">
        <f t="shared" si="77"/>
        <v>0</v>
      </c>
      <c r="AM46" s="59">
        <f t="shared" si="77"/>
        <v>0</v>
      </c>
      <c r="AN46" s="59">
        <f t="shared" si="77"/>
        <v>0</v>
      </c>
      <c r="AO46" s="59">
        <f t="shared" si="77"/>
        <v>0</v>
      </c>
      <c r="AP46" s="59">
        <f t="shared" si="77"/>
        <v>0</v>
      </c>
      <c r="AQ46" s="59">
        <f t="shared" si="77"/>
        <v>0</v>
      </c>
      <c r="AR46" s="59">
        <f t="shared" si="77"/>
        <v>0</v>
      </c>
      <c r="AS46" s="59">
        <f t="shared" si="77"/>
        <v>0</v>
      </c>
      <c r="AT46" s="59">
        <f t="shared" si="77"/>
        <v>0</v>
      </c>
      <c r="AU46" s="59">
        <f t="shared" si="77"/>
        <v>0</v>
      </c>
      <c r="AV46" s="59">
        <f t="shared" si="77"/>
        <v>0</v>
      </c>
      <c r="AW46" s="59">
        <f t="shared" si="77"/>
        <v>0</v>
      </c>
      <c r="AX46" s="59">
        <f t="shared" si="77"/>
        <v>0</v>
      </c>
      <c r="AY46" s="59">
        <f t="shared" si="77"/>
        <v>0</v>
      </c>
      <c r="AZ46" s="59">
        <f t="shared" si="77"/>
        <v>0</v>
      </c>
      <c r="BA46" s="59">
        <f t="shared" si="77"/>
        <v>0</v>
      </c>
      <c r="BB46" s="59">
        <f t="shared" si="77"/>
        <v>0</v>
      </c>
      <c r="BC46" s="59">
        <f t="shared" si="77"/>
        <v>0</v>
      </c>
      <c r="BD46" s="59">
        <f t="shared" si="77"/>
        <v>0</v>
      </c>
      <c r="BE46" s="59">
        <f t="shared" si="77"/>
        <v>0</v>
      </c>
      <c r="BF46" s="59">
        <f t="shared" si="77"/>
        <v>0</v>
      </c>
      <c r="BG46" s="59">
        <f t="shared" si="77"/>
        <v>0</v>
      </c>
      <c r="BH46" s="59">
        <f t="shared" si="77"/>
        <v>0</v>
      </c>
      <c r="BI46" s="59">
        <f t="shared" si="77"/>
        <v>0</v>
      </c>
      <c r="BJ46" s="59">
        <f t="shared" si="77"/>
        <v>0</v>
      </c>
      <c r="BK46" s="59">
        <f t="shared" si="77"/>
        <v>0</v>
      </c>
      <c r="BL46" s="59">
        <f t="shared" si="77"/>
        <v>0</v>
      </c>
      <c r="BM46" s="59">
        <f t="shared" si="61"/>
        <v>0.4770833333333333</v>
      </c>
    </row>
    <row r="47" spans="1:65" ht="30" customHeight="1" x14ac:dyDescent="0.25">
      <c r="C47" s="59">
        <f t="shared" ref="C47:BL47" si="78">IF(C23&gt;$B$34,C23-$B$34,0)</f>
        <v>0</v>
      </c>
      <c r="D47" s="59">
        <f t="shared" si="78"/>
        <v>0</v>
      </c>
      <c r="E47" s="59">
        <f t="shared" si="78"/>
        <v>0</v>
      </c>
      <c r="F47" s="59">
        <f t="shared" si="78"/>
        <v>0</v>
      </c>
      <c r="G47" s="59">
        <f t="shared" si="78"/>
        <v>0</v>
      </c>
      <c r="H47" s="59">
        <f t="shared" si="78"/>
        <v>0</v>
      </c>
      <c r="I47" s="59">
        <f t="shared" si="78"/>
        <v>0</v>
      </c>
      <c r="J47" s="59">
        <f t="shared" si="78"/>
        <v>0.13124999999999998</v>
      </c>
      <c r="K47" s="59">
        <f t="shared" si="78"/>
        <v>0</v>
      </c>
      <c r="L47" s="59">
        <f t="shared" si="78"/>
        <v>0</v>
      </c>
      <c r="M47" s="59">
        <f t="shared" si="78"/>
        <v>0</v>
      </c>
      <c r="N47" s="59">
        <f t="shared" si="78"/>
        <v>0</v>
      </c>
      <c r="O47" s="59">
        <f t="shared" si="78"/>
        <v>0</v>
      </c>
      <c r="P47" s="59">
        <f t="shared" si="78"/>
        <v>0</v>
      </c>
      <c r="Q47" s="59">
        <f t="shared" si="78"/>
        <v>0</v>
      </c>
      <c r="R47" s="59">
        <f t="shared" si="78"/>
        <v>0</v>
      </c>
      <c r="S47" s="59">
        <f t="shared" si="78"/>
        <v>0</v>
      </c>
      <c r="T47" s="59">
        <f t="shared" si="78"/>
        <v>2.7777777777777679E-3</v>
      </c>
      <c r="U47" s="59">
        <f t="shared" si="78"/>
        <v>0</v>
      </c>
      <c r="V47" s="59">
        <f t="shared" si="78"/>
        <v>1.5972222222222165E-2</v>
      </c>
      <c r="W47" s="59">
        <f t="shared" si="78"/>
        <v>0</v>
      </c>
      <c r="X47" s="59">
        <f t="shared" si="78"/>
        <v>3.2638888888888995E-2</v>
      </c>
      <c r="Y47" s="59">
        <f t="shared" si="78"/>
        <v>0</v>
      </c>
      <c r="Z47" s="59">
        <f t="shared" si="78"/>
        <v>0</v>
      </c>
      <c r="AA47" s="59">
        <f t="shared" si="78"/>
        <v>0</v>
      </c>
      <c r="AB47" s="59">
        <f t="shared" si="78"/>
        <v>0</v>
      </c>
      <c r="AC47" s="59">
        <f t="shared" si="78"/>
        <v>0</v>
      </c>
      <c r="AD47" s="59">
        <f t="shared" si="78"/>
        <v>0</v>
      </c>
      <c r="AE47" s="59">
        <f t="shared" si="78"/>
        <v>0</v>
      </c>
      <c r="AF47" s="59">
        <f t="shared" si="78"/>
        <v>0</v>
      </c>
      <c r="AG47" s="59">
        <f t="shared" si="78"/>
        <v>0</v>
      </c>
      <c r="AH47" s="59">
        <f t="shared" si="78"/>
        <v>0</v>
      </c>
      <c r="AI47" s="59">
        <f t="shared" si="78"/>
        <v>0</v>
      </c>
      <c r="AJ47" s="59">
        <f t="shared" si="78"/>
        <v>0</v>
      </c>
      <c r="AK47" s="59">
        <f t="shared" si="78"/>
        <v>0</v>
      </c>
      <c r="AL47" s="59">
        <f t="shared" si="78"/>
        <v>0</v>
      </c>
      <c r="AM47" s="59">
        <f t="shared" si="78"/>
        <v>0</v>
      </c>
      <c r="AN47" s="59">
        <f t="shared" si="78"/>
        <v>0</v>
      </c>
      <c r="AO47" s="59">
        <f t="shared" si="78"/>
        <v>0</v>
      </c>
      <c r="AP47" s="59">
        <f t="shared" si="78"/>
        <v>0</v>
      </c>
      <c r="AQ47" s="59">
        <f t="shared" si="78"/>
        <v>0</v>
      </c>
      <c r="AR47" s="59">
        <f t="shared" si="78"/>
        <v>0</v>
      </c>
      <c r="AS47" s="59">
        <f t="shared" si="78"/>
        <v>0</v>
      </c>
      <c r="AT47" s="59">
        <f t="shared" si="78"/>
        <v>0.11805555555555547</v>
      </c>
      <c r="AU47" s="59">
        <f t="shared" si="78"/>
        <v>0</v>
      </c>
      <c r="AV47" s="59">
        <f t="shared" si="78"/>
        <v>0.11597222222222225</v>
      </c>
      <c r="AW47" s="59">
        <f t="shared" si="78"/>
        <v>0</v>
      </c>
      <c r="AX47" s="59">
        <f t="shared" si="78"/>
        <v>0.1152777777777777</v>
      </c>
      <c r="AY47" s="59">
        <f t="shared" si="78"/>
        <v>0</v>
      </c>
      <c r="AZ47" s="59">
        <f t="shared" si="78"/>
        <v>0.11736111111111114</v>
      </c>
      <c r="BA47" s="59">
        <f t="shared" si="78"/>
        <v>0</v>
      </c>
      <c r="BB47" s="59">
        <f t="shared" si="78"/>
        <v>0</v>
      </c>
      <c r="BC47" s="59">
        <f t="shared" si="78"/>
        <v>0</v>
      </c>
      <c r="BD47" s="59">
        <f t="shared" si="78"/>
        <v>0</v>
      </c>
      <c r="BE47" s="59">
        <f t="shared" si="78"/>
        <v>0</v>
      </c>
      <c r="BF47" s="59">
        <f t="shared" si="78"/>
        <v>0</v>
      </c>
      <c r="BG47" s="59">
        <f t="shared" si="78"/>
        <v>0</v>
      </c>
      <c r="BH47" s="59">
        <f t="shared" si="78"/>
        <v>0.11805555555555547</v>
      </c>
      <c r="BI47" s="59">
        <f t="shared" si="78"/>
        <v>0</v>
      </c>
      <c r="BJ47" s="59">
        <f t="shared" si="78"/>
        <v>0.11597222222222225</v>
      </c>
      <c r="BK47" s="59">
        <f t="shared" si="78"/>
        <v>0</v>
      </c>
      <c r="BL47" s="59">
        <f t="shared" si="78"/>
        <v>0.11736111111111114</v>
      </c>
      <c r="BM47" s="59">
        <f t="shared" si="61"/>
        <v>1.0006944444444443</v>
      </c>
    </row>
    <row r="48" spans="1:65" ht="30" customHeight="1" x14ac:dyDescent="0.25">
      <c r="C48" s="59">
        <f t="shared" ref="C48:BL48" si="79">IF(C24&gt;$B$34,C24-$B$34,0)</f>
        <v>0</v>
      </c>
      <c r="D48" s="59">
        <f t="shared" si="79"/>
        <v>0.10624999999999996</v>
      </c>
      <c r="E48" s="59">
        <f t="shared" si="79"/>
        <v>0</v>
      </c>
      <c r="F48" s="59">
        <f t="shared" si="79"/>
        <v>0</v>
      </c>
      <c r="G48" s="59">
        <f t="shared" si="79"/>
        <v>0</v>
      </c>
      <c r="H48" s="59">
        <f t="shared" si="79"/>
        <v>0</v>
      </c>
      <c r="I48" s="59">
        <f t="shared" si="79"/>
        <v>0</v>
      </c>
      <c r="J48" s="59">
        <f t="shared" si="79"/>
        <v>2.8472222222222232E-2</v>
      </c>
      <c r="K48" s="59">
        <f t="shared" si="79"/>
        <v>0</v>
      </c>
      <c r="L48" s="59">
        <f t="shared" si="79"/>
        <v>0</v>
      </c>
      <c r="M48" s="59">
        <f t="shared" si="79"/>
        <v>0</v>
      </c>
      <c r="N48" s="59">
        <f t="shared" si="79"/>
        <v>0</v>
      </c>
      <c r="O48" s="59">
        <f t="shared" si="79"/>
        <v>0</v>
      </c>
      <c r="P48" s="59">
        <f t="shared" si="79"/>
        <v>0</v>
      </c>
      <c r="Q48" s="59">
        <f t="shared" si="79"/>
        <v>0</v>
      </c>
      <c r="R48" s="59">
        <f t="shared" si="79"/>
        <v>0.11805555555555547</v>
      </c>
      <c r="S48" s="59">
        <f t="shared" si="79"/>
        <v>0</v>
      </c>
      <c r="T48" s="59">
        <f t="shared" si="79"/>
        <v>2.8472222222222232E-2</v>
      </c>
      <c r="U48" s="59">
        <f t="shared" si="79"/>
        <v>0</v>
      </c>
      <c r="V48" s="59">
        <f t="shared" si="79"/>
        <v>0</v>
      </c>
      <c r="W48" s="59">
        <f t="shared" si="79"/>
        <v>0</v>
      </c>
      <c r="X48" s="59">
        <f t="shared" si="79"/>
        <v>0</v>
      </c>
      <c r="Y48" s="59">
        <f t="shared" si="79"/>
        <v>0</v>
      </c>
      <c r="Z48" s="59">
        <f t="shared" si="79"/>
        <v>8.1250000000000044E-2</v>
      </c>
      <c r="AA48" s="59">
        <f t="shared" si="79"/>
        <v>0</v>
      </c>
      <c r="AB48" s="59">
        <f t="shared" si="79"/>
        <v>0</v>
      </c>
      <c r="AC48" s="59">
        <f t="shared" si="79"/>
        <v>0</v>
      </c>
      <c r="AD48" s="59">
        <f t="shared" si="79"/>
        <v>0</v>
      </c>
      <c r="AE48" s="59">
        <f t="shared" si="79"/>
        <v>0</v>
      </c>
      <c r="AF48" s="59">
        <f t="shared" si="79"/>
        <v>0</v>
      </c>
      <c r="AG48" s="59">
        <f t="shared" si="79"/>
        <v>0</v>
      </c>
      <c r="AH48" s="59">
        <f t="shared" si="79"/>
        <v>0</v>
      </c>
      <c r="AI48" s="59">
        <f t="shared" si="79"/>
        <v>0</v>
      </c>
      <c r="AJ48" s="59">
        <f t="shared" si="79"/>
        <v>0</v>
      </c>
      <c r="AK48" s="59">
        <f t="shared" si="79"/>
        <v>0</v>
      </c>
      <c r="AL48" s="59">
        <f t="shared" si="79"/>
        <v>0</v>
      </c>
      <c r="AM48" s="59">
        <f t="shared" si="79"/>
        <v>0</v>
      </c>
      <c r="AN48" s="59">
        <f t="shared" si="79"/>
        <v>0</v>
      </c>
      <c r="AO48" s="59">
        <f t="shared" si="79"/>
        <v>0</v>
      </c>
      <c r="AP48" s="59">
        <f t="shared" si="79"/>
        <v>0</v>
      </c>
      <c r="AQ48" s="59">
        <f t="shared" si="79"/>
        <v>0</v>
      </c>
      <c r="AR48" s="59">
        <f t="shared" si="79"/>
        <v>0</v>
      </c>
      <c r="AS48" s="59">
        <f t="shared" si="79"/>
        <v>0</v>
      </c>
      <c r="AT48" s="59">
        <f t="shared" si="79"/>
        <v>1.5972222222222165E-2</v>
      </c>
      <c r="AU48" s="59">
        <f t="shared" si="79"/>
        <v>0</v>
      </c>
      <c r="AV48" s="59">
        <f t="shared" si="79"/>
        <v>8.3333333333333037E-3</v>
      </c>
      <c r="AW48" s="59">
        <f t="shared" si="79"/>
        <v>0</v>
      </c>
      <c r="AX48" s="59">
        <f t="shared" si="79"/>
        <v>8.333333333333337E-2</v>
      </c>
      <c r="AY48" s="59">
        <f t="shared" si="79"/>
        <v>0</v>
      </c>
      <c r="AZ48" s="59">
        <f t="shared" si="79"/>
        <v>0</v>
      </c>
      <c r="BA48" s="59">
        <f t="shared" si="79"/>
        <v>0</v>
      </c>
      <c r="BB48" s="59">
        <f t="shared" si="79"/>
        <v>0</v>
      </c>
      <c r="BC48" s="59">
        <f t="shared" si="79"/>
        <v>0</v>
      </c>
      <c r="BD48" s="59">
        <f t="shared" si="79"/>
        <v>0</v>
      </c>
      <c r="BE48" s="59">
        <f t="shared" si="79"/>
        <v>0</v>
      </c>
      <c r="BF48" s="59">
        <f t="shared" si="79"/>
        <v>0</v>
      </c>
      <c r="BG48" s="59">
        <f t="shared" si="79"/>
        <v>0</v>
      </c>
      <c r="BH48" s="59">
        <f t="shared" si="79"/>
        <v>1.5972222222222165E-2</v>
      </c>
      <c r="BI48" s="59">
        <f t="shared" si="79"/>
        <v>0</v>
      </c>
      <c r="BJ48" s="59">
        <f t="shared" si="79"/>
        <v>8.3333333333333037E-3</v>
      </c>
      <c r="BK48" s="59">
        <f t="shared" si="79"/>
        <v>0</v>
      </c>
      <c r="BL48" s="59">
        <f t="shared" si="79"/>
        <v>0</v>
      </c>
      <c r="BM48" s="59">
        <f t="shared" si="61"/>
        <v>0.49444444444444424</v>
      </c>
    </row>
    <row r="49" spans="3:65" ht="30" customHeight="1" x14ac:dyDescent="0.25">
      <c r="C49" s="59">
        <f t="shared" ref="C49:BL49" si="80">IF(C25&gt;$B$34,C25-$B$34,0)</f>
        <v>0</v>
      </c>
      <c r="D49" s="59">
        <f t="shared" si="80"/>
        <v>0</v>
      </c>
      <c r="E49" s="59">
        <f t="shared" si="80"/>
        <v>0</v>
      </c>
      <c r="F49" s="59">
        <f t="shared" si="80"/>
        <v>0</v>
      </c>
      <c r="G49" s="59">
        <f t="shared" si="80"/>
        <v>0</v>
      </c>
      <c r="H49" s="59">
        <f t="shared" si="80"/>
        <v>0</v>
      </c>
      <c r="I49" s="59">
        <f t="shared" si="80"/>
        <v>0</v>
      </c>
      <c r="J49" s="59">
        <f t="shared" si="80"/>
        <v>0</v>
      </c>
      <c r="K49" s="59">
        <f t="shared" si="80"/>
        <v>0</v>
      </c>
      <c r="L49" s="59">
        <f t="shared" si="80"/>
        <v>2.8472222222222232E-2</v>
      </c>
      <c r="M49" s="59">
        <f t="shared" si="80"/>
        <v>0</v>
      </c>
      <c r="N49" s="59">
        <f t="shared" si="80"/>
        <v>0</v>
      </c>
      <c r="O49" s="59">
        <f t="shared" si="80"/>
        <v>0</v>
      </c>
      <c r="P49" s="59">
        <f t="shared" si="80"/>
        <v>0</v>
      </c>
      <c r="Q49" s="59">
        <f t="shared" si="80"/>
        <v>0</v>
      </c>
      <c r="R49" s="59">
        <f t="shared" si="80"/>
        <v>0.12430555555555556</v>
      </c>
      <c r="S49" s="59">
        <f t="shared" si="80"/>
        <v>0</v>
      </c>
      <c r="T49" s="59">
        <f t="shared" si="80"/>
        <v>1.5277777777777835E-2</v>
      </c>
      <c r="U49" s="59">
        <f t="shared" si="80"/>
        <v>0</v>
      </c>
      <c r="V49" s="59">
        <f t="shared" si="80"/>
        <v>9.0972222222222232E-2</v>
      </c>
      <c r="W49" s="59">
        <f t="shared" si="80"/>
        <v>0</v>
      </c>
      <c r="X49" s="59">
        <f t="shared" si="80"/>
        <v>0</v>
      </c>
      <c r="Y49" s="59">
        <f t="shared" si="80"/>
        <v>0</v>
      </c>
      <c r="Z49" s="59">
        <f t="shared" si="80"/>
        <v>0.10555555555555562</v>
      </c>
      <c r="AA49" s="59">
        <f t="shared" si="80"/>
        <v>0</v>
      </c>
      <c r="AB49" s="59">
        <f t="shared" si="80"/>
        <v>0</v>
      </c>
      <c r="AC49" s="59">
        <f t="shared" si="80"/>
        <v>0</v>
      </c>
      <c r="AD49" s="59">
        <f t="shared" si="80"/>
        <v>0</v>
      </c>
      <c r="AE49" s="59">
        <f t="shared" si="80"/>
        <v>0</v>
      </c>
      <c r="AF49" s="59">
        <f t="shared" si="80"/>
        <v>0</v>
      </c>
      <c r="AG49" s="59">
        <f t="shared" si="80"/>
        <v>0</v>
      </c>
      <c r="AH49" s="59">
        <f t="shared" si="80"/>
        <v>0</v>
      </c>
      <c r="AI49" s="59">
        <f t="shared" si="80"/>
        <v>0</v>
      </c>
      <c r="AJ49" s="59">
        <f t="shared" si="80"/>
        <v>0.12638888888888899</v>
      </c>
      <c r="AK49" s="59">
        <f t="shared" si="80"/>
        <v>0</v>
      </c>
      <c r="AL49" s="59">
        <f t="shared" si="80"/>
        <v>8.3333333333333037E-3</v>
      </c>
      <c r="AM49" s="59">
        <f t="shared" si="80"/>
        <v>0</v>
      </c>
      <c r="AN49" s="59">
        <f t="shared" si="80"/>
        <v>0</v>
      </c>
      <c r="AO49" s="59">
        <f t="shared" si="80"/>
        <v>0</v>
      </c>
      <c r="AP49" s="59">
        <f t="shared" si="80"/>
        <v>0</v>
      </c>
      <c r="AQ49" s="59">
        <f t="shared" si="80"/>
        <v>0</v>
      </c>
      <c r="AR49" s="59">
        <f t="shared" si="80"/>
        <v>0</v>
      </c>
      <c r="AS49" s="59">
        <f t="shared" si="80"/>
        <v>0</v>
      </c>
      <c r="AT49" s="59">
        <f t="shared" si="80"/>
        <v>0</v>
      </c>
      <c r="AU49" s="59">
        <f t="shared" si="80"/>
        <v>0</v>
      </c>
      <c r="AV49" s="59">
        <f t="shared" si="80"/>
        <v>0.125</v>
      </c>
      <c r="AW49" s="59">
        <f t="shared" si="80"/>
        <v>0</v>
      </c>
      <c r="AX49" s="59">
        <f t="shared" si="80"/>
        <v>0</v>
      </c>
      <c r="AY49" s="59">
        <f t="shared" si="80"/>
        <v>0</v>
      </c>
      <c r="AZ49" s="59">
        <f t="shared" si="80"/>
        <v>2.8472222222222232E-2</v>
      </c>
      <c r="BA49" s="59">
        <f t="shared" si="80"/>
        <v>0</v>
      </c>
      <c r="BB49" s="59">
        <f t="shared" si="80"/>
        <v>0</v>
      </c>
      <c r="BC49" s="59">
        <f t="shared" si="80"/>
        <v>0</v>
      </c>
      <c r="BD49" s="59">
        <f t="shared" si="80"/>
        <v>0</v>
      </c>
      <c r="BE49" s="59">
        <f t="shared" si="80"/>
        <v>0</v>
      </c>
      <c r="BF49" s="59">
        <f t="shared" si="80"/>
        <v>0</v>
      </c>
      <c r="BG49" s="59">
        <f t="shared" si="80"/>
        <v>0</v>
      </c>
      <c r="BH49" s="59">
        <f t="shared" si="80"/>
        <v>0</v>
      </c>
      <c r="BI49" s="59">
        <f t="shared" si="80"/>
        <v>0</v>
      </c>
      <c r="BJ49" s="59">
        <f t="shared" si="80"/>
        <v>0.125</v>
      </c>
      <c r="BK49" s="59">
        <f t="shared" si="80"/>
        <v>0</v>
      </c>
      <c r="BL49" s="59">
        <f t="shared" si="80"/>
        <v>2.8472222222222232E-2</v>
      </c>
      <c r="BM49" s="59">
        <f t="shared" si="61"/>
        <v>0.80625000000000024</v>
      </c>
    </row>
    <row r="50" spans="3:65" ht="30" customHeight="1" x14ac:dyDescent="0.25">
      <c r="C50" s="59">
        <f t="shared" ref="C50:BL50" si="81">IF(C26&gt;$B$34,C26-$B$34,0)</f>
        <v>0</v>
      </c>
      <c r="D50" s="59">
        <f t="shared" si="81"/>
        <v>0.14166666666666661</v>
      </c>
      <c r="E50" s="59">
        <f t="shared" si="81"/>
        <v>0</v>
      </c>
      <c r="F50" s="59">
        <f t="shared" si="81"/>
        <v>0.11805555555555547</v>
      </c>
      <c r="G50" s="59">
        <f t="shared" si="81"/>
        <v>0</v>
      </c>
      <c r="H50" s="59">
        <f t="shared" si="81"/>
        <v>0.1069444444444444</v>
      </c>
      <c r="I50" s="59">
        <f t="shared" si="81"/>
        <v>0</v>
      </c>
      <c r="J50" s="59">
        <f t="shared" si="81"/>
        <v>0</v>
      </c>
      <c r="K50" s="59">
        <f t="shared" si="81"/>
        <v>0</v>
      </c>
      <c r="L50" s="59">
        <f t="shared" si="81"/>
        <v>0.12916666666666676</v>
      </c>
      <c r="M50" s="59">
        <f t="shared" si="81"/>
        <v>0</v>
      </c>
      <c r="N50" s="59">
        <f t="shared" si="81"/>
        <v>0</v>
      </c>
      <c r="O50" s="59">
        <f t="shared" si="81"/>
        <v>0</v>
      </c>
      <c r="P50" s="59">
        <f t="shared" si="81"/>
        <v>0</v>
      </c>
      <c r="Q50" s="59">
        <f t="shared" si="81"/>
        <v>0</v>
      </c>
      <c r="R50" s="59">
        <f t="shared" si="81"/>
        <v>0</v>
      </c>
      <c r="S50" s="59">
        <f t="shared" si="81"/>
        <v>0</v>
      </c>
      <c r="T50" s="59">
        <f t="shared" si="81"/>
        <v>2.0833333333333259E-3</v>
      </c>
      <c r="U50" s="59">
        <f t="shared" si="81"/>
        <v>0</v>
      </c>
      <c r="V50" s="59">
        <f t="shared" si="81"/>
        <v>7.4999999999999956E-2</v>
      </c>
      <c r="W50" s="59">
        <f t="shared" si="81"/>
        <v>0</v>
      </c>
      <c r="X50" s="59">
        <f t="shared" si="81"/>
        <v>3.2638888888888995E-2</v>
      </c>
      <c r="Y50" s="59">
        <f t="shared" si="81"/>
        <v>0</v>
      </c>
      <c r="Z50" s="59">
        <f t="shared" si="81"/>
        <v>0</v>
      </c>
      <c r="AA50" s="59">
        <f t="shared" si="81"/>
        <v>0</v>
      </c>
      <c r="AB50" s="59">
        <f t="shared" si="81"/>
        <v>0</v>
      </c>
      <c r="AC50" s="59">
        <f t="shared" si="81"/>
        <v>0</v>
      </c>
      <c r="AD50" s="59">
        <f t="shared" si="81"/>
        <v>0</v>
      </c>
      <c r="AE50" s="59">
        <f t="shared" si="81"/>
        <v>0</v>
      </c>
      <c r="AF50" s="59">
        <f t="shared" si="81"/>
        <v>0</v>
      </c>
      <c r="AG50" s="59">
        <f t="shared" si="81"/>
        <v>0</v>
      </c>
      <c r="AH50" s="59">
        <f t="shared" si="81"/>
        <v>0</v>
      </c>
      <c r="AI50" s="59">
        <f t="shared" si="81"/>
        <v>0</v>
      </c>
      <c r="AJ50" s="59">
        <f t="shared" si="81"/>
        <v>0</v>
      </c>
      <c r="AK50" s="59">
        <f t="shared" si="81"/>
        <v>0</v>
      </c>
      <c r="AL50" s="59">
        <f t="shared" si="81"/>
        <v>0</v>
      </c>
      <c r="AM50" s="59">
        <f t="shared" si="81"/>
        <v>0</v>
      </c>
      <c r="AN50" s="59">
        <f t="shared" si="81"/>
        <v>0</v>
      </c>
      <c r="AO50" s="59">
        <f t="shared" si="81"/>
        <v>0</v>
      </c>
      <c r="AP50" s="59">
        <f t="shared" si="81"/>
        <v>0</v>
      </c>
      <c r="AQ50" s="59">
        <f t="shared" si="81"/>
        <v>0</v>
      </c>
      <c r="AR50" s="59">
        <f t="shared" si="81"/>
        <v>0</v>
      </c>
      <c r="AS50" s="59">
        <f t="shared" si="81"/>
        <v>0</v>
      </c>
      <c r="AT50" s="59">
        <f t="shared" si="81"/>
        <v>0</v>
      </c>
      <c r="AU50" s="59">
        <f t="shared" si="81"/>
        <v>0</v>
      </c>
      <c r="AV50" s="59">
        <f t="shared" si="81"/>
        <v>5.8333333333333237E-2</v>
      </c>
      <c r="AW50" s="59">
        <f t="shared" si="81"/>
        <v>0</v>
      </c>
      <c r="AX50" s="59">
        <f t="shared" si="81"/>
        <v>6.4583333333333326E-2</v>
      </c>
      <c r="AY50" s="59">
        <f t="shared" si="81"/>
        <v>0</v>
      </c>
      <c r="AZ50" s="59">
        <f t="shared" si="81"/>
        <v>2.2222222222222254E-2</v>
      </c>
      <c r="BA50" s="59">
        <f t="shared" si="81"/>
        <v>0</v>
      </c>
      <c r="BB50" s="59">
        <f t="shared" si="81"/>
        <v>2.8472222222222232E-2</v>
      </c>
      <c r="BC50" s="59">
        <f t="shared" si="81"/>
        <v>0</v>
      </c>
      <c r="BD50" s="59">
        <f t="shared" si="81"/>
        <v>0</v>
      </c>
      <c r="BE50" s="59">
        <f t="shared" si="81"/>
        <v>0</v>
      </c>
      <c r="BF50" s="59">
        <f t="shared" si="81"/>
        <v>0</v>
      </c>
      <c r="BG50" s="59">
        <f t="shared" si="81"/>
        <v>0</v>
      </c>
      <c r="BH50" s="59">
        <f t="shared" si="81"/>
        <v>3.8194444444444531E-2</v>
      </c>
      <c r="BI50" s="59">
        <f t="shared" si="81"/>
        <v>0</v>
      </c>
      <c r="BJ50" s="59">
        <f t="shared" si="81"/>
        <v>0</v>
      </c>
      <c r="BK50" s="59">
        <f t="shared" si="81"/>
        <v>0</v>
      </c>
      <c r="BL50" s="59">
        <f t="shared" si="81"/>
        <v>2.2222222222222254E-2</v>
      </c>
      <c r="BM50" s="59">
        <f t="shared" si="61"/>
        <v>0.83958333333333335</v>
      </c>
    </row>
    <row r="51" spans="3:65" x14ac:dyDescent="0.2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</row>
    <row r="52" spans="3:65" x14ac:dyDescent="0.2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</row>
  </sheetData>
  <mergeCells count="63">
    <mergeCell ref="W3:X3"/>
    <mergeCell ref="A3:A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S4:T4"/>
    <mergeCell ref="U4:V4"/>
    <mergeCell ref="W4:X4"/>
    <mergeCell ref="AU3:AV3"/>
    <mergeCell ref="Y3:Z3"/>
    <mergeCell ref="AA3:AB3"/>
    <mergeCell ref="AC3:AD3"/>
    <mergeCell ref="AE3:AF3"/>
    <mergeCell ref="AG3:AH3"/>
    <mergeCell ref="AI3:AJ3"/>
    <mergeCell ref="AO3:AP3"/>
    <mergeCell ref="AQ3:AR3"/>
    <mergeCell ref="AS3:AT3"/>
    <mergeCell ref="BI3:BJ3"/>
    <mergeCell ref="BK3:BL3"/>
    <mergeCell ref="C4:D4"/>
    <mergeCell ref="E4:F4"/>
    <mergeCell ref="G4:H4"/>
    <mergeCell ref="I4:J4"/>
    <mergeCell ref="K4:L4"/>
    <mergeCell ref="M4:N4"/>
    <mergeCell ref="O4:P4"/>
    <mergeCell ref="Q4:R4"/>
    <mergeCell ref="AW3:AX3"/>
    <mergeCell ref="AY3:AZ3"/>
    <mergeCell ref="BA3:BB3"/>
    <mergeCell ref="BC3:BD3"/>
    <mergeCell ref="BE3:BF3"/>
    <mergeCell ref="BG3:BH3"/>
    <mergeCell ref="AY4:AZ4"/>
    <mergeCell ref="BA4:BB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Y4:Z4"/>
    <mergeCell ref="AA4:AB4"/>
    <mergeCell ref="AC4:AD4"/>
    <mergeCell ref="AK3:AL3"/>
    <mergeCell ref="AM3:AN3"/>
    <mergeCell ref="BC4:BD4"/>
    <mergeCell ref="BE4:BF4"/>
    <mergeCell ref="BG4:BH4"/>
    <mergeCell ref="BI4:BJ4"/>
    <mergeCell ref="BK4:BL4"/>
  </mergeCells>
  <phoneticPr fontId="2" type="noConversion"/>
  <conditionalFormatting sqref="C4:BL4">
    <cfRule type="beginsWith" dxfId="1" priority="1" operator="beginsWith" text="日">
      <formula>LEFT(C4,LEN("日"))="日"</formula>
    </cfRule>
    <cfRule type="beginsWith" dxfId="0" priority="2" operator="beginsWith" text="六">
      <formula>LEFT(C4,LEN("六"))="六"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5024-DEB3-4366-82A0-D959ABA52174}">
  <dimension ref="A1:L23"/>
  <sheetViews>
    <sheetView workbookViewId="0">
      <selection activeCell="A2" sqref="A2:B23"/>
    </sheetView>
  </sheetViews>
  <sheetFormatPr defaultRowHeight="16.5" x14ac:dyDescent="0.25"/>
  <cols>
    <col min="3" max="3" width="15" bestFit="1" customWidth="1"/>
    <col min="4" max="7" width="10.25" bestFit="1" customWidth="1"/>
    <col min="11" max="11" width="14.75" customWidth="1"/>
  </cols>
  <sheetData>
    <row r="1" spans="1:12" ht="17.25" thickBot="1" x14ac:dyDescent="0.3">
      <c r="A1" s="26" t="s">
        <v>0</v>
      </c>
      <c r="B1" s="27" t="s">
        <v>86</v>
      </c>
      <c r="C1" s="27" t="s">
        <v>87</v>
      </c>
      <c r="D1" s="27" t="s">
        <v>88</v>
      </c>
      <c r="E1" s="27" t="s">
        <v>89</v>
      </c>
      <c r="F1" s="27" t="s">
        <v>90</v>
      </c>
      <c r="G1" s="27" t="s">
        <v>91</v>
      </c>
      <c r="K1" s="37" t="s">
        <v>87</v>
      </c>
      <c r="L1" s="38" t="s">
        <v>114</v>
      </c>
    </row>
    <row r="2" spans="1:12" ht="18" thickTop="1" thickBot="1" x14ac:dyDescent="0.3">
      <c r="A2" s="28">
        <v>1</v>
      </c>
      <c r="B2" s="29" t="s">
        <v>92</v>
      </c>
      <c r="C2" s="29">
        <f>IF(B2="","",COUNTIF(簽到記錄!5:5,"&gt;8:50")-COUNTIF(簽到記錄!5:5,"&gt;18:00"))</f>
        <v>9</v>
      </c>
      <c r="D2" s="29">
        <f>IF(C2="","",IF(C2&lt;=3,$L$2,IF(C2&lt;=6,C2*$L$3,C2*$L$4)))</f>
        <v>450</v>
      </c>
      <c r="E2" s="45">
        <f>簽到記錄!BM29</f>
        <v>1.4812499999999997</v>
      </c>
      <c r="F2" s="60">
        <f>HOUR(ROUNDUP(E2*24/0.5,)*0.5/24)*80</f>
        <v>960</v>
      </c>
      <c r="G2" s="44">
        <f>ROUNDDOWN(COUNTBLANK(簽到記錄!C5:BL5)/2-8,0)</f>
        <v>1</v>
      </c>
      <c r="K2" s="39" t="s">
        <v>115</v>
      </c>
      <c r="L2" s="40">
        <v>0</v>
      </c>
    </row>
    <row r="3" spans="1:12" ht="18" thickTop="1" thickBot="1" x14ac:dyDescent="0.3">
      <c r="A3" s="30">
        <v>2</v>
      </c>
      <c r="B3" s="31" t="s">
        <v>93</v>
      </c>
      <c r="C3" s="29">
        <f>IF(B3="","",COUNTIF(簽到記錄!6:6,"&gt;8:50")-COUNTIF(簽到記錄!6:6,"&gt;18:00"))</f>
        <v>11</v>
      </c>
      <c r="D3" s="29">
        <f t="shared" ref="D3:D23" si="0">IF(C3="","",IF(C3&lt;=3,$L$2,IF(C3&lt;=6,C3*$L$3,C3*$L$4)))</f>
        <v>550</v>
      </c>
      <c r="E3" s="57">
        <f>簽到記錄!BM30</f>
        <v>0.1118055555555556</v>
      </c>
      <c r="F3" s="60">
        <f t="shared" ref="F3:F23" si="1">HOUR(ROUNDUP(E3*24/0.5,)*0.5/24)*80</f>
        <v>240</v>
      </c>
      <c r="G3" s="44">
        <f>ROUNDDOWN(COUNTBLANK(簽到記錄!C6:BL6)/2-8,0)</f>
        <v>10</v>
      </c>
      <c r="K3" s="41" t="s">
        <v>116</v>
      </c>
      <c r="L3" s="42">
        <v>30</v>
      </c>
    </row>
    <row r="4" spans="1:12" ht="18" thickTop="1" thickBot="1" x14ac:dyDescent="0.3">
      <c r="A4" s="32">
        <v>3</v>
      </c>
      <c r="B4" s="33" t="s">
        <v>94</v>
      </c>
      <c r="C4" s="29">
        <f>IF(B4="","",COUNTIF(簽到記錄!7:7,"&gt;8:50")-COUNTIF(簽到記錄!7:7,"&gt;18:00"))</f>
        <v>7</v>
      </c>
      <c r="D4" s="29">
        <f t="shared" si="0"/>
        <v>350</v>
      </c>
      <c r="E4" s="58">
        <f>簽到記錄!BM31</f>
        <v>0.59444444444444455</v>
      </c>
      <c r="F4" s="60">
        <f t="shared" si="1"/>
        <v>1120</v>
      </c>
      <c r="G4" s="44">
        <f>ROUNDDOWN(COUNTBLANK(簽到記錄!C7:BL7)/2-8,0)</f>
        <v>0</v>
      </c>
      <c r="K4" s="43" t="s">
        <v>117</v>
      </c>
      <c r="L4" s="36">
        <v>50</v>
      </c>
    </row>
    <row r="5" spans="1:12" ht="18" thickTop="1" thickBot="1" x14ac:dyDescent="0.3">
      <c r="A5" s="30">
        <v>4</v>
      </c>
      <c r="B5" s="31" t="s">
        <v>95</v>
      </c>
      <c r="C5" s="29">
        <f>IF(B5="","",COUNTIF(簽到記錄!8:8,"&gt;8:50")-COUNTIF(簽到記錄!8:8,"&gt;18:00"))</f>
        <v>14</v>
      </c>
      <c r="D5" s="29">
        <f t="shared" si="0"/>
        <v>700</v>
      </c>
      <c r="E5" s="57">
        <f>簽到記錄!BM32</f>
        <v>0.17152777777777772</v>
      </c>
      <c r="F5" s="60">
        <f t="shared" si="1"/>
        <v>320</v>
      </c>
      <c r="G5" s="44">
        <f>ROUNDDOWN(COUNTBLANK(簽到記錄!C8:BL8)/2-8,0)</f>
        <v>3</v>
      </c>
    </row>
    <row r="6" spans="1:12" ht="18" thickTop="1" thickBot="1" x14ac:dyDescent="0.3">
      <c r="A6" s="32">
        <v>5</v>
      </c>
      <c r="B6" s="33" t="s">
        <v>96</v>
      </c>
      <c r="C6" s="29">
        <f>IF(B6="","",COUNTIF(簽到記錄!9:9,"&gt;8:50")-COUNTIF(簽到記錄!9:9,"&gt;18:00"))</f>
        <v>12</v>
      </c>
      <c r="D6" s="29">
        <f t="shared" si="0"/>
        <v>600</v>
      </c>
      <c r="E6" s="58">
        <f>簽到記錄!BM33</f>
        <v>0.92708333333333326</v>
      </c>
      <c r="F6" s="60">
        <f t="shared" si="1"/>
        <v>1760</v>
      </c>
      <c r="G6" s="44">
        <f>ROUNDDOWN(COUNTBLANK(簽到記錄!C9:BL9)/2-8,0)</f>
        <v>0</v>
      </c>
    </row>
    <row r="7" spans="1:12" ht="18" thickTop="1" thickBot="1" x14ac:dyDescent="0.3">
      <c r="A7" s="30">
        <v>6</v>
      </c>
      <c r="B7" s="31" t="s">
        <v>97</v>
      </c>
      <c r="C7" s="29">
        <f>IF(B7="","",COUNTIF(簽到記錄!10:10,"&gt;8:50")-COUNTIF(簽到記錄!10:10,"&gt;18:00"))</f>
        <v>12</v>
      </c>
      <c r="D7" s="29">
        <f t="shared" si="0"/>
        <v>600</v>
      </c>
      <c r="E7" s="57">
        <f>簽到記錄!BM34</f>
        <v>0.41875000000000018</v>
      </c>
      <c r="F7" s="60">
        <f t="shared" si="1"/>
        <v>800</v>
      </c>
      <c r="G7" s="44">
        <f>ROUNDDOWN(COUNTBLANK(簽到記錄!C10:BL10)/2-8,0)</f>
        <v>2</v>
      </c>
    </row>
    <row r="8" spans="1:12" ht="18" thickTop="1" thickBot="1" x14ac:dyDescent="0.3">
      <c r="A8" s="32">
        <v>7</v>
      </c>
      <c r="B8" s="33" t="s">
        <v>98</v>
      </c>
      <c r="C8" s="29">
        <f>IF(B8="","",COUNTIF(簽到記錄!11:11,"&gt;8:50")-COUNTIF(簽到記錄!11:11,"&gt;18:00"))</f>
        <v>16</v>
      </c>
      <c r="D8" s="29">
        <f t="shared" si="0"/>
        <v>800</v>
      </c>
      <c r="E8" s="58">
        <f>簽到記錄!BM35</f>
        <v>0.45347222222222239</v>
      </c>
      <c r="F8" s="60">
        <f t="shared" si="1"/>
        <v>880</v>
      </c>
      <c r="G8" s="44">
        <f>ROUNDDOWN(COUNTBLANK(簽到記錄!C11:BL11)/2-8,0)</f>
        <v>0</v>
      </c>
    </row>
    <row r="9" spans="1:12" ht="18" thickTop="1" thickBot="1" x14ac:dyDescent="0.3">
      <c r="A9" s="30">
        <v>8</v>
      </c>
      <c r="B9" s="31" t="s">
        <v>99</v>
      </c>
      <c r="C9" s="29">
        <f>IF(B9="","",COUNTIF(簽到記錄!12:12,"&gt;8:50")-COUNTIF(簽到記錄!12:12,"&gt;18:00"))</f>
        <v>5</v>
      </c>
      <c r="D9" s="29">
        <f t="shared" si="0"/>
        <v>150</v>
      </c>
      <c r="E9" s="57">
        <f>簽到記錄!BM36</f>
        <v>1.125</v>
      </c>
      <c r="F9" s="60">
        <f t="shared" si="1"/>
        <v>240</v>
      </c>
      <c r="G9" s="44">
        <f>ROUNDDOWN(COUNTBLANK(簽到記錄!C12:BL12)/2-8,0)</f>
        <v>1</v>
      </c>
    </row>
    <row r="10" spans="1:12" ht="18" thickTop="1" thickBot="1" x14ac:dyDescent="0.3">
      <c r="A10" s="32">
        <v>9</v>
      </c>
      <c r="B10" s="33" t="s">
        <v>100</v>
      </c>
      <c r="C10" s="29">
        <f>IF(B10="","",COUNTIF(簽到記錄!13:13,"&gt;8:50")-COUNTIF(簽到記錄!13:13,"&gt;18:00"))</f>
        <v>10</v>
      </c>
      <c r="D10" s="29">
        <f t="shared" si="0"/>
        <v>500</v>
      </c>
      <c r="E10" s="58">
        <f>簽到記錄!BM37</f>
        <v>1.7576388888888892</v>
      </c>
      <c r="F10" s="60">
        <f t="shared" si="1"/>
        <v>1440</v>
      </c>
      <c r="G10" s="44">
        <f>ROUNDDOWN(COUNTBLANK(簽到記錄!C13:BL13)/2-8,0)</f>
        <v>0</v>
      </c>
    </row>
    <row r="11" spans="1:12" ht="18" thickTop="1" thickBot="1" x14ac:dyDescent="0.3">
      <c r="A11" s="34">
        <v>10</v>
      </c>
      <c r="B11" s="31" t="s">
        <v>101</v>
      </c>
      <c r="C11" s="29">
        <f>IF(B11="","",COUNTIF(簽到記錄!14:14,"&gt;8:50")-COUNTIF(簽到記錄!14:14,"&gt;18:00"))</f>
        <v>17</v>
      </c>
      <c r="D11" s="29">
        <f t="shared" si="0"/>
        <v>850</v>
      </c>
      <c r="E11" s="57">
        <f>簽到記錄!BM38</f>
        <v>0.41319444444444442</v>
      </c>
      <c r="F11" s="60">
        <f t="shared" si="1"/>
        <v>800</v>
      </c>
      <c r="G11" s="44">
        <f>ROUNDDOWN(COUNTBLANK(簽到記錄!C14:BL14)/2-8,0)</f>
        <v>2</v>
      </c>
    </row>
    <row r="12" spans="1:12" ht="18" thickTop="1" thickBot="1" x14ac:dyDescent="0.3">
      <c r="A12" s="35">
        <v>11</v>
      </c>
      <c r="B12" s="33" t="s">
        <v>102</v>
      </c>
      <c r="C12" s="29">
        <f>IF(B12="","",COUNTIF(簽到記錄!15:15,"&gt;8:50")-COUNTIF(簽到記錄!15:15,"&gt;18:00"))</f>
        <v>15</v>
      </c>
      <c r="D12" s="29">
        <f t="shared" si="0"/>
        <v>750</v>
      </c>
      <c r="E12" s="58">
        <f>簽到記錄!BM39</f>
        <v>0.4604166666666667</v>
      </c>
      <c r="F12" s="60">
        <f t="shared" si="1"/>
        <v>880</v>
      </c>
      <c r="G12" s="44">
        <f>ROUNDDOWN(COUNTBLANK(簽到記錄!C15:BL15)/2-8,0)</f>
        <v>1</v>
      </c>
    </row>
    <row r="13" spans="1:12" ht="18" thickTop="1" thickBot="1" x14ac:dyDescent="0.3">
      <c r="A13" s="34">
        <v>12</v>
      </c>
      <c r="B13" s="31" t="s">
        <v>103</v>
      </c>
      <c r="C13" s="29">
        <f>IF(B13="","",COUNTIF(簽到記錄!16:16,"&gt;8:50")-COUNTIF(簽到記錄!16:16,"&gt;18:00"))</f>
        <v>17</v>
      </c>
      <c r="D13" s="29">
        <f t="shared" si="0"/>
        <v>850</v>
      </c>
      <c r="E13" s="57">
        <f>簽到記錄!BM40</f>
        <v>0.15694444444444444</v>
      </c>
      <c r="F13" s="60">
        <f t="shared" si="1"/>
        <v>320</v>
      </c>
      <c r="G13" s="44">
        <f>ROUNDDOWN(COUNTBLANK(簽到記錄!C16:BL16)/2-8,0)</f>
        <v>1</v>
      </c>
    </row>
    <row r="14" spans="1:12" ht="18" thickTop="1" thickBot="1" x14ac:dyDescent="0.3">
      <c r="A14" s="35">
        <v>13</v>
      </c>
      <c r="B14" s="33" t="s">
        <v>104</v>
      </c>
      <c r="C14" s="29">
        <f>IF(B14="","",COUNTIF(簽到記錄!17:17,"&gt;8:50")-COUNTIF(簽到記錄!17:17,"&gt;18:00"))</f>
        <v>5</v>
      </c>
      <c r="D14" s="29">
        <f t="shared" si="0"/>
        <v>150</v>
      </c>
      <c r="E14" s="58">
        <f>簽到記錄!BM41</f>
        <v>2.004861111111111</v>
      </c>
      <c r="F14" s="60">
        <f t="shared" si="1"/>
        <v>0</v>
      </c>
      <c r="G14" s="44">
        <f>ROUNDDOWN(COUNTBLANK(簽到記錄!C17:BL17)/2-8,0)</f>
        <v>1</v>
      </c>
    </row>
    <row r="15" spans="1:12" ht="18" thickTop="1" thickBot="1" x14ac:dyDescent="0.3">
      <c r="A15" s="34">
        <v>14</v>
      </c>
      <c r="B15" s="31" t="s">
        <v>105</v>
      </c>
      <c r="C15" s="29">
        <f>IF(B15="","",COUNTIF(簽到記錄!18:18,"&gt;8:50")-COUNTIF(簽到記錄!18:18,"&gt;18:00"))</f>
        <v>15</v>
      </c>
      <c r="D15" s="29">
        <f t="shared" si="0"/>
        <v>750</v>
      </c>
      <c r="E15" s="57">
        <f>簽到記錄!BM42</f>
        <v>0.55694444444444446</v>
      </c>
      <c r="F15" s="60">
        <f t="shared" si="1"/>
        <v>1040</v>
      </c>
      <c r="G15" s="44">
        <f>ROUNDDOWN(COUNTBLANK(簽到記錄!C18:BL18)/2-8,0)</f>
        <v>1</v>
      </c>
    </row>
    <row r="16" spans="1:12" ht="18" thickTop="1" thickBot="1" x14ac:dyDescent="0.3">
      <c r="A16" s="35">
        <v>15</v>
      </c>
      <c r="B16" s="33" t="s">
        <v>106</v>
      </c>
      <c r="C16" s="29">
        <f>IF(B16="","",COUNTIF(簽到記錄!19:19,"&gt;8:50")-COUNTIF(簽到記錄!19:19,"&gt;18:00"))</f>
        <v>12</v>
      </c>
      <c r="D16" s="29">
        <f t="shared" si="0"/>
        <v>600</v>
      </c>
      <c r="E16" s="58">
        <f>簽到記錄!BM43</f>
        <v>0.43333333333333324</v>
      </c>
      <c r="F16" s="60">
        <f t="shared" si="1"/>
        <v>800</v>
      </c>
      <c r="G16" s="44">
        <f>ROUNDDOWN(COUNTBLANK(簽到記錄!C19:BL19)/2-8,0)</f>
        <v>0</v>
      </c>
    </row>
    <row r="17" spans="1:7" ht="18" thickTop="1" thickBot="1" x14ac:dyDescent="0.3">
      <c r="A17" s="34">
        <v>16</v>
      </c>
      <c r="B17" s="31" t="s">
        <v>107</v>
      </c>
      <c r="C17" s="29">
        <f>IF(B17="","",COUNTIF(簽到記錄!20:20,"&gt;8:50")-COUNTIF(簽到記錄!20:20,"&gt;18:00"))</f>
        <v>15</v>
      </c>
      <c r="D17" s="29">
        <f t="shared" si="0"/>
        <v>750</v>
      </c>
      <c r="E17" s="57">
        <f>簽到記錄!BM44</f>
        <v>0.19999999999999996</v>
      </c>
      <c r="F17" s="60">
        <f t="shared" si="1"/>
        <v>400</v>
      </c>
      <c r="G17" s="44">
        <f>ROUNDDOWN(COUNTBLANK(簽到記錄!C20:BL20)/2-8,0)</f>
        <v>5</v>
      </c>
    </row>
    <row r="18" spans="1:7" ht="18" thickTop="1" thickBot="1" x14ac:dyDescent="0.3">
      <c r="A18" s="35">
        <v>17</v>
      </c>
      <c r="B18" s="33" t="s">
        <v>108</v>
      </c>
      <c r="C18" s="29">
        <f>IF(B18="","",COUNTIF(簽到記錄!21:21,"&gt;8:50")-COUNTIF(簽到記錄!21:21,"&gt;18:00"))</f>
        <v>11</v>
      </c>
      <c r="D18" s="29">
        <f t="shared" si="0"/>
        <v>550</v>
      </c>
      <c r="E18" s="58">
        <f>簽到記錄!BM45</f>
        <v>0.94513888888888897</v>
      </c>
      <c r="F18" s="60">
        <f t="shared" si="1"/>
        <v>1840</v>
      </c>
      <c r="G18" s="44">
        <f>ROUNDDOWN(COUNTBLANK(簽到記錄!C21:BL21)/2-8,0)</f>
        <v>1</v>
      </c>
    </row>
    <row r="19" spans="1:7" ht="18" thickTop="1" thickBot="1" x14ac:dyDescent="0.3">
      <c r="A19" s="34">
        <v>18</v>
      </c>
      <c r="B19" s="31" t="s">
        <v>109</v>
      </c>
      <c r="C19" s="29">
        <f>IF(B19="","",COUNTIF(簽到記錄!22:22,"&gt;8:50")-COUNTIF(簽到記錄!22:22,"&gt;18:00"))</f>
        <v>20</v>
      </c>
      <c r="D19" s="29">
        <f t="shared" si="0"/>
        <v>1000</v>
      </c>
      <c r="E19" s="57">
        <f>簽到記錄!BM46</f>
        <v>0.4770833333333333</v>
      </c>
      <c r="F19" s="60">
        <f t="shared" si="1"/>
        <v>880</v>
      </c>
      <c r="G19" s="44">
        <f>ROUNDDOWN(COUNTBLANK(簽到記錄!C22:BL22)/2-8,0)</f>
        <v>1</v>
      </c>
    </row>
    <row r="20" spans="1:7" ht="18" thickTop="1" thickBot="1" x14ac:dyDescent="0.3">
      <c r="A20" s="35">
        <v>19</v>
      </c>
      <c r="B20" s="33" t="s">
        <v>110</v>
      </c>
      <c r="C20" s="29">
        <f>IF(B20="","",COUNTIF(簽到記錄!23:23,"&gt;8:50")-COUNTIF(簽到記錄!23:23,"&gt;18:00"))</f>
        <v>10</v>
      </c>
      <c r="D20" s="29">
        <f t="shared" si="0"/>
        <v>500</v>
      </c>
      <c r="E20" s="58">
        <f>簽到記錄!BM47</f>
        <v>1.0006944444444443</v>
      </c>
      <c r="F20" s="60">
        <f t="shared" si="1"/>
        <v>0</v>
      </c>
      <c r="G20" s="44">
        <f>ROUNDDOWN(COUNTBLANK(簽到記錄!C23:BL23)/2-8,0)</f>
        <v>2</v>
      </c>
    </row>
    <row r="21" spans="1:7" ht="18" thickTop="1" thickBot="1" x14ac:dyDescent="0.3">
      <c r="A21" s="34">
        <v>20</v>
      </c>
      <c r="B21" s="31" t="s">
        <v>111</v>
      </c>
      <c r="C21" s="29">
        <f>IF(B21="","",COUNTIF(簽到記錄!24:24,"&gt;8:50")-COUNTIF(簽到記錄!24:24,"&gt;18:00"))</f>
        <v>11</v>
      </c>
      <c r="D21" s="29">
        <f t="shared" si="0"/>
        <v>550</v>
      </c>
      <c r="E21" s="57">
        <f>簽到記錄!BM48</f>
        <v>0.49444444444444424</v>
      </c>
      <c r="F21" s="60">
        <f t="shared" si="1"/>
        <v>960</v>
      </c>
      <c r="G21" s="44">
        <f>ROUNDDOWN(COUNTBLANK(簽到記錄!C24:BL24)/2-8,0)</f>
        <v>2</v>
      </c>
    </row>
    <row r="22" spans="1:7" ht="18" thickTop="1" thickBot="1" x14ac:dyDescent="0.3">
      <c r="A22" s="35">
        <v>21</v>
      </c>
      <c r="B22" s="33" t="s">
        <v>112</v>
      </c>
      <c r="C22" s="29">
        <f>IF(B22="","",COUNTIF(簽到記錄!25:25,"&gt;8:50")-COUNTIF(簽到記錄!25:25,"&gt;18:00"))</f>
        <v>14</v>
      </c>
      <c r="D22" s="29">
        <f t="shared" si="0"/>
        <v>700</v>
      </c>
      <c r="E22" s="58">
        <f>簽到記錄!BM49</f>
        <v>0.80625000000000024</v>
      </c>
      <c r="F22" s="60">
        <f t="shared" si="1"/>
        <v>1520</v>
      </c>
      <c r="G22" s="44">
        <f>ROUNDDOWN(COUNTBLANK(簽到記錄!C25:BL25)/2-8,0)</f>
        <v>1</v>
      </c>
    </row>
    <row r="23" spans="1:7" ht="17.25" thickTop="1" x14ac:dyDescent="0.25">
      <c r="A23" s="34">
        <v>22</v>
      </c>
      <c r="B23" s="31" t="s">
        <v>113</v>
      </c>
      <c r="C23" s="29">
        <f>IF(B23="","",COUNTIF(簽到記錄!26:26,"&gt;8:50")-COUNTIF(簽到記錄!26:26,"&gt;18:00"))</f>
        <v>11</v>
      </c>
      <c r="D23" s="29">
        <f t="shared" si="0"/>
        <v>550</v>
      </c>
      <c r="E23" s="57">
        <f>簽到記錄!BM50</f>
        <v>0.83958333333333335</v>
      </c>
      <c r="F23" s="60">
        <f t="shared" si="1"/>
        <v>1600</v>
      </c>
      <c r="G23" s="44">
        <f>ROUNDDOWN(COUNTBLANK(簽到記錄!C26:BL26)/2-8,0)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884A-0FFC-4118-842F-E7AA66D91DA2}">
  <dimension ref="A1:O23"/>
  <sheetViews>
    <sheetView workbookViewId="0">
      <selection activeCell="E1" sqref="E1:I1"/>
    </sheetView>
  </sheetViews>
  <sheetFormatPr defaultRowHeight="16.5" x14ac:dyDescent="0.25"/>
  <cols>
    <col min="1" max="2" width="11.25" customWidth="1"/>
    <col min="5" max="10" width="11.25" customWidth="1"/>
    <col min="14" max="14" width="13.875" bestFit="1" customWidth="1"/>
    <col min="15" max="15" width="14.75" customWidth="1"/>
  </cols>
  <sheetData>
    <row r="1" spans="1:15" x14ac:dyDescent="0.25">
      <c r="A1" s="46" t="s">
        <v>0</v>
      </c>
      <c r="B1" s="46" t="s">
        <v>118</v>
      </c>
      <c r="C1" s="46" t="s">
        <v>7</v>
      </c>
      <c r="D1" s="46" t="s">
        <v>8</v>
      </c>
      <c r="E1" s="46" t="s">
        <v>122</v>
      </c>
      <c r="F1" s="46" t="s">
        <v>119</v>
      </c>
      <c r="G1" s="46" t="s">
        <v>90</v>
      </c>
      <c r="H1" s="46" t="s">
        <v>88</v>
      </c>
      <c r="I1" s="46" t="s">
        <v>120</v>
      </c>
      <c r="J1" s="47" t="s">
        <v>121</v>
      </c>
      <c r="N1" s="63" t="s">
        <v>119</v>
      </c>
      <c r="O1" s="65">
        <v>1000</v>
      </c>
    </row>
    <row r="2" spans="1:15" x14ac:dyDescent="0.25">
      <c r="A2" s="48">
        <v>1</v>
      </c>
      <c r="B2" s="49" t="str">
        <f>_xlfn.CONCAT(員工基本資料!B2,員工基本資料!C2)</f>
        <v>林淑卿</v>
      </c>
      <c r="C2" s="49" t="str">
        <f>員工基本資料!H2</f>
        <v>業務</v>
      </c>
      <c r="D2" s="49" t="str">
        <f>員工基本資料!I2</f>
        <v>經理</v>
      </c>
      <c r="E2" s="49">
        <f ca="1">22000+員工基本資料!K2*1500</f>
        <v>35500</v>
      </c>
      <c r="F2" s="49">
        <f>IF(AND(簽到統計!C2&lt;=3,簽到統計!G2=0),O1,0)</f>
        <v>0</v>
      </c>
      <c r="G2" s="49">
        <f>簽到統計!F2</f>
        <v>960</v>
      </c>
      <c r="H2" s="49">
        <f>簽到統計!D2</f>
        <v>450</v>
      </c>
      <c r="I2" s="49">
        <f>IF(簽到統計!G2&gt;3,簽到統計!G2*薪資表!$O$2,0)</f>
        <v>0</v>
      </c>
      <c r="J2" s="50">
        <f ca="1">E2+F2+G2-H2-I2</f>
        <v>36010</v>
      </c>
      <c r="N2" s="64" t="s">
        <v>123</v>
      </c>
      <c r="O2" s="62">
        <f>22000/22</f>
        <v>1000</v>
      </c>
    </row>
    <row r="3" spans="1:15" x14ac:dyDescent="0.25">
      <c r="A3" s="51">
        <v>2</v>
      </c>
      <c r="B3" s="52" t="str">
        <f>_xlfn.CONCAT(員工基本資料!B3,員工基本資料!C3)</f>
        <v>鄭力高</v>
      </c>
      <c r="C3" s="52" t="str">
        <f>員工基本資料!H3</f>
        <v>品管</v>
      </c>
      <c r="D3" s="52" t="str">
        <f>員工基本資料!I3</f>
        <v>經理</v>
      </c>
      <c r="E3" s="49">
        <f ca="1">22000+員工基本資料!K3*1500</f>
        <v>32500</v>
      </c>
      <c r="F3" s="49">
        <f>IF(AND(簽到統計!C3&lt;=3,簽到統計!G3=0),O2,0)</f>
        <v>0</v>
      </c>
      <c r="G3" s="49">
        <f>簽到統計!F3</f>
        <v>240</v>
      </c>
      <c r="H3" s="49">
        <f>簽到統計!D3</f>
        <v>550</v>
      </c>
      <c r="I3" s="49">
        <f>IF(簽到統計!G3&gt;3,簽到統計!G3*薪資表!$O$2,0)</f>
        <v>10000</v>
      </c>
      <c r="J3" s="50">
        <f t="shared" ref="J3:J23" ca="1" si="0">E3+F3+G3-H3-I3</f>
        <v>22190</v>
      </c>
    </row>
    <row r="4" spans="1:15" x14ac:dyDescent="0.25">
      <c r="A4" s="48">
        <v>3</v>
      </c>
      <c r="B4" s="49" t="str">
        <f>_xlfn.CONCAT(員工基本資料!B4,員工基本資料!C4)</f>
        <v>汪喜洋</v>
      </c>
      <c r="C4" s="49" t="str">
        <f>員工基本資料!H4</f>
        <v>人資</v>
      </c>
      <c r="D4" s="49" t="str">
        <f>員工基本資料!I4</f>
        <v>協理</v>
      </c>
      <c r="E4" s="49">
        <f ca="1">22000+員工基本資料!K4*1500</f>
        <v>37000</v>
      </c>
      <c r="F4" s="49">
        <f>IF(AND(簽到統計!C4&lt;=3,簽到統計!G4=0),O3,0)</f>
        <v>0</v>
      </c>
      <c r="G4" s="49">
        <f>簽到統計!F4</f>
        <v>1120</v>
      </c>
      <c r="H4" s="49">
        <f>簽到統計!D4</f>
        <v>350</v>
      </c>
      <c r="I4" s="49">
        <f>IF(簽到統計!G4&gt;3,簽到統計!G4*薪資表!$O$2,0)</f>
        <v>0</v>
      </c>
      <c r="J4" s="50">
        <f t="shared" ca="1" si="0"/>
        <v>37770</v>
      </c>
    </row>
    <row r="5" spans="1:15" x14ac:dyDescent="0.25">
      <c r="A5" s="51">
        <v>4</v>
      </c>
      <c r="B5" s="52" t="str">
        <f>_xlfn.CONCAT(員工基本資料!B5,員工基本資料!C5)</f>
        <v>劉全生</v>
      </c>
      <c r="C5" s="52" t="str">
        <f>員工基本資料!H5</f>
        <v>業務</v>
      </c>
      <c r="D5" s="52" t="str">
        <f>員工基本資料!I5</f>
        <v>協理</v>
      </c>
      <c r="E5" s="49">
        <f ca="1">22000+員工基本資料!K5*1500</f>
        <v>44500</v>
      </c>
      <c r="F5" s="49">
        <f>IF(AND(簽到統計!C5&lt;=3,簽到統計!G5=0),O4,0)</f>
        <v>0</v>
      </c>
      <c r="G5" s="49">
        <f>簽到統計!F5</f>
        <v>320</v>
      </c>
      <c r="H5" s="49">
        <f>簽到統計!D5</f>
        <v>700</v>
      </c>
      <c r="I5" s="49">
        <f>IF(簽到統計!G5&gt;3,簽到統計!G5*薪資表!$O$2,0)</f>
        <v>0</v>
      </c>
      <c r="J5" s="50">
        <f t="shared" ca="1" si="0"/>
        <v>44120</v>
      </c>
    </row>
    <row r="6" spans="1:15" x14ac:dyDescent="0.25">
      <c r="A6" s="48">
        <v>5</v>
      </c>
      <c r="B6" s="49" t="str">
        <f>_xlfn.CONCAT(員工基本資料!B6,員工基本資料!C6)</f>
        <v>陳錦相</v>
      </c>
      <c r="C6" s="49" t="str">
        <f>員工基本資料!H6</f>
        <v>製造</v>
      </c>
      <c r="D6" s="49" t="str">
        <f>員工基本資料!I6</f>
        <v>技師</v>
      </c>
      <c r="E6" s="49">
        <f ca="1">22000+員工基本資料!K6*1500</f>
        <v>34000</v>
      </c>
      <c r="F6" s="49">
        <f>IF(AND(簽到統計!C6&lt;=3,簽到統計!G6=0),O5,0)</f>
        <v>0</v>
      </c>
      <c r="G6" s="49">
        <f>簽到統計!F6</f>
        <v>1760</v>
      </c>
      <c r="H6" s="49">
        <f>簽到統計!D6</f>
        <v>600</v>
      </c>
      <c r="I6" s="49">
        <f>IF(簽到統計!G6&gt;3,簽到統計!G6*薪資表!$O$2,0)</f>
        <v>0</v>
      </c>
      <c r="J6" s="50">
        <f t="shared" ca="1" si="0"/>
        <v>35160</v>
      </c>
    </row>
    <row r="7" spans="1:15" x14ac:dyDescent="0.25">
      <c r="A7" s="51">
        <v>6</v>
      </c>
      <c r="B7" s="52" t="str">
        <f>_xlfn.CONCAT(員工基本資料!B7,員工基本資料!C7)</f>
        <v>陳世傑</v>
      </c>
      <c r="C7" s="52" t="str">
        <f>員工基本資料!H7</f>
        <v>資訊</v>
      </c>
      <c r="D7" s="52" t="str">
        <f>員工基本資料!I7</f>
        <v>副理</v>
      </c>
      <c r="E7" s="49">
        <f ca="1">22000+員工基本資料!K7*1500</f>
        <v>35500</v>
      </c>
      <c r="F7" s="49">
        <f>IF(AND(簽到統計!C7&lt;=3,簽到統計!G7=0),O6,0)</f>
        <v>0</v>
      </c>
      <c r="G7" s="49">
        <f>簽到統計!F7</f>
        <v>800</v>
      </c>
      <c r="H7" s="49">
        <f>簽到統計!D7</f>
        <v>600</v>
      </c>
      <c r="I7" s="49">
        <f>IF(簽到統計!G7&gt;3,簽到統計!G7*薪資表!$O$2,0)</f>
        <v>0</v>
      </c>
      <c r="J7" s="50">
        <f t="shared" ca="1" si="0"/>
        <v>35700</v>
      </c>
    </row>
    <row r="8" spans="1:15" x14ac:dyDescent="0.25">
      <c r="A8" s="48">
        <v>7</v>
      </c>
      <c r="B8" s="49" t="str">
        <f>_xlfn.CONCAT(員工基本資料!B8,員工基本資料!C8)</f>
        <v>林美姿</v>
      </c>
      <c r="C8" s="49" t="str">
        <f>員工基本資料!H8</f>
        <v>業務</v>
      </c>
      <c r="D8" s="49" t="str">
        <f>員工基本資料!I8</f>
        <v>專員</v>
      </c>
      <c r="E8" s="49">
        <f ca="1">22000+員工基本資料!K8*1500</f>
        <v>32500</v>
      </c>
      <c r="F8" s="49">
        <f>IF(AND(簽到統計!C8&lt;=3,簽到統計!G8=0),O7,0)</f>
        <v>0</v>
      </c>
      <c r="G8" s="49">
        <f>簽到統計!F8</f>
        <v>880</v>
      </c>
      <c r="H8" s="49">
        <f>簽到統計!D8</f>
        <v>800</v>
      </c>
      <c r="I8" s="49">
        <f>IF(簽到統計!G8&gt;3,簽到統計!G8*薪資表!$O$2,0)</f>
        <v>0</v>
      </c>
      <c r="J8" s="50">
        <f t="shared" ca="1" si="0"/>
        <v>32580</v>
      </c>
    </row>
    <row r="9" spans="1:15" x14ac:dyDescent="0.25">
      <c r="A9" s="51">
        <v>8</v>
      </c>
      <c r="B9" s="52" t="str">
        <f>_xlfn.CONCAT(員工基本資料!B9,員工基本資料!C9)</f>
        <v>沈朗錦</v>
      </c>
      <c r="C9" s="52" t="str">
        <f>員工基本資料!H9</f>
        <v>人資</v>
      </c>
      <c r="D9" s="52" t="str">
        <f>員工基本資料!I9</f>
        <v>專員</v>
      </c>
      <c r="E9" s="49">
        <f ca="1">22000+員工基本資料!K9*1500</f>
        <v>29500</v>
      </c>
      <c r="F9" s="49">
        <f>IF(AND(簽到統計!C9&lt;=3,簽到統計!G9=0),O8,0)</f>
        <v>0</v>
      </c>
      <c r="G9" s="49">
        <f>簽到統計!F9</f>
        <v>240</v>
      </c>
      <c r="H9" s="49">
        <f>簽到統計!D9</f>
        <v>150</v>
      </c>
      <c r="I9" s="49">
        <f>IF(簽到統計!G9&gt;3,簽到統計!G9*薪資表!$O$2,0)</f>
        <v>0</v>
      </c>
      <c r="J9" s="50">
        <f t="shared" ca="1" si="0"/>
        <v>29590</v>
      </c>
    </row>
    <row r="10" spans="1:15" x14ac:dyDescent="0.25">
      <c r="A10" s="48">
        <v>9</v>
      </c>
      <c r="B10" s="49" t="str">
        <f>_xlfn.CONCAT(員工基本資料!B10,員工基本資料!C10)</f>
        <v>張一心</v>
      </c>
      <c r="C10" s="49" t="str">
        <f>員工基本資料!H10</f>
        <v>資訊</v>
      </c>
      <c r="D10" s="49" t="str">
        <f>員工基本資料!I10</f>
        <v>專員</v>
      </c>
      <c r="E10" s="49">
        <f ca="1">22000+員工基本資料!K10*1500</f>
        <v>35500</v>
      </c>
      <c r="F10" s="49">
        <f>IF(AND(簽到統計!C10&lt;=3,簽到統計!G10=0),O9,0)</f>
        <v>0</v>
      </c>
      <c r="G10" s="49">
        <f>簽到統計!F10</f>
        <v>1440</v>
      </c>
      <c r="H10" s="49">
        <f>簽到統計!D10</f>
        <v>500</v>
      </c>
      <c r="I10" s="49">
        <f>IF(簽到統計!G10&gt;3,簽到統計!G10*薪資表!$O$2,0)</f>
        <v>0</v>
      </c>
      <c r="J10" s="50">
        <f t="shared" ca="1" si="0"/>
        <v>36440</v>
      </c>
    </row>
    <row r="11" spans="1:15" x14ac:dyDescent="0.25">
      <c r="A11" s="53">
        <v>10</v>
      </c>
      <c r="B11" s="52" t="str">
        <f>_xlfn.CONCAT(員工基本資料!B11,員工基本資料!C11)</f>
        <v>黃于齡</v>
      </c>
      <c r="C11" s="52" t="str">
        <f>員工基本資料!H11</f>
        <v>人資</v>
      </c>
      <c r="D11" s="52" t="str">
        <f>員工基本資料!I11</f>
        <v>專員</v>
      </c>
      <c r="E11" s="49">
        <f ca="1">22000+員工基本資料!K11*1500</f>
        <v>34000</v>
      </c>
      <c r="F11" s="49">
        <f>IF(AND(簽到統計!C11&lt;=3,簽到統計!G11=0),O10,0)</f>
        <v>0</v>
      </c>
      <c r="G11" s="49">
        <f>簽到統計!F11</f>
        <v>800</v>
      </c>
      <c r="H11" s="49">
        <f>簽到統計!D11</f>
        <v>850</v>
      </c>
      <c r="I11" s="49">
        <f>IF(簽到統計!G11&gt;3,簽到統計!G11*薪資表!$O$2,0)</f>
        <v>0</v>
      </c>
      <c r="J11" s="50">
        <f t="shared" ca="1" si="0"/>
        <v>33950</v>
      </c>
    </row>
    <row r="12" spans="1:15" x14ac:dyDescent="0.25">
      <c r="A12" s="54">
        <v>11</v>
      </c>
      <c r="B12" s="49" t="str">
        <f>_xlfn.CONCAT(員工基本資料!B12,員工基本資料!C12)</f>
        <v>余思嫻</v>
      </c>
      <c r="C12" s="49" t="str">
        <f>員工基本資料!H12</f>
        <v>業務</v>
      </c>
      <c r="D12" s="49" t="str">
        <f>員工基本資料!I12</f>
        <v>副理</v>
      </c>
      <c r="E12" s="49">
        <f ca="1">22000+員工基本資料!K12*1500</f>
        <v>38500</v>
      </c>
      <c r="F12" s="49">
        <f>IF(AND(簽到統計!C12&lt;=3,簽到統計!G12=0),O11,0)</f>
        <v>0</v>
      </c>
      <c r="G12" s="49">
        <f>簽到統計!F12</f>
        <v>880</v>
      </c>
      <c r="H12" s="49">
        <f>簽到統計!D12</f>
        <v>750</v>
      </c>
      <c r="I12" s="49">
        <f>IF(簽到統計!G12&gt;3,簽到統計!G12*薪資表!$O$2,0)</f>
        <v>0</v>
      </c>
      <c r="J12" s="50">
        <f t="shared" ca="1" si="0"/>
        <v>38630</v>
      </c>
    </row>
    <row r="13" spans="1:15" x14ac:dyDescent="0.25">
      <c r="A13" s="53">
        <v>12</v>
      </c>
      <c r="B13" s="52" t="str">
        <f>_xlfn.CONCAT(員工基本資料!B13,員工基本資料!C13)</f>
        <v>鄭及梁</v>
      </c>
      <c r="C13" s="52" t="str">
        <f>員工基本資料!H13</f>
        <v>資訊</v>
      </c>
      <c r="D13" s="52" t="str">
        <f>員工基本資料!I13</f>
        <v>工程師</v>
      </c>
      <c r="E13" s="49">
        <f ca="1">22000+員工基本資料!K13*1500</f>
        <v>38500</v>
      </c>
      <c r="F13" s="49">
        <f>IF(AND(簽到統計!C13&lt;=3,簽到統計!G13=0),O12,0)</f>
        <v>0</v>
      </c>
      <c r="G13" s="49">
        <f>簽到統計!F13</f>
        <v>320</v>
      </c>
      <c r="H13" s="49">
        <f>簽到統計!D13</f>
        <v>850</v>
      </c>
      <c r="I13" s="49">
        <f>IF(簽到統計!G13&gt;3,簽到統計!G13*薪資表!$O$2,0)</f>
        <v>0</v>
      </c>
      <c r="J13" s="50">
        <f t="shared" ca="1" si="0"/>
        <v>37970</v>
      </c>
    </row>
    <row r="14" spans="1:15" x14ac:dyDescent="0.25">
      <c r="A14" s="54">
        <v>13</v>
      </c>
      <c r="B14" s="49" t="str">
        <f>_xlfn.CONCAT(員工基本資料!B14,員工基本資料!C14)</f>
        <v>許敬中</v>
      </c>
      <c r="C14" s="49" t="str">
        <f>員工基本資料!H14</f>
        <v>製造</v>
      </c>
      <c r="D14" s="49" t="str">
        <f>員工基本資料!I14</f>
        <v>副理</v>
      </c>
      <c r="E14" s="49">
        <f ca="1">22000+員工基本資料!K14*1500</f>
        <v>29500</v>
      </c>
      <c r="F14" s="49">
        <f>IF(AND(簽到統計!C14&lt;=3,簽到統計!G14=0),O13,0)</f>
        <v>0</v>
      </c>
      <c r="G14" s="49">
        <f>簽到統計!F14</f>
        <v>0</v>
      </c>
      <c r="H14" s="49">
        <f>簽到統計!D14</f>
        <v>150</v>
      </c>
      <c r="I14" s="49">
        <f>IF(簽到統計!G14&gt;3,簽到統計!G14*薪資表!$O$2,0)</f>
        <v>0</v>
      </c>
      <c r="J14" s="50">
        <f t="shared" ca="1" si="0"/>
        <v>29350</v>
      </c>
    </row>
    <row r="15" spans="1:15" x14ac:dyDescent="0.25">
      <c r="A15" s="53">
        <v>14</v>
      </c>
      <c r="B15" s="52" t="str">
        <f>_xlfn.CONCAT(員工基本資料!B15,員工基本資料!C15)</f>
        <v>李淑芬</v>
      </c>
      <c r="C15" s="52" t="str">
        <f>員工基本資料!H15</f>
        <v>業務</v>
      </c>
      <c r="D15" s="52" t="str">
        <f>員工基本資料!I15</f>
        <v>專員</v>
      </c>
      <c r="E15" s="49">
        <f ca="1">22000+員工基本資料!K15*1500</f>
        <v>44500</v>
      </c>
      <c r="F15" s="49">
        <f>IF(AND(簽到統計!C15&lt;=3,簽到統計!G15=0),O14,0)</f>
        <v>0</v>
      </c>
      <c r="G15" s="49">
        <f>簽到統計!F15</f>
        <v>1040</v>
      </c>
      <c r="H15" s="49">
        <f>簽到統計!D15</f>
        <v>750</v>
      </c>
      <c r="I15" s="49">
        <f>IF(簽到統計!G15&gt;3,簽到統計!G15*薪資表!$O$2,0)</f>
        <v>0</v>
      </c>
      <c r="J15" s="50">
        <f t="shared" ca="1" si="0"/>
        <v>44790</v>
      </c>
    </row>
    <row r="16" spans="1:15" x14ac:dyDescent="0.25">
      <c r="A16" s="54">
        <v>15</v>
      </c>
      <c r="B16" s="49" t="str">
        <f>_xlfn.CONCAT(員工基本資料!B16,員工基本資料!C16)</f>
        <v>林繼燁</v>
      </c>
      <c r="C16" s="49" t="str">
        <f>員工基本資料!H16</f>
        <v>業務</v>
      </c>
      <c r="D16" s="49" t="str">
        <f>員工基本資料!I16</f>
        <v>專員</v>
      </c>
      <c r="E16" s="49">
        <f ca="1">22000+員工基本資料!K16*1500</f>
        <v>37000</v>
      </c>
      <c r="F16" s="49">
        <f>IF(AND(簽到統計!C16&lt;=3,簽到統計!G16=0),O15,0)</f>
        <v>0</v>
      </c>
      <c r="G16" s="49">
        <f>簽到統計!F16</f>
        <v>800</v>
      </c>
      <c r="H16" s="49">
        <f>簽到統計!D16</f>
        <v>600</v>
      </c>
      <c r="I16" s="49">
        <f>IF(簽到統計!G16&gt;3,簽到統計!G16*薪資表!$O$2,0)</f>
        <v>0</v>
      </c>
      <c r="J16" s="50">
        <f t="shared" ca="1" si="0"/>
        <v>37200</v>
      </c>
    </row>
    <row r="17" spans="1:10" x14ac:dyDescent="0.25">
      <c r="A17" s="53">
        <v>16</v>
      </c>
      <c r="B17" s="52" t="str">
        <f>_xlfn.CONCAT(員工基本資料!B17,員工基本資料!C17)</f>
        <v>王翠侞</v>
      </c>
      <c r="C17" s="52" t="str">
        <f>員工基本資料!H17</f>
        <v>製造</v>
      </c>
      <c r="D17" s="52" t="str">
        <f>員工基本資料!I17</f>
        <v>協理</v>
      </c>
      <c r="E17" s="49">
        <f ca="1">22000+員工基本資料!K17*1500</f>
        <v>32500</v>
      </c>
      <c r="F17" s="49">
        <f>IF(AND(簽到統計!C17&lt;=3,簽到統計!G17=0),O16,0)</f>
        <v>0</v>
      </c>
      <c r="G17" s="49">
        <f>簽到統計!F17</f>
        <v>400</v>
      </c>
      <c r="H17" s="49">
        <f>簽到統計!D17</f>
        <v>750</v>
      </c>
      <c r="I17" s="49">
        <f>IF(簽到統計!G17&gt;3,簽到統計!G17*薪資表!$O$2,0)</f>
        <v>5000</v>
      </c>
      <c r="J17" s="50">
        <f t="shared" ca="1" si="0"/>
        <v>27150</v>
      </c>
    </row>
    <row r="18" spans="1:10" x14ac:dyDescent="0.25">
      <c r="A18" s="54">
        <v>17</v>
      </c>
      <c r="B18" s="49" t="str">
        <f>_xlfn.CONCAT(員工基本資料!B18,員工基本資料!C18)</f>
        <v>張芳榕</v>
      </c>
      <c r="C18" s="49" t="str">
        <f>員工基本資料!H18</f>
        <v>製造</v>
      </c>
      <c r="D18" s="49" t="str">
        <f>員工基本資料!I18</f>
        <v>專員</v>
      </c>
      <c r="E18" s="49">
        <f ca="1">22000+員工基本資料!K18*1500</f>
        <v>29500</v>
      </c>
      <c r="F18" s="49">
        <f>IF(AND(簽到統計!C18&lt;=3,簽到統計!G18=0),O17,0)</f>
        <v>0</v>
      </c>
      <c r="G18" s="49">
        <f>簽到統計!F18</f>
        <v>1840</v>
      </c>
      <c r="H18" s="49">
        <f>簽到統計!D18</f>
        <v>550</v>
      </c>
      <c r="I18" s="49">
        <f>IF(簽到統計!G18&gt;3,簽到統計!G18*薪資表!$O$2,0)</f>
        <v>0</v>
      </c>
      <c r="J18" s="50">
        <f t="shared" ca="1" si="0"/>
        <v>30790</v>
      </c>
    </row>
    <row r="19" spans="1:10" x14ac:dyDescent="0.25">
      <c r="A19" s="53">
        <v>18</v>
      </c>
      <c r="B19" s="52" t="str">
        <f>_xlfn.CONCAT(員工基本資料!B19,員工基本資料!C19)</f>
        <v>謝梁志</v>
      </c>
      <c r="C19" s="52" t="str">
        <f>員工基本資料!H19</f>
        <v>品管</v>
      </c>
      <c r="D19" s="52" t="str">
        <f>員工基本資料!I19</f>
        <v>專員</v>
      </c>
      <c r="E19" s="49">
        <f ca="1">22000+員工基本資料!K19*1500</f>
        <v>35500</v>
      </c>
      <c r="F19" s="49">
        <f>IF(AND(簽到統計!C19&lt;=3,簽到統計!G19=0),O18,0)</f>
        <v>0</v>
      </c>
      <c r="G19" s="49">
        <f>簽到統計!F19</f>
        <v>880</v>
      </c>
      <c r="H19" s="49">
        <f>簽到統計!D19</f>
        <v>1000</v>
      </c>
      <c r="I19" s="49">
        <f>IF(簽到統計!G19&gt;3,簽到統計!G19*薪資表!$O$2,0)</f>
        <v>0</v>
      </c>
      <c r="J19" s="50">
        <f t="shared" ca="1" si="0"/>
        <v>35380</v>
      </c>
    </row>
    <row r="20" spans="1:10" x14ac:dyDescent="0.25">
      <c r="A20" s="54">
        <v>19</v>
      </c>
      <c r="B20" s="49" t="str">
        <f>_xlfn.CONCAT(員工基本資料!B20,員工基本資料!C20)</f>
        <v>張洪旭</v>
      </c>
      <c r="C20" s="49" t="str">
        <f>員工基本資料!H20</f>
        <v>品管</v>
      </c>
      <c r="D20" s="49" t="str">
        <f>員工基本資料!I20</f>
        <v>副理</v>
      </c>
      <c r="E20" s="49">
        <f ca="1">22000+員工基本資料!K20*1500</f>
        <v>37000</v>
      </c>
      <c r="F20" s="49">
        <f>IF(AND(簽到統計!C20&lt;=3,簽到統計!G20=0),O19,0)</f>
        <v>0</v>
      </c>
      <c r="G20" s="49">
        <f>簽到統計!F20</f>
        <v>0</v>
      </c>
      <c r="H20" s="49">
        <f>簽到統計!D20</f>
        <v>500</v>
      </c>
      <c r="I20" s="49">
        <f>IF(簽到統計!G20&gt;3,簽到統計!G20*薪資表!$O$2,0)</f>
        <v>0</v>
      </c>
      <c r="J20" s="50">
        <f t="shared" ca="1" si="0"/>
        <v>36500</v>
      </c>
    </row>
    <row r="21" spans="1:10" x14ac:dyDescent="0.25">
      <c r="A21" s="53">
        <v>20</v>
      </c>
      <c r="B21" s="52" t="str">
        <f>_xlfn.CONCAT(員工基本資料!B21,員工基本資料!C21)</f>
        <v>徐志祥</v>
      </c>
      <c r="C21" s="52" t="str">
        <f>員工基本資料!H21</f>
        <v>製造</v>
      </c>
      <c r="D21" s="52" t="str">
        <f>員工基本資料!I21</f>
        <v>專員</v>
      </c>
      <c r="E21" s="49">
        <f ca="1">22000+員工基本資料!K21*1500</f>
        <v>40000</v>
      </c>
      <c r="F21" s="49">
        <f>IF(AND(簽到統計!C21&lt;=3,簽到統計!G21=0),O20,0)</f>
        <v>0</v>
      </c>
      <c r="G21" s="49">
        <f>簽到統計!F21</f>
        <v>960</v>
      </c>
      <c r="H21" s="49">
        <f>簽到統計!D21</f>
        <v>550</v>
      </c>
      <c r="I21" s="49">
        <f>IF(簽到統計!G21&gt;3,簽到統計!G21*薪資表!$O$2,0)</f>
        <v>0</v>
      </c>
      <c r="J21" s="50">
        <f t="shared" ca="1" si="0"/>
        <v>40410</v>
      </c>
    </row>
    <row r="22" spans="1:10" x14ac:dyDescent="0.25">
      <c r="A22" s="54">
        <v>21</v>
      </c>
      <c r="B22" s="49" t="str">
        <f>_xlfn.CONCAT(員工基本資料!B22,員工基本資料!C22)</f>
        <v>陳信佳</v>
      </c>
      <c r="C22" s="49" t="str">
        <f>員工基本資料!H22</f>
        <v>人資</v>
      </c>
      <c r="D22" s="49" t="str">
        <f>員工基本資料!I22</f>
        <v>經理</v>
      </c>
      <c r="E22" s="49">
        <f ca="1">22000+員工基本資料!K22*1500</f>
        <v>37000</v>
      </c>
      <c r="F22" s="49">
        <f>IF(AND(簽到統計!C22&lt;=3,簽到統計!G22=0),O21,0)</f>
        <v>0</v>
      </c>
      <c r="G22" s="49">
        <f>簽到統計!F22</f>
        <v>1520</v>
      </c>
      <c r="H22" s="49">
        <f>簽到統計!D22</f>
        <v>700</v>
      </c>
      <c r="I22" s="49">
        <f>IF(簽到統計!G22&gt;3,簽到統計!G22*薪資表!$O$2,0)</f>
        <v>0</v>
      </c>
      <c r="J22" s="50">
        <f t="shared" ca="1" si="0"/>
        <v>37820</v>
      </c>
    </row>
    <row r="23" spans="1:10" x14ac:dyDescent="0.25">
      <c r="A23" s="55">
        <v>22</v>
      </c>
      <c r="B23" s="56" t="str">
        <f>_xlfn.CONCAT(員工基本資料!B23,員工基本資料!C23)</f>
        <v>劉文洋</v>
      </c>
      <c r="C23" s="56" t="str">
        <f>員工基本資料!H23</f>
        <v>製造</v>
      </c>
      <c r="D23" s="56" t="str">
        <f>員工基本資料!I23</f>
        <v>工程師</v>
      </c>
      <c r="E23" s="49">
        <f ca="1">22000+員工基本資料!K23*1500</f>
        <v>34000</v>
      </c>
      <c r="F23" s="49">
        <f>IF(AND(簽到統計!C23&lt;=3,簽到統計!G23=0),O22,0)</f>
        <v>0</v>
      </c>
      <c r="G23" s="49">
        <f>簽到統計!F23</f>
        <v>1600</v>
      </c>
      <c r="H23" s="49">
        <f>簽到統計!D23</f>
        <v>550</v>
      </c>
      <c r="I23" s="49">
        <f>IF(簽到統計!G23&gt;3,簽到統計!G23*薪資表!$O$2,0)</f>
        <v>0</v>
      </c>
      <c r="J23" s="50">
        <f t="shared" ca="1" si="0"/>
        <v>35050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4CE6-297F-4918-995A-CB0F7F77C457}">
  <dimension ref="A1:F7"/>
  <sheetViews>
    <sheetView topLeftCell="A10" workbookViewId="0">
      <selection activeCell="F11" sqref="F11"/>
    </sheetView>
  </sheetViews>
  <sheetFormatPr defaultRowHeight="16.5" x14ac:dyDescent="0.25"/>
  <cols>
    <col min="2" max="2" width="15" bestFit="1" customWidth="1"/>
    <col min="6" max="6" width="15" bestFit="1" customWidth="1"/>
  </cols>
  <sheetData>
    <row r="1" spans="1:6" x14ac:dyDescent="0.25">
      <c r="A1" s="46" t="s">
        <v>7</v>
      </c>
      <c r="B1" s="47" t="s">
        <v>135</v>
      </c>
      <c r="E1" s="46" t="s">
        <v>8</v>
      </c>
      <c r="F1" s="47" t="s">
        <v>136</v>
      </c>
    </row>
    <row r="2" spans="1:6" x14ac:dyDescent="0.25">
      <c r="A2" s="49" t="s">
        <v>124</v>
      </c>
      <c r="B2" s="50">
        <f>ROUND(AVERAGEIF(薪資表!C$2:C$23,A2,薪資表!G$2:G$23),0)</f>
        <v>813</v>
      </c>
      <c r="E2" s="49" t="s">
        <v>129</v>
      </c>
      <c r="F2" s="50">
        <f>ROUND(AVERAGEIF(薪資表!D$2:D$23,E2,薪資表!H$2:H$23),0)</f>
        <v>567</v>
      </c>
    </row>
    <row r="3" spans="1:6" x14ac:dyDescent="0.25">
      <c r="A3" s="52" t="s">
        <v>125</v>
      </c>
      <c r="B3" s="50">
        <f>ROUND(AVERAGEIF(薪資表!C$2:C$23,A3,薪資表!G$2:G$23),0)</f>
        <v>373</v>
      </c>
      <c r="E3" s="52" t="s">
        <v>130</v>
      </c>
      <c r="F3" s="50">
        <f>ROUND(AVERAGEIF(薪資表!D$2:D$23,E3,薪資表!H$2:H$23),0)</f>
        <v>600</v>
      </c>
    </row>
    <row r="4" spans="1:6" x14ac:dyDescent="0.25">
      <c r="A4" s="49" t="s">
        <v>126</v>
      </c>
      <c r="B4" s="50">
        <f>ROUND(AVERAGEIF(薪資表!C$2:C$23,A4,薪資表!G$2:G$23),0)</f>
        <v>920</v>
      </c>
      <c r="E4" s="49" t="s">
        <v>131</v>
      </c>
      <c r="F4" s="50">
        <f>ROUND(AVERAGEIF(薪資表!D$2:D$23,E4,薪資表!H$2:H$23),0)</f>
        <v>600</v>
      </c>
    </row>
    <row r="5" spans="1:6" x14ac:dyDescent="0.25">
      <c r="A5" s="52" t="s">
        <v>127</v>
      </c>
      <c r="B5" s="50">
        <f>ROUND(AVERAGEIF(薪資表!C$2:C$23,A5,薪資表!G$2:G$23),0)</f>
        <v>1093</v>
      </c>
      <c r="E5" s="52" t="s">
        <v>132</v>
      </c>
      <c r="F5" s="50">
        <f>ROUND(AVERAGEIF(薪資表!D$2:D$23,E5,薪資表!H$2:H$23),0)</f>
        <v>500</v>
      </c>
    </row>
    <row r="6" spans="1:6" x14ac:dyDescent="0.25">
      <c r="A6" s="61" t="s">
        <v>128</v>
      </c>
      <c r="B6" s="50">
        <f>ROUND(AVERAGEIF(薪資表!C$2:C$23,A6,薪資表!G$2:G$23),0)</f>
        <v>853</v>
      </c>
      <c r="E6" s="49" t="s">
        <v>133</v>
      </c>
      <c r="F6" s="50">
        <f>ROUND(AVERAGEIF(薪資表!D$2:D$23,E6,薪資表!H$2:H$23),0)</f>
        <v>639</v>
      </c>
    </row>
    <row r="7" spans="1:6" x14ac:dyDescent="0.25">
      <c r="E7" s="56" t="s">
        <v>134</v>
      </c>
      <c r="F7" s="50">
        <f>ROUND(AVERAGEIF(薪資表!D$2:D$23,E7,薪資表!H$2:H$23),0)</f>
        <v>700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5082-EB5C-48E6-956E-DD746009E70E}">
  <dimension ref="A1:V53"/>
  <sheetViews>
    <sheetView topLeftCell="A2" workbookViewId="0">
      <selection activeCell="D3" sqref="D3"/>
    </sheetView>
  </sheetViews>
  <sheetFormatPr defaultRowHeight="16.5" x14ac:dyDescent="0.25"/>
  <cols>
    <col min="1" max="1" width="10.75" customWidth="1"/>
    <col min="2" max="2" width="7.5" style="66" bestFit="1" customWidth="1"/>
    <col min="3" max="8" width="12" style="67" customWidth="1"/>
    <col min="9" max="10" width="10.875" style="67" bestFit="1" customWidth="1"/>
    <col min="11" max="11" width="24.375" style="67" bestFit="1" customWidth="1"/>
    <col min="12" max="13" width="9" style="66"/>
    <col min="14" max="14" width="6.75" customWidth="1"/>
    <col min="15" max="15" width="10.75" customWidth="1"/>
    <col min="16" max="21" width="12" customWidth="1"/>
    <col min="22" max="22" width="24.375" bestFit="1" customWidth="1"/>
  </cols>
  <sheetData>
    <row r="1" spans="1:22" ht="27" x14ac:dyDescent="0.25">
      <c r="A1" s="105" t="s">
        <v>148</v>
      </c>
      <c r="B1" s="105"/>
      <c r="C1" s="105"/>
      <c r="D1" s="105"/>
      <c r="E1" s="105"/>
      <c r="F1" s="105"/>
      <c r="G1" s="105"/>
      <c r="H1" s="105"/>
      <c r="N1" s="106" t="s">
        <v>149</v>
      </c>
      <c r="O1" s="106"/>
      <c r="P1" s="106"/>
      <c r="Q1" s="106"/>
      <c r="R1" s="106"/>
      <c r="S1" s="106"/>
      <c r="T1" s="106"/>
      <c r="U1" s="106"/>
      <c r="V1" s="106"/>
    </row>
    <row r="2" spans="1:22" ht="17.25" thickBot="1" x14ac:dyDescent="0.3">
      <c r="A2" s="70" t="s">
        <v>0</v>
      </c>
      <c r="B2" s="70" t="s">
        <v>86</v>
      </c>
      <c r="C2" s="70" t="s">
        <v>139</v>
      </c>
      <c r="D2" s="70" t="s">
        <v>140</v>
      </c>
      <c r="E2" s="70" t="s">
        <v>141</v>
      </c>
      <c r="F2" s="70" t="s">
        <v>142</v>
      </c>
      <c r="G2" s="70" t="s">
        <v>143</v>
      </c>
      <c r="H2" s="71" t="s">
        <v>144</v>
      </c>
      <c r="N2" s="70" t="s">
        <v>137</v>
      </c>
      <c r="O2" s="70" t="s">
        <v>138</v>
      </c>
      <c r="P2" s="70" t="s">
        <v>139</v>
      </c>
      <c r="Q2" s="70" t="s">
        <v>140</v>
      </c>
      <c r="R2" s="70" t="s">
        <v>141</v>
      </c>
      <c r="S2" s="70" t="s">
        <v>142</v>
      </c>
      <c r="T2" s="70" t="s">
        <v>143</v>
      </c>
      <c r="U2" s="70" t="s">
        <v>144</v>
      </c>
      <c r="V2" s="71" t="s">
        <v>145</v>
      </c>
    </row>
    <row r="3" spans="1:22" ht="17.25" thickBot="1" x14ac:dyDescent="0.3">
      <c r="A3" s="87">
        <v>1</v>
      </c>
      <c r="B3" s="88" t="s">
        <v>92</v>
      </c>
      <c r="C3" s="97">
        <f ca="1">VLOOKUP(薪資表!J2,O$2:U$52,2,TRUE)</f>
        <v>731</v>
      </c>
      <c r="D3" s="97">
        <f ca="1">VLOOKUP(薪資表!J2,O$2:U$52,3,TRUE)</f>
        <v>2558</v>
      </c>
      <c r="E3" s="97">
        <f ca="1">VLOOKUP(薪資表!J2,$O$2:$U$52,4,TRUE)</f>
        <v>490</v>
      </c>
      <c r="F3" s="97">
        <f ca="1">VLOOKUP(薪資表!J2,O$2:U$52,5,TRUE)</f>
        <v>1577</v>
      </c>
      <c r="G3" s="97">
        <f ca="1">SUM(C3,E3)</f>
        <v>1221</v>
      </c>
      <c r="H3" s="98">
        <f ca="1">SUM(D3,F3)</f>
        <v>4135</v>
      </c>
      <c r="N3" s="72">
        <v>1</v>
      </c>
      <c r="O3" s="73">
        <v>21009</v>
      </c>
      <c r="P3" s="74">
        <v>441</v>
      </c>
      <c r="Q3" s="73">
        <v>1544</v>
      </c>
      <c r="R3" s="74">
        <v>296</v>
      </c>
      <c r="S3" s="74">
        <v>952</v>
      </c>
      <c r="T3" s="74">
        <v>737</v>
      </c>
      <c r="U3" s="73">
        <v>2496</v>
      </c>
      <c r="V3" s="75" t="s">
        <v>146</v>
      </c>
    </row>
    <row r="4" spans="1:22" ht="17.25" thickBot="1" x14ac:dyDescent="0.3">
      <c r="A4" s="89">
        <v>2</v>
      </c>
      <c r="B4" s="90" t="s">
        <v>93</v>
      </c>
      <c r="C4" s="97">
        <f ca="1">VLOOKUP(薪資表!J3,O$2:U$52,2,TRUE)</f>
        <v>460</v>
      </c>
      <c r="D4" s="97">
        <f ca="1">VLOOKUP(薪資表!J3,O$2:U$52,3,TRUE)</f>
        <v>1609</v>
      </c>
      <c r="E4" s="97">
        <f ca="1">VLOOKUP(薪資表!J3,$O$2:$U$52,4,TRUE)</f>
        <v>308</v>
      </c>
      <c r="F4" s="97">
        <f ca="1">VLOOKUP(薪資表!J3,O$2:U$52,5,TRUE)</f>
        <v>992</v>
      </c>
      <c r="G4" s="97">
        <f t="shared" ref="G4:G24" ca="1" si="0">SUM(C4,E4)</f>
        <v>768</v>
      </c>
      <c r="H4" s="98">
        <f t="shared" ref="H4:H24" ca="1" si="1">SUM(D4,F4)</f>
        <v>2601</v>
      </c>
      <c r="N4" s="76">
        <v>2</v>
      </c>
      <c r="O4" s="77">
        <v>21900</v>
      </c>
      <c r="P4" s="78">
        <v>460</v>
      </c>
      <c r="Q4" s="77">
        <v>1609</v>
      </c>
      <c r="R4" s="78">
        <v>308</v>
      </c>
      <c r="S4" s="78">
        <v>992</v>
      </c>
      <c r="T4" s="78">
        <v>768</v>
      </c>
      <c r="U4" s="77">
        <v>2601</v>
      </c>
      <c r="V4" s="79" t="s">
        <v>146</v>
      </c>
    </row>
    <row r="5" spans="1:22" ht="17.25" thickBot="1" x14ac:dyDescent="0.3">
      <c r="A5" s="91">
        <v>3</v>
      </c>
      <c r="B5" s="92" t="s">
        <v>94</v>
      </c>
      <c r="C5" s="97">
        <f ca="1">VLOOKUP(薪資表!J4,O$2:U$52,2,TRUE)</f>
        <v>763</v>
      </c>
      <c r="D5" s="97">
        <f ca="1">VLOOKUP(薪資表!J4,O$2:U$52,3,TRUE)</f>
        <v>2668</v>
      </c>
      <c r="E5" s="97">
        <f ca="1">VLOOKUP(薪資表!J4,$O$2:$U$52,4,TRUE)</f>
        <v>511</v>
      </c>
      <c r="F5" s="97">
        <f ca="1">VLOOKUP(薪資表!J4,O$2:U$52,5,TRUE)</f>
        <v>1645</v>
      </c>
      <c r="G5" s="97">
        <f t="shared" ca="1" si="0"/>
        <v>1274</v>
      </c>
      <c r="H5" s="98">
        <f t="shared" ca="1" si="1"/>
        <v>4313</v>
      </c>
      <c r="N5" s="80">
        <v>3</v>
      </c>
      <c r="O5" s="81">
        <v>22800</v>
      </c>
      <c r="P5" s="82">
        <v>479</v>
      </c>
      <c r="Q5" s="81">
        <v>1676</v>
      </c>
      <c r="R5" s="82">
        <v>321</v>
      </c>
      <c r="S5" s="81">
        <v>1033</v>
      </c>
      <c r="T5" s="82">
        <v>800</v>
      </c>
      <c r="U5" s="81">
        <v>2709</v>
      </c>
      <c r="V5" s="83" t="s">
        <v>146</v>
      </c>
    </row>
    <row r="6" spans="1:22" ht="17.25" thickBot="1" x14ac:dyDescent="0.3">
      <c r="A6" s="89">
        <v>4</v>
      </c>
      <c r="B6" s="90" t="s">
        <v>95</v>
      </c>
      <c r="C6" s="97">
        <f ca="1">VLOOKUP(薪資表!J5,O$2:U$52,2,TRUE)</f>
        <v>922</v>
      </c>
      <c r="D6" s="97">
        <f ca="1">VLOOKUP(薪資表!J5,O$2:U$52,3,TRUE)</f>
        <v>3226</v>
      </c>
      <c r="E6" s="97">
        <f ca="1">VLOOKUP(薪資表!J5,$O$2:$U$52,4,TRUE)</f>
        <v>618</v>
      </c>
      <c r="F6" s="97">
        <f ca="1">VLOOKUP(薪資表!J5,O$2:U$52,5,TRUE)</f>
        <v>1989</v>
      </c>
      <c r="G6" s="97">
        <f t="shared" ca="1" si="0"/>
        <v>1540</v>
      </c>
      <c r="H6" s="98">
        <f t="shared" ca="1" si="1"/>
        <v>5215</v>
      </c>
      <c r="N6" s="76">
        <v>4</v>
      </c>
      <c r="O6" s="77">
        <v>24000</v>
      </c>
      <c r="P6" s="78">
        <v>504</v>
      </c>
      <c r="Q6" s="77">
        <v>1764</v>
      </c>
      <c r="R6" s="78">
        <v>338</v>
      </c>
      <c r="S6" s="77">
        <v>1087</v>
      </c>
      <c r="T6" s="78">
        <v>842</v>
      </c>
      <c r="U6" s="77">
        <v>2851</v>
      </c>
      <c r="V6" s="79" t="s">
        <v>146</v>
      </c>
    </row>
    <row r="7" spans="1:22" ht="17.25" thickBot="1" x14ac:dyDescent="0.3">
      <c r="A7" s="91">
        <v>5</v>
      </c>
      <c r="B7" s="92" t="s">
        <v>96</v>
      </c>
      <c r="C7" s="97">
        <f ca="1">VLOOKUP(薪資表!J6,O$2:U$52,2,TRUE)</f>
        <v>731</v>
      </c>
      <c r="D7" s="97">
        <f ca="1">VLOOKUP(薪資表!J6,O$2:U$52,3,TRUE)</f>
        <v>2558</v>
      </c>
      <c r="E7" s="97">
        <f ca="1">VLOOKUP(薪資表!J6,$O$2:$U$52,4,TRUE)</f>
        <v>490</v>
      </c>
      <c r="F7" s="97">
        <f ca="1">VLOOKUP(薪資表!J6,O$2:U$52,5,TRUE)</f>
        <v>1577</v>
      </c>
      <c r="G7" s="97">
        <f t="shared" ca="1" si="0"/>
        <v>1221</v>
      </c>
      <c r="H7" s="98">
        <f t="shared" ca="1" si="1"/>
        <v>4135</v>
      </c>
      <c r="N7" s="80">
        <v>5</v>
      </c>
      <c r="O7" s="81">
        <v>25200</v>
      </c>
      <c r="P7" s="82">
        <v>529</v>
      </c>
      <c r="Q7" s="81">
        <v>1852</v>
      </c>
      <c r="R7" s="82">
        <v>355</v>
      </c>
      <c r="S7" s="81">
        <v>1142</v>
      </c>
      <c r="T7" s="82">
        <v>884</v>
      </c>
      <c r="U7" s="81">
        <v>2994</v>
      </c>
      <c r="V7" s="83" t="s">
        <v>146</v>
      </c>
    </row>
    <row r="8" spans="1:22" ht="17.25" thickBot="1" x14ac:dyDescent="0.3">
      <c r="A8" s="89">
        <v>6</v>
      </c>
      <c r="B8" s="90" t="s">
        <v>97</v>
      </c>
      <c r="C8" s="97">
        <f ca="1">VLOOKUP(薪資表!J7,O$2:U$52,2,TRUE)</f>
        <v>731</v>
      </c>
      <c r="D8" s="97">
        <f ca="1">VLOOKUP(薪資表!J7,O$2:U$52,3,TRUE)</f>
        <v>2558</v>
      </c>
      <c r="E8" s="97">
        <f ca="1">VLOOKUP(薪資表!J7,$O$2:$U$52,4,TRUE)</f>
        <v>490</v>
      </c>
      <c r="F8" s="97">
        <f ca="1">VLOOKUP(薪資表!J7,O$2:U$52,5,TRUE)</f>
        <v>1577</v>
      </c>
      <c r="G8" s="97">
        <f t="shared" ca="1" si="0"/>
        <v>1221</v>
      </c>
      <c r="H8" s="98">
        <f t="shared" ca="1" si="1"/>
        <v>4135</v>
      </c>
      <c r="N8" s="76">
        <v>6</v>
      </c>
      <c r="O8" s="77">
        <v>26400</v>
      </c>
      <c r="P8" s="78">
        <v>555</v>
      </c>
      <c r="Q8" s="77">
        <v>1941</v>
      </c>
      <c r="R8" s="78">
        <v>371</v>
      </c>
      <c r="S8" s="77">
        <v>1196</v>
      </c>
      <c r="T8" s="78">
        <v>926</v>
      </c>
      <c r="U8" s="77">
        <v>3137</v>
      </c>
      <c r="V8" s="79" t="s">
        <v>146</v>
      </c>
    </row>
    <row r="9" spans="1:22" ht="17.25" thickBot="1" x14ac:dyDescent="0.3">
      <c r="A9" s="91">
        <v>7</v>
      </c>
      <c r="B9" s="92" t="s">
        <v>98</v>
      </c>
      <c r="C9" s="97">
        <f ca="1">VLOOKUP(薪資表!J8,O$2:U$52,2,TRUE)</f>
        <v>668</v>
      </c>
      <c r="D9" s="97">
        <f ca="1">VLOOKUP(薪資表!J8,O$2:U$52,3,TRUE)</f>
        <v>2338</v>
      </c>
      <c r="E9" s="97">
        <f ca="1">VLOOKUP(薪資表!J8,$O$2:$U$52,4,TRUE)</f>
        <v>447</v>
      </c>
      <c r="F9" s="97">
        <f ca="1">VLOOKUP(薪資表!J8,O$2:U$52,5,TRUE)</f>
        <v>1441</v>
      </c>
      <c r="G9" s="97">
        <f t="shared" ca="1" si="0"/>
        <v>1115</v>
      </c>
      <c r="H9" s="98">
        <f t="shared" ca="1" si="1"/>
        <v>3779</v>
      </c>
      <c r="N9" s="80">
        <v>7</v>
      </c>
      <c r="O9" s="81">
        <v>27600</v>
      </c>
      <c r="P9" s="82">
        <v>579</v>
      </c>
      <c r="Q9" s="81">
        <v>2028</v>
      </c>
      <c r="R9" s="82">
        <v>388</v>
      </c>
      <c r="S9" s="81">
        <v>1250</v>
      </c>
      <c r="T9" s="82">
        <v>967</v>
      </c>
      <c r="U9" s="81">
        <v>3278</v>
      </c>
      <c r="V9" s="83" t="s">
        <v>146</v>
      </c>
    </row>
    <row r="10" spans="1:22" ht="17.25" thickBot="1" x14ac:dyDescent="0.3">
      <c r="A10" s="89">
        <v>8</v>
      </c>
      <c r="B10" s="90" t="s">
        <v>99</v>
      </c>
      <c r="C10" s="97">
        <f ca="1">VLOOKUP(薪資表!J9,O$2:U$52,2,TRUE)</f>
        <v>605</v>
      </c>
      <c r="D10" s="97">
        <f ca="1">VLOOKUP(薪資表!J9,O$2:U$52,3,TRUE)</f>
        <v>2117</v>
      </c>
      <c r="E10" s="97">
        <f ca="1">VLOOKUP(薪資表!J9,$O$2:$U$52,4,TRUE)</f>
        <v>405</v>
      </c>
      <c r="F10" s="97">
        <f ca="1">VLOOKUP(薪資表!J9,O$2:U$52,5,TRUE)</f>
        <v>1305</v>
      </c>
      <c r="G10" s="97">
        <f t="shared" ca="1" si="0"/>
        <v>1010</v>
      </c>
      <c r="H10" s="98">
        <f t="shared" ca="1" si="1"/>
        <v>3422</v>
      </c>
      <c r="N10" s="76">
        <v>8</v>
      </c>
      <c r="O10" s="77">
        <v>28800</v>
      </c>
      <c r="P10" s="78">
        <v>605</v>
      </c>
      <c r="Q10" s="77">
        <v>2117</v>
      </c>
      <c r="R10" s="78">
        <v>405</v>
      </c>
      <c r="S10" s="77">
        <v>1305</v>
      </c>
      <c r="T10" s="77">
        <v>1010</v>
      </c>
      <c r="U10" s="77">
        <v>3422</v>
      </c>
      <c r="V10" s="79" t="s">
        <v>146</v>
      </c>
    </row>
    <row r="11" spans="1:22" ht="17.25" thickBot="1" x14ac:dyDescent="0.3">
      <c r="A11" s="91">
        <v>9</v>
      </c>
      <c r="B11" s="92" t="s">
        <v>100</v>
      </c>
      <c r="C11" s="97">
        <f ca="1">VLOOKUP(薪資表!J10,O$2:U$52,2,TRUE)</f>
        <v>763</v>
      </c>
      <c r="D11" s="97">
        <f ca="1">VLOOKUP(薪資表!J10,O$2:U$52,3,TRUE)</f>
        <v>2668</v>
      </c>
      <c r="E11" s="97">
        <f ca="1">VLOOKUP(薪資表!J10,$O$2:$U$52,4,TRUE)</f>
        <v>511</v>
      </c>
      <c r="F11" s="97">
        <f ca="1">VLOOKUP(薪資表!J10,O$2:U$52,5,TRUE)</f>
        <v>1645</v>
      </c>
      <c r="G11" s="97">
        <f t="shared" ca="1" si="0"/>
        <v>1274</v>
      </c>
      <c r="H11" s="98">
        <f t="shared" ca="1" si="1"/>
        <v>4313</v>
      </c>
      <c r="N11" s="80">
        <v>9</v>
      </c>
      <c r="O11" s="81">
        <v>30300</v>
      </c>
      <c r="P11" s="82">
        <v>637</v>
      </c>
      <c r="Q11" s="81">
        <v>2227</v>
      </c>
      <c r="R11" s="82">
        <v>426</v>
      </c>
      <c r="S11" s="81">
        <v>1373</v>
      </c>
      <c r="T11" s="81">
        <v>1063</v>
      </c>
      <c r="U11" s="81">
        <v>3600</v>
      </c>
      <c r="V11" s="83" t="s">
        <v>146</v>
      </c>
    </row>
    <row r="12" spans="1:22" ht="17.25" thickBot="1" x14ac:dyDescent="0.3">
      <c r="A12" s="93">
        <v>10</v>
      </c>
      <c r="B12" s="90" t="s">
        <v>101</v>
      </c>
      <c r="C12" s="97">
        <f ca="1">VLOOKUP(薪資表!J11,O$2:U$52,2,TRUE)</f>
        <v>700</v>
      </c>
      <c r="D12" s="97">
        <f ca="1">VLOOKUP(薪資表!J11,O$2:U$52,3,TRUE)</f>
        <v>2447</v>
      </c>
      <c r="E12" s="97">
        <f ca="1">VLOOKUP(薪資表!J11,$O$2:$U$52,4,TRUE)</f>
        <v>469</v>
      </c>
      <c r="F12" s="97">
        <f ca="1">VLOOKUP(薪資表!J11,O$2:U$52,5,TRUE)</f>
        <v>1509</v>
      </c>
      <c r="G12" s="97">
        <f t="shared" ca="1" si="0"/>
        <v>1169</v>
      </c>
      <c r="H12" s="98">
        <f t="shared" ca="1" si="1"/>
        <v>3956</v>
      </c>
      <c r="N12" s="76">
        <v>10</v>
      </c>
      <c r="O12" s="77">
        <v>31800</v>
      </c>
      <c r="P12" s="78">
        <v>668</v>
      </c>
      <c r="Q12" s="77">
        <v>2338</v>
      </c>
      <c r="R12" s="78">
        <v>447</v>
      </c>
      <c r="S12" s="77">
        <v>1441</v>
      </c>
      <c r="T12" s="77">
        <v>1115</v>
      </c>
      <c r="U12" s="77">
        <v>3779</v>
      </c>
      <c r="V12" s="79" t="s">
        <v>146</v>
      </c>
    </row>
    <row r="13" spans="1:22" ht="17.25" thickBot="1" x14ac:dyDescent="0.3">
      <c r="A13" s="94">
        <v>11</v>
      </c>
      <c r="B13" s="92" t="s">
        <v>102</v>
      </c>
      <c r="C13" s="97">
        <f ca="1">VLOOKUP(薪資表!J12,O$2:U$52,2,TRUE)</f>
        <v>802</v>
      </c>
      <c r="D13" s="97">
        <f ca="1">VLOOKUP(薪資表!J12,O$2:U$52,3,TRUE)</f>
        <v>2807</v>
      </c>
      <c r="E13" s="97">
        <f ca="1">VLOOKUP(薪資表!J12,$O$2:$U$52,4,TRUE)</f>
        <v>537</v>
      </c>
      <c r="F13" s="97">
        <f ca="1">VLOOKUP(薪資表!J12,O$2:U$52,5,TRUE)</f>
        <v>1731</v>
      </c>
      <c r="G13" s="97">
        <f t="shared" ca="1" si="0"/>
        <v>1339</v>
      </c>
      <c r="H13" s="98">
        <f t="shared" ca="1" si="1"/>
        <v>4538</v>
      </c>
      <c r="N13" s="80">
        <v>11</v>
      </c>
      <c r="O13" s="81">
        <v>33300</v>
      </c>
      <c r="P13" s="82">
        <v>700</v>
      </c>
      <c r="Q13" s="81">
        <v>2447</v>
      </c>
      <c r="R13" s="82">
        <v>469</v>
      </c>
      <c r="S13" s="81">
        <v>1509</v>
      </c>
      <c r="T13" s="81">
        <v>1169</v>
      </c>
      <c r="U13" s="81">
        <v>3956</v>
      </c>
      <c r="V13" s="83" t="s">
        <v>146</v>
      </c>
    </row>
    <row r="14" spans="1:22" ht="17.25" thickBot="1" x14ac:dyDescent="0.3">
      <c r="A14" s="93">
        <v>12</v>
      </c>
      <c r="B14" s="90" t="s">
        <v>103</v>
      </c>
      <c r="C14" s="97">
        <f ca="1">VLOOKUP(薪資表!J13,O$2:U$52,2,TRUE)</f>
        <v>763</v>
      </c>
      <c r="D14" s="97">
        <f ca="1">VLOOKUP(薪資表!J13,O$2:U$52,3,TRUE)</f>
        <v>2668</v>
      </c>
      <c r="E14" s="97">
        <f ca="1">VLOOKUP(薪資表!J13,$O$2:$U$52,4,TRUE)</f>
        <v>511</v>
      </c>
      <c r="F14" s="97">
        <f ca="1">VLOOKUP(薪資表!J13,O$2:U$52,5,TRUE)</f>
        <v>1645</v>
      </c>
      <c r="G14" s="97">
        <f t="shared" ca="1" si="0"/>
        <v>1274</v>
      </c>
      <c r="H14" s="98">
        <f t="shared" ca="1" si="1"/>
        <v>4313</v>
      </c>
      <c r="N14" s="76">
        <v>12</v>
      </c>
      <c r="O14" s="77">
        <v>34800</v>
      </c>
      <c r="P14" s="78">
        <v>731</v>
      </c>
      <c r="Q14" s="77">
        <v>2558</v>
      </c>
      <c r="R14" s="78">
        <v>490</v>
      </c>
      <c r="S14" s="77">
        <v>1577</v>
      </c>
      <c r="T14" s="77">
        <v>1221</v>
      </c>
      <c r="U14" s="77">
        <v>4135</v>
      </c>
      <c r="V14" s="79" t="s">
        <v>146</v>
      </c>
    </row>
    <row r="15" spans="1:22" ht="17.25" thickBot="1" x14ac:dyDescent="0.3">
      <c r="A15" s="94">
        <v>13</v>
      </c>
      <c r="B15" s="92" t="s">
        <v>104</v>
      </c>
      <c r="C15" s="97">
        <f ca="1">VLOOKUP(薪資表!J14,O$2:U$52,2,TRUE)</f>
        <v>605</v>
      </c>
      <c r="D15" s="97">
        <f ca="1">VLOOKUP(薪資表!J14,O$2:U$52,3,TRUE)</f>
        <v>2117</v>
      </c>
      <c r="E15" s="97">
        <f ca="1">VLOOKUP(薪資表!J14,$O$2:$U$52,4,TRUE)</f>
        <v>405</v>
      </c>
      <c r="F15" s="97">
        <f ca="1">VLOOKUP(薪資表!J14,O$2:U$52,5,TRUE)</f>
        <v>1305</v>
      </c>
      <c r="G15" s="97">
        <f t="shared" ca="1" si="0"/>
        <v>1010</v>
      </c>
      <c r="H15" s="98">
        <f t="shared" ca="1" si="1"/>
        <v>3422</v>
      </c>
      <c r="N15" s="80">
        <v>13</v>
      </c>
      <c r="O15" s="81">
        <v>36300</v>
      </c>
      <c r="P15" s="82">
        <v>763</v>
      </c>
      <c r="Q15" s="81">
        <v>2668</v>
      </c>
      <c r="R15" s="82">
        <v>511</v>
      </c>
      <c r="S15" s="81">
        <v>1645</v>
      </c>
      <c r="T15" s="81">
        <v>1274</v>
      </c>
      <c r="U15" s="81">
        <v>4313</v>
      </c>
      <c r="V15" s="83" t="s">
        <v>146</v>
      </c>
    </row>
    <row r="16" spans="1:22" ht="17.25" thickBot="1" x14ac:dyDescent="0.3">
      <c r="A16" s="93">
        <v>14</v>
      </c>
      <c r="B16" s="90" t="s">
        <v>105</v>
      </c>
      <c r="C16" s="97">
        <f ca="1">VLOOKUP(薪資表!J15,O$2:U$52,2,TRUE)</f>
        <v>922</v>
      </c>
      <c r="D16" s="97">
        <f ca="1">VLOOKUP(薪資表!J15,O$2:U$52,3,TRUE)</f>
        <v>3226</v>
      </c>
      <c r="E16" s="97">
        <f ca="1">VLOOKUP(薪資表!J15,$O$2:$U$52,4,TRUE)</f>
        <v>618</v>
      </c>
      <c r="F16" s="97">
        <f ca="1">VLOOKUP(薪資表!J15,O$2:U$52,5,TRUE)</f>
        <v>1989</v>
      </c>
      <c r="G16" s="97">
        <f t="shared" ca="1" si="0"/>
        <v>1540</v>
      </c>
      <c r="H16" s="98">
        <f t="shared" ca="1" si="1"/>
        <v>5215</v>
      </c>
      <c r="N16" s="76">
        <v>14</v>
      </c>
      <c r="O16" s="77">
        <v>38200</v>
      </c>
      <c r="P16" s="78">
        <v>802</v>
      </c>
      <c r="Q16" s="77">
        <v>2807</v>
      </c>
      <c r="R16" s="78">
        <v>537</v>
      </c>
      <c r="S16" s="77">
        <v>1731</v>
      </c>
      <c r="T16" s="77">
        <v>1339</v>
      </c>
      <c r="U16" s="77">
        <v>4538</v>
      </c>
      <c r="V16" s="79" t="s">
        <v>146</v>
      </c>
    </row>
    <row r="17" spans="1:22" ht="17.25" thickBot="1" x14ac:dyDescent="0.3">
      <c r="A17" s="94">
        <v>15</v>
      </c>
      <c r="B17" s="92" t="s">
        <v>106</v>
      </c>
      <c r="C17" s="97">
        <f ca="1">VLOOKUP(薪資表!J16,O$2:U$52,2,TRUE)</f>
        <v>763</v>
      </c>
      <c r="D17" s="97">
        <f ca="1">VLOOKUP(薪資表!J16,O$2:U$52,3,TRUE)</f>
        <v>2668</v>
      </c>
      <c r="E17" s="97">
        <f ca="1">VLOOKUP(薪資表!J16,$O$2:$U$52,4,TRUE)</f>
        <v>511</v>
      </c>
      <c r="F17" s="97">
        <f ca="1">VLOOKUP(薪資表!J16,O$2:U$52,5,TRUE)</f>
        <v>1645</v>
      </c>
      <c r="G17" s="97">
        <f t="shared" ca="1" si="0"/>
        <v>1274</v>
      </c>
      <c r="H17" s="98">
        <f t="shared" ca="1" si="1"/>
        <v>4313</v>
      </c>
      <c r="N17" s="80">
        <v>15</v>
      </c>
      <c r="O17" s="81">
        <v>40100</v>
      </c>
      <c r="P17" s="82">
        <v>842</v>
      </c>
      <c r="Q17" s="81">
        <v>2948</v>
      </c>
      <c r="R17" s="82">
        <v>564</v>
      </c>
      <c r="S17" s="81">
        <v>1817</v>
      </c>
      <c r="T17" s="81">
        <v>1406</v>
      </c>
      <c r="U17" s="81">
        <v>4765</v>
      </c>
      <c r="V17" s="83" t="s">
        <v>146</v>
      </c>
    </row>
    <row r="18" spans="1:22" ht="17.25" thickBot="1" x14ac:dyDescent="0.3">
      <c r="A18" s="93">
        <v>16</v>
      </c>
      <c r="B18" s="90" t="s">
        <v>107</v>
      </c>
      <c r="C18" s="97">
        <f ca="1">VLOOKUP(薪資表!J17,O$2:U$52,2,TRUE)</f>
        <v>555</v>
      </c>
      <c r="D18" s="97">
        <f ca="1">VLOOKUP(薪資表!J17,O$2:U$52,3,TRUE)</f>
        <v>1941</v>
      </c>
      <c r="E18" s="97">
        <f ca="1">VLOOKUP(薪資表!J17,$O$2:$U$52,4,TRUE)</f>
        <v>371</v>
      </c>
      <c r="F18" s="97">
        <f ca="1">VLOOKUP(薪資表!J17,O$2:U$52,5,TRUE)</f>
        <v>1196</v>
      </c>
      <c r="G18" s="97">
        <f t="shared" ca="1" si="0"/>
        <v>926</v>
      </c>
      <c r="H18" s="98">
        <f t="shared" ca="1" si="1"/>
        <v>3137</v>
      </c>
      <c r="N18" s="76">
        <v>16</v>
      </c>
      <c r="O18" s="77">
        <v>42000</v>
      </c>
      <c r="P18" s="78">
        <v>882</v>
      </c>
      <c r="Q18" s="77">
        <v>3087</v>
      </c>
      <c r="R18" s="78">
        <v>591</v>
      </c>
      <c r="S18" s="77">
        <v>1903</v>
      </c>
      <c r="T18" s="77">
        <v>1473</v>
      </c>
      <c r="U18" s="77">
        <v>4990</v>
      </c>
      <c r="V18" s="79" t="s">
        <v>146</v>
      </c>
    </row>
    <row r="19" spans="1:22" ht="17.25" thickBot="1" x14ac:dyDescent="0.3">
      <c r="A19" s="94">
        <v>17</v>
      </c>
      <c r="B19" s="92" t="s">
        <v>108</v>
      </c>
      <c r="C19" s="97">
        <f ca="1">VLOOKUP(薪資表!J18,O$2:U$52,2,TRUE)</f>
        <v>637</v>
      </c>
      <c r="D19" s="97">
        <f ca="1">VLOOKUP(薪資表!J18,O$2:U$52,3,TRUE)</f>
        <v>2227</v>
      </c>
      <c r="E19" s="97">
        <f ca="1">VLOOKUP(薪資表!J18,$O$2:$U$52,4,TRUE)</f>
        <v>426</v>
      </c>
      <c r="F19" s="97">
        <f ca="1">VLOOKUP(薪資表!J18,O$2:U$52,5,TRUE)</f>
        <v>1373</v>
      </c>
      <c r="G19" s="97">
        <f t="shared" ca="1" si="0"/>
        <v>1063</v>
      </c>
      <c r="H19" s="98">
        <f t="shared" ca="1" si="1"/>
        <v>3600</v>
      </c>
      <c r="N19" s="80">
        <v>17</v>
      </c>
      <c r="O19" s="81">
        <v>43900</v>
      </c>
      <c r="P19" s="82">
        <v>922</v>
      </c>
      <c r="Q19" s="81">
        <v>3226</v>
      </c>
      <c r="R19" s="82">
        <v>618</v>
      </c>
      <c r="S19" s="81">
        <v>1989</v>
      </c>
      <c r="T19" s="81">
        <v>1540</v>
      </c>
      <c r="U19" s="81">
        <v>5215</v>
      </c>
      <c r="V19" s="83" t="s">
        <v>146</v>
      </c>
    </row>
    <row r="20" spans="1:22" ht="17.25" thickBot="1" x14ac:dyDescent="0.3">
      <c r="A20" s="93">
        <v>18</v>
      </c>
      <c r="B20" s="90" t="s">
        <v>109</v>
      </c>
      <c r="C20" s="97">
        <f ca="1">VLOOKUP(薪資表!J19,O$2:U$52,2,TRUE)</f>
        <v>731</v>
      </c>
      <c r="D20" s="97">
        <f ca="1">VLOOKUP(薪資表!J19,O$2:U$52,3,TRUE)</f>
        <v>2558</v>
      </c>
      <c r="E20" s="97">
        <f ca="1">VLOOKUP(薪資表!J19,$O$2:$U$52,4,TRUE)</f>
        <v>490</v>
      </c>
      <c r="F20" s="97">
        <f ca="1">VLOOKUP(薪資表!J19,O$2:U$52,5,TRUE)</f>
        <v>1577</v>
      </c>
      <c r="G20" s="97">
        <f t="shared" ca="1" si="0"/>
        <v>1221</v>
      </c>
      <c r="H20" s="98">
        <f t="shared" ca="1" si="1"/>
        <v>4135</v>
      </c>
      <c r="N20" s="76">
        <v>18</v>
      </c>
      <c r="O20" s="77">
        <v>45800</v>
      </c>
      <c r="P20" s="78">
        <v>962</v>
      </c>
      <c r="Q20" s="77">
        <v>3367</v>
      </c>
      <c r="R20" s="78">
        <v>644</v>
      </c>
      <c r="S20" s="77">
        <v>2075</v>
      </c>
      <c r="T20" s="77">
        <v>1606</v>
      </c>
      <c r="U20" s="77">
        <v>5442</v>
      </c>
      <c r="V20" s="79" t="s">
        <v>146</v>
      </c>
    </row>
    <row r="21" spans="1:22" ht="17.25" thickBot="1" x14ac:dyDescent="0.3">
      <c r="A21" s="94">
        <v>19</v>
      </c>
      <c r="B21" s="92" t="s">
        <v>110</v>
      </c>
      <c r="C21" s="97">
        <f ca="1">VLOOKUP(薪資表!J20,O$2:U$52,2,TRUE)</f>
        <v>763</v>
      </c>
      <c r="D21" s="97">
        <f ca="1">VLOOKUP(薪資表!J20,O$2:U$52,3,TRUE)</f>
        <v>2668</v>
      </c>
      <c r="E21" s="97">
        <f ca="1">VLOOKUP(薪資表!J20,$O$2:$U$52,4,TRUE)</f>
        <v>511</v>
      </c>
      <c r="F21" s="97">
        <f ca="1">VLOOKUP(薪資表!J20,O$2:U$52,5,TRUE)</f>
        <v>1645</v>
      </c>
      <c r="G21" s="97">
        <f t="shared" ca="1" si="0"/>
        <v>1274</v>
      </c>
      <c r="H21" s="98">
        <f t="shared" ca="1" si="1"/>
        <v>4313</v>
      </c>
      <c r="N21" s="80">
        <v>19</v>
      </c>
      <c r="O21" s="81">
        <v>48200</v>
      </c>
      <c r="P21" s="82">
        <v>962</v>
      </c>
      <c r="Q21" s="81">
        <v>3367</v>
      </c>
      <c r="R21" s="82">
        <v>678</v>
      </c>
      <c r="S21" s="81">
        <v>2184</v>
      </c>
      <c r="T21" s="81">
        <v>1640</v>
      </c>
      <c r="U21" s="81">
        <v>5551</v>
      </c>
      <c r="V21" s="83" t="s">
        <v>146</v>
      </c>
    </row>
    <row r="22" spans="1:22" ht="17.25" thickBot="1" x14ac:dyDescent="0.3">
      <c r="A22" s="93">
        <v>20</v>
      </c>
      <c r="B22" s="90" t="s">
        <v>111</v>
      </c>
      <c r="C22" s="97">
        <f ca="1">VLOOKUP(薪資表!J21,O$2:U$52,2,TRUE)</f>
        <v>842</v>
      </c>
      <c r="D22" s="97">
        <f ca="1">VLOOKUP(薪資表!J21,O$2:U$52,3,TRUE)</f>
        <v>2948</v>
      </c>
      <c r="E22" s="97">
        <f ca="1">VLOOKUP(薪資表!J21,$O$2:$U$52,4,TRUE)</f>
        <v>564</v>
      </c>
      <c r="F22" s="97">
        <f ca="1">VLOOKUP(薪資表!J21,O$2:U$52,5,TRUE)</f>
        <v>1817</v>
      </c>
      <c r="G22" s="97">
        <f t="shared" ca="1" si="0"/>
        <v>1406</v>
      </c>
      <c r="H22" s="98">
        <f t="shared" ca="1" si="1"/>
        <v>4765</v>
      </c>
      <c r="N22" s="76">
        <v>20</v>
      </c>
      <c r="O22" s="77">
        <v>50600</v>
      </c>
      <c r="P22" s="78">
        <v>962</v>
      </c>
      <c r="Q22" s="77">
        <v>3367</v>
      </c>
      <c r="R22" s="78">
        <v>712</v>
      </c>
      <c r="S22" s="77">
        <v>2292</v>
      </c>
      <c r="T22" s="77">
        <v>1674</v>
      </c>
      <c r="U22" s="77">
        <v>5659</v>
      </c>
      <c r="V22" s="79" t="s">
        <v>146</v>
      </c>
    </row>
    <row r="23" spans="1:22" ht="17.25" thickBot="1" x14ac:dyDescent="0.3">
      <c r="A23" s="94">
        <v>21</v>
      </c>
      <c r="B23" s="92" t="s">
        <v>112</v>
      </c>
      <c r="C23" s="97">
        <f ca="1">VLOOKUP(薪資表!J22,O$2:U$52,2,TRUE)</f>
        <v>763</v>
      </c>
      <c r="D23" s="97">
        <f ca="1">VLOOKUP(薪資表!J22,O$2:U$52,3,TRUE)</f>
        <v>2668</v>
      </c>
      <c r="E23" s="97">
        <f ca="1">VLOOKUP(薪資表!J22,$O$2:$U$52,4,TRUE)</f>
        <v>511</v>
      </c>
      <c r="F23" s="97">
        <f ca="1">VLOOKUP(薪資表!J22,O$2:U$52,5,TRUE)</f>
        <v>1645</v>
      </c>
      <c r="G23" s="97">
        <f t="shared" ca="1" si="0"/>
        <v>1274</v>
      </c>
      <c r="H23" s="98">
        <f t="shared" ca="1" si="1"/>
        <v>4313</v>
      </c>
      <c r="N23" s="80">
        <v>21</v>
      </c>
      <c r="O23" s="81">
        <v>53000</v>
      </c>
      <c r="P23" s="82">
        <v>962</v>
      </c>
      <c r="Q23" s="81">
        <v>3367</v>
      </c>
      <c r="R23" s="82">
        <v>746</v>
      </c>
      <c r="S23" s="81">
        <v>2401</v>
      </c>
      <c r="T23" s="81">
        <v>1708</v>
      </c>
      <c r="U23" s="81">
        <v>5768</v>
      </c>
      <c r="V23" s="83" t="s">
        <v>146</v>
      </c>
    </row>
    <row r="24" spans="1:22" x14ac:dyDescent="0.25">
      <c r="A24" s="95">
        <v>22</v>
      </c>
      <c r="B24" s="96" t="s">
        <v>113</v>
      </c>
      <c r="C24" s="97">
        <f ca="1">VLOOKUP(薪資表!J23,O$2:U$52,2,TRUE)</f>
        <v>731</v>
      </c>
      <c r="D24" s="97">
        <f ca="1">VLOOKUP(薪資表!J23,O$2:U$52,3,TRUE)</f>
        <v>2558</v>
      </c>
      <c r="E24" s="97">
        <f ca="1">VLOOKUP(薪資表!J23,$O$2:$U$52,4,TRUE)</f>
        <v>490</v>
      </c>
      <c r="F24" s="97">
        <f ca="1">VLOOKUP(薪資表!J23,O$2:U$52,5,TRUE)</f>
        <v>1577</v>
      </c>
      <c r="G24" s="97">
        <f t="shared" ca="1" si="0"/>
        <v>1221</v>
      </c>
      <c r="H24" s="98">
        <f t="shared" ca="1" si="1"/>
        <v>4135</v>
      </c>
      <c r="N24" s="76">
        <v>22</v>
      </c>
      <c r="O24" s="77">
        <v>55400</v>
      </c>
      <c r="P24" s="78">
        <v>962</v>
      </c>
      <c r="Q24" s="77">
        <v>3367</v>
      </c>
      <c r="R24" s="78">
        <v>779</v>
      </c>
      <c r="S24" s="77">
        <v>2510</v>
      </c>
      <c r="T24" s="77">
        <v>1741</v>
      </c>
      <c r="U24" s="77">
        <v>5877</v>
      </c>
      <c r="V24" s="79" t="s">
        <v>146</v>
      </c>
    </row>
    <row r="25" spans="1:22" x14ac:dyDescent="0.25">
      <c r="N25" s="80">
        <v>23</v>
      </c>
      <c r="O25" s="81">
        <v>57800</v>
      </c>
      <c r="P25" s="82">
        <v>962</v>
      </c>
      <c r="Q25" s="81">
        <v>3367</v>
      </c>
      <c r="R25" s="82">
        <v>813</v>
      </c>
      <c r="S25" s="81">
        <v>2619</v>
      </c>
      <c r="T25" s="81">
        <v>1775</v>
      </c>
      <c r="U25" s="81">
        <v>5986</v>
      </c>
      <c r="V25" s="83" t="s">
        <v>146</v>
      </c>
    </row>
    <row r="26" spans="1:22" x14ac:dyDescent="0.25">
      <c r="N26" s="76">
        <v>24</v>
      </c>
      <c r="O26" s="77">
        <v>60800</v>
      </c>
      <c r="P26" s="78">
        <v>962</v>
      </c>
      <c r="Q26" s="77">
        <v>3367</v>
      </c>
      <c r="R26" s="78">
        <v>855</v>
      </c>
      <c r="S26" s="77">
        <v>2755</v>
      </c>
      <c r="T26" s="77">
        <v>1817</v>
      </c>
      <c r="U26" s="77">
        <v>6122</v>
      </c>
      <c r="V26" s="79" t="s">
        <v>146</v>
      </c>
    </row>
    <row r="27" spans="1:22" x14ac:dyDescent="0.25">
      <c r="N27" s="80">
        <v>25</v>
      </c>
      <c r="O27" s="81">
        <v>63800</v>
      </c>
      <c r="P27" s="82">
        <v>962</v>
      </c>
      <c r="Q27" s="81">
        <v>3367</v>
      </c>
      <c r="R27" s="82">
        <v>898</v>
      </c>
      <c r="S27" s="81">
        <v>2890</v>
      </c>
      <c r="T27" s="81">
        <v>1860</v>
      </c>
      <c r="U27" s="81">
        <v>6257</v>
      </c>
      <c r="V27" s="83" t="s">
        <v>146</v>
      </c>
    </row>
    <row r="28" spans="1:22" x14ac:dyDescent="0.25">
      <c r="N28" s="76">
        <v>26</v>
      </c>
      <c r="O28" s="77">
        <v>66800</v>
      </c>
      <c r="P28" s="78">
        <v>962</v>
      </c>
      <c r="Q28" s="77">
        <v>3367</v>
      </c>
      <c r="R28" s="78">
        <v>940</v>
      </c>
      <c r="S28" s="77">
        <v>3026</v>
      </c>
      <c r="T28" s="77">
        <v>1902</v>
      </c>
      <c r="U28" s="77">
        <v>6393</v>
      </c>
      <c r="V28" s="79" t="s">
        <v>146</v>
      </c>
    </row>
    <row r="29" spans="1:22" x14ac:dyDescent="0.25">
      <c r="N29" s="80">
        <v>27</v>
      </c>
      <c r="O29" s="81">
        <v>69800</v>
      </c>
      <c r="P29" s="82">
        <v>962</v>
      </c>
      <c r="Q29" s="81">
        <v>3367</v>
      </c>
      <c r="R29" s="82">
        <v>982</v>
      </c>
      <c r="S29" s="81">
        <v>3162</v>
      </c>
      <c r="T29" s="81">
        <v>1944</v>
      </c>
      <c r="U29" s="81">
        <v>6529</v>
      </c>
      <c r="V29" s="83" t="s">
        <v>146</v>
      </c>
    </row>
    <row r="30" spans="1:22" x14ac:dyDescent="0.25">
      <c r="N30" s="76">
        <v>28</v>
      </c>
      <c r="O30" s="77">
        <v>72800</v>
      </c>
      <c r="P30" s="78">
        <v>962</v>
      </c>
      <c r="Q30" s="77">
        <v>3367</v>
      </c>
      <c r="R30" s="77">
        <v>1024</v>
      </c>
      <c r="S30" s="77">
        <v>3298</v>
      </c>
      <c r="T30" s="77">
        <v>1986</v>
      </c>
      <c r="U30" s="77">
        <v>6665</v>
      </c>
      <c r="V30" s="79" t="s">
        <v>146</v>
      </c>
    </row>
    <row r="31" spans="1:22" x14ac:dyDescent="0.25">
      <c r="N31" s="80">
        <v>29</v>
      </c>
      <c r="O31" s="81">
        <v>76500</v>
      </c>
      <c r="P31" s="82">
        <v>962</v>
      </c>
      <c r="Q31" s="81">
        <v>3367</v>
      </c>
      <c r="R31" s="81">
        <v>1076</v>
      </c>
      <c r="S31" s="81">
        <v>3466</v>
      </c>
      <c r="T31" s="81">
        <v>2038</v>
      </c>
      <c r="U31" s="81">
        <v>6833</v>
      </c>
      <c r="V31" s="83" t="s">
        <v>146</v>
      </c>
    </row>
    <row r="32" spans="1:22" x14ac:dyDescent="0.25">
      <c r="N32" s="76">
        <v>30</v>
      </c>
      <c r="O32" s="77">
        <v>80200</v>
      </c>
      <c r="P32" s="78">
        <v>962</v>
      </c>
      <c r="Q32" s="77">
        <v>3367</v>
      </c>
      <c r="R32" s="77">
        <v>1128</v>
      </c>
      <c r="S32" s="77">
        <v>3633</v>
      </c>
      <c r="T32" s="77">
        <v>2090</v>
      </c>
      <c r="U32" s="77">
        <v>7000</v>
      </c>
      <c r="V32" s="79" t="s">
        <v>146</v>
      </c>
    </row>
    <row r="33" spans="14:22" x14ac:dyDescent="0.25">
      <c r="N33" s="80">
        <v>31</v>
      </c>
      <c r="O33" s="81">
        <v>83900</v>
      </c>
      <c r="P33" s="82">
        <v>962</v>
      </c>
      <c r="Q33" s="81">
        <v>3367</v>
      </c>
      <c r="R33" s="81">
        <v>1180</v>
      </c>
      <c r="S33" s="81">
        <v>3801</v>
      </c>
      <c r="T33" s="81">
        <v>2142</v>
      </c>
      <c r="U33" s="81">
        <v>7168</v>
      </c>
      <c r="V33" s="83" t="s">
        <v>146</v>
      </c>
    </row>
    <row r="34" spans="14:22" x14ac:dyDescent="0.25">
      <c r="N34" s="76">
        <v>32</v>
      </c>
      <c r="O34" s="77">
        <v>87600</v>
      </c>
      <c r="P34" s="78">
        <v>962</v>
      </c>
      <c r="Q34" s="77">
        <v>3367</v>
      </c>
      <c r="R34" s="77">
        <v>1233</v>
      </c>
      <c r="S34" s="77">
        <v>3969</v>
      </c>
      <c r="T34" s="77">
        <v>2195</v>
      </c>
      <c r="U34" s="77">
        <v>7336</v>
      </c>
      <c r="V34" s="79" t="s">
        <v>146</v>
      </c>
    </row>
    <row r="35" spans="14:22" x14ac:dyDescent="0.25">
      <c r="N35" s="80">
        <v>33</v>
      </c>
      <c r="O35" s="81">
        <v>92100</v>
      </c>
      <c r="P35" s="82">
        <v>962</v>
      </c>
      <c r="Q35" s="81">
        <v>3367</v>
      </c>
      <c r="R35" s="81">
        <v>1296</v>
      </c>
      <c r="S35" s="81">
        <v>4173</v>
      </c>
      <c r="T35" s="81">
        <v>2258</v>
      </c>
      <c r="U35" s="81">
        <v>7540</v>
      </c>
      <c r="V35" s="83" t="s">
        <v>146</v>
      </c>
    </row>
    <row r="36" spans="14:22" x14ac:dyDescent="0.25">
      <c r="N36" s="76">
        <v>34</v>
      </c>
      <c r="O36" s="77">
        <v>96600</v>
      </c>
      <c r="P36" s="78">
        <v>962</v>
      </c>
      <c r="Q36" s="77">
        <v>3367</v>
      </c>
      <c r="R36" s="77">
        <v>1359</v>
      </c>
      <c r="S36" s="77">
        <v>4377</v>
      </c>
      <c r="T36" s="77">
        <v>2321</v>
      </c>
      <c r="U36" s="77">
        <v>7744</v>
      </c>
      <c r="V36" s="79" t="s">
        <v>146</v>
      </c>
    </row>
    <row r="37" spans="14:22" x14ac:dyDescent="0.25">
      <c r="N37" s="80">
        <v>35</v>
      </c>
      <c r="O37" s="81">
        <v>101100</v>
      </c>
      <c r="P37" s="82">
        <v>962</v>
      </c>
      <c r="Q37" s="81">
        <v>3367</v>
      </c>
      <c r="R37" s="81">
        <v>1422</v>
      </c>
      <c r="S37" s="81">
        <v>4580</v>
      </c>
      <c r="T37" s="81">
        <v>2384</v>
      </c>
      <c r="U37" s="81">
        <v>7947</v>
      </c>
      <c r="V37" s="83" t="s">
        <v>146</v>
      </c>
    </row>
    <row r="38" spans="14:22" x14ac:dyDescent="0.25">
      <c r="N38" s="76">
        <v>36</v>
      </c>
      <c r="O38" s="77">
        <v>105600</v>
      </c>
      <c r="P38" s="78">
        <v>962</v>
      </c>
      <c r="Q38" s="77">
        <v>3367</v>
      </c>
      <c r="R38" s="77">
        <v>1486</v>
      </c>
      <c r="S38" s="77">
        <v>4784</v>
      </c>
      <c r="T38" s="77">
        <v>2448</v>
      </c>
      <c r="U38" s="77">
        <v>8151</v>
      </c>
      <c r="V38" s="79" t="s">
        <v>146</v>
      </c>
    </row>
    <row r="39" spans="14:22" x14ac:dyDescent="0.25">
      <c r="N39" s="80">
        <v>37</v>
      </c>
      <c r="O39" s="81">
        <v>110100</v>
      </c>
      <c r="P39" s="82">
        <v>962</v>
      </c>
      <c r="Q39" s="81">
        <v>3367</v>
      </c>
      <c r="R39" s="81">
        <v>1549</v>
      </c>
      <c r="S39" s="81">
        <v>4988</v>
      </c>
      <c r="T39" s="81">
        <v>2511</v>
      </c>
      <c r="U39" s="81">
        <v>8355</v>
      </c>
      <c r="V39" s="83" t="s">
        <v>146</v>
      </c>
    </row>
    <row r="40" spans="14:22" x14ac:dyDescent="0.25">
      <c r="N40" s="76">
        <v>38</v>
      </c>
      <c r="O40" s="77">
        <v>115500</v>
      </c>
      <c r="P40" s="78">
        <v>962</v>
      </c>
      <c r="Q40" s="77">
        <v>3367</v>
      </c>
      <c r="R40" s="77">
        <v>1625</v>
      </c>
      <c r="S40" s="77">
        <v>5233</v>
      </c>
      <c r="T40" s="77">
        <v>2587</v>
      </c>
      <c r="U40" s="77">
        <v>8600</v>
      </c>
      <c r="V40" s="79" t="s">
        <v>146</v>
      </c>
    </row>
    <row r="41" spans="14:22" x14ac:dyDescent="0.25">
      <c r="N41" s="80">
        <v>39</v>
      </c>
      <c r="O41" s="81">
        <v>120900</v>
      </c>
      <c r="P41" s="82">
        <v>962</v>
      </c>
      <c r="Q41" s="81">
        <v>3367</v>
      </c>
      <c r="R41" s="81">
        <v>1701</v>
      </c>
      <c r="S41" s="81">
        <v>5477</v>
      </c>
      <c r="T41" s="81">
        <v>2663</v>
      </c>
      <c r="U41" s="81">
        <v>8844</v>
      </c>
      <c r="V41" s="83" t="s">
        <v>146</v>
      </c>
    </row>
    <row r="42" spans="14:22" x14ac:dyDescent="0.25">
      <c r="N42" s="76">
        <v>40</v>
      </c>
      <c r="O42" s="77">
        <v>126300</v>
      </c>
      <c r="P42" s="78">
        <v>962</v>
      </c>
      <c r="Q42" s="77">
        <v>3367</v>
      </c>
      <c r="R42" s="77">
        <v>1777</v>
      </c>
      <c r="S42" s="77">
        <v>5722</v>
      </c>
      <c r="T42" s="77">
        <v>2739</v>
      </c>
      <c r="U42" s="77">
        <v>9089</v>
      </c>
      <c r="V42" s="79" t="s">
        <v>146</v>
      </c>
    </row>
    <row r="43" spans="14:22" x14ac:dyDescent="0.25">
      <c r="N43" s="80">
        <v>41</v>
      </c>
      <c r="O43" s="81">
        <v>131700</v>
      </c>
      <c r="P43" s="82">
        <v>962</v>
      </c>
      <c r="Q43" s="81">
        <v>3367</v>
      </c>
      <c r="R43" s="81">
        <v>1853</v>
      </c>
      <c r="S43" s="81">
        <v>5967</v>
      </c>
      <c r="T43" s="81">
        <v>2815</v>
      </c>
      <c r="U43" s="81">
        <v>9334</v>
      </c>
      <c r="V43" s="83" t="s">
        <v>146</v>
      </c>
    </row>
    <row r="44" spans="14:22" x14ac:dyDescent="0.25">
      <c r="N44" s="76">
        <v>42</v>
      </c>
      <c r="O44" s="77">
        <v>137100</v>
      </c>
      <c r="P44" s="78">
        <v>962</v>
      </c>
      <c r="Q44" s="77">
        <v>3367</v>
      </c>
      <c r="R44" s="77">
        <v>1929</v>
      </c>
      <c r="S44" s="77">
        <v>6211</v>
      </c>
      <c r="T44" s="77">
        <v>2891</v>
      </c>
      <c r="U44" s="77">
        <v>9578</v>
      </c>
      <c r="V44" s="79" t="s">
        <v>146</v>
      </c>
    </row>
    <row r="45" spans="14:22" x14ac:dyDescent="0.25">
      <c r="N45" s="80">
        <v>43</v>
      </c>
      <c r="O45" s="81">
        <v>142500</v>
      </c>
      <c r="P45" s="82">
        <v>962</v>
      </c>
      <c r="Q45" s="81">
        <v>3367</v>
      </c>
      <c r="R45" s="81">
        <v>2005</v>
      </c>
      <c r="S45" s="81">
        <v>6456</v>
      </c>
      <c r="T45" s="81">
        <v>2967</v>
      </c>
      <c r="U45" s="81">
        <v>9823</v>
      </c>
      <c r="V45" s="83" t="s">
        <v>146</v>
      </c>
    </row>
    <row r="46" spans="14:22" x14ac:dyDescent="0.25">
      <c r="N46" s="76">
        <v>44</v>
      </c>
      <c r="O46" s="77">
        <v>147900</v>
      </c>
      <c r="P46" s="78">
        <v>962</v>
      </c>
      <c r="Q46" s="77">
        <v>3367</v>
      </c>
      <c r="R46" s="77">
        <v>2081</v>
      </c>
      <c r="S46" s="77">
        <v>6701</v>
      </c>
      <c r="T46" s="77">
        <v>3043</v>
      </c>
      <c r="U46" s="77">
        <v>10068</v>
      </c>
      <c r="V46" s="79" t="s">
        <v>146</v>
      </c>
    </row>
    <row r="47" spans="14:22" x14ac:dyDescent="0.25">
      <c r="N47" s="80">
        <v>45</v>
      </c>
      <c r="O47" s="81">
        <v>150000</v>
      </c>
      <c r="P47" s="82">
        <v>962</v>
      </c>
      <c r="Q47" s="81">
        <v>3367</v>
      </c>
      <c r="R47" s="81">
        <v>2111</v>
      </c>
      <c r="S47" s="81">
        <v>6796</v>
      </c>
      <c r="T47" s="81">
        <v>3073</v>
      </c>
      <c r="U47" s="81">
        <v>10163</v>
      </c>
      <c r="V47" s="83" t="s">
        <v>146</v>
      </c>
    </row>
    <row r="48" spans="14:22" x14ac:dyDescent="0.25">
      <c r="N48" s="76">
        <v>46</v>
      </c>
      <c r="O48" s="77">
        <v>156400</v>
      </c>
      <c r="P48" s="78">
        <v>962</v>
      </c>
      <c r="Q48" s="77">
        <v>3367</v>
      </c>
      <c r="R48" s="77">
        <v>2201</v>
      </c>
      <c r="S48" s="77">
        <v>7086</v>
      </c>
      <c r="T48" s="77">
        <v>3163</v>
      </c>
      <c r="U48" s="77">
        <v>10453</v>
      </c>
      <c r="V48" s="79" t="s">
        <v>146</v>
      </c>
    </row>
    <row r="49" spans="3:22" x14ac:dyDescent="0.25">
      <c r="N49" s="80">
        <v>47</v>
      </c>
      <c r="O49" s="81">
        <v>162800</v>
      </c>
      <c r="P49" s="82">
        <v>962</v>
      </c>
      <c r="Q49" s="81">
        <v>3367</v>
      </c>
      <c r="R49" s="81">
        <v>2291</v>
      </c>
      <c r="S49" s="81">
        <v>7376</v>
      </c>
      <c r="T49" s="81">
        <v>3253</v>
      </c>
      <c r="U49" s="81">
        <v>10743</v>
      </c>
      <c r="V49" s="83" t="s">
        <v>146</v>
      </c>
    </row>
    <row r="50" spans="3:22" x14ac:dyDescent="0.25">
      <c r="N50" s="76">
        <v>48</v>
      </c>
      <c r="O50" s="77">
        <v>169200</v>
      </c>
      <c r="P50" s="78">
        <v>962</v>
      </c>
      <c r="Q50" s="77">
        <v>3367</v>
      </c>
      <c r="R50" s="77">
        <v>2381</v>
      </c>
      <c r="S50" s="77">
        <v>7666</v>
      </c>
      <c r="T50" s="77">
        <v>3343</v>
      </c>
      <c r="U50" s="77">
        <v>11033</v>
      </c>
      <c r="V50" s="79" t="s">
        <v>146</v>
      </c>
    </row>
    <row r="51" spans="3:22" x14ac:dyDescent="0.25">
      <c r="N51" s="80">
        <v>49</v>
      </c>
      <c r="O51" s="81">
        <v>175600</v>
      </c>
      <c r="P51" s="82">
        <v>962</v>
      </c>
      <c r="Q51" s="81">
        <v>3367</v>
      </c>
      <c r="R51" s="81">
        <v>2471</v>
      </c>
      <c r="S51" s="81">
        <v>7956</v>
      </c>
      <c r="T51" s="81">
        <v>3433</v>
      </c>
      <c r="U51" s="81">
        <v>11323</v>
      </c>
      <c r="V51" s="83" t="s">
        <v>146</v>
      </c>
    </row>
    <row r="52" spans="3:22" x14ac:dyDescent="0.25">
      <c r="N52" s="84">
        <v>50</v>
      </c>
      <c r="O52" s="85">
        <v>182000</v>
      </c>
      <c r="P52" s="86">
        <v>962</v>
      </c>
      <c r="Q52" s="85">
        <v>3367</v>
      </c>
      <c r="R52" s="85">
        <v>2561</v>
      </c>
      <c r="S52" s="85">
        <v>8246</v>
      </c>
      <c r="T52" s="85">
        <v>3523</v>
      </c>
      <c r="U52" s="85">
        <v>11613</v>
      </c>
      <c r="V52" s="69" t="s">
        <v>147</v>
      </c>
    </row>
    <row r="53" spans="3:22" x14ac:dyDescent="0.25">
      <c r="C53" s="68"/>
      <c r="D53" s="68"/>
      <c r="E53" s="68"/>
      <c r="F53" s="68"/>
      <c r="G53" s="68"/>
      <c r="H53" s="68"/>
      <c r="I53" s="68"/>
      <c r="J53" s="68"/>
      <c r="K53" s="68"/>
    </row>
  </sheetData>
  <mergeCells count="2">
    <mergeCell ref="A1:H1"/>
    <mergeCell ref="N1:V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DB5D-A97B-4059-8F57-EE0EEFCA880C}">
  <dimension ref="A1:Z24"/>
  <sheetViews>
    <sheetView tabSelected="1" workbookViewId="0">
      <selection activeCell="G7" sqref="G7"/>
    </sheetView>
  </sheetViews>
  <sheetFormatPr defaultRowHeight="16.5" x14ac:dyDescent="0.25"/>
  <cols>
    <col min="1" max="1" width="6.75" style="99" customWidth="1"/>
    <col min="2" max="8" width="10.75" style="99" customWidth="1"/>
    <col min="9" max="13" width="12" style="99" customWidth="1"/>
    <col min="14" max="14" width="10.75" style="99" customWidth="1"/>
    <col min="15" max="17" width="9" style="99"/>
    <col min="18" max="18" width="13" style="99" bestFit="1" customWidth="1"/>
    <col min="19" max="19" width="3.375" style="99" bestFit="1" customWidth="1"/>
    <col min="20" max="20" width="13" style="99" bestFit="1" customWidth="1"/>
    <col min="21" max="21" width="3.375" style="99" bestFit="1" customWidth="1"/>
    <col min="22" max="22" width="6.125" style="99" bestFit="1" customWidth="1"/>
    <col min="23" max="23" width="3.875" style="99" bestFit="1" customWidth="1"/>
    <col min="24" max="24" width="11.625" style="99" bestFit="1" customWidth="1"/>
    <col min="25" max="25" width="3.875" style="99" bestFit="1" customWidth="1"/>
    <col min="26" max="26" width="13.875" style="99" bestFit="1" customWidth="1"/>
    <col min="27" max="16384" width="9" style="99"/>
  </cols>
  <sheetData>
    <row r="1" spans="1:26" ht="27" x14ac:dyDescent="0.25">
      <c r="A1" s="105" t="s">
        <v>152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26" x14ac:dyDescent="0.25">
      <c r="A2" s="46" t="s">
        <v>150</v>
      </c>
      <c r="B2" s="46" t="s">
        <v>0</v>
      </c>
      <c r="C2" s="46" t="s">
        <v>118</v>
      </c>
      <c r="D2" s="63" t="s">
        <v>122</v>
      </c>
      <c r="E2" s="63" t="s">
        <v>119</v>
      </c>
      <c r="F2" s="63" t="s">
        <v>90</v>
      </c>
      <c r="G2" s="63" t="s">
        <v>88</v>
      </c>
      <c r="H2" s="63" t="s">
        <v>120</v>
      </c>
      <c r="I2" s="63" t="s">
        <v>139</v>
      </c>
      <c r="J2" s="63" t="s">
        <v>140</v>
      </c>
      <c r="K2" s="63" t="s">
        <v>141</v>
      </c>
      <c r="L2" s="63" t="s">
        <v>142</v>
      </c>
      <c r="M2" s="63" t="s">
        <v>153</v>
      </c>
      <c r="N2" s="47" t="s">
        <v>151</v>
      </c>
      <c r="R2" s="117" t="s">
        <v>163</v>
      </c>
      <c r="S2" s="118"/>
      <c r="T2" s="118"/>
      <c r="U2" s="118"/>
      <c r="V2" s="118"/>
      <c r="W2" s="118"/>
      <c r="X2" s="118"/>
      <c r="Y2" s="118"/>
      <c r="Z2" s="119"/>
    </row>
    <row r="3" spans="1:26" x14ac:dyDescent="0.25">
      <c r="A3" s="120" t="str">
        <f>IF(B3&lt;&gt;"",簽到記錄!$A$1&amp;"月","")</f>
        <v>1月</v>
      </c>
      <c r="B3" s="120">
        <f>IF(員工基本資料!A2="","",員工基本資料!A2)</f>
        <v>1</v>
      </c>
      <c r="C3" s="120" t="str">
        <f>IF(B3="","",_xlfn.CONCAT(VLOOKUP(B3,員工基本資料!A1:C23,2,FALSE),VLOOKUP(B3,員工基本資料!A1:C23,3,FALSE)))</f>
        <v>林淑卿</v>
      </c>
      <c r="D3" s="120">
        <f ca="1">IF(B3="","",VLOOKUP(B3,薪資表!A$1:I$23,5,FALSE))</f>
        <v>35500</v>
      </c>
      <c r="E3" s="120">
        <f>IF(B3="","",VLOOKUP(B3,薪資表!A$1:I$23,6,FALSE))</f>
        <v>0</v>
      </c>
      <c r="F3" s="120">
        <f>IF(B3="","",VLOOKUP(B3,薪資表!A$1:I$23,7,FALSE))</f>
        <v>960</v>
      </c>
      <c r="G3" s="120">
        <f>IF(B3="","",VLOOKUP(B3,薪資表!A$1:J$23,8,FALSE))</f>
        <v>450</v>
      </c>
      <c r="H3" s="120">
        <f>IF(B3="","",VLOOKUP(B3,薪資表!A$1:J$23,9,FALSE))</f>
        <v>0</v>
      </c>
      <c r="I3" s="120">
        <f ca="1">IF(B3="","",VLOOKUP(B3,勞健保分攤!A$2:F$24,3,FALSE))</f>
        <v>731</v>
      </c>
      <c r="J3" s="120">
        <f ca="1">IF(B3="","",VLOOKUP(B3,勞健保分攤!A$2:F$24,4,FALSE))</f>
        <v>2558</v>
      </c>
      <c r="K3" s="120">
        <f ca="1">IF(B3="","",VLOOKUP(B3,勞健保分攤!A$2:F$24,5,FALSE))</f>
        <v>490</v>
      </c>
      <c r="L3" s="120">
        <f ca="1">IF(B3="","",VLOOKUP(B3,勞健保分攤!A$2:F$24,6,FALSE))</f>
        <v>1577</v>
      </c>
      <c r="M3" s="120">
        <f ca="1">SUM(D3:F3)*VLOOKUP(SUM(D3:F3),$R$3:$V$9,5,TRUE)-VLOOKUP(SUM(D3:F3),R$3:X$9,7,TRUE)</f>
        <v>1823</v>
      </c>
      <c r="N3" s="121">
        <f ca="1">SUM(D3:F3)-SUM(G3:M3)</f>
        <v>28831</v>
      </c>
      <c r="R3" s="116" t="s">
        <v>154</v>
      </c>
      <c r="S3" s="116"/>
      <c r="T3" s="116"/>
      <c r="U3" s="107"/>
      <c r="V3" s="107" t="s">
        <v>155</v>
      </c>
      <c r="W3" s="107"/>
      <c r="X3" s="107" t="s">
        <v>156</v>
      </c>
      <c r="Y3" s="107"/>
      <c r="Z3" s="107" t="s">
        <v>157</v>
      </c>
    </row>
    <row r="4" spans="1:26" x14ac:dyDescent="0.25">
      <c r="A4" s="120" t="str">
        <f>IF(B4&lt;&gt;"",簽到記錄!$A$1&amp;"月","")</f>
        <v>1月</v>
      </c>
      <c r="B4" s="120">
        <f>IF(員工基本資料!A3="","",員工基本資料!A3)</f>
        <v>2</v>
      </c>
      <c r="C4" s="120" t="str">
        <f>IF(B4="","",_xlfn.CONCAT(VLOOKUP(B4,員工基本資料!A2:C24,2,FALSE),VLOOKUP(B4,員工基本資料!A2:C24,3,FALSE)))</f>
        <v>鄭力高</v>
      </c>
      <c r="D4" s="120">
        <f ca="1">IF(B4="","",VLOOKUP(B4,薪資表!A$1:I$23,5,FALSE))</f>
        <v>32500</v>
      </c>
      <c r="E4" s="120">
        <f>IF(B4="","",VLOOKUP(B4,薪資表!A$1:I$23,6,FALSE))</f>
        <v>0</v>
      </c>
      <c r="F4" s="120">
        <f>IF(B4="","",VLOOKUP(B4,薪資表!A$1:I$23,7,FALSE))</f>
        <v>240</v>
      </c>
      <c r="G4" s="120">
        <f>IF(B4="","",VLOOKUP(B4,薪資表!A$1:J$23,8,FALSE))</f>
        <v>550</v>
      </c>
      <c r="H4" s="120">
        <f>IF(B4="","",VLOOKUP(B4,薪資表!A$1:J$23,9,FALSE))</f>
        <v>10000</v>
      </c>
      <c r="I4" s="120">
        <f ca="1">IF(B4="","",VLOOKUP(B4,勞健保分攤!A$2:F$24,3,FALSE))</f>
        <v>460</v>
      </c>
      <c r="J4" s="120">
        <f ca="1">IF(B4="","",VLOOKUP(B4,勞健保分攤!A$2:F$24,4,FALSE))</f>
        <v>1609</v>
      </c>
      <c r="K4" s="120">
        <f ca="1">IF(B4="","",VLOOKUP(B4,勞健保分攤!A$2:F$24,5,FALSE))</f>
        <v>308</v>
      </c>
      <c r="L4" s="120">
        <f ca="1">IF(B4="","",VLOOKUP(B4,勞健保分攤!A$2:F$24,6,FALSE))</f>
        <v>992</v>
      </c>
      <c r="M4" s="120">
        <f t="shared" ref="M4:M24" ca="1" si="0">SUM(D4:F4)*VLOOKUP(SUM(D4:F4),$R$3:$V$9,5,TRUE)-VLOOKUP(SUM(D4:F4),R$3:X$9,7,TRUE)</f>
        <v>1637</v>
      </c>
      <c r="N4" s="121">
        <f t="shared" ref="N4:N24" ca="1" si="1">SUM(D4:F4)-SUM(G4:M4)</f>
        <v>17184</v>
      </c>
      <c r="R4" s="108">
        <v>0</v>
      </c>
      <c r="S4" s="109" t="s">
        <v>158</v>
      </c>
      <c r="T4" s="110">
        <v>540000</v>
      </c>
      <c r="U4" s="109" t="s">
        <v>159</v>
      </c>
      <c r="V4" s="111">
        <v>0.05</v>
      </c>
      <c r="W4" s="109" t="s">
        <v>160</v>
      </c>
      <c r="X4" s="108">
        <v>0</v>
      </c>
      <c r="Y4" s="109" t="s">
        <v>161</v>
      </c>
      <c r="Z4" s="108"/>
    </row>
    <row r="5" spans="1:26" x14ac:dyDescent="0.25">
      <c r="A5" s="120" t="str">
        <f>IF(B5&lt;&gt;"",簽到記錄!$A$1&amp;"月","")</f>
        <v>1月</v>
      </c>
      <c r="B5" s="120">
        <f>IF(員工基本資料!A4="","",員工基本資料!A4)</f>
        <v>3</v>
      </c>
      <c r="C5" s="120" t="str">
        <f>IF(B5="","",_xlfn.CONCAT(VLOOKUP(B5,員工基本資料!A3:C25,2,FALSE),VLOOKUP(B5,員工基本資料!A3:C25,3,FALSE)))</f>
        <v>汪喜洋</v>
      </c>
      <c r="D5" s="120">
        <f ca="1">IF(B5="","",VLOOKUP(B5,薪資表!A$1:I$23,5,FALSE))</f>
        <v>37000</v>
      </c>
      <c r="E5" s="120">
        <f>IF(B5="","",VLOOKUP(B5,薪資表!A$1:I$23,6,FALSE))</f>
        <v>0</v>
      </c>
      <c r="F5" s="120">
        <f>IF(B5="","",VLOOKUP(B5,薪資表!A$1:I$23,7,FALSE))</f>
        <v>1120</v>
      </c>
      <c r="G5" s="120">
        <f>IF(B5="","",VLOOKUP(B5,薪資表!A$1:J$23,8,FALSE))</f>
        <v>350</v>
      </c>
      <c r="H5" s="120">
        <f>IF(B5="","",VLOOKUP(B5,薪資表!A$1:J$23,9,FALSE))</f>
        <v>0</v>
      </c>
      <c r="I5" s="120">
        <f ca="1">IF(B5="","",VLOOKUP(B5,勞健保分攤!A$2:F$24,3,FALSE))</f>
        <v>763</v>
      </c>
      <c r="J5" s="120">
        <f ca="1">IF(B5="","",VLOOKUP(B5,勞健保分攤!A$2:F$24,4,FALSE))</f>
        <v>2668</v>
      </c>
      <c r="K5" s="120">
        <f ca="1">IF(B5="","",VLOOKUP(B5,勞健保分攤!A$2:F$24,5,FALSE))</f>
        <v>511</v>
      </c>
      <c r="L5" s="120">
        <f ca="1">IF(B5="","",VLOOKUP(B5,勞健保分攤!A$2:F$24,6,FALSE))</f>
        <v>1645</v>
      </c>
      <c r="M5" s="120">
        <f t="shared" ca="1" si="0"/>
        <v>1906</v>
      </c>
      <c r="N5" s="121">
        <f t="shared" ca="1" si="1"/>
        <v>30277</v>
      </c>
      <c r="R5" s="112">
        <v>540001</v>
      </c>
      <c r="S5" s="113" t="s">
        <v>158</v>
      </c>
      <c r="T5" s="112">
        <v>1210000</v>
      </c>
      <c r="U5" s="113" t="s">
        <v>159</v>
      </c>
      <c r="V5" s="114">
        <v>0.12</v>
      </c>
      <c r="W5" s="113" t="s">
        <v>160</v>
      </c>
      <c r="X5" s="112">
        <v>37800</v>
      </c>
      <c r="Y5" s="113" t="s">
        <v>161</v>
      </c>
      <c r="Z5" s="115"/>
    </row>
    <row r="6" spans="1:26" x14ac:dyDescent="0.25">
      <c r="A6" s="120" t="str">
        <f>IF(B6&lt;&gt;"",簽到記錄!$A$1&amp;"月","")</f>
        <v>1月</v>
      </c>
      <c r="B6" s="120">
        <f>IF(員工基本資料!A5="","",員工基本資料!A5)</f>
        <v>4</v>
      </c>
      <c r="C6" s="120" t="str">
        <f>IF(B6="","",_xlfn.CONCAT(VLOOKUP(B6,員工基本資料!A4:C26,2,FALSE),VLOOKUP(B6,員工基本資料!A4:C26,3,FALSE)))</f>
        <v>劉全生</v>
      </c>
      <c r="D6" s="120">
        <f ca="1">IF(B6="","",VLOOKUP(B6,薪資表!A$1:I$23,5,FALSE))</f>
        <v>44500</v>
      </c>
      <c r="E6" s="120">
        <f>IF(B6="","",VLOOKUP(B6,薪資表!A$1:I$23,6,FALSE))</f>
        <v>0</v>
      </c>
      <c r="F6" s="120">
        <f>IF(B6="","",VLOOKUP(B6,薪資表!A$1:I$23,7,FALSE))</f>
        <v>320</v>
      </c>
      <c r="G6" s="120">
        <f>IF(B6="","",VLOOKUP(B6,薪資表!A$1:J$23,8,FALSE))</f>
        <v>700</v>
      </c>
      <c r="H6" s="120">
        <f>IF(B6="","",VLOOKUP(B6,薪資表!A$1:J$23,9,FALSE))</f>
        <v>0</v>
      </c>
      <c r="I6" s="120">
        <f ca="1">IF(B6="","",VLOOKUP(B6,勞健保分攤!A$2:F$24,3,FALSE))</f>
        <v>922</v>
      </c>
      <c r="J6" s="120">
        <f ca="1">IF(B6="","",VLOOKUP(B6,勞健保分攤!A$2:F$24,4,FALSE))</f>
        <v>3226</v>
      </c>
      <c r="K6" s="120">
        <f ca="1">IF(B6="","",VLOOKUP(B6,勞健保分攤!A$2:F$24,5,FALSE))</f>
        <v>618</v>
      </c>
      <c r="L6" s="120">
        <f ca="1">IF(B6="","",VLOOKUP(B6,勞健保分攤!A$2:F$24,6,FALSE))</f>
        <v>1989</v>
      </c>
      <c r="M6" s="120">
        <f t="shared" ca="1" si="0"/>
        <v>2241</v>
      </c>
      <c r="N6" s="121">
        <f t="shared" ca="1" si="1"/>
        <v>35124</v>
      </c>
      <c r="R6" s="110">
        <v>1210001</v>
      </c>
      <c r="S6" s="109" t="s">
        <v>158</v>
      </c>
      <c r="T6" s="110">
        <v>2420000</v>
      </c>
      <c r="U6" s="109" t="s">
        <v>159</v>
      </c>
      <c r="V6" s="111">
        <v>0.2</v>
      </c>
      <c r="W6" s="109" t="s">
        <v>160</v>
      </c>
      <c r="X6" s="110">
        <v>134600</v>
      </c>
      <c r="Y6" s="109" t="s">
        <v>161</v>
      </c>
      <c r="Z6" s="108"/>
    </row>
    <row r="7" spans="1:26" x14ac:dyDescent="0.25">
      <c r="A7" s="120" t="str">
        <f>IF(B7&lt;&gt;"",簽到記錄!$A$1&amp;"月","")</f>
        <v>1月</v>
      </c>
      <c r="B7" s="120">
        <f>IF(員工基本資料!A6="","",員工基本資料!A6)</f>
        <v>5</v>
      </c>
      <c r="C7" s="120" t="str">
        <f>IF(B7="","",_xlfn.CONCAT(VLOOKUP(B7,員工基本資料!A5:C27,2,FALSE),VLOOKUP(B7,員工基本資料!A5:C27,3,FALSE)))</f>
        <v>陳錦相</v>
      </c>
      <c r="D7" s="120">
        <f ca="1">IF(B7="","",VLOOKUP(B7,薪資表!A$1:I$23,5,FALSE))</f>
        <v>34000</v>
      </c>
      <c r="E7" s="120">
        <f>IF(B7="","",VLOOKUP(B7,薪資表!A$1:I$23,6,FALSE))</f>
        <v>0</v>
      </c>
      <c r="F7" s="120">
        <f>IF(B7="","",VLOOKUP(B7,薪資表!A$1:I$23,7,FALSE))</f>
        <v>1760</v>
      </c>
      <c r="G7" s="120">
        <f>IF(B7="","",VLOOKUP(B7,薪資表!A$1:J$23,8,FALSE))</f>
        <v>600</v>
      </c>
      <c r="H7" s="120">
        <f>IF(B7="","",VLOOKUP(B7,薪資表!A$1:J$23,9,FALSE))</f>
        <v>0</v>
      </c>
      <c r="I7" s="120">
        <f ca="1">IF(B7="","",VLOOKUP(B7,勞健保分攤!A$2:F$24,3,FALSE))</f>
        <v>731</v>
      </c>
      <c r="J7" s="120">
        <f ca="1">IF(B7="","",VLOOKUP(B7,勞健保分攤!A$2:F$24,4,FALSE))</f>
        <v>2558</v>
      </c>
      <c r="K7" s="120">
        <f ca="1">IF(B7="","",VLOOKUP(B7,勞健保分攤!A$2:F$24,5,FALSE))</f>
        <v>490</v>
      </c>
      <c r="L7" s="120">
        <f ca="1">IF(B7="","",VLOOKUP(B7,勞健保分攤!A$2:F$24,6,FALSE))</f>
        <v>1577</v>
      </c>
      <c r="M7" s="120">
        <f t="shared" ca="1" si="0"/>
        <v>1788</v>
      </c>
      <c r="N7" s="121">
        <f t="shared" ca="1" si="1"/>
        <v>28016</v>
      </c>
      <c r="R7" s="112">
        <v>2420001</v>
      </c>
      <c r="S7" s="113" t="s">
        <v>158</v>
      </c>
      <c r="T7" s="112">
        <v>4530000</v>
      </c>
      <c r="U7" s="113" t="s">
        <v>159</v>
      </c>
      <c r="V7" s="114">
        <v>0.3</v>
      </c>
      <c r="W7" s="113" t="s">
        <v>160</v>
      </c>
      <c r="X7" s="112">
        <v>376600</v>
      </c>
      <c r="Y7" s="113" t="s">
        <v>161</v>
      </c>
      <c r="Z7" s="115"/>
    </row>
    <row r="8" spans="1:26" x14ac:dyDescent="0.25">
      <c r="A8" s="120" t="str">
        <f>IF(B8&lt;&gt;"",簽到記錄!$A$1&amp;"月","")</f>
        <v>1月</v>
      </c>
      <c r="B8" s="120">
        <f>IF(員工基本資料!A7="","",員工基本資料!A7)</f>
        <v>6</v>
      </c>
      <c r="C8" s="120" t="str">
        <f>IF(B8="","",_xlfn.CONCAT(VLOOKUP(B8,員工基本資料!A6:C28,2,FALSE),VLOOKUP(B8,員工基本資料!A6:C28,3,FALSE)))</f>
        <v>陳世傑</v>
      </c>
      <c r="D8" s="120">
        <f ca="1">IF(B8="","",VLOOKUP(B8,薪資表!A$1:I$23,5,FALSE))</f>
        <v>35500</v>
      </c>
      <c r="E8" s="120">
        <f>IF(B8="","",VLOOKUP(B8,薪資表!A$1:I$23,6,FALSE))</f>
        <v>0</v>
      </c>
      <c r="F8" s="120">
        <f>IF(B8="","",VLOOKUP(B8,薪資表!A$1:I$23,7,FALSE))</f>
        <v>800</v>
      </c>
      <c r="G8" s="120">
        <f>IF(B8="","",VLOOKUP(B8,薪資表!A$1:J$23,8,FALSE))</f>
        <v>600</v>
      </c>
      <c r="H8" s="120">
        <f>IF(B8="","",VLOOKUP(B8,薪資表!A$1:J$23,9,FALSE))</f>
        <v>0</v>
      </c>
      <c r="I8" s="120">
        <f ca="1">IF(B8="","",VLOOKUP(B8,勞健保分攤!A$2:F$24,3,FALSE))</f>
        <v>731</v>
      </c>
      <c r="J8" s="120">
        <f ca="1">IF(B8="","",VLOOKUP(B8,勞健保分攤!A$2:F$24,4,FALSE))</f>
        <v>2558</v>
      </c>
      <c r="K8" s="120">
        <f ca="1">IF(B8="","",VLOOKUP(B8,勞健保分攤!A$2:F$24,5,FALSE))</f>
        <v>490</v>
      </c>
      <c r="L8" s="120">
        <f ca="1">IF(B8="","",VLOOKUP(B8,勞健保分攤!A$2:F$24,6,FALSE))</f>
        <v>1577</v>
      </c>
      <c r="M8" s="120">
        <f t="shared" ca="1" si="0"/>
        <v>1815</v>
      </c>
      <c r="N8" s="121">
        <f t="shared" ca="1" si="1"/>
        <v>28529</v>
      </c>
      <c r="R8" s="110">
        <v>4530001</v>
      </c>
      <c r="S8" s="109" t="s">
        <v>158</v>
      </c>
      <c r="T8" s="110">
        <v>10310000</v>
      </c>
      <c r="U8" s="109" t="s">
        <v>159</v>
      </c>
      <c r="V8" s="111">
        <v>0.4</v>
      </c>
      <c r="W8" s="109" t="s">
        <v>160</v>
      </c>
      <c r="X8" s="110">
        <v>829600</v>
      </c>
      <c r="Y8" s="109" t="s">
        <v>161</v>
      </c>
      <c r="Z8" s="109"/>
    </row>
    <row r="9" spans="1:26" x14ac:dyDescent="0.25">
      <c r="A9" s="120" t="str">
        <f>IF(B9&lt;&gt;"",簽到記錄!$A$1&amp;"月","")</f>
        <v>1月</v>
      </c>
      <c r="B9" s="120">
        <f>IF(員工基本資料!A8="","",員工基本資料!A8)</f>
        <v>7</v>
      </c>
      <c r="C9" s="120" t="str">
        <f>IF(B9="","",_xlfn.CONCAT(VLOOKUP(B9,員工基本資料!A7:C29,2,FALSE),VLOOKUP(B9,員工基本資料!A7:C29,3,FALSE)))</f>
        <v>林美姿</v>
      </c>
      <c r="D9" s="120">
        <f ca="1">IF(B9="","",VLOOKUP(B9,薪資表!A$1:I$23,5,FALSE))</f>
        <v>32500</v>
      </c>
      <c r="E9" s="120">
        <f>IF(B9="","",VLOOKUP(B9,薪資表!A$1:I$23,6,FALSE))</f>
        <v>0</v>
      </c>
      <c r="F9" s="120">
        <f>IF(B9="","",VLOOKUP(B9,薪資表!A$1:I$23,7,FALSE))</f>
        <v>880</v>
      </c>
      <c r="G9" s="120">
        <f>IF(B9="","",VLOOKUP(B9,薪資表!A$1:J$23,8,FALSE))</f>
        <v>800</v>
      </c>
      <c r="H9" s="120">
        <f>IF(B9="","",VLOOKUP(B9,薪資表!A$1:J$23,9,FALSE))</f>
        <v>0</v>
      </c>
      <c r="I9" s="120">
        <f ca="1">IF(B9="","",VLOOKUP(B9,勞健保分攤!A$2:F$24,3,FALSE))</f>
        <v>668</v>
      </c>
      <c r="J9" s="120">
        <f ca="1">IF(B9="","",VLOOKUP(B9,勞健保分攤!A$2:F$24,4,FALSE))</f>
        <v>2338</v>
      </c>
      <c r="K9" s="120">
        <f ca="1">IF(B9="","",VLOOKUP(B9,勞健保分攤!A$2:F$24,5,FALSE))</f>
        <v>447</v>
      </c>
      <c r="L9" s="120">
        <f ca="1">IF(B9="","",VLOOKUP(B9,勞健保分攤!A$2:F$24,6,FALSE))</f>
        <v>1441</v>
      </c>
      <c r="M9" s="120">
        <f t="shared" ca="1" si="0"/>
        <v>1669</v>
      </c>
      <c r="N9" s="121">
        <f t="shared" ca="1" si="1"/>
        <v>26017</v>
      </c>
      <c r="R9" s="112">
        <v>10310001</v>
      </c>
      <c r="S9" s="113"/>
      <c r="T9" s="115" t="s">
        <v>162</v>
      </c>
      <c r="U9" s="113" t="s">
        <v>159</v>
      </c>
      <c r="V9" s="114">
        <v>0.45</v>
      </c>
      <c r="W9" s="113" t="s">
        <v>160</v>
      </c>
      <c r="X9" s="112">
        <v>1345100</v>
      </c>
      <c r="Y9" s="113" t="s">
        <v>161</v>
      </c>
      <c r="Z9" s="113"/>
    </row>
    <row r="10" spans="1:26" x14ac:dyDescent="0.25">
      <c r="A10" s="120" t="str">
        <f>IF(B10&lt;&gt;"",簽到記錄!$A$1&amp;"月","")</f>
        <v>1月</v>
      </c>
      <c r="B10" s="120">
        <f>IF(員工基本資料!A9="","",員工基本資料!A9)</f>
        <v>8</v>
      </c>
      <c r="C10" s="120" t="str">
        <f>IF(B10="","",_xlfn.CONCAT(VLOOKUP(B10,員工基本資料!A8:C30,2,FALSE),VLOOKUP(B10,員工基本資料!A8:C30,3,FALSE)))</f>
        <v>沈朗錦</v>
      </c>
      <c r="D10" s="120">
        <f ca="1">IF(B10="","",VLOOKUP(B10,薪資表!A$1:I$23,5,FALSE))</f>
        <v>29500</v>
      </c>
      <c r="E10" s="120">
        <f>IF(B10="","",VLOOKUP(B10,薪資表!A$1:I$23,6,FALSE))</f>
        <v>0</v>
      </c>
      <c r="F10" s="120">
        <f>IF(B10="","",VLOOKUP(B10,薪資表!A$1:I$23,7,FALSE))</f>
        <v>240</v>
      </c>
      <c r="G10" s="120">
        <f>IF(B10="","",VLOOKUP(B10,薪資表!A$1:J$23,8,FALSE))</f>
        <v>150</v>
      </c>
      <c r="H10" s="120">
        <f>IF(B10="","",VLOOKUP(B10,薪資表!A$1:J$23,9,FALSE))</f>
        <v>0</v>
      </c>
      <c r="I10" s="120">
        <f ca="1">IF(B10="","",VLOOKUP(B10,勞健保分攤!A$2:F$24,3,FALSE))</f>
        <v>605</v>
      </c>
      <c r="J10" s="120">
        <f ca="1">IF(B10="","",VLOOKUP(B10,勞健保分攤!A$2:F$24,4,FALSE))</f>
        <v>2117</v>
      </c>
      <c r="K10" s="120">
        <f ca="1">IF(B10="","",VLOOKUP(B10,勞健保分攤!A$2:F$24,5,FALSE))</f>
        <v>405</v>
      </c>
      <c r="L10" s="120">
        <f ca="1">IF(B10="","",VLOOKUP(B10,勞健保分攤!A$2:F$24,6,FALSE))</f>
        <v>1305</v>
      </c>
      <c r="M10" s="120">
        <f t="shared" ca="1" si="0"/>
        <v>1487</v>
      </c>
      <c r="N10" s="121">
        <f t="shared" ca="1" si="1"/>
        <v>23671</v>
      </c>
    </row>
    <row r="11" spans="1:26" x14ac:dyDescent="0.25">
      <c r="A11" s="120" t="str">
        <f>IF(B11&lt;&gt;"",簽到記錄!$A$1&amp;"月","")</f>
        <v>1月</v>
      </c>
      <c r="B11" s="120">
        <f>IF(員工基本資料!A10="","",員工基本資料!A10)</f>
        <v>9</v>
      </c>
      <c r="C11" s="120" t="str">
        <f>IF(B11="","",_xlfn.CONCAT(VLOOKUP(B11,員工基本資料!A9:C31,2,FALSE),VLOOKUP(B11,員工基本資料!A9:C31,3,FALSE)))</f>
        <v>張一心</v>
      </c>
      <c r="D11" s="120">
        <f ca="1">IF(B11="","",VLOOKUP(B11,薪資表!A$1:I$23,5,FALSE))</f>
        <v>35500</v>
      </c>
      <c r="E11" s="120">
        <f>IF(B11="","",VLOOKUP(B11,薪資表!A$1:I$23,6,FALSE))</f>
        <v>0</v>
      </c>
      <c r="F11" s="120">
        <f>IF(B11="","",VLOOKUP(B11,薪資表!A$1:I$23,7,FALSE))</f>
        <v>1440</v>
      </c>
      <c r="G11" s="120">
        <f>IF(B11="","",VLOOKUP(B11,薪資表!A$1:J$23,8,FALSE))</f>
        <v>500</v>
      </c>
      <c r="H11" s="120">
        <f>IF(B11="","",VLOOKUP(B11,薪資表!A$1:J$23,9,FALSE))</f>
        <v>0</v>
      </c>
      <c r="I11" s="120">
        <f ca="1">IF(B11="","",VLOOKUP(B11,勞健保分攤!A$2:F$24,3,FALSE))</f>
        <v>763</v>
      </c>
      <c r="J11" s="120">
        <f ca="1">IF(B11="","",VLOOKUP(B11,勞健保分攤!A$2:F$24,4,FALSE))</f>
        <v>2668</v>
      </c>
      <c r="K11" s="120">
        <f ca="1">IF(B11="","",VLOOKUP(B11,勞健保分攤!A$2:F$24,5,FALSE))</f>
        <v>511</v>
      </c>
      <c r="L11" s="120">
        <f ca="1">IF(B11="","",VLOOKUP(B11,勞健保分攤!A$2:F$24,6,FALSE))</f>
        <v>1645</v>
      </c>
      <c r="M11" s="120">
        <f t="shared" ca="1" si="0"/>
        <v>1847</v>
      </c>
      <c r="N11" s="121">
        <f t="shared" ca="1" si="1"/>
        <v>29006</v>
      </c>
    </row>
    <row r="12" spans="1:26" x14ac:dyDescent="0.25">
      <c r="A12" s="120" t="str">
        <f>IF(B12&lt;&gt;"",簽到記錄!$A$1&amp;"月","")</f>
        <v>1月</v>
      </c>
      <c r="B12" s="120">
        <f>IF(員工基本資料!A11="","",員工基本資料!A11)</f>
        <v>10</v>
      </c>
      <c r="C12" s="120" t="str">
        <f>IF(B12="","",_xlfn.CONCAT(VLOOKUP(B12,員工基本資料!A10:C32,2,FALSE),VLOOKUP(B12,員工基本資料!A10:C32,3,FALSE)))</f>
        <v>黃于齡</v>
      </c>
      <c r="D12" s="120">
        <f ca="1">IF(B12="","",VLOOKUP(B12,薪資表!A$1:I$23,5,FALSE))</f>
        <v>34000</v>
      </c>
      <c r="E12" s="120">
        <f>IF(B12="","",VLOOKUP(B12,薪資表!A$1:I$23,6,FALSE))</f>
        <v>0</v>
      </c>
      <c r="F12" s="120">
        <f>IF(B12="","",VLOOKUP(B12,薪資表!A$1:I$23,7,FALSE))</f>
        <v>800</v>
      </c>
      <c r="G12" s="120">
        <f>IF(B12="","",VLOOKUP(B12,薪資表!A$1:J$23,8,FALSE))</f>
        <v>850</v>
      </c>
      <c r="H12" s="120">
        <f>IF(B12="","",VLOOKUP(B12,薪資表!A$1:J$23,9,FALSE))</f>
        <v>0</v>
      </c>
      <c r="I12" s="120">
        <f ca="1">IF(B12="","",VLOOKUP(B12,勞健保分攤!A$2:F$24,3,FALSE))</f>
        <v>700</v>
      </c>
      <c r="J12" s="120">
        <f ca="1">IF(B12="","",VLOOKUP(B12,勞健保分攤!A$2:F$24,4,FALSE))</f>
        <v>2447</v>
      </c>
      <c r="K12" s="120">
        <f ca="1">IF(B12="","",VLOOKUP(B12,勞健保分攤!A$2:F$24,5,FALSE))</f>
        <v>469</v>
      </c>
      <c r="L12" s="120">
        <f ca="1">IF(B12="","",VLOOKUP(B12,勞健保分攤!A$2:F$24,6,FALSE))</f>
        <v>1509</v>
      </c>
      <c r="M12" s="120">
        <f t="shared" ca="1" si="0"/>
        <v>1740</v>
      </c>
      <c r="N12" s="121">
        <f t="shared" ca="1" si="1"/>
        <v>27085</v>
      </c>
    </row>
    <row r="13" spans="1:26" x14ac:dyDescent="0.25">
      <c r="A13" s="120" t="str">
        <f>IF(B13&lt;&gt;"",簽到記錄!$A$1&amp;"月","")</f>
        <v>1月</v>
      </c>
      <c r="B13" s="120">
        <f>IF(員工基本資料!A12="","",員工基本資料!A12)</f>
        <v>11</v>
      </c>
      <c r="C13" s="120" t="str">
        <f>IF(B13="","",_xlfn.CONCAT(VLOOKUP(B13,員工基本資料!A11:C33,2,FALSE),VLOOKUP(B13,員工基本資料!A11:C33,3,FALSE)))</f>
        <v>余思嫻</v>
      </c>
      <c r="D13" s="120">
        <f ca="1">IF(B13="","",VLOOKUP(B13,薪資表!A$1:I$23,5,FALSE))</f>
        <v>38500</v>
      </c>
      <c r="E13" s="120">
        <f>IF(B13="","",VLOOKUP(B13,薪資表!A$1:I$23,6,FALSE))</f>
        <v>0</v>
      </c>
      <c r="F13" s="120">
        <f>IF(B13="","",VLOOKUP(B13,薪資表!A$1:I$23,7,FALSE))</f>
        <v>880</v>
      </c>
      <c r="G13" s="120">
        <f>IF(B13="","",VLOOKUP(B13,薪資表!A$1:J$23,8,FALSE))</f>
        <v>750</v>
      </c>
      <c r="H13" s="120">
        <f>IF(B13="","",VLOOKUP(B13,薪資表!A$1:J$23,9,FALSE))</f>
        <v>0</v>
      </c>
      <c r="I13" s="120">
        <f ca="1">IF(B13="","",VLOOKUP(B13,勞健保分攤!A$2:F$24,3,FALSE))</f>
        <v>802</v>
      </c>
      <c r="J13" s="120">
        <f ca="1">IF(B13="","",VLOOKUP(B13,勞健保分攤!A$2:F$24,4,FALSE))</f>
        <v>2807</v>
      </c>
      <c r="K13" s="120">
        <f ca="1">IF(B13="","",VLOOKUP(B13,勞健保分攤!A$2:F$24,5,FALSE))</f>
        <v>537</v>
      </c>
      <c r="L13" s="120">
        <f ca="1">IF(B13="","",VLOOKUP(B13,勞健保分攤!A$2:F$24,6,FALSE))</f>
        <v>1731</v>
      </c>
      <c r="M13" s="120">
        <f t="shared" ca="1" si="0"/>
        <v>1969</v>
      </c>
      <c r="N13" s="121">
        <f t="shared" ca="1" si="1"/>
        <v>30784</v>
      </c>
    </row>
    <row r="14" spans="1:26" x14ac:dyDescent="0.25">
      <c r="A14" s="120" t="str">
        <f>IF(B14&lt;&gt;"",簽到記錄!$A$1&amp;"月","")</f>
        <v>1月</v>
      </c>
      <c r="B14" s="120">
        <f>IF(員工基本資料!A13="","",員工基本資料!A13)</f>
        <v>12</v>
      </c>
      <c r="C14" s="120" t="str">
        <f>IF(B14="","",_xlfn.CONCAT(VLOOKUP(B14,員工基本資料!A12:C34,2,FALSE),VLOOKUP(B14,員工基本資料!A12:C34,3,FALSE)))</f>
        <v>鄭及梁</v>
      </c>
      <c r="D14" s="120">
        <f ca="1">IF(B14="","",VLOOKUP(B14,薪資表!A$1:I$23,5,FALSE))</f>
        <v>38500</v>
      </c>
      <c r="E14" s="120">
        <f>IF(B14="","",VLOOKUP(B14,薪資表!A$1:I$23,6,FALSE))</f>
        <v>0</v>
      </c>
      <c r="F14" s="120">
        <f>IF(B14="","",VLOOKUP(B14,薪資表!A$1:I$23,7,FALSE))</f>
        <v>320</v>
      </c>
      <c r="G14" s="120">
        <f>IF(B14="","",VLOOKUP(B14,薪資表!A$1:J$23,8,FALSE))</f>
        <v>850</v>
      </c>
      <c r="H14" s="120">
        <f>IF(B14="","",VLOOKUP(B14,薪資表!A$1:J$23,9,FALSE))</f>
        <v>0</v>
      </c>
      <c r="I14" s="120">
        <f ca="1">IF(B14="","",VLOOKUP(B14,勞健保分攤!A$2:F$24,3,FALSE))</f>
        <v>763</v>
      </c>
      <c r="J14" s="120">
        <f ca="1">IF(B14="","",VLOOKUP(B14,勞健保分攤!A$2:F$24,4,FALSE))</f>
        <v>2668</v>
      </c>
      <c r="K14" s="120">
        <f ca="1">IF(B14="","",VLOOKUP(B14,勞健保分攤!A$2:F$24,5,FALSE))</f>
        <v>511</v>
      </c>
      <c r="L14" s="120">
        <f ca="1">IF(B14="","",VLOOKUP(B14,勞健保分攤!A$2:F$24,6,FALSE))</f>
        <v>1645</v>
      </c>
      <c r="M14" s="120">
        <f t="shared" ca="1" si="0"/>
        <v>1941</v>
      </c>
      <c r="N14" s="121">
        <f t="shared" ca="1" si="1"/>
        <v>30442</v>
      </c>
    </row>
    <row r="15" spans="1:26" x14ac:dyDescent="0.25">
      <c r="A15" s="120" t="str">
        <f>IF(B15&lt;&gt;"",簽到記錄!$A$1&amp;"月","")</f>
        <v>1月</v>
      </c>
      <c r="B15" s="120">
        <f>IF(員工基本資料!A14="","",員工基本資料!A14)</f>
        <v>13</v>
      </c>
      <c r="C15" s="120" t="str">
        <f>IF(B15="","",_xlfn.CONCAT(VLOOKUP(B15,員工基本資料!A13:C35,2,FALSE),VLOOKUP(B15,員工基本資料!A13:C35,3,FALSE)))</f>
        <v>許敬中</v>
      </c>
      <c r="D15" s="120">
        <f ca="1">IF(B15="","",VLOOKUP(B15,薪資表!A$1:I$23,5,FALSE))</f>
        <v>29500</v>
      </c>
      <c r="E15" s="120">
        <f>IF(B15="","",VLOOKUP(B15,薪資表!A$1:I$23,6,FALSE))</f>
        <v>0</v>
      </c>
      <c r="F15" s="120">
        <f>IF(B15="","",VLOOKUP(B15,薪資表!A$1:I$23,7,FALSE))</f>
        <v>0</v>
      </c>
      <c r="G15" s="120">
        <f>IF(B15="","",VLOOKUP(B15,薪資表!A$1:J$23,8,FALSE))</f>
        <v>150</v>
      </c>
      <c r="H15" s="120">
        <f>IF(B15="","",VLOOKUP(B15,薪資表!A$1:J$23,9,FALSE))</f>
        <v>0</v>
      </c>
      <c r="I15" s="120">
        <f ca="1">IF(B15="","",VLOOKUP(B15,勞健保分攤!A$2:F$24,3,FALSE))</f>
        <v>605</v>
      </c>
      <c r="J15" s="120">
        <f ca="1">IF(B15="","",VLOOKUP(B15,勞健保分攤!A$2:F$24,4,FALSE))</f>
        <v>2117</v>
      </c>
      <c r="K15" s="120">
        <f ca="1">IF(B15="","",VLOOKUP(B15,勞健保分攤!A$2:F$24,5,FALSE))</f>
        <v>405</v>
      </c>
      <c r="L15" s="120">
        <f ca="1">IF(B15="","",VLOOKUP(B15,勞健保分攤!A$2:F$24,6,FALSE))</f>
        <v>1305</v>
      </c>
      <c r="M15" s="120">
        <f t="shared" ca="1" si="0"/>
        <v>1475</v>
      </c>
      <c r="N15" s="121">
        <f t="shared" ca="1" si="1"/>
        <v>23443</v>
      </c>
    </row>
    <row r="16" spans="1:26" x14ac:dyDescent="0.25">
      <c r="A16" s="120" t="str">
        <f>IF(B16&lt;&gt;"",簽到記錄!$A$1&amp;"月","")</f>
        <v>1月</v>
      </c>
      <c r="B16" s="120">
        <f>IF(員工基本資料!A15="","",員工基本資料!A15)</f>
        <v>14</v>
      </c>
      <c r="C16" s="120" t="str">
        <f>IF(B16="","",_xlfn.CONCAT(VLOOKUP(B16,員工基本資料!A14:C36,2,FALSE),VLOOKUP(B16,員工基本資料!A14:C36,3,FALSE)))</f>
        <v>李淑芬</v>
      </c>
      <c r="D16" s="120">
        <f ca="1">IF(B16="","",VLOOKUP(B16,薪資表!A$1:I$23,5,FALSE))</f>
        <v>44500</v>
      </c>
      <c r="E16" s="120">
        <f>IF(B16="","",VLOOKUP(B16,薪資表!A$1:I$23,6,FALSE))</f>
        <v>0</v>
      </c>
      <c r="F16" s="120">
        <f>IF(B16="","",VLOOKUP(B16,薪資表!A$1:I$23,7,FALSE))</f>
        <v>1040</v>
      </c>
      <c r="G16" s="120">
        <f>IF(B16="","",VLOOKUP(B16,薪資表!A$1:J$23,8,FALSE))</f>
        <v>750</v>
      </c>
      <c r="H16" s="120">
        <f>IF(B16="","",VLOOKUP(B16,薪資表!A$1:J$23,9,FALSE))</f>
        <v>0</v>
      </c>
      <c r="I16" s="120">
        <f ca="1">IF(B16="","",VLOOKUP(B16,勞健保分攤!A$2:F$24,3,FALSE))</f>
        <v>922</v>
      </c>
      <c r="J16" s="120">
        <f ca="1">IF(B16="","",VLOOKUP(B16,勞健保分攤!A$2:F$24,4,FALSE))</f>
        <v>3226</v>
      </c>
      <c r="K16" s="120">
        <f ca="1">IF(B16="","",VLOOKUP(B16,勞健保分攤!A$2:F$24,5,FALSE))</f>
        <v>618</v>
      </c>
      <c r="L16" s="120">
        <f ca="1">IF(B16="","",VLOOKUP(B16,勞健保分攤!A$2:F$24,6,FALSE))</f>
        <v>1989</v>
      </c>
      <c r="M16" s="120">
        <f t="shared" ca="1" si="0"/>
        <v>2277</v>
      </c>
      <c r="N16" s="121">
        <f t="shared" ca="1" si="1"/>
        <v>35758</v>
      </c>
    </row>
    <row r="17" spans="1:14" x14ac:dyDescent="0.25">
      <c r="A17" s="120" t="str">
        <f>IF(B17&lt;&gt;"",簽到記錄!$A$1&amp;"月","")</f>
        <v>1月</v>
      </c>
      <c r="B17" s="120">
        <f>IF(員工基本資料!A16="","",員工基本資料!A16)</f>
        <v>15</v>
      </c>
      <c r="C17" s="120" t="str">
        <f>IF(B17="","",_xlfn.CONCAT(VLOOKUP(B17,員工基本資料!A15:C37,2,FALSE),VLOOKUP(B17,員工基本資料!A15:C37,3,FALSE)))</f>
        <v>林繼燁</v>
      </c>
      <c r="D17" s="120">
        <f ca="1">IF(B17="","",VLOOKUP(B17,薪資表!A$1:I$23,5,FALSE))</f>
        <v>37000</v>
      </c>
      <c r="E17" s="120">
        <f>IF(B17="","",VLOOKUP(B17,薪資表!A$1:I$23,6,FALSE))</f>
        <v>0</v>
      </c>
      <c r="F17" s="120">
        <f>IF(B17="","",VLOOKUP(B17,薪資表!A$1:I$23,7,FALSE))</f>
        <v>800</v>
      </c>
      <c r="G17" s="120">
        <f>IF(B17="","",VLOOKUP(B17,薪資表!A$1:J$23,8,FALSE))</f>
        <v>600</v>
      </c>
      <c r="H17" s="120">
        <f>IF(B17="","",VLOOKUP(B17,薪資表!A$1:J$23,9,FALSE))</f>
        <v>0</v>
      </c>
      <c r="I17" s="120">
        <f ca="1">IF(B17="","",VLOOKUP(B17,勞健保分攤!A$2:F$24,3,FALSE))</f>
        <v>763</v>
      </c>
      <c r="J17" s="120">
        <f ca="1">IF(B17="","",VLOOKUP(B17,勞健保分攤!A$2:F$24,4,FALSE))</f>
        <v>2668</v>
      </c>
      <c r="K17" s="120">
        <f ca="1">IF(B17="","",VLOOKUP(B17,勞健保分攤!A$2:F$24,5,FALSE))</f>
        <v>511</v>
      </c>
      <c r="L17" s="120">
        <f ca="1">IF(B17="","",VLOOKUP(B17,勞健保分攤!A$2:F$24,6,FALSE))</f>
        <v>1645</v>
      </c>
      <c r="M17" s="120">
        <f t="shared" ca="1" si="0"/>
        <v>1890</v>
      </c>
      <c r="N17" s="121">
        <f t="shared" ca="1" si="1"/>
        <v>29723</v>
      </c>
    </row>
    <row r="18" spans="1:14" x14ac:dyDescent="0.25">
      <c r="A18" s="120" t="str">
        <f>IF(B18&lt;&gt;"",簽到記錄!$A$1&amp;"月","")</f>
        <v>1月</v>
      </c>
      <c r="B18" s="120">
        <f>IF(員工基本資料!A17="","",員工基本資料!A17)</f>
        <v>16</v>
      </c>
      <c r="C18" s="120" t="str">
        <f>IF(B18="","",_xlfn.CONCAT(VLOOKUP(B18,員工基本資料!A16:C38,2,FALSE),VLOOKUP(B18,員工基本資料!A16:C38,3,FALSE)))</f>
        <v>王翠侞</v>
      </c>
      <c r="D18" s="120">
        <f ca="1">IF(B18="","",VLOOKUP(B18,薪資表!A$1:I$23,5,FALSE))</f>
        <v>32500</v>
      </c>
      <c r="E18" s="120">
        <f>IF(B18="","",VLOOKUP(B18,薪資表!A$1:I$23,6,FALSE))</f>
        <v>0</v>
      </c>
      <c r="F18" s="120">
        <f>IF(B18="","",VLOOKUP(B18,薪資表!A$1:I$23,7,FALSE))</f>
        <v>400</v>
      </c>
      <c r="G18" s="120">
        <f>IF(B18="","",VLOOKUP(B18,薪資表!A$1:J$23,8,FALSE))</f>
        <v>750</v>
      </c>
      <c r="H18" s="120">
        <f>IF(B18="","",VLOOKUP(B18,薪資表!A$1:J$23,9,FALSE))</f>
        <v>5000</v>
      </c>
      <c r="I18" s="120">
        <f ca="1">IF(B18="","",VLOOKUP(B18,勞健保分攤!A$2:F$24,3,FALSE))</f>
        <v>555</v>
      </c>
      <c r="J18" s="120">
        <f ca="1">IF(B18="","",VLOOKUP(B18,勞健保分攤!A$2:F$24,4,FALSE))</f>
        <v>1941</v>
      </c>
      <c r="K18" s="120">
        <f ca="1">IF(B18="","",VLOOKUP(B18,勞健保分攤!A$2:F$24,5,FALSE))</f>
        <v>371</v>
      </c>
      <c r="L18" s="120">
        <f ca="1">IF(B18="","",VLOOKUP(B18,勞健保分攤!A$2:F$24,6,FALSE))</f>
        <v>1196</v>
      </c>
      <c r="M18" s="120">
        <f t="shared" ca="1" si="0"/>
        <v>1645</v>
      </c>
      <c r="N18" s="121">
        <f t="shared" ca="1" si="1"/>
        <v>21442</v>
      </c>
    </row>
    <row r="19" spans="1:14" x14ac:dyDescent="0.25">
      <c r="A19" s="120" t="str">
        <f>IF(B19&lt;&gt;"",簽到記錄!$A$1&amp;"月","")</f>
        <v>1月</v>
      </c>
      <c r="B19" s="120">
        <f>IF(員工基本資料!A18="","",員工基本資料!A18)</f>
        <v>17</v>
      </c>
      <c r="C19" s="120" t="str">
        <f>IF(B19="","",_xlfn.CONCAT(VLOOKUP(B19,員工基本資料!A17:C39,2,FALSE),VLOOKUP(B19,員工基本資料!A17:C39,3,FALSE)))</f>
        <v>張芳榕</v>
      </c>
      <c r="D19" s="120">
        <f ca="1">IF(B19="","",VLOOKUP(B19,薪資表!A$1:I$23,5,FALSE))</f>
        <v>29500</v>
      </c>
      <c r="E19" s="120">
        <f>IF(B19="","",VLOOKUP(B19,薪資表!A$1:I$23,6,FALSE))</f>
        <v>0</v>
      </c>
      <c r="F19" s="120">
        <f>IF(B19="","",VLOOKUP(B19,薪資表!A$1:I$23,7,FALSE))</f>
        <v>1840</v>
      </c>
      <c r="G19" s="120">
        <f>IF(B19="","",VLOOKUP(B19,薪資表!A$1:J$23,8,FALSE))</f>
        <v>550</v>
      </c>
      <c r="H19" s="120">
        <f>IF(B19="","",VLOOKUP(B19,薪資表!A$1:J$23,9,FALSE))</f>
        <v>0</v>
      </c>
      <c r="I19" s="120">
        <f ca="1">IF(B19="","",VLOOKUP(B19,勞健保分攤!A$2:F$24,3,FALSE))</f>
        <v>637</v>
      </c>
      <c r="J19" s="120">
        <f ca="1">IF(B19="","",VLOOKUP(B19,勞健保分攤!A$2:F$24,4,FALSE))</f>
        <v>2227</v>
      </c>
      <c r="K19" s="120">
        <f ca="1">IF(B19="","",VLOOKUP(B19,勞健保分攤!A$2:F$24,5,FALSE))</f>
        <v>426</v>
      </c>
      <c r="L19" s="120">
        <f ca="1">IF(B19="","",VLOOKUP(B19,勞健保分攤!A$2:F$24,6,FALSE))</f>
        <v>1373</v>
      </c>
      <c r="M19" s="120">
        <f t="shared" ca="1" si="0"/>
        <v>1567</v>
      </c>
      <c r="N19" s="121">
        <f t="shared" ca="1" si="1"/>
        <v>24560</v>
      </c>
    </row>
    <row r="20" spans="1:14" x14ac:dyDescent="0.25">
      <c r="A20" s="120" t="str">
        <f>IF(B20&lt;&gt;"",簽到記錄!$A$1&amp;"月","")</f>
        <v>1月</v>
      </c>
      <c r="B20" s="120">
        <f>IF(員工基本資料!A19="","",員工基本資料!A19)</f>
        <v>18</v>
      </c>
      <c r="C20" s="120" t="str">
        <f>IF(B20="","",_xlfn.CONCAT(VLOOKUP(B20,員工基本資料!A18:C40,2,FALSE),VLOOKUP(B20,員工基本資料!A18:C40,3,FALSE)))</f>
        <v>謝梁志</v>
      </c>
      <c r="D20" s="120">
        <f ca="1">IF(B20="","",VLOOKUP(B20,薪資表!A$1:I$23,5,FALSE))</f>
        <v>35500</v>
      </c>
      <c r="E20" s="120">
        <f>IF(B20="","",VLOOKUP(B20,薪資表!A$1:I$23,6,FALSE))</f>
        <v>0</v>
      </c>
      <c r="F20" s="120">
        <f>IF(B20="","",VLOOKUP(B20,薪資表!A$1:I$23,7,FALSE))</f>
        <v>880</v>
      </c>
      <c r="G20" s="120">
        <f>IF(B20="","",VLOOKUP(B20,薪資表!A$1:J$23,8,FALSE))</f>
        <v>1000</v>
      </c>
      <c r="H20" s="120">
        <f>IF(B20="","",VLOOKUP(B20,薪資表!A$1:J$23,9,FALSE))</f>
        <v>0</v>
      </c>
      <c r="I20" s="120">
        <f ca="1">IF(B20="","",VLOOKUP(B20,勞健保分攤!A$2:F$24,3,FALSE))</f>
        <v>731</v>
      </c>
      <c r="J20" s="120">
        <f ca="1">IF(B20="","",VLOOKUP(B20,勞健保分攤!A$2:F$24,4,FALSE))</f>
        <v>2558</v>
      </c>
      <c r="K20" s="120">
        <f ca="1">IF(B20="","",VLOOKUP(B20,勞健保分攤!A$2:F$24,5,FALSE))</f>
        <v>490</v>
      </c>
      <c r="L20" s="120">
        <f ca="1">IF(B20="","",VLOOKUP(B20,勞健保分攤!A$2:F$24,6,FALSE))</f>
        <v>1577</v>
      </c>
      <c r="M20" s="120">
        <f t="shared" ca="1" si="0"/>
        <v>1819</v>
      </c>
      <c r="N20" s="121">
        <f t="shared" ca="1" si="1"/>
        <v>28205</v>
      </c>
    </row>
    <row r="21" spans="1:14" x14ac:dyDescent="0.25">
      <c r="A21" s="120" t="str">
        <f>IF(B21&lt;&gt;"",簽到記錄!$A$1&amp;"月","")</f>
        <v>1月</v>
      </c>
      <c r="B21" s="120">
        <f>IF(員工基本資料!A20="","",員工基本資料!A20)</f>
        <v>19</v>
      </c>
      <c r="C21" s="120" t="str">
        <f>IF(B21="","",_xlfn.CONCAT(VLOOKUP(B21,員工基本資料!A19:C41,2,FALSE),VLOOKUP(B21,員工基本資料!A19:C41,3,FALSE)))</f>
        <v>張洪旭</v>
      </c>
      <c r="D21" s="120">
        <f ca="1">IF(B21="","",VLOOKUP(B21,薪資表!A$1:I$23,5,FALSE))</f>
        <v>37000</v>
      </c>
      <c r="E21" s="120">
        <f>IF(B21="","",VLOOKUP(B21,薪資表!A$1:I$23,6,FALSE))</f>
        <v>0</v>
      </c>
      <c r="F21" s="120">
        <f>IF(B21="","",VLOOKUP(B21,薪資表!A$1:I$23,7,FALSE))</f>
        <v>0</v>
      </c>
      <c r="G21" s="120">
        <f>IF(B21="","",VLOOKUP(B21,薪資表!A$1:J$23,8,FALSE))</f>
        <v>500</v>
      </c>
      <c r="H21" s="120">
        <f>IF(B21="","",VLOOKUP(B21,薪資表!A$1:J$23,9,FALSE))</f>
        <v>0</v>
      </c>
      <c r="I21" s="120">
        <f ca="1">IF(B21="","",VLOOKUP(B21,勞健保分攤!A$2:F$24,3,FALSE))</f>
        <v>763</v>
      </c>
      <c r="J21" s="120">
        <f ca="1">IF(B21="","",VLOOKUP(B21,勞健保分攤!A$2:F$24,4,FALSE))</f>
        <v>2668</v>
      </c>
      <c r="K21" s="120">
        <f ca="1">IF(B21="","",VLOOKUP(B21,勞健保分攤!A$2:F$24,5,FALSE))</f>
        <v>511</v>
      </c>
      <c r="L21" s="120">
        <f ca="1">IF(B21="","",VLOOKUP(B21,勞健保分攤!A$2:F$24,6,FALSE))</f>
        <v>1645</v>
      </c>
      <c r="M21" s="120">
        <f t="shared" ca="1" si="0"/>
        <v>1850</v>
      </c>
      <c r="N21" s="121">
        <f t="shared" ca="1" si="1"/>
        <v>29063</v>
      </c>
    </row>
    <row r="22" spans="1:14" x14ac:dyDescent="0.25">
      <c r="A22" s="120" t="str">
        <f>IF(B22&lt;&gt;"",簽到記錄!$A$1&amp;"月","")</f>
        <v>1月</v>
      </c>
      <c r="B22" s="120">
        <f>IF(員工基本資料!A21="","",員工基本資料!A21)</f>
        <v>20</v>
      </c>
      <c r="C22" s="120" t="str">
        <f>IF(B22="","",_xlfn.CONCAT(VLOOKUP(B22,員工基本資料!A20:C42,2,FALSE),VLOOKUP(B22,員工基本資料!A20:C42,3,FALSE)))</f>
        <v>徐志祥</v>
      </c>
      <c r="D22" s="120">
        <f ca="1">IF(B22="","",VLOOKUP(B22,薪資表!A$1:I$23,5,FALSE))</f>
        <v>40000</v>
      </c>
      <c r="E22" s="120">
        <f>IF(B22="","",VLOOKUP(B22,薪資表!A$1:I$23,6,FALSE))</f>
        <v>0</v>
      </c>
      <c r="F22" s="120">
        <f>IF(B22="","",VLOOKUP(B22,薪資表!A$1:I$23,7,FALSE))</f>
        <v>960</v>
      </c>
      <c r="G22" s="120">
        <f>IF(B22="","",VLOOKUP(B22,薪資表!A$1:J$23,8,FALSE))</f>
        <v>550</v>
      </c>
      <c r="H22" s="120">
        <f>IF(B22="","",VLOOKUP(B22,薪資表!A$1:J$23,9,FALSE))</f>
        <v>0</v>
      </c>
      <c r="I22" s="120">
        <f ca="1">IF(B22="","",VLOOKUP(B22,勞健保分攤!A$2:F$24,3,FALSE))</f>
        <v>842</v>
      </c>
      <c r="J22" s="120">
        <f ca="1">IF(B22="","",VLOOKUP(B22,勞健保分攤!A$2:F$24,4,FALSE))</f>
        <v>2948</v>
      </c>
      <c r="K22" s="120">
        <f ca="1">IF(B22="","",VLOOKUP(B22,勞健保分攤!A$2:F$24,5,FALSE))</f>
        <v>564</v>
      </c>
      <c r="L22" s="120">
        <f ca="1">IF(B22="","",VLOOKUP(B22,勞健保分攤!A$2:F$24,6,FALSE))</f>
        <v>1817</v>
      </c>
      <c r="M22" s="120">
        <f t="shared" ca="1" si="0"/>
        <v>2048</v>
      </c>
      <c r="N22" s="121">
        <f t="shared" ca="1" si="1"/>
        <v>32191</v>
      </c>
    </row>
    <row r="23" spans="1:14" x14ac:dyDescent="0.25">
      <c r="A23" s="120" t="str">
        <f>IF(B23&lt;&gt;"",簽到記錄!$A$1&amp;"月","")</f>
        <v>1月</v>
      </c>
      <c r="B23" s="120">
        <f>IF(員工基本資料!A22="","",員工基本資料!A22)</f>
        <v>21</v>
      </c>
      <c r="C23" s="120" t="str">
        <f>IF(B23="","",_xlfn.CONCAT(VLOOKUP(B23,員工基本資料!A21:C43,2,FALSE),VLOOKUP(B23,員工基本資料!A21:C43,3,FALSE)))</f>
        <v>陳信佳</v>
      </c>
      <c r="D23" s="120">
        <f ca="1">IF(B23="","",VLOOKUP(B23,薪資表!A$1:I$23,5,FALSE))</f>
        <v>37000</v>
      </c>
      <c r="E23" s="120">
        <f>IF(B23="","",VLOOKUP(B23,薪資表!A$1:I$23,6,FALSE))</f>
        <v>0</v>
      </c>
      <c r="F23" s="120">
        <f>IF(B23="","",VLOOKUP(B23,薪資表!A$1:I$23,7,FALSE))</f>
        <v>1520</v>
      </c>
      <c r="G23" s="120">
        <f>IF(B23="","",VLOOKUP(B23,薪資表!A$1:J$23,8,FALSE))</f>
        <v>700</v>
      </c>
      <c r="H23" s="120">
        <f>IF(B23="","",VLOOKUP(B23,薪資表!A$1:J$23,9,FALSE))</f>
        <v>0</v>
      </c>
      <c r="I23" s="120">
        <f ca="1">IF(B23="","",VLOOKUP(B23,勞健保分攤!A$2:F$24,3,FALSE))</f>
        <v>763</v>
      </c>
      <c r="J23" s="120">
        <f ca="1">IF(B23="","",VLOOKUP(B23,勞健保分攤!A$2:F$24,4,FALSE))</f>
        <v>2668</v>
      </c>
      <c r="K23" s="120">
        <f ca="1">IF(B23="","",VLOOKUP(B23,勞健保分攤!A$2:F$24,5,FALSE))</f>
        <v>511</v>
      </c>
      <c r="L23" s="120">
        <f ca="1">IF(B23="","",VLOOKUP(B23,勞健保分攤!A$2:F$24,6,FALSE))</f>
        <v>1645</v>
      </c>
      <c r="M23" s="120">
        <f t="shared" ca="1" si="0"/>
        <v>1926</v>
      </c>
      <c r="N23" s="121">
        <f t="shared" ca="1" si="1"/>
        <v>30307</v>
      </c>
    </row>
    <row r="24" spans="1:14" x14ac:dyDescent="0.25">
      <c r="A24" s="120" t="str">
        <f>IF(B24&lt;&gt;"",簽到記錄!$A$1&amp;"月","")</f>
        <v>1月</v>
      </c>
      <c r="B24" s="120">
        <f>IF(員工基本資料!A23="","",員工基本資料!A23)</f>
        <v>22</v>
      </c>
      <c r="C24" s="120" t="str">
        <f>IF(B24="","",_xlfn.CONCAT(VLOOKUP(B24,員工基本資料!A22:C44,2,FALSE),VLOOKUP(B24,員工基本資料!A22:C44,3,FALSE)))</f>
        <v>劉文洋</v>
      </c>
      <c r="D24" s="120">
        <f ca="1">IF(B24="","",VLOOKUP(B24,薪資表!A$1:I$23,5,FALSE))</f>
        <v>34000</v>
      </c>
      <c r="E24" s="120">
        <f>IF(B24="","",VLOOKUP(B24,薪資表!A$1:I$23,6,FALSE))</f>
        <v>0</v>
      </c>
      <c r="F24" s="120">
        <f>IF(B24="","",VLOOKUP(B24,薪資表!A$1:I$23,7,FALSE))</f>
        <v>1600</v>
      </c>
      <c r="G24" s="120">
        <f>IF(B24="","",VLOOKUP(B24,薪資表!A$1:J$23,8,FALSE))</f>
        <v>550</v>
      </c>
      <c r="H24" s="120">
        <f>IF(B24="","",VLOOKUP(B24,薪資表!A$1:J$23,9,FALSE))</f>
        <v>0</v>
      </c>
      <c r="I24" s="120">
        <f ca="1">IF(B24="","",VLOOKUP(B24,勞健保分攤!A$2:F$24,3,FALSE))</f>
        <v>731</v>
      </c>
      <c r="J24" s="120">
        <f ca="1">IF(B24="","",VLOOKUP(B24,勞健保分攤!A$2:F$24,4,FALSE))</f>
        <v>2558</v>
      </c>
      <c r="K24" s="120">
        <f ca="1">IF(B24="","",VLOOKUP(B24,勞健保分攤!A$2:F$24,5,FALSE))</f>
        <v>490</v>
      </c>
      <c r="L24" s="120">
        <f ca="1">IF(B24="","",VLOOKUP(B24,勞健保分攤!A$2:F$24,6,FALSE))</f>
        <v>1577</v>
      </c>
      <c r="M24" s="120">
        <f t="shared" ca="1" si="0"/>
        <v>1780</v>
      </c>
      <c r="N24" s="121">
        <f t="shared" ca="1" si="1"/>
        <v>27914</v>
      </c>
    </row>
  </sheetData>
  <mergeCells count="3">
    <mergeCell ref="A1:N1"/>
    <mergeCell ref="R3:T3"/>
    <mergeCell ref="R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員工基本資料</vt:lpstr>
      <vt:lpstr>簽到記錄</vt:lpstr>
      <vt:lpstr>簽到統計</vt:lpstr>
      <vt:lpstr>薪資表</vt:lpstr>
      <vt:lpstr>薪資比較</vt:lpstr>
      <vt:lpstr>勞健保分攤</vt:lpstr>
      <vt:lpstr>員工薪資明細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2018-02-04T17:58:36Z</dcterms:created>
  <dcterms:modified xsi:type="dcterms:W3CDTF">2018-02-10T17:15:32Z</dcterms:modified>
</cp:coreProperties>
</file>