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docProps/custom.xml" ContentType="application/vnd.openxmlformats-officedocument.custom-properties+xml"/>
  <Override PartName="/customXml/itemProps1.xml" ContentType="application/vnd.openxmlformats-officedocument.customXml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https://portal.kiewit.com/sites/KPCEIHome/templ/Electrical/03_Engr Eq Specs/01_EE_Att_Example/853-854_DC_UPS/"/>
    </mc:Choice>
  </mc:AlternateContent>
  <bookViews>
    <workbookView xWindow="0" yWindow="0" windowWidth="28800" windowHeight="12135"/>
  </bookViews>
  <sheets>
    <sheet name="Battery Calc Sheet" sheetId="1" r:id="rId1"/>
    <sheet name="UPS Calc Sheet" sheetId="2" r:id="rId2"/>
    <sheet name="Battery Rollup" sheetId="4" state="hidden" r:id="rId3"/>
    <sheet name="UPS Rollup" sheetId="5" state="hidden" r:id="rId4"/>
    <sheet name="Thorold" sheetId="14" state="hidden" r:id="rId5"/>
    <sheet name="Panoche" sheetId="13" state="hidden" r:id="rId6"/>
    <sheet name="Bartow" sheetId="12" state="hidden" r:id="rId7"/>
    <sheet name="Hines 3" sheetId="6" state="hidden" r:id="rId8"/>
    <sheet name="Hines 4" sheetId="7" state="hidden" r:id="rId9"/>
    <sheet name="Palomar" sheetId="8" state="hidden" r:id="rId10"/>
    <sheet name="GDMEC" sheetId="9" state="hidden" r:id="rId11"/>
    <sheet name="Haynes" sheetId="10" state="hidden" r:id="rId12"/>
    <sheet name="DPPP" sheetId="11" state="hidden" r:id="rId13"/>
    <sheet name="Temperature Correction" sheetId="16" r:id="rId14"/>
    <sheet name="Notes" sheetId="18" r:id="rId15"/>
  </sheets>
  <definedNames>
    <definedName name="_xlnm.Print_Area" localSheetId="0">'Battery Calc Sheet'!$A$1:$J$67</definedName>
    <definedName name="_xlnm.Print_Area" localSheetId="12">DPPP!$A$1:$L$77</definedName>
    <definedName name="_xlnm.Print_Area" localSheetId="14">Notes!$A$1:$M$55</definedName>
    <definedName name="_xlnm.Print_Area" localSheetId="13">'Temperature Correction'!$A$1:$H$60</definedName>
    <definedName name="_xlnm.Print_Area" localSheetId="1">'UPS Calc Sheet'!$A$1:$F$46</definedName>
    <definedName name="_xlnm.Print_Titles" localSheetId="2">'Battery Rollup'!$1:$2</definedName>
    <definedName name="_xlnm.Print_Titles" localSheetId="12">DPPP!$1:$2</definedName>
  </definedNames>
  <calcPr calcId="152510"/>
</workbook>
</file>

<file path=xl/calcChain.xml><?xml version="1.0" encoding="utf-8"?>
<calcChain xmlns="http://schemas.openxmlformats.org/spreadsheetml/2006/main">
  <c r="C54" i="1" l="1"/>
  <c r="J41" i="1"/>
  <c r="I41" i="1"/>
  <c r="H41" i="1"/>
  <c r="G41" i="1"/>
  <c r="F41" i="1"/>
  <c r="E41" i="1"/>
  <c r="D41" i="1"/>
  <c r="B29" i="1"/>
  <c r="A58" i="1"/>
  <c r="J64" i="1"/>
  <c r="H55" i="1"/>
  <c r="H51" i="1"/>
  <c r="H40" i="1"/>
  <c r="H39" i="1"/>
  <c r="H33" i="1"/>
  <c r="H30" i="1"/>
  <c r="H25" i="1"/>
  <c r="H24" i="1"/>
  <c r="H23" i="1"/>
  <c r="H22" i="1"/>
  <c r="H20" i="1"/>
  <c r="H19" i="1"/>
  <c r="H16" i="1"/>
  <c r="H15" i="1"/>
  <c r="H14" i="1"/>
  <c r="H13" i="1"/>
  <c r="H12" i="1"/>
  <c r="H11" i="1"/>
  <c r="H10" i="1"/>
  <c r="H9" i="1"/>
  <c r="I6" i="1"/>
  <c r="H6" i="1"/>
  <c r="N26" i="14"/>
  <c r="P26" i="14"/>
  <c r="N27" i="14"/>
  <c r="N28" i="14"/>
  <c r="P28" i="14"/>
  <c r="N29" i="14"/>
  <c r="P29" i="14"/>
  <c r="N30" i="14"/>
  <c r="N25" i="14"/>
  <c r="P25" i="14"/>
  <c r="N18" i="14"/>
  <c r="N19" i="14"/>
  <c r="P19" i="14"/>
  <c r="N20" i="14"/>
  <c r="P20" i="14"/>
  <c r="N21" i="14"/>
  <c r="N22" i="14"/>
  <c r="P22" i="14"/>
  <c r="N23" i="14"/>
  <c r="P23" i="14"/>
  <c r="N17" i="14"/>
  <c r="N15" i="14"/>
  <c r="N12" i="14"/>
  <c r="P12" i="14"/>
  <c r="N10" i="14"/>
  <c r="P10" i="14"/>
  <c r="N9" i="14"/>
  <c r="O29" i="13"/>
  <c r="O30" i="13"/>
  <c r="O31" i="13"/>
  <c r="O32" i="13"/>
  <c r="Q32" i="13"/>
  <c r="O33" i="13"/>
  <c r="O28" i="13"/>
  <c r="O20" i="13"/>
  <c r="Q20" i="13"/>
  <c r="O21" i="13"/>
  <c r="O22" i="13"/>
  <c r="O23" i="13"/>
  <c r="Q23" i="13"/>
  <c r="O24" i="13"/>
  <c r="Q24" i="13"/>
  <c r="O25" i="13"/>
  <c r="Q25" i="13"/>
  <c r="O26" i="13"/>
  <c r="O19" i="13"/>
  <c r="O14" i="13"/>
  <c r="Q14" i="13"/>
  <c r="O16" i="13"/>
  <c r="O17" i="13"/>
  <c r="Q17" i="13"/>
  <c r="O13" i="13"/>
  <c r="O10" i="13"/>
  <c r="Q10" i="13"/>
  <c r="O11" i="13"/>
  <c r="O9" i="13"/>
  <c r="C34" i="13"/>
  <c r="B44" i="1"/>
  <c r="H44" i="1"/>
  <c r="B45" i="1"/>
  <c r="K35" i="14"/>
  <c r="K34" i="14"/>
  <c r="P30" i="14"/>
  <c r="P27" i="14"/>
  <c r="P21" i="14"/>
  <c r="P18" i="14"/>
  <c r="P17" i="14"/>
  <c r="P15" i="14"/>
  <c r="L14" i="14"/>
  <c r="N14" i="14"/>
  <c r="P14" i="14"/>
  <c r="L13" i="14"/>
  <c r="B27" i="14"/>
  <c r="H25" i="14"/>
  <c r="G25" i="14"/>
  <c r="F25" i="14"/>
  <c r="E25" i="14"/>
  <c r="D25" i="14"/>
  <c r="H22" i="14"/>
  <c r="G22" i="14"/>
  <c r="F22" i="14"/>
  <c r="E22" i="14"/>
  <c r="D22" i="14"/>
  <c r="B21" i="14"/>
  <c r="H21" i="14"/>
  <c r="E20" i="14"/>
  <c r="H19" i="14"/>
  <c r="G19" i="14"/>
  <c r="F19" i="14"/>
  <c r="E19" i="14"/>
  <c r="D19" i="14"/>
  <c r="B18" i="14"/>
  <c r="H18" i="14"/>
  <c r="E17" i="14"/>
  <c r="E16" i="14"/>
  <c r="H14" i="14"/>
  <c r="G14" i="14"/>
  <c r="F14" i="14"/>
  <c r="E14" i="14"/>
  <c r="D14" i="14"/>
  <c r="H13" i="14"/>
  <c r="G13" i="14"/>
  <c r="F13" i="14"/>
  <c r="E13" i="14"/>
  <c r="D13" i="14"/>
  <c r="H11" i="14"/>
  <c r="G11" i="14"/>
  <c r="F11" i="14"/>
  <c r="E11" i="14"/>
  <c r="D11" i="14"/>
  <c r="H10" i="14"/>
  <c r="G10" i="14"/>
  <c r="F10" i="14"/>
  <c r="E10" i="14"/>
  <c r="D10" i="14"/>
  <c r="F9" i="14"/>
  <c r="E9" i="14"/>
  <c r="F6" i="14"/>
  <c r="G5" i="14"/>
  <c r="G6" i="14"/>
  <c r="L38" i="13"/>
  <c r="L37" i="13"/>
  <c r="Q33" i="13"/>
  <c r="Q31" i="13"/>
  <c r="Q30" i="13"/>
  <c r="Q29" i="13"/>
  <c r="Q28" i="13"/>
  <c r="Q26" i="13"/>
  <c r="Q22" i="13"/>
  <c r="Q21" i="13"/>
  <c r="Q19" i="13"/>
  <c r="Q16" i="13"/>
  <c r="M15" i="13"/>
  <c r="O15" i="13"/>
  <c r="Q13" i="13"/>
  <c r="Q11" i="13"/>
  <c r="B38" i="13"/>
  <c r="I36" i="13"/>
  <c r="H36" i="13"/>
  <c r="G36" i="13"/>
  <c r="F36" i="13"/>
  <c r="E36" i="13"/>
  <c r="D36" i="13"/>
  <c r="I35" i="13"/>
  <c r="H35" i="13"/>
  <c r="G35" i="13"/>
  <c r="F35" i="13"/>
  <c r="E35" i="13"/>
  <c r="D35" i="13"/>
  <c r="G34" i="13"/>
  <c r="I32" i="13"/>
  <c r="H32" i="13"/>
  <c r="G32" i="13"/>
  <c r="F32" i="13"/>
  <c r="E32" i="13"/>
  <c r="D32" i="13"/>
  <c r="I31" i="13"/>
  <c r="H31" i="13"/>
  <c r="G31" i="13"/>
  <c r="F31" i="13"/>
  <c r="E31" i="13"/>
  <c r="D31" i="13"/>
  <c r="I30" i="13"/>
  <c r="H30" i="13"/>
  <c r="G30" i="13"/>
  <c r="F30" i="13"/>
  <c r="E30" i="13"/>
  <c r="D30" i="13"/>
  <c r="I28" i="13"/>
  <c r="H28" i="13"/>
  <c r="G28" i="13"/>
  <c r="F28" i="13"/>
  <c r="E28" i="13"/>
  <c r="D28" i="13"/>
  <c r="B27" i="13"/>
  <c r="I27" i="13"/>
  <c r="B26" i="13"/>
  <c r="I26" i="13"/>
  <c r="E25" i="13"/>
  <c r="I24" i="13"/>
  <c r="H24" i="13"/>
  <c r="G24" i="13"/>
  <c r="F24" i="13"/>
  <c r="E24" i="13"/>
  <c r="D24" i="13"/>
  <c r="B23" i="13"/>
  <c r="I23" i="13"/>
  <c r="E22" i="13"/>
  <c r="K21" i="13"/>
  <c r="K22" i="13"/>
  <c r="I21" i="13"/>
  <c r="H21" i="13"/>
  <c r="G21" i="13"/>
  <c r="F21" i="13"/>
  <c r="E21" i="13"/>
  <c r="D21" i="13"/>
  <c r="B20" i="13"/>
  <c r="I20" i="13"/>
  <c r="E19" i="13"/>
  <c r="I17" i="13"/>
  <c r="H17" i="13"/>
  <c r="G17" i="13"/>
  <c r="F17" i="13"/>
  <c r="E17" i="13"/>
  <c r="D17" i="13"/>
  <c r="I16" i="13"/>
  <c r="H16" i="13"/>
  <c r="G16" i="13"/>
  <c r="F16" i="13"/>
  <c r="E16" i="13"/>
  <c r="D16" i="13"/>
  <c r="F15" i="13"/>
  <c r="E15" i="13"/>
  <c r="D15" i="13"/>
  <c r="F14" i="13"/>
  <c r="E14" i="13"/>
  <c r="D14" i="13"/>
  <c r="I13" i="13"/>
  <c r="H13" i="13"/>
  <c r="G13" i="13"/>
  <c r="F13" i="13"/>
  <c r="E13" i="13"/>
  <c r="D13" i="13"/>
  <c r="I11" i="13"/>
  <c r="H11" i="13"/>
  <c r="G11" i="13"/>
  <c r="F11" i="13"/>
  <c r="E11" i="13"/>
  <c r="D11" i="13"/>
  <c r="I10" i="13"/>
  <c r="H10" i="13"/>
  <c r="G10" i="13"/>
  <c r="F10" i="13"/>
  <c r="E10" i="13"/>
  <c r="D10" i="13"/>
  <c r="E9" i="13"/>
  <c r="I6" i="13"/>
  <c r="H6" i="13"/>
  <c r="G6" i="13"/>
  <c r="F6" i="13"/>
  <c r="S13" i="12"/>
  <c r="S12" i="12"/>
  <c r="S11" i="12"/>
  <c r="S10" i="12"/>
  <c r="S9" i="12"/>
  <c r="S8" i="12"/>
  <c r="S7" i="12"/>
  <c r="S6" i="12"/>
  <c r="S5" i="12"/>
  <c r="S4" i="12"/>
  <c r="E25" i="12"/>
  <c r="K25" i="12"/>
  <c r="E24" i="12"/>
  <c r="K24" i="12"/>
  <c r="E23" i="12"/>
  <c r="K23" i="12"/>
  <c r="E22" i="12"/>
  <c r="K22" i="12"/>
  <c r="D21" i="12"/>
  <c r="E21" i="12"/>
  <c r="E20" i="12"/>
  <c r="I20" i="12"/>
  <c r="E19" i="12"/>
  <c r="J19" i="12"/>
  <c r="E18" i="12"/>
  <c r="G18" i="12"/>
  <c r="E17" i="12"/>
  <c r="J17" i="12"/>
  <c r="E16" i="12"/>
  <c r="G16" i="12"/>
  <c r="E15" i="12"/>
  <c r="J15" i="12"/>
  <c r="E14" i="12"/>
  <c r="J14" i="12"/>
  <c r="E13" i="12"/>
  <c r="J13" i="12"/>
  <c r="E12" i="12"/>
  <c r="J12" i="12"/>
  <c r="E11" i="12"/>
  <c r="J11" i="12"/>
  <c r="E10" i="12"/>
  <c r="J10" i="12"/>
  <c r="E9" i="12"/>
  <c r="G9" i="12"/>
  <c r="E8" i="12"/>
  <c r="K8" i="12"/>
  <c r="E7" i="12"/>
  <c r="H7" i="12"/>
  <c r="E6" i="12"/>
  <c r="G6" i="12"/>
  <c r="G5" i="12"/>
  <c r="E5" i="12"/>
  <c r="E4" i="12"/>
  <c r="G4" i="12"/>
  <c r="J6" i="1"/>
  <c r="B19" i="2"/>
  <c r="D19" i="2"/>
  <c r="F19" i="2"/>
  <c r="B18" i="2"/>
  <c r="D18" i="2"/>
  <c r="D11" i="2"/>
  <c r="F11" i="2"/>
  <c r="F6" i="1"/>
  <c r="G6" i="1"/>
  <c r="E9" i="1"/>
  <c r="F9" i="1"/>
  <c r="G9" i="1"/>
  <c r="E10" i="1"/>
  <c r="F10" i="1"/>
  <c r="G10" i="1"/>
  <c r="D11" i="1"/>
  <c r="E11" i="1"/>
  <c r="F11" i="1"/>
  <c r="G11" i="1"/>
  <c r="I11" i="1"/>
  <c r="J11" i="1"/>
  <c r="D12" i="1"/>
  <c r="E12" i="1"/>
  <c r="F12" i="1"/>
  <c r="G12" i="1"/>
  <c r="I12" i="1"/>
  <c r="J12" i="1"/>
  <c r="D13" i="1"/>
  <c r="E13" i="1"/>
  <c r="F13" i="1"/>
  <c r="G13" i="1"/>
  <c r="I13" i="1"/>
  <c r="J13" i="1"/>
  <c r="D14" i="1"/>
  <c r="E14" i="1"/>
  <c r="F14" i="1"/>
  <c r="G14" i="1"/>
  <c r="I14" i="1"/>
  <c r="J14" i="1"/>
  <c r="D15" i="1"/>
  <c r="E15" i="1"/>
  <c r="F15" i="1"/>
  <c r="G15" i="1"/>
  <c r="I15" i="1"/>
  <c r="J15" i="1"/>
  <c r="D16" i="1"/>
  <c r="E16" i="1"/>
  <c r="F16" i="1"/>
  <c r="G16" i="1"/>
  <c r="I16" i="1"/>
  <c r="J16" i="1"/>
  <c r="E18" i="1"/>
  <c r="D19" i="1"/>
  <c r="E19" i="1"/>
  <c r="F19" i="1"/>
  <c r="G19" i="1"/>
  <c r="I19" i="1"/>
  <c r="J19" i="1"/>
  <c r="D20" i="1"/>
  <c r="E20" i="1"/>
  <c r="F20" i="1"/>
  <c r="G20" i="1"/>
  <c r="I20" i="1"/>
  <c r="J20" i="1"/>
  <c r="D22" i="1"/>
  <c r="E22" i="1"/>
  <c r="F22" i="1"/>
  <c r="G22" i="1"/>
  <c r="I22" i="1"/>
  <c r="J22" i="1"/>
  <c r="D23" i="1"/>
  <c r="E23" i="1"/>
  <c r="F23" i="1"/>
  <c r="G23" i="1"/>
  <c r="I23" i="1"/>
  <c r="J23" i="1"/>
  <c r="D24" i="1"/>
  <c r="E24" i="1"/>
  <c r="F24" i="1"/>
  <c r="G24" i="1"/>
  <c r="I24" i="1"/>
  <c r="J24" i="1"/>
  <c r="D25" i="1"/>
  <c r="E25" i="1"/>
  <c r="F25" i="1"/>
  <c r="G25" i="1"/>
  <c r="I25" i="1"/>
  <c r="J25" i="1"/>
  <c r="E28" i="1"/>
  <c r="J29" i="1"/>
  <c r="D30" i="1"/>
  <c r="E30" i="1"/>
  <c r="F30" i="1"/>
  <c r="G30" i="1"/>
  <c r="I30" i="1"/>
  <c r="J30" i="1"/>
  <c r="E31" i="1"/>
  <c r="B32" i="1"/>
  <c r="J32" i="1"/>
  <c r="D33" i="1"/>
  <c r="E33" i="1"/>
  <c r="F33" i="1"/>
  <c r="G33" i="1"/>
  <c r="I33" i="1"/>
  <c r="J33" i="1"/>
  <c r="E34" i="1"/>
  <c r="B35" i="1"/>
  <c r="J35" i="1"/>
  <c r="B36" i="1"/>
  <c r="J36" i="1"/>
  <c r="D39" i="1"/>
  <c r="E39" i="1"/>
  <c r="F39" i="1"/>
  <c r="G39" i="1"/>
  <c r="I39" i="1"/>
  <c r="J39" i="1"/>
  <c r="D40" i="1"/>
  <c r="E40" i="1"/>
  <c r="F40" i="1"/>
  <c r="G40" i="1"/>
  <c r="I40" i="1"/>
  <c r="J40" i="1"/>
  <c r="D43" i="1"/>
  <c r="E43" i="1"/>
  <c r="J43" i="1"/>
  <c r="E45" i="1"/>
  <c r="E48" i="1"/>
  <c r="B49" i="1"/>
  <c r="J49" i="1"/>
  <c r="B50" i="1"/>
  <c r="D50" i="1"/>
  <c r="D51" i="1"/>
  <c r="E51" i="1"/>
  <c r="F51" i="1"/>
  <c r="G51" i="1"/>
  <c r="I51" i="1"/>
  <c r="J51" i="1"/>
  <c r="D55" i="1"/>
  <c r="E55" i="1"/>
  <c r="F55" i="1"/>
  <c r="G55" i="1"/>
  <c r="I55" i="1"/>
  <c r="J55" i="1"/>
  <c r="C56" i="11"/>
  <c r="C57" i="11"/>
  <c r="C59" i="11"/>
  <c r="D56" i="11"/>
  <c r="D57" i="11"/>
  <c r="D59" i="11"/>
  <c r="E56" i="11"/>
  <c r="F56" i="11"/>
  <c r="F57" i="11"/>
  <c r="F59" i="11"/>
  <c r="G56" i="11"/>
  <c r="G57" i="11"/>
  <c r="E57" i="11"/>
  <c r="E59" i="11"/>
  <c r="C73" i="11"/>
  <c r="C74" i="11"/>
  <c r="C79" i="11"/>
  <c r="C80" i="11"/>
  <c r="F2" i="9"/>
  <c r="G2" i="9"/>
  <c r="H2" i="9"/>
  <c r="I2" i="9"/>
  <c r="R5" i="9"/>
  <c r="R6" i="9"/>
  <c r="R7" i="9"/>
  <c r="R8" i="9"/>
  <c r="E14" i="9"/>
  <c r="D15" i="9"/>
  <c r="E15" i="9"/>
  <c r="F15" i="9"/>
  <c r="G15" i="9"/>
  <c r="H15" i="9"/>
  <c r="R15" i="9"/>
  <c r="E16" i="9"/>
  <c r="R16" i="9"/>
  <c r="I17" i="9"/>
  <c r="R17" i="9"/>
  <c r="E18" i="9"/>
  <c r="I19" i="9"/>
  <c r="E20" i="9"/>
  <c r="F20" i="9"/>
  <c r="G20" i="9"/>
  <c r="H20" i="9"/>
  <c r="I20" i="9"/>
  <c r="R23" i="9"/>
  <c r="R24" i="9"/>
  <c r="R25" i="9"/>
  <c r="R31" i="9"/>
  <c r="R37" i="9"/>
  <c r="R43" i="9"/>
  <c r="R49" i="9"/>
  <c r="R55" i="9"/>
  <c r="R56" i="9"/>
  <c r="R62" i="9"/>
  <c r="R63" i="9"/>
  <c r="R64" i="9"/>
  <c r="O8" i="10"/>
  <c r="O9" i="10"/>
  <c r="O10" i="10"/>
  <c r="O11" i="10"/>
  <c r="O12" i="10"/>
  <c r="O13" i="10"/>
  <c r="O14" i="10"/>
  <c r="O15" i="10"/>
  <c r="O16" i="10"/>
  <c r="O17" i="10"/>
  <c r="O18" i="10"/>
  <c r="O19" i="10"/>
  <c r="F20" i="10"/>
  <c r="O20" i="10"/>
  <c r="O21" i="10"/>
  <c r="O22" i="10"/>
  <c r="F23" i="10"/>
  <c r="O23" i="10"/>
  <c r="O29" i="10"/>
  <c r="O30" i="10"/>
  <c r="O31" i="10"/>
  <c r="O37" i="10"/>
  <c r="O38" i="10"/>
  <c r="O39" i="10"/>
  <c r="B41" i="10"/>
  <c r="D52" i="10"/>
  <c r="C41" i="10"/>
  <c r="D41" i="10"/>
  <c r="D42" i="10"/>
  <c r="D44" i="10"/>
  <c r="E41" i="10"/>
  <c r="B42" i="10"/>
  <c r="B44" i="10"/>
  <c r="C42" i="10"/>
  <c r="C44" i="10"/>
  <c r="E42" i="10"/>
  <c r="E44" i="10"/>
  <c r="O45" i="10"/>
  <c r="O46" i="10"/>
  <c r="O53" i="10"/>
  <c r="O54" i="10"/>
  <c r="O55" i="10"/>
  <c r="O61" i="10"/>
  <c r="J4" i="7"/>
  <c r="L4" i="7"/>
  <c r="J5" i="7"/>
  <c r="L5" i="7"/>
  <c r="J6" i="7"/>
  <c r="L6" i="7"/>
  <c r="J10" i="7"/>
  <c r="L10" i="7"/>
  <c r="J11" i="7"/>
  <c r="L11" i="7"/>
  <c r="J12" i="7"/>
  <c r="L12" i="7"/>
  <c r="J27" i="7"/>
  <c r="L27" i="7"/>
  <c r="J28" i="7"/>
  <c r="L28" i="7"/>
  <c r="J29" i="7"/>
  <c r="L29" i="7"/>
  <c r="J30" i="7"/>
  <c r="L30" i="7"/>
  <c r="J31" i="7"/>
  <c r="L31" i="7"/>
  <c r="B32" i="7"/>
  <c r="C32" i="7"/>
  <c r="D32" i="7"/>
  <c r="E32" i="7"/>
  <c r="J32" i="7"/>
  <c r="L32" i="7"/>
  <c r="J33" i="7"/>
  <c r="L33" i="7"/>
  <c r="J34" i="7"/>
  <c r="L34" i="7"/>
  <c r="J35" i="7"/>
  <c r="L35" i="7"/>
  <c r="J36" i="7"/>
  <c r="L36" i="7"/>
  <c r="J37" i="7"/>
  <c r="L37" i="7"/>
  <c r="J38" i="7"/>
  <c r="L38" i="7"/>
  <c r="J39" i="7"/>
  <c r="L39" i="7"/>
  <c r="J40" i="7"/>
  <c r="L40" i="7"/>
  <c r="J41" i="7"/>
  <c r="L41" i="7"/>
  <c r="J42" i="7"/>
  <c r="L42" i="7"/>
  <c r="J43" i="7"/>
  <c r="L43" i="7"/>
  <c r="J44" i="7"/>
  <c r="L44" i="7"/>
  <c r="J45" i="7"/>
  <c r="L45" i="7"/>
  <c r="J46" i="7"/>
  <c r="L46" i="7"/>
  <c r="J47" i="7"/>
  <c r="L47" i="7"/>
  <c r="J48" i="7"/>
  <c r="L48" i="7"/>
  <c r="I49" i="7"/>
  <c r="I7" i="7"/>
  <c r="J53" i="7"/>
  <c r="L53" i="7"/>
  <c r="J54" i="7"/>
  <c r="L54" i="7"/>
  <c r="J55" i="7"/>
  <c r="L55" i="7"/>
  <c r="J56" i="7"/>
  <c r="L56" i="7"/>
  <c r="J57" i="7"/>
  <c r="L57" i="7"/>
  <c r="I58" i="7"/>
  <c r="I8" i="7"/>
  <c r="J62" i="7"/>
  <c r="L62" i="7"/>
  <c r="J63" i="7"/>
  <c r="L63" i="7"/>
  <c r="J64" i="7"/>
  <c r="L64" i="7"/>
  <c r="J65" i="7"/>
  <c r="L65" i="7"/>
  <c r="J66" i="7"/>
  <c r="L66" i="7"/>
  <c r="I67" i="7"/>
  <c r="I9" i="7"/>
  <c r="R7" i="8"/>
  <c r="R8" i="8"/>
  <c r="R9" i="8"/>
  <c r="R10" i="8"/>
  <c r="R11" i="8"/>
  <c r="R12" i="8"/>
  <c r="R13" i="8"/>
  <c r="R19" i="8"/>
  <c r="R20" i="8"/>
  <c r="R21" i="8"/>
  <c r="R27" i="8"/>
  <c r="R28" i="8"/>
  <c r="R29" i="8"/>
  <c r="R35" i="8"/>
  <c r="R41" i="8"/>
  <c r="R47" i="8"/>
  <c r="R53" i="8"/>
  <c r="R59" i="8"/>
  <c r="R60" i="8"/>
  <c r="R65" i="8"/>
  <c r="R71" i="8"/>
  <c r="R72" i="8"/>
  <c r="R77" i="8"/>
  <c r="R78" i="8"/>
  <c r="R79" i="8"/>
  <c r="R84" i="8"/>
  <c r="A2" i="2"/>
  <c r="A3" i="2"/>
  <c r="D9" i="2"/>
  <c r="D10" i="2"/>
  <c r="F10" i="2"/>
  <c r="D14" i="2"/>
  <c r="F14" i="2"/>
  <c r="D17" i="2"/>
  <c r="F17" i="2"/>
  <c r="D20" i="2"/>
  <c r="F20" i="2"/>
  <c r="D23" i="2"/>
  <c r="F23" i="2"/>
  <c r="D24" i="2"/>
  <c r="F24" i="2"/>
  <c r="D25" i="2"/>
  <c r="F25" i="2"/>
  <c r="D26" i="2"/>
  <c r="F26" i="2"/>
  <c r="D27" i="2"/>
  <c r="F27" i="2"/>
  <c r="D28" i="2"/>
  <c r="F28" i="2"/>
  <c r="D29" i="2"/>
  <c r="F29" i="2"/>
  <c r="D32" i="2"/>
  <c r="F32" i="2"/>
  <c r="D33" i="2"/>
  <c r="F33" i="2"/>
  <c r="D34" i="2"/>
  <c r="F34" i="2"/>
  <c r="D35" i="2"/>
  <c r="F35" i="2"/>
  <c r="D36" i="2"/>
  <c r="F36" i="2"/>
  <c r="A43" i="2"/>
  <c r="A44" i="2"/>
  <c r="F9" i="2"/>
  <c r="D39" i="2"/>
  <c r="M36" i="13"/>
  <c r="M37" i="13"/>
  <c r="M38" i="13"/>
  <c r="F44" i="1"/>
  <c r="I50" i="1"/>
  <c r="H50" i="1"/>
  <c r="F50" i="1"/>
  <c r="G50" i="1"/>
  <c r="S14" i="12"/>
  <c r="D26" i="14"/>
  <c r="G37" i="13"/>
  <c r="G38" i="13"/>
  <c r="G39" i="13"/>
  <c r="G42" i="13"/>
  <c r="Q15" i="13"/>
  <c r="N13" i="14"/>
  <c r="L33" i="14"/>
  <c r="L34" i="14"/>
  <c r="L35" i="14"/>
  <c r="G44" i="1"/>
  <c r="P9" i="14"/>
  <c r="D27" i="14"/>
  <c r="D28" i="14"/>
  <c r="H6" i="14"/>
  <c r="L67" i="7"/>
  <c r="L9" i="7"/>
  <c r="E67" i="11"/>
  <c r="C69" i="11"/>
  <c r="C77" i="11"/>
  <c r="C75" i="11"/>
  <c r="L49" i="7"/>
  <c r="L7" i="7"/>
  <c r="J67" i="7"/>
  <c r="J9" i="7"/>
  <c r="J49" i="7"/>
  <c r="J7" i="7"/>
  <c r="E21" i="9"/>
  <c r="E22" i="9"/>
  <c r="E23" i="9"/>
  <c r="G14" i="12"/>
  <c r="H37" i="13"/>
  <c r="H38" i="13"/>
  <c r="H39" i="13"/>
  <c r="H42" i="13"/>
  <c r="D34" i="13"/>
  <c r="D37" i="13"/>
  <c r="D38" i="13"/>
  <c r="D39" i="13"/>
  <c r="D51" i="10"/>
  <c r="I37" i="13"/>
  <c r="F34" i="13"/>
  <c r="F37" i="13"/>
  <c r="M39" i="13"/>
  <c r="Q9" i="13"/>
  <c r="I38" i="13"/>
  <c r="I39" i="13"/>
  <c r="I42" i="13"/>
  <c r="E34" i="13"/>
  <c r="E37" i="13"/>
  <c r="R33" i="12"/>
  <c r="S15" i="12"/>
  <c r="R26" i="12"/>
  <c r="R27" i="12"/>
  <c r="R28" i="12"/>
  <c r="R29" i="12"/>
  <c r="R30" i="12"/>
  <c r="K21" i="12"/>
  <c r="I21" i="12"/>
  <c r="G21" i="12"/>
  <c r="J21" i="12"/>
  <c r="H21" i="12"/>
  <c r="H4" i="12"/>
  <c r="G7" i="12"/>
  <c r="H8" i="12"/>
  <c r="J8" i="12"/>
  <c r="H9" i="12"/>
  <c r="G10" i="12"/>
  <c r="I10" i="12"/>
  <c r="K10" i="12"/>
  <c r="G11" i="12"/>
  <c r="I11" i="12"/>
  <c r="K11" i="12"/>
  <c r="G12" i="12"/>
  <c r="I12" i="12"/>
  <c r="K12" i="12"/>
  <c r="G13" i="12"/>
  <c r="I13" i="12"/>
  <c r="K13" i="12"/>
  <c r="I14" i="12"/>
  <c r="K14" i="12"/>
  <c r="G15" i="12"/>
  <c r="I15" i="12"/>
  <c r="K15" i="12"/>
  <c r="H20" i="12"/>
  <c r="K20" i="12"/>
  <c r="H22" i="12"/>
  <c r="J22" i="12"/>
  <c r="H23" i="12"/>
  <c r="J23" i="12"/>
  <c r="H24" i="12"/>
  <c r="J24" i="12"/>
  <c r="H25" i="12"/>
  <c r="J25" i="12"/>
  <c r="E26" i="12"/>
  <c r="G8" i="12"/>
  <c r="I8" i="12"/>
  <c r="H10" i="12"/>
  <c r="H11" i="12"/>
  <c r="H12" i="12"/>
  <c r="H13" i="12"/>
  <c r="H14" i="12"/>
  <c r="H15" i="12"/>
  <c r="G22" i="12"/>
  <c r="I22" i="12"/>
  <c r="G23" i="12"/>
  <c r="I23" i="12"/>
  <c r="G24" i="12"/>
  <c r="I24" i="12"/>
  <c r="G25" i="12"/>
  <c r="I25" i="12"/>
  <c r="F18" i="2"/>
  <c r="F21" i="9"/>
  <c r="E66" i="11"/>
  <c r="I15" i="9"/>
  <c r="I21" i="9"/>
  <c r="H21" i="9"/>
  <c r="L58" i="7"/>
  <c r="L8" i="7"/>
  <c r="I13" i="7"/>
  <c r="H15" i="7"/>
  <c r="H18" i="7"/>
  <c r="H22" i="7"/>
  <c r="H23" i="7"/>
  <c r="B54" i="10"/>
  <c r="J58" i="7"/>
  <c r="J8" i="7"/>
  <c r="G21" i="9"/>
  <c r="I44" i="1"/>
  <c r="F39" i="2"/>
  <c r="B42" i="2"/>
  <c r="N36" i="13"/>
  <c r="N37" i="13"/>
  <c r="N38" i="13"/>
  <c r="L13" i="7"/>
  <c r="J13" i="7"/>
  <c r="L36" i="14"/>
  <c r="P13" i="14"/>
  <c r="M33" i="14"/>
  <c r="D31" i="14"/>
  <c r="F38" i="13"/>
  <c r="F39" i="13"/>
  <c r="F42" i="13"/>
  <c r="C81" i="11"/>
  <c r="C78" i="11"/>
  <c r="K26" i="12"/>
  <c r="K40" i="12"/>
  <c r="G26" i="12"/>
  <c r="G36" i="12"/>
  <c r="D42" i="13"/>
  <c r="E38" i="13"/>
  <c r="E39" i="13"/>
  <c r="E42" i="13"/>
  <c r="G27" i="12"/>
  <c r="G31" i="12"/>
  <c r="J26" i="12"/>
  <c r="I26" i="12"/>
  <c r="H26" i="12"/>
  <c r="G22" i="9"/>
  <c r="G23" i="9"/>
  <c r="H22" i="9"/>
  <c r="H23" i="9"/>
  <c r="F22" i="9"/>
  <c r="F23" i="9"/>
  <c r="I22" i="9"/>
  <c r="I23" i="9"/>
  <c r="C42" i="2"/>
  <c r="C43" i="2"/>
  <c r="C44" i="2"/>
  <c r="C45" i="2"/>
  <c r="B44" i="2"/>
  <c r="B45" i="2"/>
  <c r="I43" i="13"/>
  <c r="N39" i="13"/>
  <c r="M34" i="14"/>
  <c r="C24" i="14"/>
  <c r="B42" i="13"/>
  <c r="B43" i="13"/>
  <c r="I36" i="12"/>
  <c r="I27" i="12"/>
  <c r="I31" i="12"/>
  <c r="J32" i="12"/>
  <c r="H27" i="12"/>
  <c r="H31" i="12"/>
  <c r="H36" i="12"/>
  <c r="J27" i="12"/>
  <c r="J31" i="12"/>
  <c r="J36" i="12"/>
  <c r="H54" i="1"/>
  <c r="H57" i="1"/>
  <c r="H62" i="1"/>
  <c r="D54" i="1"/>
  <c r="D57" i="1"/>
  <c r="D58" i="1"/>
  <c r="D59" i="1"/>
  <c r="G54" i="1"/>
  <c r="G57" i="1"/>
  <c r="G58" i="1"/>
  <c r="G59" i="1"/>
  <c r="I54" i="1"/>
  <c r="I57" i="1"/>
  <c r="I62" i="1"/>
  <c r="E54" i="1"/>
  <c r="E57" i="1"/>
  <c r="E58" i="1"/>
  <c r="E59" i="1"/>
  <c r="F54" i="1"/>
  <c r="F57" i="1"/>
  <c r="F62" i="1"/>
  <c r="J54" i="1"/>
  <c r="J57" i="1"/>
  <c r="J62" i="1"/>
  <c r="H24" i="14"/>
  <c r="H26" i="14"/>
  <c r="H27" i="14"/>
  <c r="H28" i="14"/>
  <c r="H31" i="14"/>
  <c r="E24" i="14"/>
  <c r="E26" i="14"/>
  <c r="E27" i="14"/>
  <c r="E28" i="14"/>
  <c r="E31" i="14"/>
  <c r="G24" i="14"/>
  <c r="G26" i="14"/>
  <c r="G27" i="14"/>
  <c r="G28" i="14"/>
  <c r="G31" i="14"/>
  <c r="F24" i="14"/>
  <c r="F26" i="14"/>
  <c r="F27" i="14"/>
  <c r="F28" i="14"/>
  <c r="F31" i="14"/>
  <c r="M35" i="14"/>
  <c r="M36" i="14"/>
  <c r="J37" i="12"/>
  <c r="K39" i="12"/>
  <c r="H45" i="12"/>
  <c r="H58" i="1"/>
  <c r="H59" i="1"/>
  <c r="E62" i="1"/>
  <c r="I58" i="1"/>
  <c r="I59" i="1"/>
  <c r="J58" i="1"/>
  <c r="J59" i="1"/>
  <c r="G62" i="1"/>
  <c r="F58" i="1"/>
  <c r="F59" i="1"/>
  <c r="B31" i="14"/>
  <c r="H32" i="14"/>
  <c r="J63" i="1"/>
  <c r="J67" i="1"/>
  <c r="B62" i="1"/>
  <c r="B63" i="1"/>
</calcChain>
</file>

<file path=xl/comments1.xml><?xml version="1.0" encoding="utf-8"?>
<comments xmlns="http://schemas.openxmlformats.org/spreadsheetml/2006/main">
  <authors>
    <author>JCHeald</author>
    <author>Adam.Reab</author>
  </authors>
  <commentList>
    <comment ref="B18" authorId="0" shapeId="0">
      <text>
        <r>
          <rPr>
            <b/>
            <sz val="8"/>
            <color indexed="81"/>
            <rFont val="Tahoma"/>
            <family val="2"/>
          </rPr>
          <t>Note:</t>
        </r>
        <r>
          <rPr>
            <sz val="8"/>
            <color indexed="81"/>
            <rFont val="Tahoma"/>
            <family val="2"/>
          </rPr>
          <t xml:space="preserve">
Number of Generators</t>
        </r>
      </text>
    </comment>
    <comment ref="B22" authorId="0" shapeId="0">
      <text>
        <r>
          <rPr>
            <b/>
            <sz val="8"/>
            <color indexed="81"/>
            <rFont val="Tahoma"/>
            <family val="2"/>
          </rPr>
          <t>Note:</t>
        </r>
        <r>
          <rPr>
            <sz val="8"/>
            <color indexed="81"/>
            <rFont val="Tahoma"/>
            <family val="2"/>
          </rPr>
          <t xml:space="preserve">
Quantity of 1 is Normal</t>
        </r>
      </text>
    </comment>
    <comment ref="B23" authorId="0" shapeId="0">
      <text>
        <r>
          <rPr>
            <b/>
            <sz val="8"/>
            <color indexed="81"/>
            <rFont val="Tahoma"/>
            <family val="2"/>
          </rPr>
          <t>Note:</t>
        </r>
        <r>
          <rPr>
            <sz val="8"/>
            <color indexed="81"/>
            <rFont val="Tahoma"/>
            <family val="2"/>
          </rPr>
          <t xml:space="preserve">
Quantity of 1 unless fed from UPS which is typical</t>
        </r>
      </text>
    </comment>
    <comment ref="B24" authorId="0" shapeId="0">
      <text>
        <r>
          <rPr>
            <b/>
            <sz val="8"/>
            <color indexed="81"/>
            <rFont val="Tahoma"/>
            <family val="2"/>
          </rPr>
          <t>Note:</t>
        </r>
        <r>
          <rPr>
            <sz val="8"/>
            <color indexed="81"/>
            <rFont val="Tahoma"/>
            <family val="2"/>
          </rPr>
          <t xml:space="preserve">
Number of DCS cabinet locations (typically 6 for a 2x1)
(0 if fed from UPS)</t>
        </r>
      </text>
    </comment>
    <comment ref="B25" authorId="0" shapeId="0">
      <text>
        <r>
          <rPr>
            <b/>
            <sz val="8"/>
            <color indexed="81"/>
            <rFont val="Tahoma"/>
            <family val="2"/>
          </rPr>
          <t>Note:</t>
        </r>
        <r>
          <rPr>
            <sz val="8"/>
            <color indexed="81"/>
            <rFont val="Tahoma"/>
            <family val="2"/>
          </rPr>
          <t xml:space="preserve">
Typically fed from UPS</t>
        </r>
      </text>
    </comment>
    <comment ref="B28" authorId="0" shapeId="0">
      <text>
        <r>
          <rPr>
            <b/>
            <sz val="8"/>
            <color indexed="81"/>
            <rFont val="Tahoma"/>
            <family val="2"/>
          </rPr>
          <t>Note:</t>
        </r>
        <r>
          <rPr>
            <sz val="8"/>
            <color indexed="81"/>
            <rFont val="Tahoma"/>
            <family val="2"/>
          </rPr>
          <t xml:space="preserve">
Insert Number of Main Breakers</t>
        </r>
      </text>
    </comment>
    <comment ref="B30" authorId="0" shapeId="0">
      <text>
        <r>
          <rPr>
            <b/>
            <sz val="8"/>
            <color indexed="81"/>
            <rFont val="Tahoma"/>
            <family val="2"/>
          </rPr>
          <t>Note:</t>
        </r>
        <r>
          <rPr>
            <sz val="8"/>
            <color indexed="81"/>
            <rFont val="Tahoma"/>
            <family val="2"/>
          </rPr>
          <t xml:space="preserve">
Insert Number of Lineups</t>
        </r>
      </text>
    </comment>
    <comment ref="B31" authorId="0" shapeId="0">
      <text>
        <r>
          <rPr>
            <b/>
            <sz val="8"/>
            <color indexed="81"/>
            <rFont val="Tahoma"/>
            <family val="2"/>
          </rPr>
          <t>Note:</t>
        </r>
        <r>
          <rPr>
            <sz val="8"/>
            <color indexed="81"/>
            <rFont val="Tahoma"/>
            <family val="2"/>
          </rPr>
          <t xml:space="preserve">
Insert Number of Main Breakers</t>
        </r>
      </text>
    </comment>
    <comment ref="B33" authorId="0" shapeId="0">
      <text>
        <r>
          <rPr>
            <b/>
            <sz val="8"/>
            <color indexed="81"/>
            <rFont val="Tahoma"/>
            <family val="2"/>
          </rPr>
          <t>Note:</t>
        </r>
        <r>
          <rPr>
            <sz val="8"/>
            <color indexed="81"/>
            <rFont val="Tahoma"/>
            <family val="2"/>
          </rPr>
          <t xml:space="preserve">
Insert Number of Lineups</t>
        </r>
      </text>
    </comment>
    <comment ref="B39" authorId="0" shapeId="0">
      <text>
        <r>
          <rPr>
            <b/>
            <sz val="8"/>
            <color indexed="81"/>
            <rFont val="Tahoma"/>
            <family val="2"/>
          </rPr>
          <t>Note:</t>
        </r>
        <r>
          <rPr>
            <sz val="8"/>
            <color indexed="81"/>
            <rFont val="Tahoma"/>
            <family val="2"/>
          </rPr>
          <t xml:space="preserve">
Insert Number of GSUs</t>
        </r>
      </text>
    </comment>
    <comment ref="B40" authorId="0" shapeId="0">
      <text>
        <r>
          <rPr>
            <b/>
            <sz val="8"/>
            <color indexed="81"/>
            <rFont val="Tahoma"/>
            <family val="2"/>
          </rPr>
          <t>Note:</t>
        </r>
        <r>
          <rPr>
            <sz val="8"/>
            <color indexed="81"/>
            <rFont val="Tahoma"/>
            <family val="2"/>
          </rPr>
          <t xml:space="preserve">
Insert Number of UATs</t>
        </r>
      </text>
    </comment>
    <comment ref="B41" authorId="0" shapeId="0">
      <text>
        <r>
          <rPr>
            <b/>
            <sz val="8"/>
            <color indexed="81"/>
            <rFont val="Tahoma"/>
            <family val="2"/>
          </rPr>
          <t>Note:</t>
        </r>
        <r>
          <rPr>
            <sz val="8"/>
            <color indexed="81"/>
            <rFont val="Tahoma"/>
            <family val="2"/>
          </rPr>
          <t xml:space="preserve">
Insert Number of UATs</t>
        </r>
      </text>
    </comment>
    <comment ref="C54" authorId="0" shapeId="0">
      <text>
        <r>
          <rPr>
            <b/>
            <sz val="8"/>
            <color indexed="81"/>
            <rFont val="Tahoma"/>
            <family val="2"/>
          </rPr>
          <t>Note:</t>
        </r>
        <r>
          <rPr>
            <sz val="8"/>
            <color indexed="81"/>
            <rFont val="Tahoma"/>
            <family val="2"/>
          </rPr>
          <t xml:space="preserve">
DC Load KVA value from UPS Calc Sheet.</t>
        </r>
      </text>
    </comment>
    <comment ref="B55" authorId="0" shapeId="0">
      <text>
        <r>
          <rPr>
            <b/>
            <sz val="8"/>
            <color indexed="81"/>
            <rFont val="Tahoma"/>
            <family val="2"/>
          </rPr>
          <t>Note:</t>
        </r>
        <r>
          <rPr>
            <sz val="8"/>
            <color indexed="81"/>
            <rFont val="Tahoma"/>
            <family val="2"/>
          </rPr>
          <t xml:space="preserve">
Haynes had 4.</t>
        </r>
      </text>
    </comment>
    <comment ref="D59" authorId="1" shapeId="0">
      <text>
        <r>
          <rPr>
            <b/>
            <sz val="9"/>
            <color indexed="81"/>
            <rFont val="Tahoma"/>
            <family val="2"/>
          </rPr>
          <t>Adam.Reab:</t>
        </r>
        <r>
          <rPr>
            <sz val="9"/>
            <color indexed="81"/>
            <rFont val="Tahoma"/>
            <family val="2"/>
          </rPr>
          <t xml:space="preserve">
This cell is for battery charger sizing and should include margin</t>
        </r>
      </text>
    </comment>
  </commentList>
</comments>
</file>

<file path=xl/comments2.xml><?xml version="1.0" encoding="utf-8"?>
<comments xmlns="http://schemas.openxmlformats.org/spreadsheetml/2006/main">
  <authors>
    <author>JCHeald</author>
    <author>NJBaumert</author>
  </authors>
  <commentList>
    <comment ref="B17" authorId="0" shapeId="0">
      <text>
        <r>
          <rPr>
            <b/>
            <sz val="8"/>
            <color indexed="81"/>
            <rFont val="Tahoma"/>
            <family val="2"/>
          </rPr>
          <t>Note:</t>
        </r>
        <r>
          <rPr>
            <sz val="8"/>
            <color indexed="81"/>
            <rFont val="Tahoma"/>
            <family val="2"/>
          </rPr>
          <t xml:space="preserve">
Quantity of HRSGs.</t>
        </r>
      </text>
    </comment>
    <comment ref="B20" authorId="0" shapeId="0">
      <text>
        <r>
          <rPr>
            <b/>
            <sz val="8"/>
            <color indexed="81"/>
            <rFont val="Tahoma"/>
            <family val="2"/>
          </rPr>
          <t>Note:</t>
        </r>
        <r>
          <rPr>
            <sz val="8"/>
            <color indexed="81"/>
            <rFont val="Tahoma"/>
            <family val="2"/>
          </rPr>
          <t xml:space="preserve">
Zero out if there are no HRSGs on the project.</t>
        </r>
      </text>
    </comment>
    <comment ref="B23" authorId="1" shapeId="0">
      <text>
        <r>
          <rPr>
            <b/>
            <sz val="8"/>
            <color indexed="81"/>
            <rFont val="Tahoma"/>
            <family val="2"/>
          </rPr>
          <t>Note:</t>
        </r>
        <r>
          <rPr>
            <sz val="8"/>
            <color indexed="81"/>
            <rFont val="Tahoma"/>
            <family val="2"/>
          </rPr>
          <t xml:space="preserve">
(typically 6 for 2x1)
(0 if fed from Battery)</t>
        </r>
      </text>
    </comment>
    <comment ref="B29" authorId="1" shapeId="0">
      <text>
        <r>
          <rPr>
            <b/>
            <sz val="8"/>
            <color indexed="81"/>
            <rFont val="Tahoma"/>
            <family val="2"/>
          </rPr>
          <t>Note:</t>
        </r>
        <r>
          <rPr>
            <sz val="8"/>
            <color indexed="81"/>
            <rFont val="Tahoma"/>
            <family val="2"/>
          </rPr>
          <t xml:space="preserve">
(Include Duct Burner PLC, Air Compressor PLC, and CEMs PLC)</t>
        </r>
      </text>
    </comment>
  </commentList>
</comments>
</file>

<file path=xl/comments3.xml><?xml version="1.0" encoding="utf-8"?>
<comments xmlns="http://schemas.openxmlformats.org/spreadsheetml/2006/main">
  <authors>
    <author>JCHeald</author>
  </authors>
  <commentList>
    <comment ref="AH14" authorId="0" shapeId="0">
      <text>
        <r>
          <rPr>
            <b/>
            <sz val="8"/>
            <color indexed="81"/>
            <rFont val="Tahoma"/>
            <family val="2"/>
          </rPr>
          <t>Note:</t>
        </r>
        <r>
          <rPr>
            <sz val="8"/>
            <color indexed="81"/>
            <rFont val="Tahoma"/>
            <family val="2"/>
          </rPr>
          <t xml:space="preserve">
Assumed 50% load.</t>
        </r>
      </text>
    </comment>
  </commentList>
</comments>
</file>

<file path=xl/comments4.xml><?xml version="1.0" encoding="utf-8"?>
<comments xmlns="http://schemas.openxmlformats.org/spreadsheetml/2006/main">
  <authors>
    <author>JCHeald</author>
  </authors>
  <commentList>
    <comment ref="L12" authorId="0" shapeId="0">
      <text>
        <r>
          <rPr>
            <b/>
            <sz val="8"/>
            <color indexed="81"/>
            <rFont val="Tahoma"/>
            <family val="2"/>
          </rPr>
          <t>Note:</t>
        </r>
        <r>
          <rPr>
            <sz val="8"/>
            <color indexed="81"/>
            <rFont val="Tahoma"/>
            <family val="2"/>
          </rPr>
          <t xml:space="preserve">
Quantity of HRSGs.</t>
        </r>
      </text>
    </comment>
    <comment ref="B13" authorId="0" shapeId="0">
      <text>
        <r>
          <rPr>
            <b/>
            <sz val="8"/>
            <color indexed="81"/>
            <rFont val="Tahoma"/>
            <family val="2"/>
          </rPr>
          <t>Note:</t>
        </r>
        <r>
          <rPr>
            <sz val="8"/>
            <color indexed="81"/>
            <rFont val="Tahoma"/>
            <family val="2"/>
          </rPr>
          <t xml:space="preserve">
Quantity of 1 is Normal</t>
        </r>
      </text>
    </comment>
    <comment ref="B14" authorId="0" shapeId="0">
      <text>
        <r>
          <rPr>
            <b/>
            <sz val="8"/>
            <color indexed="81"/>
            <rFont val="Tahoma"/>
            <family val="2"/>
          </rPr>
          <t>Note:</t>
        </r>
        <r>
          <rPr>
            <sz val="8"/>
            <color indexed="81"/>
            <rFont val="Tahoma"/>
            <family val="2"/>
          </rPr>
          <t xml:space="preserve">
Quantity of 1 unless fed from UPS which is typical</t>
        </r>
      </text>
    </comment>
    <comment ref="L15" authorId="0" shapeId="0">
      <text>
        <r>
          <rPr>
            <b/>
            <sz val="8"/>
            <color indexed="81"/>
            <rFont val="Tahoma"/>
            <family val="2"/>
          </rPr>
          <t>Note:</t>
        </r>
        <r>
          <rPr>
            <sz val="8"/>
            <color indexed="81"/>
            <rFont val="Tahoma"/>
            <family val="2"/>
          </rPr>
          <t xml:space="preserve">
Zero out if there are no HRSGs on the project.</t>
        </r>
      </text>
    </comment>
    <comment ref="B16" authorId="0" shapeId="0">
      <text>
        <r>
          <rPr>
            <b/>
            <sz val="8"/>
            <color indexed="81"/>
            <rFont val="Tahoma"/>
            <family val="2"/>
          </rPr>
          <t>Note:</t>
        </r>
        <r>
          <rPr>
            <sz val="8"/>
            <color indexed="81"/>
            <rFont val="Tahoma"/>
            <family val="2"/>
          </rPr>
          <t xml:space="preserve">
Insert Number of Main Breakers</t>
        </r>
      </text>
    </comment>
    <comment ref="B17" authorId="0" shapeId="0">
      <text>
        <r>
          <rPr>
            <b/>
            <sz val="8"/>
            <color indexed="81"/>
            <rFont val="Tahoma"/>
            <family val="2"/>
          </rPr>
          <t>Note:</t>
        </r>
        <r>
          <rPr>
            <sz val="8"/>
            <color indexed="81"/>
            <rFont val="Tahoma"/>
            <family val="2"/>
          </rPr>
          <t xml:space="preserve">
Insert Number of Main Breakers</t>
        </r>
      </text>
    </comment>
    <comment ref="B19" authorId="0" shapeId="0">
      <text>
        <r>
          <rPr>
            <b/>
            <sz val="8"/>
            <color indexed="81"/>
            <rFont val="Tahoma"/>
            <family val="2"/>
          </rPr>
          <t>Note:</t>
        </r>
        <r>
          <rPr>
            <sz val="8"/>
            <color indexed="81"/>
            <rFont val="Tahoma"/>
            <family val="2"/>
          </rPr>
          <t xml:space="preserve">
Insert Number of Lineups</t>
        </r>
      </text>
    </comment>
    <comment ref="B20" authorId="0" shapeId="0">
      <text>
        <r>
          <rPr>
            <b/>
            <sz val="8"/>
            <color indexed="81"/>
            <rFont val="Tahoma"/>
            <family val="2"/>
          </rPr>
          <t>Note:</t>
        </r>
        <r>
          <rPr>
            <sz val="8"/>
            <color indexed="81"/>
            <rFont val="Tahoma"/>
            <family val="2"/>
          </rPr>
          <t xml:space="preserve">
Insert Number of Main Breakers</t>
        </r>
      </text>
    </comment>
    <comment ref="B22" authorId="0" shapeId="0">
      <text>
        <r>
          <rPr>
            <b/>
            <sz val="8"/>
            <color indexed="81"/>
            <rFont val="Tahoma"/>
            <family val="2"/>
          </rPr>
          <t>Note:</t>
        </r>
        <r>
          <rPr>
            <sz val="8"/>
            <color indexed="81"/>
            <rFont val="Tahoma"/>
            <family val="2"/>
          </rPr>
          <t xml:space="preserve">
Insert Number of Lineups</t>
        </r>
      </text>
    </comment>
    <comment ref="C24" authorId="0" shapeId="0">
      <text>
        <r>
          <rPr>
            <b/>
            <sz val="8"/>
            <color indexed="81"/>
            <rFont val="Tahoma"/>
            <family val="2"/>
          </rPr>
          <t>Note:</t>
        </r>
        <r>
          <rPr>
            <sz val="8"/>
            <color indexed="81"/>
            <rFont val="Tahoma"/>
            <family val="2"/>
          </rPr>
          <t xml:space="preserve">
UPS KVA value from UPS Calc Sheet.</t>
        </r>
      </text>
    </comment>
    <comment ref="B25" authorId="0" shapeId="0">
      <text>
        <r>
          <rPr>
            <b/>
            <sz val="8"/>
            <color indexed="81"/>
            <rFont val="Tahoma"/>
            <family val="2"/>
          </rPr>
          <t>Note:</t>
        </r>
        <r>
          <rPr>
            <sz val="8"/>
            <color indexed="81"/>
            <rFont val="Tahoma"/>
            <family val="2"/>
          </rPr>
          <t xml:space="preserve">
Haynes had 4.</t>
        </r>
      </text>
    </comment>
  </commentList>
</comments>
</file>

<file path=xl/comments5.xml><?xml version="1.0" encoding="utf-8"?>
<comments xmlns="http://schemas.openxmlformats.org/spreadsheetml/2006/main">
  <authors>
    <author>JCHeald</author>
    <author>DPMcEnaney</author>
  </authors>
  <commentList>
    <comment ref="B9" authorId="0" shapeId="0">
      <text>
        <r>
          <rPr>
            <b/>
            <sz val="8"/>
            <color indexed="81"/>
            <rFont val="Tahoma"/>
            <family val="2"/>
          </rPr>
          <t>Note:</t>
        </r>
        <r>
          <rPr>
            <sz val="8"/>
            <color indexed="81"/>
            <rFont val="Tahoma"/>
            <family val="2"/>
          </rPr>
          <t xml:space="preserve">
Number of Generators</t>
        </r>
      </text>
    </comment>
    <comment ref="N9" authorId="1" shapeId="0">
      <text>
        <r>
          <rPr>
            <b/>
            <sz val="8"/>
            <color indexed="81"/>
            <rFont val="Tahoma"/>
            <family val="2"/>
          </rPr>
          <t>DPMcEnaney:</t>
        </r>
        <r>
          <rPr>
            <sz val="8"/>
            <color indexed="81"/>
            <rFont val="Tahoma"/>
            <family val="2"/>
          </rPr>
          <t xml:space="preserve">
Changed from original per Jeremy Buchanan</t>
        </r>
      </text>
    </comment>
    <comment ref="B13" authorId="0" shapeId="0">
      <text>
        <r>
          <rPr>
            <b/>
            <sz val="8"/>
            <color indexed="81"/>
            <rFont val="Tahoma"/>
            <family val="2"/>
          </rPr>
          <t>Note:</t>
        </r>
        <r>
          <rPr>
            <sz val="8"/>
            <color indexed="81"/>
            <rFont val="Tahoma"/>
            <family val="2"/>
          </rPr>
          <t xml:space="preserve">
Quantity of 1 is Normal</t>
        </r>
      </text>
    </comment>
    <comment ref="M13" authorId="0" shapeId="0">
      <text>
        <r>
          <rPr>
            <b/>
            <sz val="8"/>
            <color indexed="81"/>
            <rFont val="Tahoma"/>
            <family val="2"/>
          </rPr>
          <t>Note:</t>
        </r>
        <r>
          <rPr>
            <sz val="8"/>
            <color indexed="81"/>
            <rFont val="Tahoma"/>
            <family val="2"/>
          </rPr>
          <t xml:space="preserve">
Quantity of HRSGs.</t>
        </r>
      </text>
    </comment>
    <comment ref="B14" authorId="0" shapeId="0">
      <text>
        <r>
          <rPr>
            <b/>
            <sz val="8"/>
            <color indexed="81"/>
            <rFont val="Tahoma"/>
            <family val="2"/>
          </rPr>
          <t>Note:</t>
        </r>
        <r>
          <rPr>
            <sz val="8"/>
            <color indexed="81"/>
            <rFont val="Tahoma"/>
            <family val="2"/>
          </rPr>
          <t xml:space="preserve">
Quantity of 1 unless fed from UPS which is typical</t>
        </r>
      </text>
    </comment>
    <comment ref="B15" authorId="0" shapeId="0">
      <text>
        <r>
          <rPr>
            <b/>
            <sz val="8"/>
            <color indexed="81"/>
            <rFont val="Tahoma"/>
            <family val="2"/>
          </rPr>
          <t>Note:</t>
        </r>
        <r>
          <rPr>
            <sz val="8"/>
            <color indexed="81"/>
            <rFont val="Tahoma"/>
            <family val="2"/>
          </rPr>
          <t xml:space="preserve">
Number of DCS cabinet locations (typically 4 for a 2x1)
(typically fed from UPS)</t>
        </r>
      </text>
    </comment>
    <comment ref="B16" authorId="0" shapeId="0">
      <text>
        <r>
          <rPr>
            <b/>
            <sz val="8"/>
            <color indexed="81"/>
            <rFont val="Tahoma"/>
            <family val="2"/>
          </rPr>
          <t>Note:</t>
        </r>
        <r>
          <rPr>
            <sz val="8"/>
            <color indexed="81"/>
            <rFont val="Tahoma"/>
            <family val="2"/>
          </rPr>
          <t xml:space="preserve">
Typically fed from UPS</t>
        </r>
      </text>
    </comment>
    <comment ref="M16" authorId="0" shapeId="0">
      <text>
        <r>
          <rPr>
            <b/>
            <sz val="8"/>
            <color indexed="81"/>
            <rFont val="Tahoma"/>
            <family val="2"/>
          </rPr>
          <t>Note:</t>
        </r>
        <r>
          <rPr>
            <sz val="8"/>
            <color indexed="81"/>
            <rFont val="Tahoma"/>
            <family val="2"/>
          </rPr>
          <t xml:space="preserve">
Zero out if there are no HRSGs on the project.</t>
        </r>
      </text>
    </comment>
    <comment ref="B19" authorId="0" shapeId="0">
      <text>
        <r>
          <rPr>
            <b/>
            <sz val="8"/>
            <color indexed="81"/>
            <rFont val="Tahoma"/>
            <family val="2"/>
          </rPr>
          <t>Note:</t>
        </r>
        <r>
          <rPr>
            <sz val="8"/>
            <color indexed="81"/>
            <rFont val="Tahoma"/>
            <family val="2"/>
          </rPr>
          <t xml:space="preserve">
Insert Number of Main Breakers</t>
        </r>
      </text>
    </comment>
    <comment ref="N19" authorId="1" shapeId="0">
      <text>
        <r>
          <rPr>
            <b/>
            <sz val="8"/>
            <color indexed="81"/>
            <rFont val="Tahoma"/>
            <family val="2"/>
          </rPr>
          <t>DPMcEnaney:</t>
        </r>
        <r>
          <rPr>
            <sz val="8"/>
            <color indexed="81"/>
            <rFont val="Tahoma"/>
            <family val="2"/>
          </rPr>
          <t xml:space="preserve">
Changed from original per Jeremy Buchanan</t>
        </r>
      </text>
    </comment>
    <comment ref="N20" authorId="1" shapeId="0">
      <text>
        <r>
          <rPr>
            <b/>
            <sz val="8"/>
            <color indexed="81"/>
            <rFont val="Tahoma"/>
            <family val="2"/>
          </rPr>
          <t>DPMcEnaney:</t>
        </r>
        <r>
          <rPr>
            <sz val="8"/>
            <color indexed="81"/>
            <rFont val="Tahoma"/>
            <family val="2"/>
          </rPr>
          <t xml:space="preserve">
Changed from original per Jeremy Buchanan</t>
        </r>
      </text>
    </comment>
    <comment ref="B21" authorId="0" shapeId="0">
      <text>
        <r>
          <rPr>
            <b/>
            <sz val="8"/>
            <color indexed="81"/>
            <rFont val="Tahoma"/>
            <family val="2"/>
          </rPr>
          <t>Note:</t>
        </r>
        <r>
          <rPr>
            <sz val="8"/>
            <color indexed="81"/>
            <rFont val="Tahoma"/>
            <family val="2"/>
          </rPr>
          <t xml:space="preserve">
Insert Number of Lineups</t>
        </r>
      </text>
    </comment>
    <comment ref="N21" authorId="1" shapeId="0">
      <text>
        <r>
          <rPr>
            <b/>
            <sz val="8"/>
            <color indexed="81"/>
            <rFont val="Tahoma"/>
            <family val="2"/>
          </rPr>
          <t>DPMcEnaney:</t>
        </r>
        <r>
          <rPr>
            <sz val="8"/>
            <color indexed="81"/>
            <rFont val="Tahoma"/>
            <family val="2"/>
          </rPr>
          <t xml:space="preserve">
Changed from original per Jeremy Buchanan</t>
        </r>
      </text>
    </comment>
    <comment ref="B22" authorId="0" shapeId="0">
      <text>
        <r>
          <rPr>
            <b/>
            <sz val="8"/>
            <color indexed="81"/>
            <rFont val="Tahoma"/>
            <family val="2"/>
          </rPr>
          <t>Note:</t>
        </r>
        <r>
          <rPr>
            <sz val="8"/>
            <color indexed="81"/>
            <rFont val="Tahoma"/>
            <family val="2"/>
          </rPr>
          <t xml:space="preserve">
Insert Number of Main Breakers</t>
        </r>
      </text>
    </comment>
    <comment ref="N22" authorId="1" shapeId="0">
      <text>
        <r>
          <rPr>
            <b/>
            <sz val="8"/>
            <color indexed="81"/>
            <rFont val="Tahoma"/>
            <family val="2"/>
          </rPr>
          <t>DPMcEnaney:</t>
        </r>
        <r>
          <rPr>
            <sz val="8"/>
            <color indexed="81"/>
            <rFont val="Tahoma"/>
            <family val="2"/>
          </rPr>
          <t xml:space="preserve">
Changed from original per Jeremy Buchanan</t>
        </r>
      </text>
    </comment>
    <comment ref="B24" authorId="0" shapeId="0">
      <text>
        <r>
          <rPr>
            <b/>
            <sz val="8"/>
            <color indexed="81"/>
            <rFont val="Tahoma"/>
            <family val="2"/>
          </rPr>
          <t>Note:</t>
        </r>
        <r>
          <rPr>
            <sz val="8"/>
            <color indexed="81"/>
            <rFont val="Tahoma"/>
            <family val="2"/>
          </rPr>
          <t xml:space="preserve">
Insert Number of Lineups</t>
        </r>
      </text>
    </comment>
    <comment ref="N25" authorId="1" shapeId="0">
      <text>
        <r>
          <rPr>
            <b/>
            <sz val="8"/>
            <color indexed="81"/>
            <rFont val="Tahoma"/>
            <family val="2"/>
          </rPr>
          <t>DPMcEnaney:</t>
        </r>
        <r>
          <rPr>
            <sz val="8"/>
            <color indexed="81"/>
            <rFont val="Tahoma"/>
            <family val="2"/>
          </rPr>
          <t xml:space="preserve">
Changed from original per Jeremy Buchanan</t>
        </r>
      </text>
    </comment>
    <comment ref="B30" authorId="0" shapeId="0">
      <text>
        <r>
          <rPr>
            <b/>
            <sz val="8"/>
            <color indexed="81"/>
            <rFont val="Tahoma"/>
            <family val="2"/>
          </rPr>
          <t>Note:</t>
        </r>
        <r>
          <rPr>
            <sz val="8"/>
            <color indexed="81"/>
            <rFont val="Tahoma"/>
            <family val="2"/>
          </rPr>
          <t xml:space="preserve">
Insert Number of GSUs</t>
        </r>
      </text>
    </comment>
    <comment ref="B31" authorId="0" shapeId="0">
      <text>
        <r>
          <rPr>
            <b/>
            <sz val="8"/>
            <color indexed="81"/>
            <rFont val="Tahoma"/>
            <family val="2"/>
          </rPr>
          <t>Note:</t>
        </r>
        <r>
          <rPr>
            <sz val="8"/>
            <color indexed="81"/>
            <rFont val="Tahoma"/>
            <family val="2"/>
          </rPr>
          <t xml:space="preserve">
Insert Number of UATs</t>
        </r>
      </text>
    </comment>
    <comment ref="C34" authorId="0" shapeId="0">
      <text>
        <r>
          <rPr>
            <b/>
            <sz val="8"/>
            <color indexed="81"/>
            <rFont val="Tahoma"/>
            <family val="2"/>
          </rPr>
          <t>Note:</t>
        </r>
        <r>
          <rPr>
            <sz val="8"/>
            <color indexed="81"/>
            <rFont val="Tahoma"/>
            <family val="2"/>
          </rPr>
          <t xml:space="preserve">
UPS KVA value from UPS Calc Sheet.</t>
        </r>
      </text>
    </comment>
    <comment ref="B35" authorId="0" shapeId="0">
      <text>
        <r>
          <rPr>
            <b/>
            <sz val="8"/>
            <color indexed="81"/>
            <rFont val="Tahoma"/>
            <family val="2"/>
          </rPr>
          <t>Note:</t>
        </r>
        <r>
          <rPr>
            <sz val="8"/>
            <color indexed="81"/>
            <rFont val="Tahoma"/>
            <family val="2"/>
          </rPr>
          <t xml:space="preserve">
Haynes had 4.</t>
        </r>
      </text>
    </comment>
  </commentList>
</comments>
</file>

<file path=xl/comments6.xml><?xml version="1.0" encoding="utf-8"?>
<comments xmlns="http://schemas.openxmlformats.org/spreadsheetml/2006/main">
  <authors>
    <author>RJBERLAND</author>
  </authors>
  <commentList>
    <comment ref="F33" authorId="0" shapeId="0">
      <text>
        <r>
          <rPr>
            <b/>
            <sz val="8"/>
            <color indexed="81"/>
            <rFont val="Tahoma"/>
            <family val="2"/>
          </rPr>
          <t>RJBERLAND:</t>
        </r>
        <r>
          <rPr>
            <sz val="8"/>
            <color indexed="81"/>
            <rFont val="Tahoma"/>
            <family val="2"/>
          </rPr>
          <t xml:space="preserve">
Device numbers, counts and power requirements are hand tallied in the project design notebook.</t>
        </r>
      </text>
    </comment>
  </commentList>
</comments>
</file>

<file path=xl/comments7.xml><?xml version="1.0" encoding="utf-8"?>
<comments xmlns="http://schemas.openxmlformats.org/spreadsheetml/2006/main">
  <authors>
    <author>RJBERLAND</author>
  </authors>
  <commentList>
    <comment ref="H46" authorId="0" shapeId="0">
      <text>
        <r>
          <rPr>
            <b/>
            <sz val="8"/>
            <color indexed="81"/>
            <rFont val="Tahoma"/>
            <family val="2"/>
          </rPr>
          <t>RJBERLAND:</t>
        </r>
        <r>
          <rPr>
            <sz val="8"/>
            <color indexed="81"/>
            <rFont val="Tahoma"/>
            <family val="2"/>
          </rPr>
          <t xml:space="preserve">
Device numbers, counts and power requirements are hand tallied in the project design notebook.</t>
        </r>
      </text>
    </comment>
  </commentList>
</comments>
</file>

<file path=xl/sharedStrings.xml><?xml version="1.0" encoding="utf-8"?>
<sst xmlns="http://schemas.openxmlformats.org/spreadsheetml/2006/main" count="1462" uniqueCount="785">
  <si>
    <t>Battery Calculation Worksheet</t>
  </si>
  <si>
    <t xml:space="preserve">Project Name </t>
  </si>
  <si>
    <t>Project Number</t>
  </si>
  <si>
    <t>2-60</t>
  </si>
  <si>
    <t>61-120</t>
  </si>
  <si>
    <t>121-180</t>
  </si>
  <si>
    <t>181-239</t>
  </si>
  <si>
    <t>Plant Battery Voltage</t>
  </si>
  <si>
    <t>Elapsed Time (minutes)</t>
  </si>
  <si>
    <t>Margin</t>
  </si>
  <si>
    <t>Duration (minutes)</t>
  </si>
  <si>
    <t>SERVICE</t>
  </si>
  <si>
    <t xml:space="preserve"> QUANTITY</t>
  </si>
  <si>
    <t>RUN AMPS</t>
  </si>
  <si>
    <t>NORMAL AMPS</t>
  </si>
  <si>
    <t>DUTY CYCLE AMPS</t>
  </si>
  <si>
    <t>Steam Turbine</t>
  </si>
  <si>
    <t>Emergency Lube Oil Pump</t>
  </si>
  <si>
    <t>Emergency Seal Oil Pump</t>
  </si>
  <si>
    <t>Generator Protection Relay Panel</t>
  </si>
  <si>
    <t>Relay Panels</t>
  </si>
  <si>
    <t>Lock Out Relay for Generator and Breaker</t>
  </si>
  <si>
    <t>Relay and Metering Panels</t>
  </si>
  <si>
    <t>Control System</t>
  </si>
  <si>
    <t>Misc Control Panels</t>
  </si>
  <si>
    <t>Control Room Equipment</t>
  </si>
  <si>
    <t>DCS Cabinet</t>
  </si>
  <si>
    <t>PLC</t>
  </si>
  <si>
    <t>Electrically Operated Breakers</t>
  </si>
  <si>
    <t>Medium Voltage Breaker (Trip)</t>
  </si>
  <si>
    <t>Medium Voltage Breaker (Close)</t>
  </si>
  <si>
    <t>Medium Voltage Switchgear (Normal)</t>
  </si>
  <si>
    <t>Low Voltage Breaker (Trip)</t>
  </si>
  <si>
    <t>Low Voltage Breaker (Close)</t>
  </si>
  <si>
    <t>Low Voltage Switchgear (Normal)</t>
  </si>
  <si>
    <t>Generator Circuit Breaker (Trip)</t>
  </si>
  <si>
    <t>Generator Circuit Breaker (Close)</t>
  </si>
  <si>
    <t>Generator Circuit Breaker (Charging Motor)</t>
  </si>
  <si>
    <t>Transformers</t>
  </si>
  <si>
    <t>Generator Step-Up Transformer Relay</t>
  </si>
  <si>
    <t>Unit Auxiliary Transformer Relay</t>
  </si>
  <si>
    <t>SUS Transformer Relay</t>
  </si>
  <si>
    <t>Emergency Diesel Generator</t>
  </si>
  <si>
    <t>EDG Panel (Idle)</t>
  </si>
  <si>
    <t>EDG Panel (In Operation)</t>
  </si>
  <si>
    <t>Switchyard Equipment</t>
  </si>
  <si>
    <t>High Voltage Circuit Breaker (Trip)</t>
  </si>
  <si>
    <t>High Voltage Circuit Breaker (Close)</t>
  </si>
  <si>
    <t>High Voltage Circuit Breaker (Normal)</t>
  </si>
  <si>
    <t>Switchyard Relay Panel</t>
  </si>
  <si>
    <t>Graph includes margin</t>
  </si>
  <si>
    <t>Misc.</t>
  </si>
  <si>
    <t>UPS</t>
  </si>
  <si>
    <t>Fire Panel</t>
  </si>
  <si>
    <t>Total Load (A)</t>
  </si>
  <si>
    <t>Total w/ Design Margin (A)</t>
  </si>
  <si>
    <t>Battery Charger Calculation</t>
  </si>
  <si>
    <t>Recharging Time (hours)</t>
  </si>
  <si>
    <t>Amp-Hour Ratings</t>
  </si>
  <si>
    <t>Minimum Battery Charger Capacity (A)</t>
  </si>
  <si>
    <t>Rated Battery Charger Capacity (A)</t>
  </si>
  <si>
    <r>
      <t>Base Battery Capacity (C</t>
    </r>
    <r>
      <rPr>
        <vertAlign val="subscript"/>
        <sz val="8"/>
        <rFont val="Arial"/>
        <family val="2"/>
      </rPr>
      <t>b</t>
    </r>
    <r>
      <rPr>
        <sz val="8"/>
        <rFont val="Arial"/>
        <family val="2"/>
      </rPr>
      <t>)</t>
    </r>
  </si>
  <si>
    <t>Design Margin</t>
  </si>
  <si>
    <t>Temperature Correction Factor</t>
  </si>
  <si>
    <t>Age Factor</t>
  </si>
  <si>
    <t>Expected Battery Size (Ah minimum)</t>
  </si>
  <si>
    <t>1.1 = Recharging Factor for Lead Acid Battery Type</t>
  </si>
  <si>
    <t>L = plant load at normal conditions (Normal Amps)</t>
  </si>
  <si>
    <t>C = Ampere hours emergency discharge (Total Ah)</t>
  </si>
  <si>
    <t>H = number of hours recharge time required per contract</t>
  </si>
  <si>
    <r>
      <t>C</t>
    </r>
    <r>
      <rPr>
        <vertAlign val="subscript"/>
        <sz val="8"/>
        <rFont val="Arial"/>
        <family val="2"/>
      </rPr>
      <t>b</t>
    </r>
    <r>
      <rPr>
        <sz val="8"/>
        <rFont val="Arial"/>
        <family val="2"/>
      </rPr>
      <t xml:space="preserve"> = Battery Base Capacity</t>
    </r>
  </si>
  <si>
    <t>DM = Design Margin</t>
  </si>
  <si>
    <t>T = Temperature Correction Factor</t>
  </si>
  <si>
    <t>A = Age Factor</t>
  </si>
  <si>
    <t>UPS Calculation Worksheet</t>
  </si>
  <si>
    <t>Plant UPS Voltage</t>
  </si>
  <si>
    <t>Efficiency</t>
  </si>
  <si>
    <t>Single Phase</t>
  </si>
  <si>
    <t>AMPS</t>
  </si>
  <si>
    <t>KVA</t>
  </si>
  <si>
    <t>Demand</t>
  </si>
  <si>
    <t>Demand KVA</t>
  </si>
  <si>
    <t>Hydrogen Monitor Cabinet</t>
  </si>
  <si>
    <t>Mark VI Control Panel</t>
  </si>
  <si>
    <t>Workstation</t>
  </si>
  <si>
    <t>Combustion Turbine</t>
  </si>
  <si>
    <t>HRSG</t>
  </si>
  <si>
    <t>LP Drum Remote Level Element</t>
  </si>
  <si>
    <t>IP Drum Remote Level Element</t>
  </si>
  <si>
    <t>HP Drum Remote Level Element</t>
  </si>
  <si>
    <t>Drum Water Level Gauge Control Panel</t>
  </si>
  <si>
    <t>DCS Cabinets</t>
  </si>
  <si>
    <t>Engineering Workstation</t>
  </si>
  <si>
    <t>Historian Workstation/Server</t>
  </si>
  <si>
    <t>Operator Workstation</t>
  </si>
  <si>
    <t>Printer</t>
  </si>
  <si>
    <t>Network Cabinet</t>
  </si>
  <si>
    <t>PLCs</t>
  </si>
  <si>
    <t>Solenoid Valves</t>
  </si>
  <si>
    <t>CEMS Power</t>
  </si>
  <si>
    <t>CEMS Log Printer</t>
  </si>
  <si>
    <t>CEMS OWS</t>
  </si>
  <si>
    <t>Communications/Telephone</t>
  </si>
  <si>
    <t>Totals</t>
  </si>
  <si>
    <t>Total</t>
  </si>
  <si>
    <t>UPS
KVA</t>
  </si>
  <si>
    <t>DC Load
KVA</t>
  </si>
  <si>
    <t>Total Load</t>
  </si>
  <si>
    <t>UPS Chosen</t>
  </si>
  <si>
    <t>Thorold</t>
  </si>
  <si>
    <t>Panoche</t>
  </si>
  <si>
    <t>Bartow 4X1</t>
  </si>
  <si>
    <t>Hines 3</t>
  </si>
  <si>
    <t>Hines 4</t>
  </si>
  <si>
    <t>Palomar</t>
  </si>
  <si>
    <t>GDMEC</t>
  </si>
  <si>
    <t>Haynes</t>
  </si>
  <si>
    <t>DPPP</t>
  </si>
  <si>
    <t>1st Minute</t>
  </si>
  <si>
    <t>Duration</t>
  </si>
  <si>
    <t>Last Minute</t>
  </si>
  <si>
    <t>Normal</t>
  </si>
  <si>
    <t>SF6 HV Bkr Trip Coil 1</t>
  </si>
  <si>
    <t>SF6 HV Bkr Trip Coil 2</t>
  </si>
  <si>
    <t>SF6 HV Bkr Close Coil</t>
  </si>
  <si>
    <t>GSU Relay</t>
  </si>
  <si>
    <t>UAT Relay</t>
  </si>
  <si>
    <t>MV Bkr Trip</t>
  </si>
  <si>
    <t>MV Bkr Close</t>
  </si>
  <si>
    <t>MV SWGR/MCC</t>
  </si>
  <si>
    <t>LV Bkr Trip</t>
  </si>
  <si>
    <t>LV Bkr Close</t>
  </si>
  <si>
    <t>LV SWGR</t>
  </si>
  <si>
    <t>Fire Protection Panel</t>
  </si>
  <si>
    <t>Feeder to Switchyard</t>
  </si>
  <si>
    <t>Lock Out Relay</t>
  </si>
  <si>
    <t>GCB Trip</t>
  </si>
  <si>
    <t>GCB Close</t>
  </si>
  <si>
    <t>GCB Charging Motor</t>
  </si>
  <si>
    <t>Assumed charge after close</t>
  </si>
  <si>
    <t>Relay and Metering Panel</t>
  </si>
  <si>
    <t>Emerg. Diesel Gen Control Pnl &amp; 480V Bkr</t>
  </si>
  <si>
    <t>THOROLD - STG - Siemens</t>
  </si>
  <si>
    <t>Power Supply for AVR</t>
  </si>
  <si>
    <t>Power Supply for Cabinet CJJ10</t>
  </si>
  <si>
    <t>BARTOW - STG - Mitsubishi</t>
  </si>
  <si>
    <t>ST Generator Regulation Panel (S-TGR)</t>
  </si>
  <si>
    <t>STG Package Lighting</t>
  </si>
  <si>
    <t>Turbine Protection Panel (S-TPR)</t>
  </si>
  <si>
    <t>Generator Protection Panel (S-GPR)</t>
  </si>
  <si>
    <t>STG DCS cabinets (S-DCS)</t>
  </si>
  <si>
    <t>125VDC Motor Control Center (S-DMS)</t>
  </si>
  <si>
    <t>STG Ventilation Valve</t>
  </si>
  <si>
    <t>HINES 3 SWPC - STG</t>
  </si>
  <si>
    <t>STG TXP Cabinet Feed 1</t>
  </si>
  <si>
    <t>STG TXP Cabinet Feed 2</t>
  </si>
  <si>
    <t>STG TXP Cabinet Feed 3</t>
  </si>
  <si>
    <t>STG TXP Cabinet Feed 4</t>
  </si>
  <si>
    <t>STG Generator Protective Panel (GPR) Feed 1</t>
  </si>
  <si>
    <t>STG Generator Protective Panel (GPR) Feed 2</t>
  </si>
  <si>
    <t>STG Auxiliary Protective Realy Panel (APR)</t>
  </si>
  <si>
    <t>STG Voltage Regulator Cabinet/Panel Feed (AVR/VRP)</t>
  </si>
  <si>
    <t>STG Emergency Lube Oil Pump 16kW (1 hour)</t>
  </si>
  <si>
    <t>HINES 4 - STG</t>
  </si>
  <si>
    <t>STG Emergency Lube Oil Pump 40hp (2 hour)</t>
  </si>
  <si>
    <t>STG MARK VI (1FEED)</t>
  </si>
  <si>
    <t>STG GPP (6 FEEDS)/EXCITER (1 FEED)</t>
  </si>
  <si>
    <t>Palomar - STG - GE D11</t>
  </si>
  <si>
    <t>Steam Turbine (ST) Emergency Lube Oil Pump</t>
  </si>
  <si>
    <t>Steam Turbine (ST) Emergency Seal Oil Pump</t>
  </si>
  <si>
    <t>ST Generator Protection Panel</t>
  </si>
  <si>
    <t>ST Generator Mark VI control panel</t>
  </si>
  <si>
    <t>GDMEC - STG</t>
  </si>
  <si>
    <t>Generator Control Panel</t>
  </si>
  <si>
    <t>TSI Cabinet</t>
  </si>
  <si>
    <t>EHC Cabinet</t>
  </si>
  <si>
    <t>Excitation Control Cubicle (AVR)</t>
  </si>
  <si>
    <t>FCB Cubicle</t>
  </si>
  <si>
    <t>Excitation Cubicle Initial Excitation Control Pwr</t>
  </si>
  <si>
    <t>Haynes - STG - GE D11</t>
  </si>
  <si>
    <t>STG EB/SO PUMP (2hr Min)</t>
  </si>
  <si>
    <t>STG Generator Protection Panel</t>
  </si>
  <si>
    <t>STG 8 Generator Excitation Panel</t>
  </si>
  <si>
    <t>STG 8 Generator Synchronizing Panel</t>
  </si>
  <si>
    <t>STG 8 Trip Solenoid for ETD-1</t>
  </si>
  <si>
    <t>STG 8 Trip Solenoid for ETD-2</t>
  </si>
  <si>
    <t>STG 8 Trip Solenoid for ETD-3</t>
  </si>
  <si>
    <t>DPPP - FUJI STG</t>
  </si>
  <si>
    <t>Turbine Generator Regulation Panel (S-TGR)</t>
  </si>
  <si>
    <t>Thyristor (THY)</t>
  </si>
  <si>
    <t>Amps (per unit)</t>
  </si>
  <si>
    <t>Description</t>
  </si>
  <si>
    <t>Bartow</t>
  </si>
  <si>
    <t>Communication System / Telephone</t>
  </si>
  <si>
    <t>Server</t>
  </si>
  <si>
    <t>OWS</t>
  </si>
  <si>
    <t>DB Server</t>
  </si>
  <si>
    <t>EWS</t>
  </si>
  <si>
    <t>HWS</t>
  </si>
  <si>
    <t>AMS Workstation</t>
  </si>
  <si>
    <t>Color Printer</t>
  </si>
  <si>
    <t>LP Drum Remote Level Element (Eye-Hi)</t>
  </si>
  <si>
    <t>IP Drum Remote Level Element (Eye-Hi)</t>
  </si>
  <si>
    <t>HP Drum Remote Level Element (Eye-Hi)</t>
  </si>
  <si>
    <t>Fire Alarm Panel</t>
  </si>
  <si>
    <t>Ethernet Switches</t>
  </si>
  <si>
    <t>HRSG Burner Mgmt System</t>
  </si>
  <si>
    <t>STG TXP Cabinet</t>
  </si>
  <si>
    <t>SWPC CCR OT1</t>
  </si>
  <si>
    <t>SWPC CCR DT 2</t>
  </si>
  <si>
    <t>SWPC CCR ES680</t>
  </si>
  <si>
    <t>SWPC CRY</t>
  </si>
  <si>
    <t>CTG 3A TXP (Primary CJQ01)</t>
  </si>
  <si>
    <t>CTG 3A Econopac Desk (CRX02)</t>
  </si>
  <si>
    <t>STG Mark VI</t>
  </si>
  <si>
    <t>STG Hydrogen Monitor Cabinet</t>
  </si>
  <si>
    <t>GE Local CTG Workstation</t>
  </si>
  <si>
    <t>GE CTG Workstation</t>
  </si>
  <si>
    <t>GE STG Workstation</t>
  </si>
  <si>
    <t>GE CTG</t>
  </si>
  <si>
    <t>GE Ethernet</t>
  </si>
  <si>
    <t>PLC/Control System</t>
  </si>
  <si>
    <t>PEECC Workstation</t>
  </si>
  <si>
    <t>LEC Workstation</t>
  </si>
  <si>
    <t>EHC Cubicle</t>
  </si>
  <si>
    <t>TSI Cubicle</t>
  </si>
  <si>
    <t>Plant Battery Calculation Worksheet</t>
  </si>
  <si>
    <t>Plant UPS Calculation Worksheet</t>
  </si>
  <si>
    <t>Thorold Cogeneration Project</t>
  </si>
  <si>
    <t>2007-038</t>
  </si>
  <si>
    <t>Medium Voltage Breaker (Trip Coil A)</t>
  </si>
  <si>
    <t>Medium Voltage Breaker (Trip Coil B)</t>
  </si>
  <si>
    <t xml:space="preserve"> Workstations</t>
  </si>
  <si>
    <t>LCD Monitors</t>
  </si>
  <si>
    <t>Printers</t>
  </si>
  <si>
    <t>Size Battery For</t>
  </si>
  <si>
    <t>CTG Control Cabinet</t>
  </si>
  <si>
    <t>Total Amp-Hour Rating (Ah)</t>
  </si>
  <si>
    <t>Panoche Energy Center</t>
  </si>
  <si>
    <t>Panoche Energy Project</t>
  </si>
  <si>
    <t>2007-018</t>
  </si>
  <si>
    <t>Medium Voltage Switchgear/MCC's (Normal)</t>
  </si>
  <si>
    <t>Other</t>
  </si>
  <si>
    <t>Bartow Battery Calc</t>
  </si>
  <si>
    <t>Bartow UPS Calc</t>
  </si>
  <si>
    <t>Data from:</t>
  </si>
  <si>
    <t>Quantity</t>
  </si>
  <si>
    <t>Batteries</t>
  </si>
  <si>
    <r>
      <t>Duty</t>
    </r>
    <r>
      <rPr>
        <vertAlign val="superscript"/>
        <sz val="10"/>
        <rFont val="Arial"/>
        <family val="2"/>
      </rPr>
      <t>1</t>
    </r>
  </si>
  <si>
    <t>Minute</t>
  </si>
  <si>
    <t>Inverter</t>
  </si>
  <si>
    <t>Amps Each @ 125VDC</t>
  </si>
  <si>
    <t>Total Amps</t>
  </si>
  <si>
    <t>2 - 120</t>
  </si>
  <si>
    <t>121 - 179</t>
  </si>
  <si>
    <t>Continuous</t>
  </si>
  <si>
    <t>Amps Each @ 120VAC</t>
  </si>
  <si>
    <r>
      <t>Mitsubishi</t>
    </r>
    <r>
      <rPr>
        <vertAlign val="superscript"/>
        <sz val="10"/>
        <rFont val="Arial"/>
        <family val="2"/>
      </rPr>
      <t>1</t>
    </r>
  </si>
  <si>
    <t>ST Emergency oil pump</t>
  </si>
  <si>
    <t>PI, PS</t>
  </si>
  <si>
    <t>ST Control Panel</t>
  </si>
  <si>
    <t>C</t>
  </si>
  <si>
    <t>ST Vacuum breaker</t>
  </si>
  <si>
    <t>SI</t>
  </si>
  <si>
    <t>ST Engineering Maintenance Station</t>
  </si>
  <si>
    <t>ST Ventilation valve</t>
  </si>
  <si>
    <t>PS</t>
  </si>
  <si>
    <t>ST Generator control panel</t>
  </si>
  <si>
    <t>ST package lighting</t>
  </si>
  <si>
    <t>ST AVR cubicle (control panel)</t>
  </si>
  <si>
    <t>ST control panel</t>
  </si>
  <si>
    <t>ST Generator Auxilary panel</t>
  </si>
  <si>
    <t>ST generator emergency seal oil pump motor</t>
  </si>
  <si>
    <t>I</t>
  </si>
  <si>
    <t>ST Gas and seal oil control panel</t>
  </si>
  <si>
    <t>Assumptions</t>
  </si>
  <si>
    <t>CEMS</t>
  </si>
  <si>
    <t xml:space="preserve">HRSG </t>
  </si>
  <si>
    <t>ST Generator Auxiliary panel</t>
  </si>
  <si>
    <t>Miscellaneous Control Room Equipment</t>
  </si>
  <si>
    <t>ST Generator Protection panel</t>
  </si>
  <si>
    <t>Miscellaneous Plant Equipment</t>
  </si>
  <si>
    <t>PC</t>
  </si>
  <si>
    <t>Continuous load</t>
  </si>
  <si>
    <t>125% of continuous load</t>
  </si>
  <si>
    <t>5kV breakers (trip - first minute)</t>
  </si>
  <si>
    <t>5kV breakers (close - last minute)</t>
  </si>
  <si>
    <t>480V SUS Breakers (trip - first minute)</t>
  </si>
  <si>
    <t>Design Criteria</t>
  </si>
  <si>
    <t>Inverter sizing factor</t>
  </si>
  <si>
    <t>480V SUS Breakers (close - last minute)</t>
  </si>
  <si>
    <t>AC bus (output) voltage</t>
  </si>
  <si>
    <t>120VAC</t>
  </si>
  <si>
    <t>DC Panel - 245kV breakers</t>
  </si>
  <si>
    <t>DC bus (input) voltage</t>
  </si>
  <si>
    <t>125VDC</t>
  </si>
  <si>
    <t>UPS calculation</t>
  </si>
  <si>
    <r>
      <t>45kVA Inverter</t>
    </r>
    <r>
      <rPr>
        <vertAlign val="superscript"/>
        <sz val="10"/>
        <rFont val="Arial"/>
        <family val="2"/>
      </rPr>
      <t>2</t>
    </r>
  </si>
  <si>
    <t>GSUs</t>
  </si>
  <si>
    <t>Auxiliary Transformers</t>
  </si>
  <si>
    <t>***Inverter size calculations***</t>
  </si>
  <si>
    <t>4160V SWGR / MCCs and 480V SUSs</t>
  </si>
  <si>
    <t>Power Factor</t>
  </si>
  <si>
    <t>KPE Relay Panel</t>
  </si>
  <si>
    <r>
      <t>Inverter efficiency</t>
    </r>
    <r>
      <rPr>
        <vertAlign val="superscript"/>
        <sz val="10"/>
        <rFont val="Arial"/>
        <family val="2"/>
      </rPr>
      <t>3</t>
    </r>
  </si>
  <si>
    <t>Inverter size in kVA needed for continuous load (125% of continuous load * 120VAC)</t>
  </si>
  <si>
    <t>kVA</t>
  </si>
  <si>
    <t>(Output kVA)</t>
  </si>
  <si>
    <t>Totals + 10% Design Margin + 1.25 Aging Factor</t>
  </si>
  <si>
    <t>Inverter size in kW needed for continuous load (125% of continuous load kVA * PF)</t>
  </si>
  <si>
    <t>kW</t>
  </si>
  <si>
    <t>(Output kW)</t>
  </si>
  <si>
    <t>Input power required from the DC bus (Output kW / Inverter Efficiency)</t>
  </si>
  <si>
    <t>(Input kW)</t>
  </si>
  <si>
    <t>Input amps required from the DC bus (Input kW / 125VDC)</t>
  </si>
  <si>
    <t>A</t>
  </si>
  <si>
    <t>(Input A)</t>
  </si>
  <si>
    <t>Calculations</t>
  </si>
  <si>
    <r>
      <t>45kVA Inverter in emergency battery operation</t>
    </r>
    <r>
      <rPr>
        <vertAlign val="superscript"/>
        <sz val="10"/>
        <rFont val="Arial"/>
        <family val="2"/>
      </rPr>
      <t>2</t>
    </r>
  </si>
  <si>
    <t>***Battery Amp-hour calculations (this includes the 10% design margin and the 1.25 aging factor)***</t>
  </si>
  <si>
    <t>Recommended Fuse Size (Already sized for 125% load using calculation above)</t>
  </si>
  <si>
    <t>&gt;</t>
  </si>
  <si>
    <t>Design Margin (assumed for batteries and charger)</t>
  </si>
  <si>
    <t>A-hr</t>
  </si>
  <si>
    <t>Recommended inverter size</t>
  </si>
  <si>
    <t>(Output kVA rating)</t>
  </si>
  <si>
    <t>Aging Factor</t>
  </si>
  <si>
    <t>Total Battery A-hr</t>
  </si>
  <si>
    <t>AC bus</t>
  </si>
  <si>
    <r>
      <t>Emergency battery operation amperage draw</t>
    </r>
    <r>
      <rPr>
        <vertAlign val="superscript"/>
        <sz val="10"/>
        <rFont val="Arial"/>
        <family val="2"/>
      </rPr>
      <t>2</t>
    </r>
  </si>
  <si>
    <t>DC bus</t>
  </si>
  <si>
    <t>***Battery Charger Amp-hour Calculations (calculated from the total load)***</t>
  </si>
  <si>
    <t>***Notes***</t>
  </si>
  <si>
    <t>Total Battery Charger A-hr</t>
  </si>
  <si>
    <r>
      <t>1</t>
    </r>
    <r>
      <rPr>
        <sz val="10"/>
        <rFont val="Arial"/>
        <family val="2"/>
      </rPr>
      <t xml:space="preserve"> Mitsubishi submittal, "Electrical Load List 202-ED-0011-01 - Bartow Repowering Project 2006011 - 04/18/2006 - INF"</t>
    </r>
  </si>
  <si>
    <r>
      <t>2</t>
    </r>
    <r>
      <rPr>
        <sz val="10"/>
        <rFont val="Arial"/>
        <family val="2"/>
      </rPr>
      <t xml:space="preserve"> For emergency battery operation, figure for 50% of the continuous load, the power factor, and the inverter efficiency.</t>
    </r>
  </si>
  <si>
    <t>Ampere-hours of emergency discharge</t>
  </si>
  <si>
    <t>A-h</t>
  </si>
  <si>
    <r>
      <t>3</t>
    </r>
    <r>
      <rPr>
        <sz val="10"/>
        <rFont val="Arial"/>
        <family val="2"/>
      </rPr>
      <t xml:space="preserve"> </t>
    </r>
    <r>
      <rPr>
        <b/>
        <sz val="10"/>
        <rFont val="Arial"/>
        <family val="2"/>
      </rPr>
      <t>Actual Spec: 80 - 94%</t>
    </r>
    <r>
      <rPr>
        <sz val="10"/>
        <rFont val="Arial"/>
        <family val="2"/>
      </rPr>
      <t xml:space="preserve"> from GUTOR, technical data sheets, AC UPS system PDW 3000, 10 - 220-kVA Three Phase </t>
    </r>
  </si>
  <si>
    <t>L</t>
  </si>
  <si>
    <t>Hours of recharge time</t>
  </si>
  <si>
    <t>H</t>
  </si>
  <si>
    <t>hr</t>
  </si>
  <si>
    <r>
      <t>1</t>
    </r>
    <r>
      <rPr>
        <sz val="10"/>
        <rFont val="Arial"/>
        <family val="2"/>
      </rPr>
      <t xml:space="preserve"> Electrical Load List 202-ED-0011-01 - Bartow Repowering Project 2006011 - 04/18/2006 - INF</t>
    </r>
  </si>
  <si>
    <r>
      <t>Lead-Acid Cell Recharge Inefficiency</t>
    </r>
    <r>
      <rPr>
        <vertAlign val="superscript"/>
        <sz val="10"/>
        <rFont val="Arial"/>
        <family val="2"/>
      </rPr>
      <t>3</t>
    </r>
  </si>
  <si>
    <r>
      <t>2</t>
    </r>
    <r>
      <rPr>
        <sz val="10"/>
        <rFont val="Arial"/>
        <family val="2"/>
      </rPr>
      <t xml:space="preserve"> From the emergency battery operation amperage draw calculated on the "Bartow UPS Sizing and Equipment List"</t>
    </r>
  </si>
  <si>
    <r>
      <t>3</t>
    </r>
    <r>
      <rPr>
        <sz val="10"/>
        <rFont val="Arial"/>
        <family val="2"/>
      </rPr>
      <t xml:space="preserve"> Assumed efficiency </t>
    </r>
  </si>
  <si>
    <r>
      <t xml:space="preserve">Ampere Charger = </t>
    </r>
    <r>
      <rPr>
        <b/>
        <sz val="10"/>
        <rFont val="Arial"/>
        <family val="2"/>
      </rPr>
      <t>L</t>
    </r>
    <r>
      <rPr>
        <sz val="10"/>
        <rFont val="Arial"/>
        <family val="2"/>
      </rPr>
      <t xml:space="preserve"> + (1.1 * </t>
    </r>
    <r>
      <rPr>
        <b/>
        <sz val="10"/>
        <rFont val="Arial"/>
        <family val="2"/>
      </rPr>
      <t>C</t>
    </r>
    <r>
      <rPr>
        <sz val="10"/>
        <rFont val="Arial"/>
        <family val="2"/>
      </rPr>
      <t xml:space="preserve">) / </t>
    </r>
    <r>
      <rPr>
        <b/>
        <sz val="10"/>
        <rFont val="Arial"/>
        <family val="2"/>
      </rPr>
      <t>L</t>
    </r>
  </si>
  <si>
    <r>
      <t xml:space="preserve">Ampere Charger (A)   </t>
    </r>
    <r>
      <rPr>
        <b/>
        <u/>
        <sz val="10"/>
        <rFont val="Arial"/>
        <family val="2"/>
      </rPr>
      <t>&gt;</t>
    </r>
  </si>
  <si>
    <t xml:space="preserve">Recommended Ampere Charger </t>
  </si>
  <si>
    <t>600A</t>
  </si>
  <si>
    <t>125VDC AMPS REQUIRED DURING A LOSE OF STATION POWER</t>
  </si>
  <si>
    <t>STG ENCLOSURE UPS PANEL</t>
  </si>
  <si>
    <t>Equipment and Amps need per period</t>
  </si>
  <si>
    <t>Duty Cycle (180 minutes)</t>
  </si>
  <si>
    <t>Service</t>
  </si>
  <si>
    <r>
      <t>V</t>
    </r>
    <r>
      <rPr>
        <vertAlign val="subscript"/>
        <sz val="10"/>
        <rFont val="Arial"/>
        <family val="2"/>
      </rPr>
      <t>AC</t>
    </r>
  </si>
  <si>
    <t>VA</t>
  </si>
  <si>
    <t>PF</t>
  </si>
  <si>
    <t>W</t>
  </si>
  <si>
    <t>5kV PDC DCS Cabinet</t>
  </si>
  <si>
    <t>CTG 3A Generator Circuit Breaker Close Coil</t>
  </si>
  <si>
    <t>STG PDC DCS Cabinet</t>
  </si>
  <si>
    <t>CTG 3A Generator Circuit Breaker Trip Coil 1</t>
  </si>
  <si>
    <t>CW Intake DCS Cabinet</t>
  </si>
  <si>
    <t>CTG 3A Generator Circuit Breaker Trip Coil 2</t>
  </si>
  <si>
    <t>Control Room UPS Panel</t>
  </si>
  <si>
    <t>CTG 3B Generator Circuit Breaker Close Coil</t>
  </si>
  <si>
    <t>HRSG 3A Enclosure UPS Panel</t>
  </si>
  <si>
    <t>CTG 3B Generator Circuit Breaker Trip Coil 1</t>
  </si>
  <si>
    <t>HRSG 3B Enclosure UPS Panel</t>
  </si>
  <si>
    <t>CTG 3B Generator Circuit Breaker Trip Coil 2</t>
  </si>
  <si>
    <t>Communication System Feed 1</t>
  </si>
  <si>
    <t>CTG 3S Generator Circuit Breaker Close Coil</t>
  </si>
  <si>
    <t>Communication System Feed 2</t>
  </si>
  <si>
    <t>CTG 3S Generator Circuit Breaker Trip Coil 1</t>
  </si>
  <si>
    <t>Communication System Feed 3</t>
  </si>
  <si>
    <t>CTG 3S Generator Circuit Breaker Trip Coil 2</t>
  </si>
  <si>
    <t>Communication System Feed 4</t>
  </si>
  <si>
    <t>CTG 3A Generator Step-Up Transformer</t>
  </si>
  <si>
    <t>CTG 3B Generator Step-Up Transformer</t>
  </si>
  <si>
    <t>CTG 3S Generator Step-Up Transformer</t>
  </si>
  <si>
    <t>Unit Auxiliary Transformer 3</t>
  </si>
  <si>
    <t>Unit Auxiliary Transformer 4</t>
  </si>
  <si>
    <t>CONTROL ROOM UPS PANEL</t>
  </si>
  <si>
    <t>4160V Circuit Breaker 3A Close Coil</t>
  </si>
  <si>
    <t>4160V Circuit Breaker 3B Close Coil</t>
  </si>
  <si>
    <t xml:space="preserve">OPC Server 1 </t>
  </si>
  <si>
    <t>4160V Switchgear/Motor Control Centers</t>
  </si>
  <si>
    <t xml:space="preserve">OPC Server 2 </t>
  </si>
  <si>
    <t>480V SUS Circuit Breaker 3A</t>
  </si>
  <si>
    <t xml:space="preserve">OWS 1 </t>
  </si>
  <si>
    <t>480V SUS Circuit Breaker 3B</t>
  </si>
  <si>
    <t xml:space="preserve">OWS 2 </t>
  </si>
  <si>
    <t>UPS System (40kVA)</t>
  </si>
  <si>
    <t xml:space="preserve">OWS 3 </t>
  </si>
  <si>
    <t xml:space="preserve">DB Server </t>
  </si>
  <si>
    <t xml:space="preserve">EWS </t>
  </si>
  <si>
    <t xml:space="preserve">HWS </t>
  </si>
  <si>
    <t xml:space="preserve">AMS Workstation </t>
  </si>
  <si>
    <t>HP5100 B/W LP 1</t>
  </si>
  <si>
    <t>HP5100 B/W LP 2</t>
  </si>
  <si>
    <t>HP5100 B/W LP 3</t>
  </si>
  <si>
    <t>HP5100 B/W LP 4</t>
  </si>
  <si>
    <t>HP2600 Color Printer</t>
  </si>
  <si>
    <t>Network Cabinet (Primary)</t>
  </si>
  <si>
    <t>Progress Energy Switchyard Relay Panel 1</t>
  </si>
  <si>
    <t>HRSG 3A LP Drum Remote Level Element (Eye-Hi)</t>
  </si>
  <si>
    <t>Progress Energy Switchyard Relay Panel 2</t>
  </si>
  <si>
    <t>HRSG 3A IP Drum Remote Level Element (Eye-Hi)</t>
  </si>
  <si>
    <t>HRSG 3A HP Drum Remote Level Element (Eye-Hi)</t>
  </si>
  <si>
    <t>Plus 10% Margin</t>
  </si>
  <si>
    <t>HRSG 3B LP Drum Remote Level Element (Eye-Hi)</t>
  </si>
  <si>
    <t>HRSG 3B IP Drum Remote Level Element (Eye-Hi)</t>
  </si>
  <si>
    <t>HRSG 3B HP Drum Remote Level Element (Eye-Hi)</t>
  </si>
  <si>
    <t>HRSG 3A ENCLOSURE UPS PANEL</t>
  </si>
  <si>
    <t>HRSG 3A DCS Cabinet</t>
  </si>
  <si>
    <t xml:space="preserve">CEMS 3A Power Strip Workbench Area </t>
  </si>
  <si>
    <t>CEMS 3A Power Strip Spectrum Rack 1</t>
  </si>
  <si>
    <t>CEMS 3A Power Strip Spectrum Rack 2</t>
  </si>
  <si>
    <t>HRSG 3B ENCLOSURE UPS PANEL</t>
  </si>
  <si>
    <t>HRSG 3B DCS Cabinet</t>
  </si>
  <si>
    <t xml:space="preserve">CEMS 3B Power Strip Workbench Area </t>
  </si>
  <si>
    <t>CEMS 3B Power Strip Spectrum Rack 1</t>
  </si>
  <si>
    <t>CEMS 3B Power Strip Spectrum Rack 2</t>
  </si>
  <si>
    <t>CTG 3B TXP (Primary CJQ01)</t>
  </si>
  <si>
    <t>CTG 3B Econopac Desk (CRX02)</t>
  </si>
  <si>
    <t>5KV ELECTRICAL EQUIPMENT ENCLOSURE DCS</t>
  </si>
  <si>
    <t>CTG 4A Generator Circuit Breaker Close Coil</t>
  </si>
  <si>
    <t>STG ELECTRICAL EQUIPMENT ENCLOSURE DCS</t>
  </si>
  <si>
    <t>CTG 4A Generator Circuit Breaker Trip Coil 1</t>
  </si>
  <si>
    <t>CW INTAKE DCS</t>
  </si>
  <si>
    <t>CTG 4A Generator Circuit Breaker Trip Coil 2</t>
  </si>
  <si>
    <t xml:space="preserve">PNL-646-402 Control Room UPS Panel </t>
  </si>
  <si>
    <t>CTG 4B Generator Circuit Breaker Close Coil</t>
  </si>
  <si>
    <t xml:space="preserve">PNL-646-403 HRSG 4A Enclosure UPS Panel </t>
  </si>
  <si>
    <t>CTG 4B Generator Circuit Breaker Trip Coil 1</t>
  </si>
  <si>
    <t xml:space="preserve">PNL-646-404 HRSG 4B Enclosure UPS Panel </t>
  </si>
  <si>
    <t>CTG 4B Generator Circuit Breaker Trip Coil 2</t>
  </si>
  <si>
    <t>CTG 4S Generator Circuit Breaker Close Coil</t>
  </si>
  <si>
    <t>STG MARK VI</t>
  </si>
  <si>
    <t>CTG 4S Generator Circuit Breaker Trip Coil 1</t>
  </si>
  <si>
    <t xml:space="preserve">STG HYDROGEN MONITOR CABINET </t>
  </si>
  <si>
    <t>CTG 4S Generator Circuit Breaker Trip Coil 2</t>
  </si>
  <si>
    <t>CTG 4A Generator Step-Up Transformer</t>
  </si>
  <si>
    <t>CTG 4B Generator Step-Up Transformer</t>
  </si>
  <si>
    <t xml:space="preserve">Total UPS amps = </t>
  </si>
  <si>
    <t>CTG 4S Generator Step-Up Transformer</t>
  </si>
  <si>
    <t xml:space="preserve">UPS DC to AC percent efficiency = </t>
  </si>
  <si>
    <t>Unit Auxiliary Transformer 402</t>
  </si>
  <si>
    <t xml:space="preserve">UPS Design Margin = </t>
  </si>
  <si>
    <t>4160V Circuit Breaker 4A Trip/Close Coil</t>
  </si>
  <si>
    <t xml:space="preserve">Calculated UPS KVA = (120VAC x UPS amps x Design Margin)/1,000 = </t>
  </si>
  <si>
    <t>4160V Circuit Breaker 4B Trip/Close Coil</t>
  </si>
  <si>
    <t xml:space="preserve">Next Standard Manufacturer UPS Size = </t>
  </si>
  <si>
    <t>LCI 4160V Circuit Breaker Trip</t>
  </si>
  <si>
    <t>LOCK OUT RELAYS (3)</t>
  </si>
  <si>
    <t>DC Amps needed from Plant Battery:</t>
  </si>
  <si>
    <t xml:space="preserve">VA = W @ 1.0PF = </t>
  </si>
  <si>
    <t>480V SUS Circuit Breaker 4A</t>
  </si>
  <si>
    <t xml:space="preserve">DC Amps = KW/(125VDC x 0.88) =  </t>
  </si>
  <si>
    <t>480V SUS Circuit Breaker 4B</t>
  </si>
  <si>
    <t>UPS System (full load from UPS calc)</t>
  </si>
  <si>
    <t>Total Load in AMPS</t>
  </si>
  <si>
    <t>Monitors that are not included with control room equip.</t>
  </si>
  <si>
    <t>Communcation System</t>
  </si>
  <si>
    <t>HRSG 4A LP Drum Remote Level Element (Eye-Hi)</t>
  </si>
  <si>
    <t>HRSG 4A IP Drum Remote Level Element (Eye-Hi)</t>
  </si>
  <si>
    <t>HRSG 4A HP Drum Remote Level Element (Eye-Hi)</t>
  </si>
  <si>
    <t>HRSG 4B LP Drum Remote Level Element (Eye-Hi)</t>
  </si>
  <si>
    <t>HRSG 4B IP Drum Remote Level Element (Eye-Hi)</t>
  </si>
  <si>
    <t>HRSG 4B HP Drum Remote Level Element (Eye-Hi)</t>
  </si>
  <si>
    <t>GE CTG(s) Workstation (dual monitors)</t>
  </si>
  <si>
    <t>GE STG(s) Workstation (dual monitors)</t>
  </si>
  <si>
    <t>HRSG 4A ENCLOSURE UPS PANEL</t>
  </si>
  <si>
    <t>HRSG 4A DCS Cabinet(s)</t>
  </si>
  <si>
    <t xml:space="preserve">CEMS 4A Power </t>
  </si>
  <si>
    <t>Drum Water Level Gauge Control Panel (HP,IP,LP)</t>
  </si>
  <si>
    <t xml:space="preserve">CTG 4A </t>
  </si>
  <si>
    <t>HRSG 4B ENCLOSURE UPS PANEL</t>
  </si>
  <si>
    <t>HRSG 4B DCS Cabinet(s)</t>
  </si>
  <si>
    <t xml:space="preserve">CEMS 4B Power </t>
  </si>
  <si>
    <t xml:space="preserve">CTG 4B </t>
  </si>
  <si>
    <t>AH1</t>
  </si>
  <si>
    <t>AH2</t>
  </si>
  <si>
    <t>AH3</t>
  </si>
  <si>
    <t>AH4</t>
  </si>
  <si>
    <t>AH5</t>
  </si>
  <si>
    <t>DC Loads</t>
  </si>
  <si>
    <t>Total Elapsed Time      (minutes)</t>
  </si>
  <si>
    <t>5.3  UPS SIZING CALCULATION</t>
  </si>
  <si>
    <t> Duration      (minutes)</t>
  </si>
  <si>
    <t>QUANTITY</t>
  </si>
  <si>
    <t>LRA AMPS</t>
  </si>
  <si>
    <t>CONTROL ROOM</t>
  </si>
  <si>
    <t>Item</t>
  </si>
  <si>
    <t>Watts/Unit</t>
  </si>
  <si>
    <t>Total Watts</t>
  </si>
  <si>
    <t>CRT, 21"</t>
  </si>
  <si>
    <t>Operator Stations</t>
  </si>
  <si>
    <t>Engineering Stations</t>
  </si>
  <si>
    <t>GSUs  &amp; UATs Buckholtz relays</t>
  </si>
  <si>
    <t>Historian</t>
  </si>
  <si>
    <t>CT GCBs Trip</t>
  </si>
  <si>
    <t>Laser Printers (2 operating)</t>
  </si>
  <si>
    <t>CT GCBs Close</t>
  </si>
  <si>
    <t xml:space="preserve">GE Ethernet </t>
  </si>
  <si>
    <t>CT GCBs Charging Motor</t>
  </si>
  <si>
    <t>Misc Equipment</t>
  </si>
  <si>
    <t>Lock out Relay for Generator and Breaker</t>
  </si>
  <si>
    <t>4.16 KV Breakers (Trip)</t>
  </si>
  <si>
    <t>watts</t>
  </si>
  <si>
    <t>4.16 KV Breakers (Close)</t>
  </si>
  <si>
    <t>5kV SWGR/MCC Continuous Load</t>
  </si>
  <si>
    <t>DCS ROOM</t>
  </si>
  <si>
    <t>Clg Twr 5kV MCC Continuous Load</t>
  </si>
  <si>
    <t>480V SUS Breakers (Trip)</t>
  </si>
  <si>
    <t>480V SUS Breakers (Close)</t>
  </si>
  <si>
    <t>Telephone Equipment</t>
  </si>
  <si>
    <t>480V SWGR Continuous Load</t>
  </si>
  <si>
    <t>40 KVA UPS Inverter, 100% loaded, 0.8pf</t>
  </si>
  <si>
    <t>Protective Relay and Metering Panels</t>
  </si>
  <si>
    <t>WATER TREATMENT DCS</t>
  </si>
  <si>
    <r>
      <t>Bold</t>
    </r>
    <r>
      <rPr>
        <sz val="10"/>
        <rFont val="Arial"/>
        <family val="2"/>
      </rPr>
      <t xml:space="preserve"> numbers indicate continuous DC loads</t>
    </r>
  </si>
  <si>
    <r>
      <t>TOTAL LOAD</t>
    </r>
    <r>
      <rPr>
        <sz val="8"/>
        <rFont val="Arial"/>
        <family val="2"/>
      </rPr>
      <t> </t>
    </r>
  </si>
  <si>
    <r>
      <t>PLUS 10 % MARGIN</t>
    </r>
    <r>
      <rPr>
        <sz val="8"/>
        <rFont val="Arial"/>
        <family val="2"/>
      </rPr>
      <t> </t>
    </r>
  </si>
  <si>
    <r>
      <t>SIZE BATTERY FOR</t>
    </r>
    <r>
      <rPr>
        <sz val="8"/>
        <rFont val="Arial"/>
        <family val="2"/>
      </rPr>
      <t> </t>
    </r>
  </si>
  <si>
    <t>COOLING TOWER DCS</t>
  </si>
  <si>
    <t>HRSG 1, STG DCS</t>
  </si>
  <si>
    <t>HRSG 2  DCS</t>
  </si>
  <si>
    <t>Switch Yard DCS</t>
  </si>
  <si>
    <t>5kV SWGR BLDG DCS</t>
  </si>
  <si>
    <t>Misc  Equipment</t>
  </si>
  <si>
    <t>CEMS Shelters</t>
  </si>
  <si>
    <t>CEMS total UPS load</t>
  </si>
  <si>
    <t xml:space="preserve">CTG LOADs </t>
  </si>
  <si>
    <t>PEECC HMI/Ethernet</t>
  </si>
  <si>
    <t>LEC HMI/Ethernet</t>
  </si>
  <si>
    <t>STG LOADs</t>
  </si>
  <si>
    <t>Ethernet for GEC &amp; Mark VI</t>
  </si>
  <si>
    <t>Hyd. Control Cabenit</t>
  </si>
  <si>
    <t>Mark VI</t>
  </si>
  <si>
    <t>HRSG LOADs</t>
  </si>
  <si>
    <t>Drum Level Units</t>
  </si>
  <si>
    <t>TOTAL PLANT UPS WATTS</t>
  </si>
  <si>
    <t>UPS kVA</t>
  </si>
  <si>
    <t>Duration      (minutes)</t>
  </si>
  <si>
    <t>Personal Computers</t>
  </si>
  <si>
    <t>CONTROL ROOM TOTALS</t>
  </si>
  <si>
    <t>Initial Excitation Power</t>
  </si>
  <si>
    <t>Generator Circuit Breakers</t>
  </si>
  <si>
    <t>40 KVA UPS Inverter, 30KW UPS Load, 0.8PF</t>
  </si>
  <si>
    <t>DCS ROOM TOTALS</t>
  </si>
  <si>
    <t>TOTAL LOAD</t>
  </si>
  <si>
    <t>PLUS 15 % MARGIN</t>
  </si>
  <si>
    <t>SIZE BATTERY FOR</t>
  </si>
  <si>
    <t>WATER TREATMENT DCS TOTALS</t>
  </si>
  <si>
    <t>COOLING TOWER DCS TOTALS</t>
  </si>
  <si>
    <t>HRSG 1 (CEMS) DCS</t>
  </si>
  <si>
    <t>HRSG 1 (CEMS) DCS TOTALS</t>
  </si>
  <si>
    <t>HRSG 2 (CEMS) DCS</t>
  </si>
  <si>
    <t>HRSG 2 (CEMS) DCS TOTALS</t>
  </si>
  <si>
    <t>STG DCS</t>
  </si>
  <si>
    <t>STG DCS TOTALS</t>
  </si>
  <si>
    <t>4160V SWGR BLDG DCS TOTALS</t>
  </si>
  <si>
    <t>STEAM TURBINE LOADS</t>
  </si>
  <si>
    <t>Misc Loads</t>
  </si>
  <si>
    <t>STEAM TURBINE LOAD TOTALS</t>
  </si>
  <si>
    <t>SUM PLANT UPS TOTAL WATTS</t>
  </si>
  <si>
    <t>(MISC LOADS)</t>
  </si>
  <si>
    <r>
      <t>DC LOADS on 125 V</t>
    </r>
    <r>
      <rPr>
        <b/>
        <vertAlign val="subscript"/>
        <sz val="12"/>
        <rFont val="Arial"/>
        <family val="2"/>
      </rPr>
      <t>DC</t>
    </r>
    <r>
      <rPr>
        <b/>
        <sz val="12"/>
        <rFont val="Arial"/>
        <family val="2"/>
      </rPr>
      <t xml:space="preserve"> System</t>
    </r>
  </si>
  <si>
    <t>1st Minute Transients + Continuous</t>
  </si>
  <si>
    <t>Minutes 1 to 120</t>
  </si>
  <si>
    <t>Minutes 121 to 239</t>
  </si>
  <si>
    <t>Minute 239 to 240 - Continuous + Transient</t>
  </si>
  <si>
    <t>LOR for ST Generator and Breaker</t>
  </si>
  <si>
    <r>
      <t>Electroswitch Series 24 LOR at 125V</t>
    </r>
    <r>
      <rPr>
        <vertAlign val="subscript"/>
        <sz val="8"/>
        <rFont val="Arial"/>
        <family val="2"/>
      </rPr>
      <t>DC</t>
    </r>
    <r>
      <rPr>
        <sz val="8"/>
        <rFont val="Arial"/>
        <family val="2"/>
      </rPr>
      <t xml:space="preserve"> applied, 27 ohm resistance</t>
    </r>
  </si>
  <si>
    <t>5.1  UPS SIZING CALCULATION</t>
  </si>
  <si>
    <t>LOR for CT Generator and Breaker</t>
  </si>
  <si>
    <t>Electrically Operated Aux Main Breakers</t>
  </si>
  <si>
    <t>4160V Main Breaker 1</t>
  </si>
  <si>
    <t>MV breaker transient values.  All values GE.</t>
  </si>
  <si>
    <t>Operator WS CRT</t>
  </si>
  <si>
    <t>4160V Main Breaker 2</t>
  </si>
  <si>
    <t>Trip Coil current = 10.5 A (3 cycle breaker due to fast transfer)</t>
  </si>
  <si>
    <t>Operator Work Stations</t>
  </si>
  <si>
    <t>13.8kV Main Breaker 1</t>
  </si>
  <si>
    <t>Motor inrush = 23 A (charging motor engages after close)</t>
  </si>
  <si>
    <t>Engineering WS CRT</t>
  </si>
  <si>
    <t>13.8kV Main Breaker 2</t>
  </si>
  <si>
    <t>Motor windup = 8 A</t>
  </si>
  <si>
    <t>Engineering Work Station</t>
  </si>
  <si>
    <t xml:space="preserve">480V Switchgear Main Breaker 1 </t>
  </si>
  <si>
    <t>GE data.  Charging motor engages after a close.</t>
  </si>
  <si>
    <t>Historian CRT</t>
  </si>
  <si>
    <t>480V Switchgear Main Breaker 2</t>
  </si>
  <si>
    <t>Motor inrush = 25 A, motor windup = 7 A, Trip Coil = 2 A</t>
  </si>
  <si>
    <t xml:space="preserve">Historian </t>
  </si>
  <si>
    <t>Electrically Operated Generator Circuit Breakers</t>
  </si>
  <si>
    <t>ST Work Station CRT</t>
  </si>
  <si>
    <t xml:space="preserve">CTG 9 Breaker CB-CTG9-1 Close </t>
  </si>
  <si>
    <t>ST Operator Work Station</t>
  </si>
  <si>
    <t>CTG 9 Breaker CB-CTG9-1 Trip</t>
  </si>
  <si>
    <t>CT Work Station CRT</t>
  </si>
  <si>
    <t>CTG 9 Breaker CB-CTG9-1 Hyd Pmp Mtr</t>
  </si>
  <si>
    <t>assuming motor engages after a close command - Valley shows AC motor</t>
  </si>
  <si>
    <t>CT Operator Work Station</t>
  </si>
  <si>
    <t>CTG 10 Breaker CB-CTG10-1 Close</t>
  </si>
  <si>
    <t>CEMS Data Acquisition CRT</t>
  </si>
  <si>
    <t>CTG 10 Breaker CB-CTG10-1 Trip</t>
  </si>
  <si>
    <t>CEMS Data Acquisition WS</t>
  </si>
  <si>
    <t>CTG 10 Breaker CB-CTG10-1 Hyd Pmp Mtr</t>
  </si>
  <si>
    <t xml:space="preserve"> 8 Control Room Printers (2 operating at full load, the rest at 10% load) </t>
  </si>
  <si>
    <t>STG 8 Breaker CB-STG8-1 Close</t>
  </si>
  <si>
    <t>STG 8 Breaker CB-STG8-1 Trip</t>
  </si>
  <si>
    <t>STG 8 Breaker CB-STG8-1 Hyd Pmp Mtr</t>
  </si>
  <si>
    <t>Emergency Stop Drum Level</t>
  </si>
  <si>
    <t>Non-Breaker Loads</t>
  </si>
  <si>
    <t>Fire Panels (4 @250 VA ea)</t>
  </si>
  <si>
    <t>Breaker Test Cabinet</t>
  </si>
  <si>
    <t>GSU-CTG9-1 Bucholz (63X)</t>
  </si>
  <si>
    <t xml:space="preserve">HRSG 1 (CEMS) </t>
  </si>
  <si>
    <t>GSU-CTG10-1 Bucholz (63X)</t>
  </si>
  <si>
    <t>GSU-STG8-1 Bucholz (63X)</t>
  </si>
  <si>
    <t>HRSG CEMS HSL</t>
  </si>
  <si>
    <t>AUX-CTG9-1</t>
  </si>
  <si>
    <t>Drum Level Control Units</t>
  </si>
  <si>
    <t>AUX-CTG10-1</t>
  </si>
  <si>
    <t>HRSG Burner Management System</t>
  </si>
  <si>
    <r>
      <t>Valley GE data.  40 HP motor 825 A</t>
    </r>
    <r>
      <rPr>
        <vertAlign val="subscript"/>
        <sz val="8"/>
        <rFont val="Arial"/>
        <family val="2"/>
      </rPr>
      <t>max</t>
    </r>
    <r>
      <rPr>
        <sz val="8"/>
        <rFont val="Arial"/>
        <family val="2"/>
      </rPr>
      <t xml:space="preserve"> LRC, 275 FLA</t>
    </r>
  </si>
  <si>
    <t>Actual transient =~18 A, actual steady state (LOR's not active) ~= .6 A</t>
  </si>
  <si>
    <t>HRSG 1 (CEMS) TOTALS</t>
  </si>
  <si>
    <t>All digital loads</t>
  </si>
  <si>
    <t xml:space="preserve">HRSG 2 (CEMS) </t>
  </si>
  <si>
    <t>Valley leftover data for safety</t>
  </si>
  <si>
    <t>DC feed to LADWP substation relay building</t>
  </si>
  <si>
    <t>?? KVA Inverter</t>
  </si>
  <si>
    <t>assuming 95% loaded, 90% efficiency</t>
  </si>
  <si>
    <t>HRSG 2 (CEMS) TOTALS</t>
  </si>
  <si>
    <t>TOTAL</t>
  </si>
  <si>
    <t>minutes of duty cycle</t>
  </si>
  <si>
    <t>STG Building</t>
  </si>
  <si>
    <t>amp*hours</t>
  </si>
  <si>
    <t>L = continuous FLA of UPS</t>
  </si>
  <si>
    <t>C = Ampere hours emergency discharge</t>
  </si>
  <si>
    <t>STG TOTALS</t>
  </si>
  <si>
    <t xml:space="preserve">C = </t>
  </si>
  <si>
    <t>MV SWGR BLDG DCS</t>
  </si>
  <si>
    <t xml:space="preserve">L = </t>
  </si>
  <si>
    <t xml:space="preserve">H = </t>
  </si>
  <si>
    <t xml:space="preserve">CT Local HMI </t>
  </si>
  <si>
    <t xml:space="preserve">Ampere Charger = </t>
  </si>
  <si>
    <t>amp minimum</t>
  </si>
  <si>
    <t xml:space="preserve">LEC Transceivers W/Ethernet </t>
  </si>
  <si>
    <t>Hydrogen Control Panel</t>
  </si>
  <si>
    <t>UPS VA</t>
  </si>
  <si>
    <t xml:space="preserve">UPS Efficiency % = </t>
  </si>
  <si>
    <t>Solenoid Power</t>
  </si>
  <si>
    <t>25 % MARGIN</t>
  </si>
  <si>
    <t>Minutes 1 to 60</t>
  </si>
  <si>
    <t>Minutes 61 to 239</t>
  </si>
  <si>
    <t>Minute 240</t>
  </si>
  <si>
    <t>BOP Relay Panel</t>
  </si>
  <si>
    <t>4160V Main Breaker</t>
  </si>
  <si>
    <t>Haynes values used for trip coils &amp; charging motors</t>
  </si>
  <si>
    <t>4160V LCI Breaker</t>
  </si>
  <si>
    <t xml:space="preserve">Trip coil = 10.5 A, Charging Motor inrush = 23 A </t>
  </si>
  <si>
    <t xml:space="preserve">480V Switchgear 1 Main Breaker </t>
  </si>
  <si>
    <t>480V Switchgear 2 Main Breaker</t>
  </si>
  <si>
    <t xml:space="preserve"> </t>
  </si>
  <si>
    <t>480V breaker &amp; control panel</t>
  </si>
  <si>
    <t>Switchyard Circuit Breakers</t>
  </si>
  <si>
    <t>CB-EL-1</t>
  </si>
  <si>
    <t>Values from Mitsubishi typical data for type BM1 spring breakers</t>
  </si>
  <si>
    <t>CB-EL-2</t>
  </si>
  <si>
    <t>CB-EL-3</t>
  </si>
  <si>
    <t>CB-EL-4</t>
  </si>
  <si>
    <t>CB-EL-5</t>
  </si>
  <si>
    <t>GSU-CTG-01</t>
  </si>
  <si>
    <t>GSU-STG-01</t>
  </si>
  <si>
    <t>UAT-AUX-1</t>
  </si>
  <si>
    <t>SUS-XFMR-1</t>
  </si>
  <si>
    <t>SUS-XFMR-2</t>
  </si>
  <si>
    <t>DCS Room Cabinets</t>
  </si>
  <si>
    <t>Swgr Bldg Cabinets</t>
  </si>
  <si>
    <t>HRSG Cabinets</t>
  </si>
  <si>
    <t>WT Cabinets</t>
  </si>
  <si>
    <t>Steam Turbine Loads</t>
  </si>
  <si>
    <t>See Fuji "Power Supply Assignment Requirement" (202-ES-0016-01)</t>
  </si>
  <si>
    <t>1.0 kW</t>
  </si>
  <si>
    <t>10 kW only for initial field energization</t>
  </si>
  <si>
    <t>1.5 kW</t>
  </si>
  <si>
    <t>3.0 kW</t>
  </si>
  <si>
    <t>3.5 kW</t>
  </si>
  <si>
    <t>204A for acceleration, and sustained operation at 1.15 SF</t>
  </si>
  <si>
    <t>200 W for control</t>
  </si>
  <si>
    <t>*emergency jacking oil pump*</t>
  </si>
  <si>
    <t>worst case if there is emergency requirments for jacking oil</t>
  </si>
  <si>
    <t>Miscellaneous</t>
  </si>
  <si>
    <t>Duct Burner PLC</t>
  </si>
  <si>
    <t>Air Compressor PLC</t>
  </si>
  <si>
    <t>CEMS PLC</t>
  </si>
  <si>
    <t>Battery Notes:</t>
  </si>
  <si>
    <t>Fire Alarm System</t>
  </si>
  <si>
    <t>1.  Batteries will supply power for a 4 hour period maximum.</t>
  </si>
  <si>
    <t>2.  ELOP will start (Inrush duration &lt; 1 min) at beginning of 4 hr period and run for 1 hour max.</t>
  </si>
  <si>
    <t>3.  Trip loads will occur for less than 1 minute at beginning of 4 hr period.</t>
  </si>
  <si>
    <t>30kVA Inverter</t>
  </si>
  <si>
    <t>assumed 50% load</t>
  </si>
  <si>
    <t>4.  Close loads will occur for less than 1 minute at end of 4 hr period.</t>
  </si>
  <si>
    <t>5.  60 cell battery with Float voltage - 2.25 vpc  and  Final voltage 1.75 vpc</t>
  </si>
  <si>
    <t>Design Margin (%)</t>
  </si>
  <si>
    <t>6.  Lead-acid calcium plate battery.</t>
  </si>
  <si>
    <t>Constant amperage draw under normal operation</t>
  </si>
  <si>
    <t>Battery Charger Notes:</t>
  </si>
  <si>
    <t>1.  Two 100% capacity battery chagers are required.</t>
  </si>
  <si>
    <t>2.  Chargers to supply 100% DC continuous loads as well as item 3 below.</t>
  </si>
  <si>
    <t>L = plant load at normal conditions</t>
  </si>
  <si>
    <t>3.  Recharge batteries from fully discharged state within 12 hour period.</t>
  </si>
  <si>
    <t>4.  Charger input to be 600VAC, 3-phase.</t>
  </si>
  <si>
    <t>LMG Add Ons</t>
  </si>
  <si>
    <t>DCS Total</t>
  </si>
  <si>
    <t>UPS Total</t>
  </si>
  <si>
    <t>Normal Total</t>
  </si>
  <si>
    <t>Charger Efficiency</t>
  </si>
  <si>
    <t>480V Charger Feed</t>
  </si>
  <si>
    <t>Total Charger Aux Power (Normal)</t>
  </si>
  <si>
    <t>Breakout - UPS Aux Power</t>
  </si>
  <si>
    <t>Breakout - DCS Aux Power</t>
  </si>
  <si>
    <t>Breakout - Charger Aux Power (Normal)</t>
  </si>
  <si>
    <t>IEEE Std 485-1997</t>
  </si>
  <si>
    <t>IEEE Recommended Practice for Sizing Lead-Acid Batteries for Stationary Applications</t>
  </si>
  <si>
    <t>From IEEE 485-1997</t>
  </si>
  <si>
    <t>6.2.2</t>
  </si>
  <si>
    <t>The available capacity of a cell is affected by its operating temperature. The standard temperature for rating</t>
  </si>
  <si>
    <t>cell capacity is 25 C (77 F). If the lowest expected electrolyte temperature is below this standard tempera-</t>
  </si>
  <si>
    <t>ture, select a cell large enough to have the required capacity available at the lowest expected temperature. If</t>
  </si>
  <si>
    <r>
      <t>the lowest expected</t>
    </r>
    <r>
      <rPr>
        <sz val="10"/>
        <rFont val="Arial"/>
        <family val="2"/>
      </rPr>
      <t xml:space="preserve"> electrolyte temperature is above 25 C (77 F), it is a conservative practice to select a</t>
    </r>
  </si>
  <si>
    <t>cell size to match the required capacity at the standard temperature and to recognize the resulting increase in</t>
  </si>
  <si>
    <t>temperatures for vented lead-acid cells with nominal 1.215 specifc gravity. For unlisted temperatures within</t>
  </si>
  <si>
    <t>the range of Table 1, interpolate between adjacent values and round off to two decimal places. For VRLA</t>
  </si>
  <si>
    <t>cells, check with the manufactureers for the apporpriate temperature correction factors.</t>
  </si>
  <si>
    <t>Table 1. Cell size correction factors for temperature</t>
  </si>
  <si>
    <t>Electrolyte temp (F)</t>
  </si>
  <si>
    <t>Cell size correction factor</t>
  </si>
  <si>
    <t>BATTERY AND CHARGER SIZING WORKSHEET NOTES</t>
  </si>
  <si>
    <t>General</t>
  </si>
  <si>
    <t>Green cells are automatically calculated. Yellow cells are to be altered by the user based on project requirements.</t>
  </si>
  <si>
    <t>Blue cells contain typical data. These cells should be checked by the user and altered if needed.</t>
  </si>
  <si>
    <t>Battery Size Calculation</t>
  </si>
  <si>
    <t>Sizing equation for determining the capacity of the battery bank.</t>
  </si>
  <si>
    <t>H=</t>
  </si>
  <si>
    <t>time (hours) operating in in current segment of duty cycle</t>
  </si>
  <si>
    <t>A=</t>
  </si>
  <si>
    <t>amount of current (amps) required to operate in current segment of duty cycle</t>
  </si>
  <si>
    <t>Cb=</t>
  </si>
  <si>
    <t>battery capacity needed under ideal circumstances</t>
  </si>
  <si>
    <t>DM=</t>
  </si>
  <si>
    <t>design margin in % to account for unknown/miscellaneous loads</t>
  </si>
  <si>
    <t>T=</t>
  </si>
  <si>
    <t xml:space="preserve">assume 1.000 for calculations @ 77 F. </t>
  </si>
  <si>
    <t>If another temp is desired, see Temperature Correction Tab</t>
  </si>
  <si>
    <t>Age factor, to account for battery quality loss as they age</t>
  </si>
  <si>
    <t>Charger Size Calculation</t>
  </si>
  <si>
    <t>Sizing equation for determining the size of the battery charger from IEEE Std 946-2004:</t>
  </si>
  <si>
    <t>Equation 1:</t>
  </si>
  <si>
    <r>
      <t>I</t>
    </r>
    <r>
      <rPr>
        <vertAlign val="subscript"/>
        <sz val="18"/>
        <rFont val="Arial"/>
        <family val="2"/>
      </rPr>
      <t>1</t>
    </r>
    <r>
      <rPr>
        <sz val="18"/>
        <rFont val="Arial"/>
        <family val="2"/>
      </rPr>
      <t xml:space="preserve"> = L + (1.1  x C) / H</t>
    </r>
  </si>
  <si>
    <t>Equation 2:</t>
  </si>
  <si>
    <r>
      <t>I</t>
    </r>
    <r>
      <rPr>
        <vertAlign val="subscript"/>
        <sz val="18"/>
        <rFont val="Arial"/>
        <family val="2"/>
      </rPr>
      <t>2</t>
    </r>
    <r>
      <rPr>
        <sz val="18"/>
        <rFont val="Arial"/>
        <family val="2"/>
      </rPr>
      <t xml:space="preserve"> = I</t>
    </r>
    <r>
      <rPr>
        <vertAlign val="subscript"/>
        <sz val="18"/>
        <rFont val="Arial"/>
        <family val="2"/>
      </rPr>
      <t>LC</t>
    </r>
    <r>
      <rPr>
        <sz val="18"/>
        <rFont val="Arial"/>
        <family val="2"/>
      </rPr>
      <t xml:space="preserve"> + L</t>
    </r>
  </si>
  <si>
    <r>
      <t>I</t>
    </r>
    <r>
      <rPr>
        <vertAlign val="subscript"/>
        <sz val="12"/>
        <rFont val="Arial"/>
        <family val="2"/>
      </rPr>
      <t>1</t>
    </r>
    <r>
      <rPr>
        <sz val="12"/>
        <rFont val="Arial"/>
        <family val="2"/>
      </rPr>
      <t xml:space="preserve"> =</t>
    </r>
  </si>
  <si>
    <r>
      <t>Is the minimum required charger rated output (in amperes).  Battery manufacturers often recommned that the charging rate be limited; typical values are 10% to 20% of the 8 h capacity.  I</t>
    </r>
    <r>
      <rPr>
        <vertAlign val="subscript"/>
        <sz val="10"/>
        <rFont val="Arial"/>
        <family val="2"/>
      </rPr>
      <t>1</t>
    </r>
    <r>
      <rPr>
        <sz val="10"/>
        <rFont val="Arial"/>
        <family val="2"/>
      </rPr>
      <t xml:space="preserve"> should be evaluated for the maximum and minumum values of L.</t>
    </r>
  </si>
  <si>
    <r>
      <t>I</t>
    </r>
    <r>
      <rPr>
        <vertAlign val="subscript"/>
        <sz val="12"/>
        <rFont val="Arial"/>
        <family val="2"/>
      </rPr>
      <t>2</t>
    </r>
    <r>
      <rPr>
        <sz val="12"/>
        <rFont val="Arial"/>
        <family val="2"/>
      </rPr>
      <t xml:space="preserve"> =</t>
    </r>
  </si>
  <si>
    <t>is the minimum charger output (in amperes) that will supply the maximum operating load.</t>
  </si>
  <si>
    <r>
      <t>I</t>
    </r>
    <r>
      <rPr>
        <vertAlign val="subscript"/>
        <sz val="12"/>
        <rFont val="Arial"/>
        <family val="2"/>
      </rPr>
      <t>3</t>
    </r>
    <r>
      <rPr>
        <sz val="12"/>
        <rFont val="Arial"/>
        <family val="2"/>
      </rPr>
      <t xml:space="preserve"> =</t>
    </r>
  </si>
  <si>
    <r>
      <t>is the recommended charger rated output (in amperes); i.e., the larger of I</t>
    </r>
    <r>
      <rPr>
        <vertAlign val="subscript"/>
        <sz val="10"/>
        <rFont val="Arial"/>
        <family val="2"/>
      </rPr>
      <t>1</t>
    </r>
    <r>
      <rPr>
        <sz val="10"/>
        <rFont val="Arial"/>
        <family val="2"/>
      </rPr>
      <t xml:space="preserve"> and I</t>
    </r>
    <r>
      <rPr>
        <vertAlign val="subscript"/>
        <sz val="10"/>
        <rFont val="Arial"/>
        <family val="2"/>
      </rPr>
      <t>2</t>
    </r>
    <r>
      <rPr>
        <sz val="10"/>
        <rFont val="Arial"/>
        <family val="2"/>
      </rPr>
      <t>. If it can be demonstrated that the reduction in battery capacity that results during and following the application of Ln does not compromise the ability fo the battery to satisfy its intended function, the user may select Equation (1) as the basis of sizing the battery charger(s). Battery manufacturers often recommend that the charging rate be limited; typical values are 10% and 20% of the 8 h capacity. I3 should be evaluated for the maximum values of ILC.</t>
    </r>
  </si>
  <si>
    <r>
      <t>I</t>
    </r>
    <r>
      <rPr>
        <vertAlign val="subscript"/>
        <sz val="12"/>
        <rFont val="Arial"/>
        <family val="2"/>
      </rPr>
      <t>LC</t>
    </r>
    <r>
      <rPr>
        <sz val="12"/>
        <rFont val="Arial"/>
        <family val="2"/>
      </rPr>
      <t xml:space="preserve"> =</t>
    </r>
  </si>
  <si>
    <t>is the continuous dc load (in amperes), including future load growth.</t>
  </si>
  <si>
    <t>L =</t>
  </si>
  <si>
    <t>is the largest combination of non-continuous loads (as defined in 4.2.2 of IEEE Std 485-1997) that would likely be connected to the bus simultaneously during normal plant operation, including periodic testing of dc components such as emergency lighting and emergency oil pumps.</t>
  </si>
  <si>
    <t>1.1 =</t>
  </si>
  <si>
    <t>is the constant that compensates for battery losses.</t>
  </si>
  <si>
    <t>C =</t>
  </si>
  <si>
    <t>is the discharge from the battery measured in ampere-hours. After discharge testing as defined in IEEE Std 450-2000, it is convenient to assume that the ampere-hours removed by the test can be replaced in 8 h to 24 h. For users meeting the requirements of IEEE Std 308-2001, the ampere-hours removed by the duty cycle is appropriate.</t>
  </si>
  <si>
    <t>H =</t>
  </si>
  <si>
    <t>is the time to recharge the battery to approximately 95% of capacity (in hours). To minimize dc system downtime, a reasonable recharge time should be selected; 8 h to 24 h is recommended. It is recommended that the battery manufacturer be consulted for values of T less than 8 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</si>
</sst>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42">
    <font>
      <sz val="10"/>
      <name val="Arial"/>
    </font>
    <font>
      <sz val="10"/>
      <name val="Arial"/>
      <family val="2"/>
    </font>
    <font>
      <sz val="10"/>
      <name val="Univers"/>
    </font>
    <font>
      <sz val="8"/>
      <name val="Arial"/>
      <family val="2"/>
    </font>
    <font>
      <b/>
      <sz val="8"/>
      <name val="Arial"/>
      <family val="2"/>
    </font>
    <font>
      <b/>
      <sz val="10"/>
      <name val="Arial"/>
      <family val="2"/>
    </font>
    <font>
      <b/>
      <u/>
      <sz val="12"/>
      <name val="Arial"/>
      <family val="2"/>
    </font>
    <font>
      <b/>
      <u/>
      <sz val="8"/>
      <name val="Arial"/>
      <family val="2"/>
    </font>
    <font>
      <sz val="8"/>
      <color indexed="81"/>
      <name val="Tahoma"/>
      <family val="2"/>
    </font>
    <font>
      <b/>
      <sz val="8"/>
      <color indexed="81"/>
      <name val="Tahoma"/>
      <family val="2"/>
    </font>
    <font>
      <b/>
      <i/>
      <sz val="8"/>
      <name val="Arial"/>
      <family val="2"/>
    </font>
    <font>
      <sz val="8"/>
      <name val="Univers"/>
    </font>
    <font>
      <b/>
      <sz val="8"/>
      <name val="Univers"/>
    </font>
    <font>
      <sz val="10"/>
      <name val="Arial"/>
      <family val="2"/>
    </font>
    <font>
      <vertAlign val="subscript"/>
      <sz val="10"/>
      <name val="Arial"/>
      <family val="2"/>
    </font>
    <font>
      <sz val="12"/>
      <name val="Times New Roman"/>
      <family val="1"/>
    </font>
    <font>
      <sz val="18"/>
      <name val="Arial"/>
      <family val="2"/>
    </font>
    <font>
      <b/>
      <u/>
      <sz val="10"/>
      <name val="Arial"/>
      <family val="2"/>
    </font>
    <font>
      <b/>
      <sz val="10"/>
      <name val="Univers"/>
    </font>
    <font>
      <b/>
      <vertAlign val="subscript"/>
      <sz val="12"/>
      <name val="Arial"/>
      <family val="2"/>
    </font>
    <font>
      <b/>
      <sz val="12"/>
      <name val="Arial"/>
      <family val="2"/>
    </font>
    <font>
      <vertAlign val="subscript"/>
      <sz val="8"/>
      <name val="Arial"/>
      <family val="2"/>
    </font>
    <font>
      <i/>
      <sz val="10"/>
      <name val="Arial"/>
      <family val="2"/>
    </font>
    <font>
      <b/>
      <sz val="12"/>
      <name val="Times New Roman"/>
      <family val="1"/>
    </font>
    <font>
      <b/>
      <i/>
      <sz val="10"/>
      <name val="Arial"/>
      <family val="2"/>
    </font>
    <font>
      <b/>
      <u/>
      <sz val="12"/>
      <name val="Times New Roman"/>
      <family val="1"/>
    </font>
    <font>
      <u/>
      <sz val="10"/>
      <name val="Arial"/>
      <family val="2"/>
    </font>
    <font>
      <vertAlign val="superscript"/>
      <sz val="10"/>
      <name val="Arial"/>
      <family val="2"/>
    </font>
    <font>
      <sz val="8"/>
      <color rgb="FFFF0000"/>
      <name val="Arial"/>
      <family val="2"/>
    </font>
    <font>
      <b/>
      <sz val="8"/>
      <color rgb="FFFF0000"/>
      <name val="Arial"/>
      <family val="2"/>
    </font>
    <font>
      <sz val="8"/>
      <color rgb="FFFF0000"/>
      <name val="Univers"/>
    </font>
    <font>
      <b/>
      <sz val="8"/>
      <color rgb="FFFF0000"/>
      <name val="Univers"/>
    </font>
    <font>
      <b/>
      <sz val="10"/>
      <color rgb="FFFF0000"/>
      <name val="Arial"/>
      <family val="2"/>
    </font>
    <font>
      <i/>
      <sz val="10"/>
      <color rgb="FFFF0000"/>
      <name val="Arial"/>
      <family val="2"/>
    </font>
    <font>
      <sz val="12"/>
      <name val="Arial"/>
      <family val="2"/>
    </font>
    <font>
      <vertAlign val="subscript"/>
      <sz val="12"/>
      <name val="Arial"/>
      <family val="2"/>
    </font>
    <font>
      <vertAlign val="subscript"/>
      <sz val="18"/>
      <name val="Arial"/>
      <family val="2"/>
    </font>
    <font>
      <u/>
      <sz val="10"/>
      <color theme="10"/>
      <name val="Arial"/>
      <family val="2"/>
    </font>
    <font>
      <b/>
      <sz val="14"/>
      <name val="Arial"/>
      <family val="2"/>
    </font>
    <font>
      <u/>
      <sz val="14"/>
      <name val="Arial"/>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indexed="23"/>
        <bgColor indexed="64"/>
      </patternFill>
    </fill>
    <fill>
      <patternFill patternType="solid">
        <fgColor indexed="22"/>
        <bgColor indexed="64"/>
      </patternFill>
    </fill>
    <fill>
      <patternFill patternType="solid">
        <fgColor rgb="FFCCFFCC"/>
        <bgColor indexed="64"/>
      </patternFill>
    </fill>
    <fill>
      <patternFill patternType="solid">
        <fgColor rgb="FFFFFF99"/>
        <bgColor indexed="64"/>
      </patternFill>
    </fill>
    <fill>
      <patternFill patternType="solid">
        <fgColor indexed="51"/>
        <bgColor indexed="64"/>
      </patternFill>
    </fill>
    <fill>
      <patternFill patternType="solid">
        <fgColor theme="1"/>
        <bgColor indexed="64"/>
      </patternFill>
    </fill>
  </fills>
  <borders count="81">
    <border>
      <left/>
      <right/>
      <top/>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8"/>
      </right>
      <top style="thin">
        <color indexed="64"/>
      </top>
      <bottom style="thin">
        <color indexed="64"/>
      </bottom>
      <diagonal/>
    </border>
    <border>
      <left style="thin">
        <color indexed="64"/>
      </left>
      <right style="thin">
        <color indexed="64"/>
      </right>
      <top/>
      <bottom style="thin">
        <color indexed="8"/>
      </bottom>
      <diagonal/>
    </border>
    <border>
      <left/>
      <right style="medium">
        <color indexed="8"/>
      </right>
      <top/>
      <bottom/>
      <diagonal/>
    </border>
    <border>
      <left/>
      <right style="medium">
        <color indexed="8"/>
      </right>
      <top/>
      <bottom style="medium">
        <color indexed="64"/>
      </bottom>
      <diagonal/>
    </border>
    <border>
      <left/>
      <right style="medium">
        <color indexed="8"/>
      </right>
      <top style="medium">
        <color indexed="64"/>
      </top>
      <bottom/>
      <diagonal/>
    </border>
    <border>
      <left style="medium">
        <color indexed="64"/>
      </left>
      <right/>
      <top/>
      <bottom style="medium">
        <color indexed="8"/>
      </bottom>
      <diagonal/>
    </border>
    <border>
      <left/>
      <right style="medium">
        <color indexed="8"/>
      </right>
      <top style="medium">
        <color indexed="64"/>
      </top>
      <bottom style="thin">
        <color indexed="64"/>
      </bottom>
      <diagonal/>
    </border>
    <border>
      <left/>
      <right style="medium">
        <color indexed="8"/>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8"/>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8">
    <xf numFmtId="0" fontId="0" fillId="0" borderId="0"/>
    <xf numFmtId="9" fontId="1" fillId="0" borderId="0" applyFont="0" applyFill="0" applyBorder="0" applyAlignment="0" applyProtection="0"/>
    <xf numFmtId="0" fontId="13" fillId="0" borderId="0"/>
    <xf numFmtId="0" fontId="13" fillId="0" borderId="0"/>
    <xf numFmtId="0" fontId="1" fillId="0" borderId="0"/>
    <xf numFmtId="0" fontId="1" fillId="0" borderId="0"/>
    <xf numFmtId="0" fontId="1" fillId="0" borderId="0"/>
    <xf numFmtId="0" fontId="37" fillId="0" borderId="0" applyNumberFormat="0" applyFill="0" applyBorder="0" applyAlignment="0" applyProtection="0">
      <alignment vertical="top"/>
      <protection locked="0"/>
    </xf>
  </cellStyleXfs>
  <cellXfs count="548">
    <xf numFmtId="0" fontId="0" fillId="0" borderId="0" xfId="0"/>
    <xf numFmtId="0" fontId="3" fillId="0" borderId="1" xfId="0" applyFont="1" applyBorder="1" applyAlignment="1">
      <alignment horizontal="right"/>
    </xf>
    <xf numFmtId="0" fontId="3" fillId="0" borderId="2" xfId="0" applyFont="1" applyBorder="1"/>
    <xf numFmtId="0" fontId="3" fillId="0" borderId="2" xfId="0" applyFont="1" applyBorder="1" applyAlignment="1">
      <alignment horizontal="right"/>
    </xf>
    <xf numFmtId="0" fontId="3" fillId="0" borderId="3" xfId="0" applyFont="1" applyBorder="1"/>
    <xf numFmtId="0" fontId="4" fillId="0" borderId="4" xfId="0" applyFont="1" applyBorder="1" applyAlignment="1">
      <alignment horizontal="center"/>
    </xf>
    <xf numFmtId="0" fontId="3" fillId="0" borderId="5" xfId="0" applyFont="1" applyBorder="1"/>
    <xf numFmtId="0" fontId="3" fillId="0" borderId="6" xfId="0" applyFont="1" applyBorder="1"/>
    <xf numFmtId="0" fontId="3" fillId="0" borderId="7" xfId="0" applyFont="1" applyBorder="1"/>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3"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xf>
    <xf numFmtId="0" fontId="3" fillId="3" borderId="14" xfId="0" applyFont="1" applyFill="1" applyBorder="1" applyAlignment="1">
      <alignment horizontal="center"/>
    </xf>
    <xf numFmtId="0" fontId="3" fillId="2" borderId="15" xfId="0" applyFont="1" applyFill="1" applyBorder="1" applyAlignment="1">
      <alignment horizontal="center"/>
    </xf>
    <xf numFmtId="0" fontId="3" fillId="2" borderId="13" xfId="0" applyFont="1" applyFill="1" applyBorder="1" applyAlignment="1">
      <alignment horizontal="center"/>
    </xf>
    <xf numFmtId="1" fontId="3" fillId="2" borderId="15" xfId="0" applyNumberFormat="1" applyFont="1" applyFill="1" applyBorder="1" applyAlignment="1">
      <alignment horizontal="center"/>
    </xf>
    <xf numFmtId="1" fontId="3" fillId="2" borderId="16" xfId="0" applyNumberFormat="1" applyFont="1" applyFill="1" applyBorder="1" applyAlignment="1">
      <alignment horizontal="center"/>
    </xf>
    <xf numFmtId="1" fontId="3" fillId="3" borderId="14" xfId="0" applyNumberFormat="1" applyFont="1" applyFill="1" applyBorder="1" applyAlignment="1">
      <alignment horizontal="center"/>
    </xf>
    <xf numFmtId="0" fontId="3" fillId="0" borderId="0" xfId="0" applyFont="1" applyBorder="1"/>
    <xf numFmtId="1" fontId="4" fillId="0" borderId="0" xfId="0" applyNumberFormat="1" applyFont="1" applyBorder="1" applyAlignment="1">
      <alignment horizontal="center"/>
    </xf>
    <xf numFmtId="1" fontId="4" fillId="2" borderId="17" xfId="0" applyNumberFormat="1" applyFont="1" applyFill="1" applyBorder="1" applyAlignment="1">
      <alignment horizontal="center"/>
    </xf>
    <xf numFmtId="1" fontId="3" fillId="0" borderId="0" xfId="0" applyNumberFormat="1" applyFont="1" applyBorder="1" applyAlignment="1">
      <alignment horizontal="center"/>
    </xf>
    <xf numFmtId="0" fontId="3" fillId="0" borderId="0" xfId="0" applyFont="1" applyFill="1" applyBorder="1" applyAlignment="1">
      <alignment horizontal="right"/>
    </xf>
    <xf numFmtId="1" fontId="3" fillId="2" borderId="18" xfId="0" applyNumberFormat="1" applyFont="1" applyFill="1" applyBorder="1" applyAlignment="1">
      <alignment horizontal="center"/>
    </xf>
    <xf numFmtId="0" fontId="3" fillId="4" borderId="15" xfId="0" applyFont="1" applyFill="1" applyBorder="1" applyAlignment="1">
      <alignment horizontal="center"/>
    </xf>
    <xf numFmtId="1" fontId="3" fillId="4" borderId="15" xfId="0" applyNumberFormat="1" applyFont="1" applyFill="1" applyBorder="1" applyAlignment="1">
      <alignment horizontal="center"/>
    </xf>
    <xf numFmtId="0" fontId="3" fillId="2" borderId="14" xfId="0" applyFont="1" applyFill="1" applyBorder="1" applyAlignment="1">
      <alignment horizontal="center"/>
    </xf>
    <xf numFmtId="0" fontId="3" fillId="4" borderId="13" xfId="0" applyFont="1" applyFill="1" applyBorder="1" applyAlignment="1">
      <alignment horizontal="center"/>
    </xf>
    <xf numFmtId="0" fontId="3" fillId="4" borderId="14" xfId="0" applyFont="1" applyFill="1" applyBorder="1" applyAlignment="1">
      <alignment horizontal="center"/>
    </xf>
    <xf numFmtId="0" fontId="3" fillId="4" borderId="6" xfId="0" applyFont="1" applyFill="1" applyBorder="1" applyAlignment="1">
      <alignment horizontal="center"/>
    </xf>
    <xf numFmtId="0" fontId="3" fillId="2" borderId="6" xfId="0" applyFont="1" applyFill="1" applyBorder="1" applyAlignment="1">
      <alignment horizontal="center"/>
    </xf>
    <xf numFmtId="0" fontId="3" fillId="4" borderId="19" xfId="0" applyFont="1" applyFill="1" applyBorder="1" applyAlignment="1">
      <alignment horizontal="center"/>
    </xf>
    <xf numFmtId="1" fontId="3" fillId="4" borderId="16" xfId="0" applyNumberFormat="1" applyFont="1" applyFill="1" applyBorder="1" applyAlignment="1">
      <alignment horizontal="center"/>
    </xf>
    <xf numFmtId="1" fontId="3" fillId="2" borderId="20" xfId="0" applyNumberFormat="1" applyFont="1" applyFill="1" applyBorder="1" applyAlignment="1">
      <alignment horizontal="center"/>
    </xf>
    <xf numFmtId="1" fontId="3" fillId="4" borderId="20" xfId="0" applyNumberFormat="1" applyFont="1" applyFill="1" applyBorder="1" applyAlignment="1">
      <alignment horizontal="center"/>
    </xf>
    <xf numFmtId="0" fontId="3" fillId="2" borderId="20" xfId="0" applyFont="1" applyFill="1" applyBorder="1" applyAlignment="1">
      <alignment horizontal="center"/>
    </xf>
    <xf numFmtId="1" fontId="3" fillId="2" borderId="21" xfId="0" applyNumberFormat="1" applyFont="1" applyFill="1" applyBorder="1" applyAlignment="1">
      <alignment horizontal="center"/>
    </xf>
    <xf numFmtId="1" fontId="3" fillId="2" borderId="22" xfId="0" applyNumberFormat="1" applyFont="1" applyFill="1" applyBorder="1" applyAlignment="1">
      <alignment horizontal="center"/>
    </xf>
    <xf numFmtId="1" fontId="3" fillId="2" borderId="10" xfId="0" applyNumberFormat="1" applyFont="1" applyFill="1" applyBorder="1" applyAlignment="1">
      <alignment horizontal="center"/>
    </xf>
    <xf numFmtId="1" fontId="4" fillId="2" borderId="23" xfId="0" applyNumberFormat="1" applyFont="1" applyFill="1" applyBorder="1" applyAlignment="1">
      <alignment horizontal="center"/>
    </xf>
    <xf numFmtId="1" fontId="4" fillId="2" borderId="24" xfId="0" applyNumberFormat="1" applyFont="1" applyFill="1" applyBorder="1" applyAlignment="1">
      <alignment horizontal="center"/>
    </xf>
    <xf numFmtId="0" fontId="3" fillId="2" borderId="22" xfId="0" applyFont="1" applyFill="1" applyBorder="1" applyAlignment="1">
      <alignment horizontal="center"/>
    </xf>
    <xf numFmtId="0" fontId="3" fillId="3" borderId="6" xfId="0" applyFont="1" applyFill="1" applyBorder="1" applyAlignment="1">
      <alignment horizontal="left" indent="2"/>
    </xf>
    <xf numFmtId="0" fontId="4" fillId="3" borderId="5" xfId="0" applyFont="1" applyFill="1" applyBorder="1" applyAlignment="1">
      <alignment horizontal="center"/>
    </xf>
    <xf numFmtId="9" fontId="4" fillId="3" borderId="7" xfId="0" applyNumberFormat="1" applyFont="1" applyFill="1" applyBorder="1" applyAlignment="1">
      <alignment horizontal="center"/>
    </xf>
    <xf numFmtId="1" fontId="3" fillId="2" borderId="27" xfId="0" applyNumberFormat="1" applyFont="1" applyFill="1" applyBorder="1" applyAlignment="1">
      <alignment horizontal="center"/>
    </xf>
    <xf numFmtId="1" fontId="3" fillId="2" borderId="28" xfId="0" applyNumberFormat="1" applyFont="1" applyFill="1" applyBorder="1" applyAlignment="1">
      <alignment horizontal="center"/>
    </xf>
    <xf numFmtId="1" fontId="3" fillId="2" borderId="29" xfId="0" applyNumberFormat="1" applyFont="1" applyFill="1" applyBorder="1" applyAlignment="1">
      <alignment horizontal="center"/>
    </xf>
    <xf numFmtId="1" fontId="3" fillId="2" borderId="30" xfId="0" applyNumberFormat="1" applyFont="1" applyFill="1" applyBorder="1" applyAlignment="1">
      <alignment horizontal="center"/>
    </xf>
    <xf numFmtId="1" fontId="3" fillId="2" borderId="31" xfId="0" applyNumberFormat="1" applyFont="1" applyFill="1" applyBorder="1" applyAlignment="1">
      <alignment horizontal="center"/>
    </xf>
    <xf numFmtId="0" fontId="3" fillId="2" borderId="18" xfId="0" applyFont="1" applyFill="1" applyBorder="1" applyAlignment="1">
      <alignment horizontal="center"/>
    </xf>
    <xf numFmtId="0" fontId="3" fillId="3" borderId="7" xfId="0" applyFont="1" applyFill="1" applyBorder="1" applyAlignment="1">
      <alignment horizontal="left" indent="2"/>
    </xf>
    <xf numFmtId="0" fontId="3" fillId="3" borderId="32" xfId="0" applyFont="1" applyFill="1" applyBorder="1" applyAlignment="1">
      <alignment horizontal="center"/>
    </xf>
    <xf numFmtId="0" fontId="3" fillId="3" borderId="19" xfId="0" applyFont="1" applyFill="1" applyBorder="1" applyAlignment="1">
      <alignment horizontal="left" indent="2"/>
    </xf>
    <xf numFmtId="0" fontId="3" fillId="3" borderId="33" xfId="0" applyFont="1" applyFill="1" applyBorder="1" applyAlignment="1">
      <alignment horizontal="left" indent="2"/>
    </xf>
    <xf numFmtId="0" fontId="3" fillId="3" borderId="34" xfId="0" applyFont="1" applyFill="1" applyBorder="1" applyAlignment="1">
      <alignment horizontal="center"/>
    </xf>
    <xf numFmtId="0" fontId="3" fillId="2" borderId="33" xfId="0" applyFont="1" applyFill="1" applyBorder="1" applyAlignment="1">
      <alignment horizontal="center"/>
    </xf>
    <xf numFmtId="0" fontId="3" fillId="2" borderId="35" xfId="0" applyFont="1" applyFill="1" applyBorder="1" applyAlignment="1">
      <alignment horizontal="center"/>
    </xf>
    <xf numFmtId="0" fontId="3" fillId="2" borderId="36" xfId="0" applyFont="1" applyFill="1" applyBorder="1" applyAlignment="1">
      <alignment horizontal="center"/>
    </xf>
    <xf numFmtId="0" fontId="4" fillId="0" borderId="37" xfId="0" applyFont="1" applyBorder="1" applyAlignment="1">
      <alignment horizontal="center"/>
    </xf>
    <xf numFmtId="0" fontId="4" fillId="0" borderId="24" xfId="0" applyFont="1" applyBorder="1" applyAlignment="1">
      <alignment horizontal="center" wrapText="1"/>
    </xf>
    <xf numFmtId="0" fontId="3" fillId="0" borderId="10" xfId="0" applyFont="1" applyBorder="1"/>
    <xf numFmtId="0" fontId="11" fillId="3" borderId="28" xfId="0" applyFont="1" applyFill="1" applyBorder="1" applyAlignment="1">
      <alignment horizontal="center"/>
    </xf>
    <xf numFmtId="0" fontId="3" fillId="0" borderId="31" xfId="0" applyFont="1" applyBorder="1"/>
    <xf numFmtId="1" fontId="11" fillId="2" borderId="16" xfId="0" applyNumberFormat="1" applyFont="1" applyFill="1" applyBorder="1" applyAlignment="1">
      <alignment horizontal="center"/>
    </xf>
    <xf numFmtId="0" fontId="3" fillId="0" borderId="22" xfId="0" applyFont="1" applyBorder="1"/>
    <xf numFmtId="0" fontId="12" fillId="2" borderId="30" xfId="0" applyFont="1" applyFill="1" applyBorder="1" applyAlignment="1">
      <alignment horizontal="center"/>
    </xf>
    <xf numFmtId="1" fontId="3" fillId="0" borderId="16" xfId="0" applyNumberFormat="1" applyFont="1" applyBorder="1" applyAlignment="1">
      <alignment horizontal="center"/>
    </xf>
    <xf numFmtId="0" fontId="0" fillId="0" borderId="0" xfId="0" applyAlignment="1">
      <alignment horizontal="center"/>
    </xf>
    <xf numFmtId="1" fontId="3" fillId="0" borderId="4" xfId="0" applyNumberFormat="1" applyFont="1" applyBorder="1" applyAlignment="1">
      <alignment horizontal="center"/>
    </xf>
    <xf numFmtId="1" fontId="3" fillId="0" borderId="38" xfId="0" applyNumberFormat="1" applyFont="1" applyBorder="1" applyAlignment="1">
      <alignment horizontal="center"/>
    </xf>
    <xf numFmtId="1" fontId="3" fillId="0" borderId="39" xfId="0" applyNumberFormat="1" applyFont="1" applyBorder="1" applyAlignment="1">
      <alignment horizontal="center"/>
    </xf>
    <xf numFmtId="1" fontId="3" fillId="0" borderId="36" xfId="0" applyNumberFormat="1" applyFont="1" applyBorder="1" applyAlignment="1">
      <alignment horizontal="center"/>
    </xf>
    <xf numFmtId="1" fontId="12" fillId="2" borderId="40" xfId="0" applyNumberFormat="1" applyFont="1" applyFill="1" applyBorder="1" applyAlignment="1">
      <alignment horizontal="center"/>
    </xf>
    <xf numFmtId="2" fontId="3" fillId="4" borderId="6" xfId="0" applyNumberFormat="1" applyFont="1" applyFill="1" applyBorder="1" applyAlignment="1">
      <alignment horizontal="center"/>
    </xf>
    <xf numFmtId="2" fontId="3" fillId="2" borderId="10" xfId="0" applyNumberFormat="1" applyFont="1" applyFill="1" applyBorder="1" applyAlignment="1">
      <alignment horizontal="center"/>
    </xf>
    <xf numFmtId="0" fontId="4" fillId="0" borderId="0" xfId="0" applyFont="1"/>
    <xf numFmtId="0" fontId="3" fillId="0" borderId="0" xfId="0" applyFont="1"/>
    <xf numFmtId="0" fontId="4" fillId="0" borderId="0" xfId="0" applyFont="1" applyAlignment="1">
      <alignment horizontal="right"/>
    </xf>
    <xf numFmtId="0" fontId="4" fillId="0" borderId="0" xfId="0" applyFont="1" applyBorder="1" applyAlignment="1">
      <alignment horizontal="center" wrapText="1"/>
    </xf>
    <xf numFmtId="2" fontId="3" fillId="2" borderId="28" xfId="0" applyNumberFormat="1" applyFont="1" applyFill="1" applyBorder="1" applyAlignment="1">
      <alignment horizontal="center"/>
    </xf>
    <xf numFmtId="2" fontId="3" fillId="2" borderId="31" xfId="0" applyNumberFormat="1" applyFont="1" applyFill="1" applyBorder="1" applyAlignment="1">
      <alignment horizontal="center"/>
    </xf>
    <xf numFmtId="2" fontId="3" fillId="2" borderId="16" xfId="0" applyNumberFormat="1" applyFont="1" applyFill="1" applyBorder="1" applyAlignment="1">
      <alignment horizontal="center"/>
    </xf>
    <xf numFmtId="2" fontId="4" fillId="2" borderId="22" xfId="0" applyNumberFormat="1" applyFont="1" applyFill="1" applyBorder="1" applyAlignment="1">
      <alignment horizontal="center"/>
    </xf>
    <xf numFmtId="2" fontId="4" fillId="2" borderId="30" xfId="0" applyNumberFormat="1" applyFont="1" applyFill="1" applyBorder="1" applyAlignment="1">
      <alignment horizontal="center"/>
    </xf>
    <xf numFmtId="0" fontId="4" fillId="0" borderId="24" xfId="0" applyFont="1" applyFill="1" applyBorder="1" applyAlignment="1">
      <alignment horizontal="left"/>
    </xf>
    <xf numFmtId="0" fontId="4" fillId="5" borderId="41" xfId="0" applyFont="1" applyFill="1" applyBorder="1" applyAlignment="1">
      <alignment horizontal="right"/>
    </xf>
    <xf numFmtId="0" fontId="0" fillId="0" borderId="0" xfId="0" applyBorder="1"/>
    <xf numFmtId="0" fontId="3" fillId="3" borderId="6" xfId="0" applyFont="1" applyFill="1" applyBorder="1" applyAlignment="1">
      <alignment horizontal="center"/>
    </xf>
    <xf numFmtId="164" fontId="3" fillId="3" borderId="6" xfId="0" applyNumberFormat="1" applyFont="1" applyFill="1" applyBorder="1" applyAlignment="1">
      <alignment horizontal="center"/>
    </xf>
    <xf numFmtId="2" fontId="3" fillId="2" borderId="6" xfId="0" applyNumberFormat="1" applyFont="1" applyFill="1" applyBorder="1" applyAlignment="1">
      <alignment horizontal="center"/>
    </xf>
    <xf numFmtId="164" fontId="3" fillId="4" borderId="6" xfId="0" applyNumberFormat="1" applyFont="1" applyFill="1" applyBorder="1" applyAlignment="1">
      <alignment horizontal="center"/>
    </xf>
    <xf numFmtId="0" fontId="3" fillId="3" borderId="7" xfId="0" applyFont="1" applyFill="1" applyBorder="1" applyAlignment="1">
      <alignment horizontal="center"/>
    </xf>
    <xf numFmtId="164" fontId="3" fillId="3" borderId="7" xfId="0" applyNumberFormat="1" applyFont="1" applyFill="1" applyBorder="1" applyAlignment="1">
      <alignment horizontal="center"/>
    </xf>
    <xf numFmtId="2" fontId="3" fillId="2" borderId="7" xfId="0" applyNumberFormat="1" applyFont="1" applyFill="1" applyBorder="1" applyAlignment="1">
      <alignment horizontal="center"/>
    </xf>
    <xf numFmtId="2" fontId="3" fillId="4" borderId="7" xfId="0" applyNumberFormat="1" applyFont="1" applyFill="1" applyBorder="1" applyAlignment="1">
      <alignment horizontal="center"/>
    </xf>
    <xf numFmtId="0" fontId="4" fillId="0" borderId="37" xfId="0" applyFont="1" applyBorder="1" applyAlignment="1">
      <alignment horizontal="center" wrapText="1"/>
    </xf>
    <xf numFmtId="9" fontId="4" fillId="3" borderId="37" xfId="0" applyNumberFormat="1" applyFont="1" applyFill="1" applyBorder="1" applyAlignment="1">
      <alignment horizontal="center"/>
    </xf>
    <xf numFmtId="0" fontId="4" fillId="0" borderId="3" xfId="0" applyFont="1" applyBorder="1" applyAlignment="1">
      <alignment horizontal="right"/>
    </xf>
    <xf numFmtId="0" fontId="0" fillId="0" borderId="0" xfId="0" applyAlignment="1">
      <alignment horizontal="centerContinuous"/>
    </xf>
    <xf numFmtId="0" fontId="13" fillId="0" borderId="0" xfId="0" applyFont="1" applyBorder="1"/>
    <xf numFmtId="0" fontId="0" fillId="0" borderId="43" xfId="0" applyBorder="1" applyAlignment="1">
      <alignment horizontal="left"/>
    </xf>
    <xf numFmtId="0" fontId="0" fillId="0" borderId="43" xfId="0" applyBorder="1" applyAlignment="1">
      <alignment horizontal="center"/>
    </xf>
    <xf numFmtId="2" fontId="0" fillId="0" borderId="43" xfId="0" applyNumberFormat="1" applyBorder="1" applyAlignment="1">
      <alignment horizontal="center"/>
    </xf>
    <xf numFmtId="3" fontId="0" fillId="0" borderId="43" xfId="0" applyNumberFormat="1" applyBorder="1" applyAlignment="1">
      <alignment horizontal="right"/>
    </xf>
    <xf numFmtId="0" fontId="0" fillId="0" borderId="45" xfId="0" applyBorder="1" applyAlignment="1">
      <alignment horizontal="left"/>
    </xf>
    <xf numFmtId="0" fontId="0" fillId="0" borderId="45" xfId="0" applyBorder="1" applyAlignment="1">
      <alignment horizontal="center"/>
    </xf>
    <xf numFmtId="2" fontId="0" fillId="0" borderId="45" xfId="0" applyNumberFormat="1" applyBorder="1" applyAlignment="1">
      <alignment horizontal="center"/>
    </xf>
    <xf numFmtId="0" fontId="0" fillId="0" borderId="45" xfId="0" applyBorder="1"/>
    <xf numFmtId="3" fontId="0" fillId="0" borderId="45" xfId="0" applyNumberFormat="1" applyBorder="1" applyAlignment="1">
      <alignment horizontal="right"/>
    </xf>
    <xf numFmtId="0" fontId="0" fillId="6" borderId="45" xfId="0" applyFill="1" applyBorder="1" applyAlignment="1">
      <alignment horizontal="center"/>
    </xf>
    <xf numFmtId="0" fontId="0" fillId="0" borderId="46" xfId="0" applyBorder="1"/>
    <xf numFmtId="0" fontId="0" fillId="0" borderId="46" xfId="0" applyBorder="1" applyAlignment="1">
      <alignment horizontal="center"/>
    </xf>
    <xf numFmtId="2" fontId="0" fillId="0" borderId="46" xfId="0" applyNumberFormat="1" applyBorder="1" applyAlignment="1">
      <alignment horizontal="center"/>
    </xf>
    <xf numFmtId="3" fontId="0" fillId="0" borderId="39" xfId="0" applyNumberFormat="1" applyBorder="1" applyAlignment="1">
      <alignment horizontal="right"/>
    </xf>
    <xf numFmtId="2" fontId="0" fillId="0" borderId="46" xfId="0" applyNumberFormat="1" applyFill="1" applyBorder="1" applyAlignment="1">
      <alignment horizontal="center"/>
    </xf>
    <xf numFmtId="3" fontId="0" fillId="0" borderId="29" xfId="0" applyNumberFormat="1" applyBorder="1" applyAlignment="1">
      <alignment horizontal="right"/>
    </xf>
    <xf numFmtId="0" fontId="0" fillId="0" borderId="29" xfId="0" applyBorder="1" applyAlignment="1">
      <alignment horizontal="center"/>
    </xf>
    <xf numFmtId="1" fontId="0" fillId="0" borderId="0" xfId="0" applyNumberFormat="1"/>
    <xf numFmtId="0" fontId="15" fillId="0" borderId="0" xfId="0" applyFont="1" applyAlignment="1">
      <alignment horizontal="right"/>
    </xf>
    <xf numFmtId="9" fontId="0" fillId="0" borderId="0" xfId="0" applyNumberFormat="1" applyAlignment="1">
      <alignment horizontal="center"/>
    </xf>
    <xf numFmtId="0" fontId="15" fillId="0" borderId="0" xfId="0" applyFont="1" applyAlignment="1">
      <alignment horizontal="right" wrapText="1"/>
    </xf>
    <xf numFmtId="165"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left"/>
    </xf>
    <xf numFmtId="0" fontId="3" fillId="0" borderId="47" xfId="0" applyFont="1" applyBorder="1" applyAlignment="1">
      <alignment horizontal="right"/>
    </xf>
    <xf numFmtId="0" fontId="3" fillId="0" borderId="11" xfId="0" applyFont="1" applyBorder="1" applyAlignment="1">
      <alignment horizontal="center"/>
    </xf>
    <xf numFmtId="0" fontId="3" fillId="0" borderId="12" xfId="0" applyFont="1" applyBorder="1" applyAlignment="1">
      <alignment horizontal="center"/>
    </xf>
    <xf numFmtId="0" fontId="3" fillId="0" borderId="3" xfId="0" applyFont="1" applyBorder="1" applyAlignment="1">
      <alignment horizontal="right"/>
    </xf>
    <xf numFmtId="0" fontId="3" fillId="0" borderId="9"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left"/>
    </xf>
    <xf numFmtId="0" fontId="4" fillId="0" borderId="48" xfId="0" applyFont="1" applyBorder="1" applyAlignment="1">
      <alignment horizontal="center"/>
    </xf>
    <xf numFmtId="0" fontId="4" fillId="0" borderId="3" xfId="0" applyFont="1" applyBorder="1" applyAlignment="1">
      <alignment horizontal="center"/>
    </xf>
    <xf numFmtId="0" fontId="4" fillId="0" borderId="3" xfId="0" applyFont="1" applyBorder="1"/>
    <xf numFmtId="0" fontId="3" fillId="0" borderId="19" xfId="0" applyFont="1" applyBorder="1"/>
    <xf numFmtId="0" fontId="3" fillId="0" borderId="13" xfId="0" applyFont="1" applyBorder="1" applyAlignment="1">
      <alignment horizontal="center"/>
    </xf>
    <xf numFmtId="0" fontId="3" fillId="0" borderId="15" xfId="0" applyFont="1" applyBorder="1" applyAlignment="1">
      <alignment horizontal="center"/>
    </xf>
    <xf numFmtId="0" fontId="3" fillId="0" borderId="49" xfId="0" applyFont="1" applyBorder="1"/>
    <xf numFmtId="0" fontId="3" fillId="0" borderId="19" xfId="0" applyFont="1" applyBorder="1" applyAlignment="1">
      <alignment horizontal="center"/>
    </xf>
    <xf numFmtId="2" fontId="0" fillId="0" borderId="0" xfId="0" applyNumberFormat="1"/>
    <xf numFmtId="0" fontId="4" fillId="0" borderId="13" xfId="0" applyFont="1" applyBorder="1" applyAlignment="1">
      <alignment horizontal="center"/>
    </xf>
    <xf numFmtId="0" fontId="2" fillId="0" borderId="15" xfId="0" applyFont="1" applyBorder="1" applyAlignment="1">
      <alignment horizontal="center"/>
    </xf>
    <xf numFmtId="0" fontId="5" fillId="0" borderId="0" xfId="0" applyFont="1" applyAlignment="1">
      <alignment horizontal="right"/>
    </xf>
    <xf numFmtId="3" fontId="5" fillId="0" borderId="0" xfId="0" applyNumberFormat="1" applyFont="1" applyAlignment="1">
      <alignment horizontal="center"/>
    </xf>
    <xf numFmtId="0" fontId="2" fillId="0" borderId="49" xfId="0" applyFont="1" applyBorder="1"/>
    <xf numFmtId="0" fontId="2" fillId="0" borderId="19" xfId="0" applyFont="1" applyBorder="1" applyAlignment="1">
      <alignment horizontal="center"/>
    </xf>
    <xf numFmtId="0" fontId="2" fillId="0" borderId="13" xfId="0" applyFont="1" applyBorder="1" applyAlignment="1">
      <alignment horizontal="center"/>
    </xf>
    <xf numFmtId="0" fontId="2" fillId="0" borderId="26" xfId="0" applyFont="1" applyBorder="1"/>
    <xf numFmtId="0" fontId="2" fillId="0" borderId="48" xfId="0" applyFont="1" applyBorder="1" applyAlignment="1">
      <alignment horizontal="center"/>
    </xf>
    <xf numFmtId="0" fontId="2" fillId="0" borderId="9" xfId="0" applyFont="1" applyBorder="1" applyAlignment="1">
      <alignment horizontal="center"/>
    </xf>
    <xf numFmtId="0" fontId="2" fillId="0" borderId="3" xfId="0" applyFont="1" applyBorder="1" applyAlignment="1">
      <alignment horizontal="center"/>
    </xf>
    <xf numFmtId="0" fontId="3" fillId="0" borderId="35" xfId="0" applyFont="1" applyBorder="1" applyAlignment="1">
      <alignment horizontal="center"/>
    </xf>
    <xf numFmtId="0" fontId="3" fillId="0" borderId="34" xfId="0" applyFont="1" applyBorder="1" applyAlignment="1">
      <alignment horizontal="center"/>
    </xf>
    <xf numFmtId="0" fontId="4" fillId="0" borderId="17" xfId="0" applyFont="1" applyBorder="1" applyAlignment="1">
      <alignment horizontal="center"/>
    </xf>
    <xf numFmtId="3" fontId="2" fillId="0" borderId="0" xfId="0" applyNumberFormat="1" applyFont="1" applyAlignment="1">
      <alignment horizontal="center"/>
    </xf>
    <xf numFmtId="0" fontId="18" fillId="0" borderId="0" xfId="0" applyFont="1" applyAlignment="1">
      <alignment horizontal="right"/>
    </xf>
    <xf numFmtId="0" fontId="5" fillId="0" borderId="1" xfId="0" applyFont="1" applyBorder="1" applyAlignment="1">
      <alignment horizontal="center"/>
    </xf>
    <xf numFmtId="3" fontId="5" fillId="0" borderId="1" xfId="0" applyNumberFormat="1" applyFont="1" applyBorder="1" applyAlignment="1">
      <alignment horizontal="center"/>
    </xf>
    <xf numFmtId="3" fontId="5" fillId="0" borderId="2" xfId="0" applyNumberFormat="1" applyFont="1" applyBorder="1" applyAlignment="1">
      <alignment horizontal="center"/>
    </xf>
    <xf numFmtId="0" fontId="3" fillId="0" borderId="25" xfId="0" applyFont="1" applyBorder="1"/>
    <xf numFmtId="0" fontId="3" fillId="0" borderId="1" xfId="0" applyFont="1" applyBorder="1"/>
    <xf numFmtId="0" fontId="3" fillId="0" borderId="10" xfId="0" applyFont="1" applyBorder="1" applyAlignment="1">
      <alignment horizontal="center"/>
    </xf>
    <xf numFmtId="0" fontId="3" fillId="0" borderId="26" xfId="0" applyFont="1" applyBorder="1"/>
    <xf numFmtId="0" fontId="3" fillId="0" borderId="8" xfId="0" applyFont="1" applyBorder="1" applyAlignment="1">
      <alignment horizontal="center"/>
    </xf>
    <xf numFmtId="1" fontId="3" fillId="0" borderId="13" xfId="0" applyNumberFormat="1" applyFont="1" applyBorder="1" applyAlignment="1">
      <alignment horizontal="center"/>
    </xf>
    <xf numFmtId="1" fontId="3" fillId="0" borderId="15" xfId="0" applyNumberFormat="1" applyFont="1" applyBorder="1" applyAlignment="1">
      <alignment horizontal="center"/>
    </xf>
    <xf numFmtId="1" fontId="3" fillId="0" borderId="14" xfId="0" applyNumberFormat="1" applyFont="1" applyBorder="1" applyAlignment="1">
      <alignment horizontal="center"/>
    </xf>
    <xf numFmtId="0" fontId="3" fillId="0" borderId="14" xfId="0" applyFont="1" applyBorder="1" applyAlignment="1">
      <alignment horizontal="center"/>
    </xf>
    <xf numFmtId="0" fontId="3" fillId="0" borderId="18" xfId="0" applyFont="1" applyBorder="1" applyAlignment="1">
      <alignment horizontal="center"/>
    </xf>
    <xf numFmtId="1" fontId="3" fillId="0" borderId="18" xfId="0" applyNumberFormat="1" applyFont="1" applyBorder="1" applyAlignment="1">
      <alignment horizontal="center"/>
    </xf>
    <xf numFmtId="1" fontId="3" fillId="0" borderId="35" xfId="0" applyNumberFormat="1" applyFont="1" applyBorder="1" applyAlignment="1">
      <alignment horizontal="center"/>
    </xf>
    <xf numFmtId="1" fontId="3" fillId="0" borderId="34" xfId="0" applyNumberFormat="1" applyFont="1" applyBorder="1" applyAlignment="1">
      <alignment horizontal="center"/>
    </xf>
    <xf numFmtId="0" fontId="3" fillId="0" borderId="52" xfId="0" applyFont="1" applyBorder="1"/>
    <xf numFmtId="0" fontId="3" fillId="0" borderId="12" xfId="0" applyFont="1" applyBorder="1"/>
    <xf numFmtId="1" fontId="3" fillId="0" borderId="11" xfId="0" applyNumberFormat="1" applyFont="1" applyBorder="1" applyAlignment="1">
      <alignment horizontal="center"/>
    </xf>
    <xf numFmtId="0" fontId="4" fillId="0" borderId="49" xfId="0" applyFont="1" applyBorder="1"/>
    <xf numFmtId="0" fontId="3" fillId="0" borderId="53" xfId="0" applyFont="1" applyBorder="1"/>
    <xf numFmtId="0" fontId="3" fillId="0" borderId="13" xfId="0" applyFont="1" applyBorder="1"/>
    <xf numFmtId="0" fontId="4" fillId="0" borderId="26" xfId="0" applyFont="1" applyBorder="1"/>
    <xf numFmtId="1" fontId="4" fillId="0" borderId="17" xfId="0" applyNumberFormat="1" applyFont="1" applyBorder="1" applyAlignment="1">
      <alignment horizontal="center"/>
    </xf>
    <xf numFmtId="0" fontId="5" fillId="0" borderId="47" xfId="0" applyFont="1" applyBorder="1"/>
    <xf numFmtId="0" fontId="5" fillId="0" borderId="51" xfId="0" applyFont="1" applyBorder="1"/>
    <xf numFmtId="3" fontId="17" fillId="0" borderId="0" xfId="0" applyNumberFormat="1" applyFont="1" applyAlignment="1">
      <alignment horizontal="center"/>
    </xf>
    <xf numFmtId="0" fontId="5" fillId="0" borderId="34" xfId="0" applyFont="1" applyBorder="1"/>
    <xf numFmtId="0" fontId="5" fillId="0" borderId="2" xfId="0" applyFont="1" applyBorder="1" applyAlignment="1">
      <alignment horizontal="center"/>
    </xf>
    <xf numFmtId="0" fontId="5" fillId="0" borderId="3" xfId="0" applyFont="1" applyBorder="1"/>
    <xf numFmtId="0" fontId="20" fillId="0" borderId="0" xfId="0" applyFont="1"/>
    <xf numFmtId="0" fontId="3" fillId="0" borderId="54" xfId="0" applyFont="1" applyBorder="1" applyAlignment="1">
      <alignment textRotation="90" wrapText="1"/>
    </xf>
    <xf numFmtId="0" fontId="3" fillId="0" borderId="0" xfId="0" applyFont="1" applyAlignment="1">
      <alignment textRotation="90" wrapText="1"/>
    </xf>
    <xf numFmtId="0" fontId="3" fillId="0" borderId="4" xfId="0" applyFont="1" applyBorder="1" applyAlignment="1">
      <alignment wrapText="1"/>
    </xf>
    <xf numFmtId="0" fontId="3" fillId="0" borderId="0" xfId="0" applyFont="1" applyAlignment="1"/>
    <xf numFmtId="0" fontId="22" fillId="0" borderId="2" xfId="0" applyFont="1" applyBorder="1"/>
    <xf numFmtId="0" fontId="22" fillId="0" borderId="4" xfId="0" applyFont="1" applyBorder="1"/>
    <xf numFmtId="0" fontId="22" fillId="0" borderId="0" xfId="0" applyFont="1" applyBorder="1"/>
    <xf numFmtId="0" fontId="3" fillId="0" borderId="0" xfId="0" applyFont="1" applyFill="1"/>
    <xf numFmtId="0" fontId="3" fillId="0" borderId="4" xfId="0" applyFont="1" applyFill="1" applyBorder="1"/>
    <xf numFmtId="0" fontId="22" fillId="0" borderId="2" xfId="0" applyFont="1" applyFill="1" applyBorder="1"/>
    <xf numFmtId="0" fontId="22" fillId="0" borderId="4" xfId="0" applyFont="1" applyFill="1" applyBorder="1"/>
    <xf numFmtId="0" fontId="22" fillId="0" borderId="0" xfId="0" applyFont="1" applyFill="1" applyBorder="1"/>
    <xf numFmtId="1" fontId="3" fillId="0" borderId="48" xfId="0" applyNumberFormat="1" applyFont="1" applyFill="1" applyBorder="1"/>
    <xf numFmtId="0" fontId="4" fillId="0" borderId="0" xfId="0" applyFont="1" applyFill="1"/>
    <xf numFmtId="1" fontId="4" fillId="0" borderId="0" xfId="0" applyNumberFormat="1" applyFont="1" applyFill="1"/>
    <xf numFmtId="1" fontId="3" fillId="0" borderId="0" xfId="0" applyNumberFormat="1" applyFont="1"/>
    <xf numFmtId="1" fontId="4" fillId="0" borderId="0" xfId="0" applyNumberFormat="1" applyFont="1"/>
    <xf numFmtId="1" fontId="10" fillId="0" borderId="0" xfId="0" applyNumberFormat="1" applyFont="1" applyAlignment="1">
      <alignment horizontal="left"/>
    </xf>
    <xf numFmtId="1" fontId="3" fillId="0" borderId="0" xfId="0" applyNumberFormat="1" applyFont="1" applyAlignment="1">
      <alignment horizontal="left"/>
    </xf>
    <xf numFmtId="0" fontId="3" fillId="0" borderId="0" xfId="0" applyFont="1" applyAlignment="1">
      <alignment horizontal="left"/>
    </xf>
    <xf numFmtId="0" fontId="24" fillId="0" borderId="0" xfId="0" applyFont="1" applyAlignment="1">
      <alignment horizontal="right"/>
    </xf>
    <xf numFmtId="0" fontId="0" fillId="0" borderId="0" xfId="0" applyAlignment="1">
      <alignment horizontal="right"/>
    </xf>
    <xf numFmtId="9" fontId="1" fillId="0" borderId="0" xfId="1" applyAlignment="1">
      <alignment horizontal="right"/>
    </xf>
    <xf numFmtId="0" fontId="3" fillId="0" borderId="4" xfId="0" applyFont="1" applyBorder="1"/>
    <xf numFmtId="0" fontId="22" fillId="0" borderId="2" xfId="0" applyFont="1" applyBorder="1" applyAlignment="1">
      <alignment horizontal="left"/>
    </xf>
    <xf numFmtId="0" fontId="3" fillId="0" borderId="0" xfId="0" applyFont="1" applyFill="1" applyAlignment="1">
      <alignment horizontal="left"/>
    </xf>
    <xf numFmtId="0" fontId="22" fillId="0" borderId="2" xfId="0" applyFont="1" applyFill="1" applyBorder="1" applyAlignment="1">
      <alignment horizontal="left"/>
    </xf>
    <xf numFmtId="0" fontId="3" fillId="0" borderId="0" xfId="0" applyFont="1" applyFill="1" applyBorder="1"/>
    <xf numFmtId="0" fontId="4" fillId="0" borderId="0" xfId="0" applyFont="1" applyFill="1" applyAlignment="1">
      <alignment horizontal="right"/>
    </xf>
    <xf numFmtId="1" fontId="4" fillId="2" borderId="10" xfId="0" applyNumberFormat="1" applyFont="1" applyFill="1" applyBorder="1"/>
    <xf numFmtId="1" fontId="4" fillId="2" borderId="27" xfId="0" applyNumberFormat="1" applyFont="1" applyFill="1" applyBorder="1"/>
    <xf numFmtId="1" fontId="4" fillId="2" borderId="28" xfId="0" applyNumberFormat="1" applyFont="1" applyFill="1" applyBorder="1"/>
    <xf numFmtId="0" fontId="4" fillId="0" borderId="0" xfId="0" applyFont="1" applyFill="1" applyAlignment="1">
      <alignment horizontal="left"/>
    </xf>
    <xf numFmtId="1" fontId="3" fillId="2" borderId="22" xfId="0" applyNumberFormat="1" applyFont="1" applyFill="1" applyBorder="1"/>
    <xf numFmtId="1" fontId="3" fillId="2" borderId="29" xfId="0" applyNumberFormat="1" applyFont="1" applyFill="1" applyBorder="1"/>
    <xf numFmtId="1" fontId="3" fillId="2" borderId="30" xfId="0" applyNumberFormat="1" applyFont="1" applyFill="1" applyBorder="1"/>
    <xf numFmtId="1" fontId="3" fillId="3" borderId="10" xfId="0" applyNumberFormat="1" applyFont="1" applyFill="1" applyBorder="1" applyAlignment="1">
      <alignment horizontal="center"/>
    </xf>
    <xf numFmtId="1" fontId="3" fillId="3" borderId="27" xfId="0" applyNumberFormat="1" applyFont="1" applyFill="1" applyBorder="1" applyAlignment="1">
      <alignment horizontal="center"/>
    </xf>
    <xf numFmtId="1" fontId="3" fillId="3" borderId="28" xfId="0" applyNumberFormat="1" applyFont="1" applyFill="1" applyBorder="1" applyAlignment="1">
      <alignment horizontal="center"/>
    </xf>
    <xf numFmtId="1" fontId="4" fillId="2" borderId="22" xfId="0" applyNumberFormat="1" applyFont="1" applyFill="1" applyBorder="1"/>
    <xf numFmtId="1" fontId="4" fillId="2" borderId="29" xfId="0" applyNumberFormat="1" applyFont="1" applyFill="1" applyBorder="1"/>
    <xf numFmtId="1" fontId="4" fillId="2" borderId="30" xfId="0" applyNumberFormat="1" applyFont="1" applyFill="1" applyBorder="1"/>
    <xf numFmtId="1" fontId="10" fillId="2" borderId="45" xfId="0" applyNumberFormat="1" applyFont="1" applyFill="1" applyBorder="1" applyAlignment="1">
      <alignment horizontal="left"/>
    </xf>
    <xf numFmtId="1" fontId="3" fillId="2" borderId="45" xfId="0" applyNumberFormat="1" applyFont="1" applyFill="1" applyBorder="1" applyAlignment="1">
      <alignment horizontal="left"/>
    </xf>
    <xf numFmtId="0" fontId="3" fillId="3" borderId="45" xfId="0" applyFont="1" applyFill="1" applyBorder="1" applyAlignment="1">
      <alignment horizontal="left"/>
    </xf>
    <xf numFmtId="1" fontId="3" fillId="2" borderId="45" xfId="0" applyNumberFormat="1" applyFont="1" applyFill="1" applyBorder="1"/>
    <xf numFmtId="0" fontId="0" fillId="3" borderId="45" xfId="0" applyFill="1" applyBorder="1"/>
    <xf numFmtId="1" fontId="0" fillId="3" borderId="45" xfId="0" applyNumberFormat="1" applyFill="1" applyBorder="1"/>
    <xf numFmtId="9" fontId="0" fillId="3" borderId="45" xfId="0" applyNumberFormat="1" applyFill="1" applyBorder="1"/>
    <xf numFmtId="1" fontId="1" fillId="2" borderId="45" xfId="1" applyNumberFormat="1" applyFill="1" applyBorder="1" applyAlignment="1">
      <alignment horizontal="right"/>
    </xf>
    <xf numFmtId="1" fontId="0" fillId="2" borderId="45" xfId="0" applyNumberFormat="1" applyFill="1" applyBorder="1"/>
    <xf numFmtId="1" fontId="5" fillId="0" borderId="0" xfId="0" applyNumberFormat="1" applyFont="1"/>
    <xf numFmtId="0" fontId="3" fillId="3" borderId="0" xfId="0" applyFont="1" applyFill="1"/>
    <xf numFmtId="0" fontId="0" fillId="0" borderId="51" xfId="0" applyBorder="1"/>
    <xf numFmtId="0" fontId="0" fillId="0" borderId="34" xfId="0" applyBorder="1"/>
    <xf numFmtId="0" fontId="0" fillId="0" borderId="0" xfId="0" applyFill="1" applyBorder="1"/>
    <xf numFmtId="0" fontId="0" fillId="0" borderId="0" xfId="0" applyFont="1" applyFill="1" applyBorder="1"/>
    <xf numFmtId="0" fontId="0" fillId="0" borderId="0" xfId="0" applyFill="1"/>
    <xf numFmtId="0" fontId="15" fillId="0" borderId="0" xfId="0" applyFont="1" applyAlignment="1">
      <alignment horizontal="center"/>
    </xf>
    <xf numFmtId="3" fontId="15" fillId="0" borderId="0" xfId="0" applyNumberFormat="1" applyFont="1" applyAlignment="1">
      <alignment horizontal="center"/>
    </xf>
    <xf numFmtId="0" fontId="23" fillId="0" borderId="0" xfId="0" applyFont="1" applyAlignment="1">
      <alignment horizontal="center"/>
    </xf>
    <xf numFmtId="3" fontId="23" fillId="0" borderId="0" xfId="0" applyNumberFormat="1" applyFont="1" applyAlignment="1">
      <alignment horizontal="center"/>
    </xf>
    <xf numFmtId="0" fontId="23" fillId="0" borderId="25" xfId="0" applyFont="1" applyBorder="1"/>
    <xf numFmtId="0" fontId="23" fillId="0" borderId="1" xfId="0" applyFont="1" applyBorder="1" applyAlignment="1">
      <alignment horizontal="center"/>
    </xf>
    <xf numFmtId="3" fontId="23" fillId="0" borderId="1" xfId="0" applyNumberFormat="1" applyFont="1" applyBorder="1" applyAlignment="1">
      <alignment horizontal="center"/>
    </xf>
    <xf numFmtId="0" fontId="23" fillId="0" borderId="47" xfId="0" applyFont="1" applyBorder="1"/>
    <xf numFmtId="0" fontId="23" fillId="0" borderId="51" xfId="0" applyFont="1" applyBorder="1"/>
    <xf numFmtId="3" fontId="25" fillId="0" borderId="0" xfId="0" applyNumberFormat="1" applyFont="1" applyAlignment="1">
      <alignment horizontal="center"/>
    </xf>
    <xf numFmtId="0" fontId="23" fillId="0" borderId="34" xfId="0" applyFont="1" applyBorder="1"/>
    <xf numFmtId="0" fontId="23" fillId="0" borderId="2" xfId="0" applyFont="1" applyBorder="1" applyAlignment="1">
      <alignment horizontal="center"/>
    </xf>
    <xf numFmtId="4" fontId="23" fillId="0" borderId="2" xfId="0" applyNumberFormat="1" applyFont="1" applyBorder="1" applyAlignment="1">
      <alignment horizontal="center"/>
    </xf>
    <xf numFmtId="0" fontId="23" fillId="0" borderId="3" xfId="0" applyFont="1" applyBorder="1"/>
    <xf numFmtId="0" fontId="15" fillId="0" borderId="0" xfId="0" applyFont="1" applyAlignment="1">
      <alignment horizontal="left"/>
    </xf>
    <xf numFmtId="0" fontId="23" fillId="0" borderId="0" xfId="0" applyFont="1" applyAlignment="1">
      <alignment horizontal="left"/>
    </xf>
    <xf numFmtId="0" fontId="3" fillId="8" borderId="9" xfId="0" applyFont="1" applyFill="1" applyBorder="1" applyAlignment="1">
      <alignment horizontal="center"/>
    </xf>
    <xf numFmtId="0" fontId="3" fillId="9" borderId="13" xfId="0" applyFont="1" applyFill="1" applyBorder="1" applyAlignment="1">
      <alignment horizontal="center"/>
    </xf>
    <xf numFmtId="0" fontId="0" fillId="0" borderId="0" xfId="0"/>
    <xf numFmtId="0" fontId="3" fillId="0" borderId="0" xfId="0" applyFont="1"/>
    <xf numFmtId="2" fontId="0" fillId="0" borderId="0" xfId="0" applyNumberFormat="1" applyAlignment="1">
      <alignment horizontal="center"/>
    </xf>
    <xf numFmtId="2" fontId="0" fillId="7" borderId="0" xfId="0" applyNumberFormat="1" applyFill="1" applyAlignment="1">
      <alignment horizontal="center"/>
    </xf>
    <xf numFmtId="0" fontId="3" fillId="0" borderId="0" xfId="0" applyFont="1" applyAlignment="1">
      <alignment horizontal="right"/>
    </xf>
    <xf numFmtId="0" fontId="13" fillId="0" borderId="0" xfId="2" applyAlignment="1">
      <alignment horizontal="center"/>
    </xf>
    <xf numFmtId="0" fontId="0" fillId="0" borderId="0" xfId="0" applyNumberFormat="1" applyAlignment="1">
      <alignment horizontal="center"/>
    </xf>
    <xf numFmtId="0" fontId="0" fillId="0" borderId="0" xfId="0" applyBorder="1" applyAlignment="1">
      <alignment horizontal="left"/>
    </xf>
    <xf numFmtId="0" fontId="0" fillId="0" borderId="0" xfId="0" applyNumberFormat="1" applyBorder="1" applyAlignment="1">
      <alignment horizontal="center"/>
    </xf>
    <xf numFmtId="0" fontId="0" fillId="0" borderId="53" xfId="0" applyBorder="1" applyAlignment="1">
      <alignment horizontal="left"/>
    </xf>
    <xf numFmtId="0" fontId="0" fillId="0" borderId="53" xfId="0" applyFill="1" applyBorder="1" applyAlignment="1">
      <alignment horizontal="center"/>
    </xf>
    <xf numFmtId="0" fontId="0" fillId="0" borderId="53" xfId="0" applyNumberFormat="1" applyBorder="1" applyAlignment="1">
      <alignment horizontal="center"/>
    </xf>
    <xf numFmtId="0" fontId="0" fillId="0" borderId="53" xfId="0" applyBorder="1" applyAlignment="1">
      <alignment horizontal="center"/>
    </xf>
    <xf numFmtId="0" fontId="5" fillId="0" borderId="0" xfId="0" applyFont="1" applyFill="1" applyAlignment="1">
      <alignment horizontal="left"/>
    </xf>
    <xf numFmtId="0" fontId="0" fillId="0" borderId="0" xfId="0" applyFill="1" applyAlignment="1">
      <alignment horizontal="center"/>
    </xf>
    <xf numFmtId="2" fontId="0" fillId="0" borderId="0" xfId="0" applyNumberFormat="1" applyFill="1" applyAlignment="1">
      <alignment horizontal="center"/>
    </xf>
    <xf numFmtId="2" fontId="0" fillId="0" borderId="0" xfId="0" applyNumberFormat="1" applyFill="1" applyBorder="1" applyAlignment="1">
      <alignment horizontal="center"/>
    </xf>
    <xf numFmtId="0" fontId="5" fillId="7" borderId="0" xfId="0" applyFont="1" applyFill="1" applyAlignment="1">
      <alignment horizontal="left"/>
    </xf>
    <xf numFmtId="0" fontId="0" fillId="7" borderId="0" xfId="0" applyFill="1"/>
    <xf numFmtId="0" fontId="27" fillId="0" borderId="0" xfId="0" applyFont="1" applyFill="1" applyAlignment="1">
      <alignment horizontal="left"/>
    </xf>
    <xf numFmtId="0" fontId="27" fillId="0" borderId="0" xfId="0" applyFont="1"/>
    <xf numFmtId="0" fontId="0" fillId="7" borderId="0" xfId="0" applyFill="1" applyAlignment="1">
      <alignment horizontal="left"/>
    </xf>
    <xf numFmtId="0" fontId="5" fillId="0" borderId="0" xfId="0" applyFont="1" applyFill="1"/>
    <xf numFmtId="0" fontId="0" fillId="0" borderId="0" xfId="0" applyNumberFormat="1" applyFont="1" applyFill="1" applyAlignment="1">
      <alignment horizontal="center"/>
    </xf>
    <xf numFmtId="0" fontId="5" fillId="7" borderId="0" xfId="0" applyFont="1" applyFill="1"/>
    <xf numFmtId="0" fontId="0" fillId="7" borderId="0" xfId="0" applyNumberFormat="1" applyFont="1" applyFill="1" applyAlignment="1">
      <alignment horizontal="center"/>
    </xf>
    <xf numFmtId="9" fontId="0" fillId="0" borderId="0" xfId="0" applyNumberFormat="1"/>
    <xf numFmtId="0" fontId="0" fillId="0" borderId="0" xfId="0" applyFill="1" applyAlignment="1">
      <alignment horizontal="left"/>
    </xf>
    <xf numFmtId="0" fontId="26" fillId="0" borderId="0" xfId="0" applyFont="1" applyAlignment="1">
      <alignment horizontal="right"/>
    </xf>
    <xf numFmtId="0" fontId="26" fillId="7" borderId="0" xfId="0" applyFont="1" applyFill="1" applyAlignment="1">
      <alignment horizontal="right"/>
    </xf>
    <xf numFmtId="0" fontId="3" fillId="0" borderId="0" xfId="3" applyFont="1" applyFill="1" applyAlignment="1">
      <alignment horizontal="left"/>
    </xf>
    <xf numFmtId="0" fontId="3" fillId="8" borderId="6" xfId="0" applyFont="1" applyFill="1" applyBorder="1" applyAlignment="1">
      <alignment horizontal="center"/>
    </xf>
    <xf numFmtId="0" fontId="3" fillId="3" borderId="11" xfId="0" quotePrefix="1" applyFont="1" applyFill="1" applyBorder="1" applyAlignment="1">
      <alignment horizontal="center"/>
    </xf>
    <xf numFmtId="164" fontId="3" fillId="10" borderId="6" xfId="0" applyNumberFormat="1" applyFont="1" applyFill="1" applyBorder="1" applyAlignment="1">
      <alignment horizontal="center"/>
    </xf>
    <xf numFmtId="1" fontId="28" fillId="3" borderId="14" xfId="0" applyNumberFormat="1" applyFont="1" applyFill="1" applyBorder="1" applyAlignment="1">
      <alignment horizontal="center"/>
    </xf>
    <xf numFmtId="1" fontId="28" fillId="2" borderId="31" xfId="0" applyNumberFormat="1" applyFont="1" applyFill="1" applyBorder="1" applyAlignment="1">
      <alignment horizontal="center"/>
    </xf>
    <xf numFmtId="1" fontId="28" fillId="2" borderId="18" xfId="0" applyNumberFormat="1" applyFont="1" applyFill="1" applyBorder="1" applyAlignment="1">
      <alignment horizontal="center"/>
    </xf>
    <xf numFmtId="1" fontId="28" fillId="2" borderId="16" xfId="0" applyNumberFormat="1" applyFont="1" applyFill="1" applyBorder="1" applyAlignment="1">
      <alignment horizontal="center"/>
    </xf>
    <xf numFmtId="1" fontId="28" fillId="2" borderId="10" xfId="0" applyNumberFormat="1" applyFont="1" applyFill="1" applyBorder="1" applyAlignment="1">
      <alignment horizontal="center"/>
    </xf>
    <xf numFmtId="1" fontId="28" fillId="2" borderId="27" xfId="0" applyNumberFormat="1" applyFont="1" applyFill="1" applyBorder="1" applyAlignment="1">
      <alignment horizontal="center"/>
    </xf>
    <xf numFmtId="1" fontId="28" fillId="2" borderId="28" xfId="0" applyNumberFormat="1" applyFont="1" applyFill="1" applyBorder="1" applyAlignment="1">
      <alignment horizontal="center"/>
    </xf>
    <xf numFmtId="1" fontId="28" fillId="2" borderId="22" xfId="0" applyNumberFormat="1" applyFont="1" applyFill="1" applyBorder="1" applyAlignment="1">
      <alignment horizontal="center"/>
    </xf>
    <xf numFmtId="1" fontId="28" fillId="2" borderId="29" xfId="0" applyNumberFormat="1" applyFont="1" applyFill="1" applyBorder="1" applyAlignment="1">
      <alignment horizontal="center"/>
    </xf>
    <xf numFmtId="1" fontId="28" fillId="2" borderId="30" xfId="0" applyNumberFormat="1" applyFont="1" applyFill="1" applyBorder="1" applyAlignment="1">
      <alignment horizontal="center"/>
    </xf>
    <xf numFmtId="1" fontId="29" fillId="2" borderId="23" xfId="0" applyNumberFormat="1" applyFont="1" applyFill="1" applyBorder="1" applyAlignment="1">
      <alignment horizontal="center"/>
    </xf>
    <xf numFmtId="1" fontId="29" fillId="2" borderId="17" xfId="0" applyNumberFormat="1" applyFont="1" applyFill="1" applyBorder="1" applyAlignment="1">
      <alignment horizontal="center"/>
    </xf>
    <xf numFmtId="1" fontId="29" fillId="2" borderId="24" xfId="0" applyNumberFormat="1" applyFont="1" applyFill="1" applyBorder="1" applyAlignment="1">
      <alignment horizontal="center"/>
    </xf>
    <xf numFmtId="0" fontId="3" fillId="0" borderId="70" xfId="0" applyFont="1" applyBorder="1"/>
    <xf numFmtId="1" fontId="30" fillId="2" borderId="71" xfId="0" applyNumberFormat="1" applyFont="1" applyFill="1" applyBorder="1" applyAlignment="1">
      <alignment horizontal="center"/>
    </xf>
    <xf numFmtId="1" fontId="28" fillId="0" borderId="38" xfId="0" applyNumberFormat="1" applyFont="1" applyBorder="1" applyAlignment="1">
      <alignment horizontal="center"/>
    </xf>
    <xf numFmtId="1" fontId="28" fillId="0" borderId="39" xfId="0" applyNumberFormat="1" applyFont="1" applyBorder="1" applyAlignment="1">
      <alignment horizontal="center"/>
    </xf>
    <xf numFmtId="1" fontId="28" fillId="0" borderId="36" xfId="0" applyNumberFormat="1" applyFont="1" applyBorder="1" applyAlignment="1">
      <alignment horizontal="center"/>
    </xf>
    <xf numFmtId="0" fontId="12" fillId="0" borderId="1" xfId="0" applyFont="1" applyFill="1" applyBorder="1" applyAlignment="1">
      <alignment horizontal="center"/>
    </xf>
    <xf numFmtId="1" fontId="31" fillId="2" borderId="40" xfId="0" applyNumberFormat="1" applyFont="1" applyFill="1" applyBorder="1" applyAlignment="1">
      <alignment horizontal="center"/>
    </xf>
    <xf numFmtId="0" fontId="1" fillId="0" borderId="0" xfId="0" applyFont="1" applyFill="1" applyBorder="1"/>
    <xf numFmtId="0" fontId="1" fillId="0" borderId="0" xfId="3" applyFont="1" applyFill="1" applyAlignment="1">
      <alignment horizontal="left"/>
    </xf>
    <xf numFmtId="1" fontId="3" fillId="8" borderId="38" xfId="0" applyNumberFormat="1" applyFont="1" applyFill="1" applyBorder="1" applyAlignment="1">
      <alignment horizontal="center"/>
    </xf>
    <xf numFmtId="1" fontId="3" fillId="8" borderId="39" xfId="0" applyNumberFormat="1" applyFont="1" applyFill="1" applyBorder="1" applyAlignment="1">
      <alignment horizontal="center"/>
    </xf>
    <xf numFmtId="1" fontId="3" fillId="8" borderId="36" xfId="0" applyNumberFormat="1" applyFont="1" applyFill="1" applyBorder="1" applyAlignment="1">
      <alignment horizontal="center"/>
    </xf>
    <xf numFmtId="0" fontId="3" fillId="9" borderId="6" xfId="0" applyFont="1" applyFill="1" applyBorder="1" applyAlignment="1">
      <alignment horizontal="center"/>
    </xf>
    <xf numFmtId="1" fontId="3" fillId="8" borderId="21" xfId="0" applyNumberFormat="1" applyFont="1" applyFill="1" applyBorder="1" applyAlignment="1">
      <alignment horizontal="center"/>
    </xf>
    <xf numFmtId="1" fontId="3" fillId="8" borderId="14" xfId="0" applyNumberFormat="1" applyFont="1" applyFill="1" applyBorder="1" applyAlignment="1">
      <alignment horizontal="center"/>
    </xf>
    <xf numFmtId="1" fontId="3" fillId="11" borderId="4" xfId="0" applyNumberFormat="1" applyFont="1" applyFill="1" applyBorder="1" applyAlignment="1">
      <alignment horizontal="center"/>
    </xf>
    <xf numFmtId="0" fontId="4" fillId="0" borderId="37" xfId="0" applyFont="1" applyBorder="1" applyAlignment="1">
      <alignment horizontal="center" vertical="center"/>
    </xf>
    <xf numFmtId="0" fontId="4" fillId="0" borderId="24" xfId="0" applyFont="1" applyBorder="1" applyAlignment="1">
      <alignment horizontal="center" vertical="center" wrapText="1"/>
    </xf>
    <xf numFmtId="0" fontId="0" fillId="0" borderId="0" xfId="0" applyAlignment="1">
      <alignment horizontal="centerContinuous" vertical="center"/>
    </xf>
    <xf numFmtId="0" fontId="0" fillId="0" borderId="0" xfId="0" applyAlignment="1">
      <alignment vertical="center"/>
    </xf>
    <xf numFmtId="1" fontId="3" fillId="0" borderId="0" xfId="0" applyNumberFormat="1" applyFont="1" applyBorder="1" applyAlignment="1">
      <alignment horizontal="left"/>
    </xf>
    <xf numFmtId="164" fontId="12" fillId="8" borderId="16" xfId="0" applyNumberFormat="1" applyFont="1" applyFill="1" applyBorder="1" applyAlignment="1">
      <alignment horizontal="center"/>
    </xf>
    <xf numFmtId="2" fontId="12" fillId="8" borderId="30" xfId="0" applyNumberFormat="1" applyFont="1" applyFill="1" applyBorder="1" applyAlignment="1">
      <alignment horizontal="center"/>
    </xf>
    <xf numFmtId="1" fontId="12" fillId="8" borderId="74" xfId="0" applyNumberFormat="1" applyFont="1" applyFill="1" applyBorder="1" applyAlignment="1">
      <alignment horizontal="center"/>
    </xf>
    <xf numFmtId="9" fontId="12" fillId="8" borderId="16" xfId="1" applyFont="1" applyFill="1" applyBorder="1" applyAlignment="1">
      <alignment horizontal="center"/>
    </xf>
    <xf numFmtId="2" fontId="18" fillId="8" borderId="40" xfId="0" applyNumberFormat="1" applyFont="1" applyFill="1" applyBorder="1" applyAlignment="1">
      <alignment horizontal="center"/>
    </xf>
    <xf numFmtId="0" fontId="18" fillId="2" borderId="30" xfId="0" applyFont="1" applyFill="1" applyBorder="1" applyAlignment="1">
      <alignment horizontal="center"/>
    </xf>
    <xf numFmtId="0" fontId="3" fillId="0" borderId="10" xfId="0" applyFont="1" applyBorder="1" applyAlignment="1">
      <alignment horizontal="right"/>
    </xf>
    <xf numFmtId="0" fontId="5" fillId="0" borderId="22" xfId="0" applyFont="1" applyBorder="1" applyAlignment="1">
      <alignment horizontal="right"/>
    </xf>
    <xf numFmtId="0" fontId="3" fillId="4" borderId="53" xfId="0" applyFont="1" applyFill="1" applyBorder="1" applyAlignment="1">
      <alignment horizontal="center"/>
    </xf>
    <xf numFmtId="0" fontId="3" fillId="4" borderId="16" xfId="0" applyFont="1" applyFill="1" applyBorder="1" applyAlignment="1">
      <alignment horizontal="center"/>
    </xf>
    <xf numFmtId="0" fontId="3" fillId="4" borderId="20" xfId="0" applyFont="1" applyFill="1" applyBorder="1" applyAlignment="1">
      <alignment horizontal="center"/>
    </xf>
    <xf numFmtId="0" fontId="0" fillId="0" borderId="0" xfId="0" quotePrefix="1"/>
    <xf numFmtId="165" fontId="0" fillId="0" borderId="45" xfId="0" applyNumberFormat="1" applyFill="1" applyBorder="1" applyAlignment="1">
      <alignment horizontal="center"/>
    </xf>
    <xf numFmtId="165" fontId="0" fillId="0" borderId="43" xfId="0" applyNumberFormat="1" applyFill="1" applyBorder="1" applyAlignment="1">
      <alignment horizontal="center"/>
    </xf>
    <xf numFmtId="165" fontId="32" fillId="0" borderId="40" xfId="0" applyNumberFormat="1" applyFont="1" applyBorder="1" applyAlignment="1">
      <alignment horizontal="center"/>
    </xf>
    <xf numFmtId="0" fontId="32" fillId="0" borderId="23" xfId="0" applyFont="1" applyBorder="1" applyAlignment="1">
      <alignment horizontal="center"/>
    </xf>
    <xf numFmtId="165" fontId="0" fillId="0" borderId="46" xfId="0" applyNumberFormat="1" applyBorder="1" applyAlignment="1">
      <alignment horizontal="center"/>
    </xf>
    <xf numFmtId="165" fontId="0" fillId="0" borderId="45" xfId="0" applyNumberFormat="1" applyBorder="1" applyAlignment="1">
      <alignment horizontal="center"/>
    </xf>
    <xf numFmtId="0" fontId="1" fillId="0" borderId="45" xfId="0" applyFont="1" applyBorder="1" applyAlignment="1">
      <alignment horizontal="center"/>
    </xf>
    <xf numFmtId="0" fontId="22" fillId="0" borderId="0" xfId="0" applyFont="1"/>
    <xf numFmtId="0" fontId="1" fillId="0" borderId="0" xfId="0" applyFont="1"/>
    <xf numFmtId="0" fontId="0" fillId="0" borderId="15" xfId="0" applyBorder="1"/>
    <xf numFmtId="0" fontId="0" fillId="0" borderId="53" xfId="0" applyBorder="1"/>
    <xf numFmtId="0" fontId="0" fillId="0" borderId="75" xfId="0" applyBorder="1"/>
    <xf numFmtId="0" fontId="0" fillId="0" borderId="35" xfId="0" applyBorder="1"/>
    <xf numFmtId="0" fontId="0" fillId="0" borderId="76" xfId="0" applyBorder="1"/>
    <xf numFmtId="0" fontId="1" fillId="0" borderId="76" xfId="0" applyFont="1" applyBorder="1"/>
    <xf numFmtId="0" fontId="1" fillId="0" borderId="76" xfId="0" applyFont="1" applyFill="1" applyBorder="1"/>
    <xf numFmtId="0" fontId="0" fillId="0" borderId="77" xfId="0" applyBorder="1"/>
    <xf numFmtId="0" fontId="0" fillId="0" borderId="78" xfId="0" applyBorder="1"/>
    <xf numFmtId="0" fontId="1" fillId="0" borderId="78" xfId="0" applyFont="1" applyBorder="1"/>
    <xf numFmtId="0" fontId="0" fillId="0" borderId="79" xfId="0" applyBorder="1"/>
    <xf numFmtId="0" fontId="1" fillId="0" borderId="0" xfId="0" applyFont="1" applyFill="1" applyBorder="1" applyAlignment="1">
      <alignment horizontal="left"/>
    </xf>
    <xf numFmtId="0" fontId="1" fillId="0" borderId="0" xfId="0" applyFont="1" applyAlignment="1">
      <alignment horizontal="right"/>
    </xf>
    <xf numFmtId="0" fontId="34" fillId="0" borderId="0" xfId="0" applyFont="1" applyAlignment="1">
      <alignment horizontal="right"/>
    </xf>
    <xf numFmtId="0" fontId="16" fillId="0" borderId="0" xfId="0" applyFont="1" applyAlignment="1">
      <alignment horizontal="left"/>
    </xf>
    <xf numFmtId="0" fontId="0" fillId="0" borderId="0" xfId="0" applyFont="1" applyAlignment="1">
      <alignment horizontal="left"/>
    </xf>
    <xf numFmtId="0" fontId="1" fillId="0" borderId="0" xfId="0" applyFont="1" applyAlignment="1">
      <alignment horizontal="left"/>
    </xf>
    <xf numFmtId="0" fontId="26" fillId="0" borderId="0" xfId="0" applyFont="1"/>
    <xf numFmtId="0" fontId="22" fillId="0" borderId="0" xfId="0" applyFont="1" applyAlignment="1">
      <alignment horizontal="right"/>
    </xf>
    <xf numFmtId="0" fontId="37" fillId="0" borderId="0" xfId="7" applyAlignment="1" applyProtection="1"/>
    <xf numFmtId="0" fontId="39" fillId="0" borderId="0" xfId="0" applyFont="1" applyAlignment="1">
      <alignment horizontal="left"/>
    </xf>
    <xf numFmtId="1" fontId="4" fillId="2" borderId="8" xfId="0" applyNumberFormat="1" applyFont="1" applyFill="1" applyBorder="1" applyAlignment="1">
      <alignment horizontal="center"/>
    </xf>
    <xf numFmtId="1" fontId="3" fillId="2" borderId="45" xfId="0" applyNumberFormat="1" applyFont="1" applyFill="1" applyBorder="1" applyAlignment="1">
      <alignment horizontal="center"/>
    </xf>
    <xf numFmtId="1" fontId="4" fillId="2" borderId="29" xfId="0" applyNumberFormat="1" applyFont="1" applyFill="1" applyBorder="1" applyAlignment="1">
      <alignment horizontal="center"/>
    </xf>
    <xf numFmtId="1" fontId="4" fillId="2" borderId="22" xfId="0" applyNumberFormat="1" applyFont="1" applyFill="1" applyBorder="1" applyAlignment="1">
      <alignment horizontal="center"/>
    </xf>
    <xf numFmtId="1" fontId="4" fillId="2" borderId="2" xfId="0" applyNumberFormat="1" applyFont="1" applyFill="1" applyBorder="1" applyAlignment="1">
      <alignment horizontal="center"/>
    </xf>
    <xf numFmtId="1" fontId="3" fillId="2" borderId="6" xfId="0" applyNumberFormat="1" applyFont="1" applyFill="1" applyBorder="1" applyAlignment="1">
      <alignment horizontal="center"/>
    </xf>
    <xf numFmtId="1" fontId="4" fillId="2" borderId="80" xfId="0" applyNumberFormat="1" applyFont="1" applyFill="1" applyBorder="1" applyAlignment="1">
      <alignment horizontal="center"/>
    </xf>
    <xf numFmtId="2" fontId="3" fillId="2" borderId="21" xfId="0" applyNumberFormat="1" applyFont="1" applyFill="1" applyBorder="1" applyAlignment="1">
      <alignment horizontal="center"/>
    </xf>
    <xf numFmtId="0" fontId="28" fillId="2" borderId="13" xfId="0" applyFont="1" applyFill="1" applyBorder="1" applyAlignment="1">
      <alignment horizontal="center"/>
    </xf>
    <xf numFmtId="0" fontId="28" fillId="2" borderId="14" xfId="0" applyFont="1" applyFill="1" applyBorder="1" applyAlignment="1">
      <alignment horizontal="center"/>
    </xf>
    <xf numFmtId="0" fontId="28" fillId="3" borderId="6" xfId="0" applyFont="1" applyFill="1" applyBorder="1" applyAlignment="1">
      <alignment horizontal="left" indent="2"/>
    </xf>
    <xf numFmtId="0" fontId="28" fillId="3" borderId="13" xfId="0" applyFont="1" applyFill="1" applyBorder="1" applyAlignment="1">
      <alignment horizontal="center"/>
    </xf>
    <xf numFmtId="0" fontId="28" fillId="4" borderId="13" xfId="0" applyFont="1" applyFill="1" applyBorder="1" applyAlignment="1">
      <alignment horizontal="center"/>
    </xf>
    <xf numFmtId="0" fontId="28" fillId="2" borderId="6" xfId="0" applyFont="1" applyFill="1" applyBorder="1" applyAlignment="1">
      <alignment horizontal="center"/>
    </xf>
    <xf numFmtId="0" fontId="28" fillId="2" borderId="15" xfId="0" applyFont="1" applyFill="1" applyBorder="1" applyAlignment="1">
      <alignment horizontal="center"/>
    </xf>
    <xf numFmtId="1" fontId="28" fillId="2" borderId="15" xfId="0" applyNumberFormat="1" applyFont="1" applyFill="1" applyBorder="1" applyAlignment="1">
      <alignment horizontal="center"/>
    </xf>
    <xf numFmtId="1" fontId="28" fillId="2" borderId="20" xfId="0" applyNumberFormat="1" applyFont="1" applyFill="1" applyBorder="1" applyAlignment="1">
      <alignment horizontal="center"/>
    </xf>
    <xf numFmtId="9" fontId="29" fillId="3" borderId="7" xfId="0" applyNumberFormat="1" applyFont="1" applyFill="1" applyBorder="1" applyAlignment="1">
      <alignment horizontal="center"/>
    </xf>
    <xf numFmtId="0" fontId="4" fillId="0" borderId="0" xfId="0" applyFont="1" applyBorder="1" applyAlignment="1">
      <alignment horizontal="right"/>
    </xf>
    <xf numFmtId="0" fontId="3" fillId="0" borderId="31" xfId="0" applyFont="1" applyBorder="1" applyAlignment="1">
      <alignment horizontal="right"/>
    </xf>
    <xf numFmtId="0" fontId="5" fillId="0" borderId="0" xfId="0" applyFont="1" applyFill="1" applyAlignment="1">
      <alignment horizontal="center"/>
    </xf>
    <xf numFmtId="0" fontId="5" fillId="0" borderId="0" xfId="0" applyFont="1" applyAlignment="1">
      <alignment horizontal="center"/>
    </xf>
    <xf numFmtId="0" fontId="4" fillId="0" borderId="25" xfId="0" applyFont="1" applyBorder="1" applyAlignment="1">
      <alignment horizontal="right"/>
    </xf>
    <xf numFmtId="0" fontId="4" fillId="0" borderId="26" xfId="0" applyFont="1" applyBorder="1" applyAlignment="1">
      <alignment horizontal="right"/>
    </xf>
    <xf numFmtId="0" fontId="0" fillId="0" borderId="0" xfId="0" applyBorder="1" applyAlignment="1">
      <alignment horizontal="center"/>
    </xf>
    <xf numFmtId="0" fontId="0" fillId="0" borderId="0" xfId="0" applyAlignment="1">
      <alignment horizontal="center"/>
    </xf>
    <xf numFmtId="0" fontId="4" fillId="0" borderId="0" xfId="0" applyFont="1" applyBorder="1" applyAlignment="1">
      <alignment horizontal="left"/>
    </xf>
    <xf numFmtId="0" fontId="4" fillId="0" borderId="24" xfId="0" applyFont="1" applyBorder="1" applyAlignment="1">
      <alignment horizontal="center"/>
    </xf>
    <xf numFmtId="0" fontId="0" fillId="0" borderId="0" xfId="0" applyAlignment="1">
      <alignment horizontal="left"/>
    </xf>
    <xf numFmtId="0" fontId="2" fillId="0" borderId="0" xfId="0" applyFont="1"/>
    <xf numFmtId="0" fontId="5" fillId="0" borderId="0" xfId="0" applyFont="1"/>
    <xf numFmtId="0" fontId="4" fillId="0" borderId="50" xfId="0" applyFont="1" applyBorder="1"/>
    <xf numFmtId="0" fontId="2" fillId="0" borderId="0" xfId="0" applyFont="1" applyAlignment="1">
      <alignment horizontal="center"/>
    </xf>
    <xf numFmtId="0" fontId="18" fillId="0" borderId="0" xfId="0" applyFont="1" applyAlignment="1">
      <alignment horizontal="center"/>
    </xf>
    <xf numFmtId="0" fontId="5" fillId="0" borderId="25" xfId="0" applyFont="1" applyBorder="1"/>
    <xf numFmtId="0" fontId="23" fillId="0" borderId="0" xfId="0" applyFont="1"/>
    <xf numFmtId="0" fontId="15" fillId="0" borderId="0" xfId="0" applyFont="1"/>
    <xf numFmtId="0" fontId="1" fillId="0" borderId="0" xfId="0" applyFont="1" applyAlignment="1">
      <alignment horizontal="left" vertical="center" wrapText="1"/>
    </xf>
    <xf numFmtId="0" fontId="3" fillId="0" borderId="31" xfId="0" applyFont="1" applyBorder="1" applyAlignment="1">
      <alignment horizontal="right"/>
    </xf>
    <xf numFmtId="0" fontId="3" fillId="0" borderId="45" xfId="0" applyFont="1" applyBorder="1" applyAlignment="1">
      <alignment horizontal="right"/>
    </xf>
    <xf numFmtId="0" fontId="6" fillId="0" borderId="0" xfId="0" applyFont="1" applyAlignment="1">
      <alignment horizontal="center"/>
    </xf>
    <xf numFmtId="0" fontId="5" fillId="0" borderId="0" xfId="0" applyFont="1" applyFill="1" applyAlignment="1">
      <alignment horizontal="center"/>
    </xf>
    <xf numFmtId="0" fontId="10" fillId="7" borderId="49" xfId="0" applyFont="1" applyFill="1" applyBorder="1" applyAlignment="1">
      <alignment horizontal="left"/>
    </xf>
    <xf numFmtId="0" fontId="10" fillId="7" borderId="53" xfId="0" applyFont="1" applyFill="1" applyBorder="1" applyAlignment="1">
      <alignment horizontal="left"/>
    </xf>
    <xf numFmtId="0" fontId="10" fillId="7" borderId="13" xfId="0" applyFont="1" applyFill="1" applyBorder="1" applyAlignment="1">
      <alignment horizontal="left"/>
    </xf>
    <xf numFmtId="0" fontId="10" fillId="7" borderId="21" xfId="0" applyFont="1" applyFill="1" applyBorder="1" applyAlignment="1">
      <alignment horizontal="left"/>
    </xf>
    <xf numFmtId="0" fontId="10" fillId="7" borderId="55" xfId="0" applyFont="1" applyFill="1" applyBorder="1" applyAlignment="1">
      <alignment horizontal="left"/>
    </xf>
    <xf numFmtId="0" fontId="10" fillId="7" borderId="14" xfId="0" applyFont="1" applyFill="1" applyBorder="1" applyAlignment="1">
      <alignment horizontal="left"/>
    </xf>
    <xf numFmtId="0" fontId="5" fillId="0" borderId="23" xfId="0" applyFont="1" applyBorder="1" applyAlignment="1">
      <alignment horizontal="right"/>
    </xf>
    <xf numFmtId="0" fontId="5" fillId="0" borderId="57" xfId="0" applyFont="1" applyBorder="1" applyAlignment="1">
      <alignment horizontal="right"/>
    </xf>
    <xf numFmtId="0" fontId="7" fillId="0" borderId="2" xfId="0" applyFont="1" applyBorder="1" applyAlignment="1">
      <alignment horizontal="center"/>
    </xf>
    <xf numFmtId="0" fontId="4" fillId="0" borderId="41" xfId="0" applyFont="1" applyBorder="1" applyAlignment="1">
      <alignment horizontal="center" vertical="center"/>
    </xf>
    <xf numFmtId="0" fontId="4" fillId="0" borderId="56" xfId="0" applyFont="1" applyBorder="1" applyAlignment="1">
      <alignment horizontal="center" vertical="center"/>
    </xf>
    <xf numFmtId="0" fontId="4" fillId="0" borderId="24" xfId="0" applyFont="1" applyBorder="1" applyAlignment="1">
      <alignment horizontal="center" vertical="center"/>
    </xf>
    <xf numFmtId="0" fontId="3" fillId="0" borderId="22" xfId="0" applyFont="1" applyBorder="1" applyAlignment="1">
      <alignment horizontal="right"/>
    </xf>
    <xf numFmtId="0" fontId="3" fillId="0" borderId="29" xfId="0" applyFont="1" applyBorder="1" applyAlignment="1">
      <alignment horizontal="right"/>
    </xf>
    <xf numFmtId="0" fontId="4" fillId="0" borderId="1" xfId="0" applyFont="1" applyBorder="1" applyAlignment="1">
      <alignment horizontal="right"/>
    </xf>
    <xf numFmtId="0" fontId="4" fillId="0" borderId="47" xfId="0" applyFont="1" applyBorder="1" applyAlignment="1">
      <alignment horizontal="right"/>
    </xf>
    <xf numFmtId="0" fontId="4" fillId="0" borderId="0" xfId="0" applyFont="1" applyBorder="1" applyAlignment="1">
      <alignment horizontal="right"/>
    </xf>
    <xf numFmtId="0" fontId="4" fillId="0" borderId="34" xfId="0" applyFont="1" applyBorder="1" applyAlignment="1">
      <alignment horizontal="right"/>
    </xf>
    <xf numFmtId="0" fontId="3" fillId="0" borderId="72" xfId="0" applyFont="1" applyBorder="1" applyAlignment="1">
      <alignment horizontal="right"/>
    </xf>
    <xf numFmtId="0" fontId="3" fillId="0" borderId="73" xfId="0" applyFont="1" applyBorder="1" applyAlignment="1">
      <alignment horizontal="right"/>
    </xf>
    <xf numFmtId="0" fontId="10" fillId="7" borderId="6" xfId="0" applyFont="1" applyFill="1" applyBorder="1" applyAlignment="1">
      <alignment horizontal="left"/>
    </xf>
    <xf numFmtId="0" fontId="5" fillId="0" borderId="0" xfId="0" applyFont="1" applyAlignment="1">
      <alignment horizontal="center"/>
    </xf>
    <xf numFmtId="0" fontId="4" fillId="0" borderId="25" xfId="0" applyFont="1" applyBorder="1" applyAlignment="1">
      <alignment horizontal="right"/>
    </xf>
    <xf numFmtId="0" fontId="4" fillId="0" borderId="26" xfId="0" applyFont="1" applyBorder="1" applyAlignment="1">
      <alignment horizontal="right"/>
    </xf>
    <xf numFmtId="0" fontId="4" fillId="0" borderId="2" xfId="0" applyFont="1" applyBorder="1" applyAlignment="1">
      <alignment horizontal="right"/>
    </xf>
    <xf numFmtId="0" fontId="10" fillId="7" borderId="19" xfId="0" applyFont="1" applyFill="1" applyBorder="1" applyAlignment="1">
      <alignment horizontal="left"/>
    </xf>
    <xf numFmtId="0" fontId="1" fillId="0" borderId="51" xfId="0" applyFont="1" applyBorder="1" applyAlignment="1">
      <alignment horizontal="center"/>
    </xf>
    <xf numFmtId="0" fontId="0" fillId="0" borderId="0" xfId="0" applyBorder="1" applyAlignment="1">
      <alignment horizontal="center"/>
    </xf>
    <xf numFmtId="0" fontId="0" fillId="0" borderId="34" xfId="0" applyBorder="1" applyAlignment="1">
      <alignment horizontal="center"/>
    </xf>
    <xf numFmtId="0" fontId="0" fillId="0" borderId="51" xfId="0" applyBorder="1" applyAlignment="1">
      <alignment horizontal="center"/>
    </xf>
    <xf numFmtId="0" fontId="0" fillId="0" borderId="0" xfId="0" applyAlignment="1">
      <alignment horizontal="center"/>
    </xf>
    <xf numFmtId="0" fontId="0" fillId="0" borderId="0" xfId="0" applyAlignment="1"/>
    <xf numFmtId="0" fontId="4" fillId="0" borderId="41" xfId="0" applyFont="1" applyBorder="1" applyAlignment="1">
      <alignment horizontal="center"/>
    </xf>
    <xf numFmtId="0" fontId="4" fillId="0" borderId="56" xfId="0" applyFont="1" applyBorder="1" applyAlignment="1">
      <alignment horizontal="center"/>
    </xf>
    <xf numFmtId="0" fontId="4" fillId="0" borderId="24" xfId="0" applyFont="1" applyBorder="1" applyAlignment="1">
      <alignment horizontal="center"/>
    </xf>
    <xf numFmtId="0" fontId="4" fillId="0" borderId="23" xfId="0" applyFont="1" applyBorder="1" applyAlignment="1">
      <alignment horizontal="right"/>
    </xf>
    <xf numFmtId="0" fontId="4" fillId="0" borderId="57" xfId="0" applyFont="1" applyBorder="1" applyAlignment="1">
      <alignment horizontal="right"/>
    </xf>
    <xf numFmtId="0" fontId="4" fillId="0" borderId="0" xfId="0" applyFont="1" applyBorder="1" applyAlignment="1">
      <alignment horizontal="left"/>
    </xf>
    <xf numFmtId="0" fontId="4" fillId="0" borderId="34" xfId="0" applyFont="1" applyBorder="1" applyAlignment="1">
      <alignment horizontal="left"/>
    </xf>
    <xf numFmtId="0" fontId="0" fillId="0" borderId="0" xfId="0" applyAlignment="1">
      <alignment horizontal="left"/>
    </xf>
    <xf numFmtId="0" fontId="20" fillId="0" borderId="0" xfId="0" applyFont="1" applyAlignment="1">
      <alignment horizontal="center"/>
    </xf>
    <xf numFmtId="0" fontId="5" fillId="7" borderId="0" xfId="0" applyFont="1" applyFill="1" applyAlignment="1">
      <alignment horizontal="center"/>
    </xf>
    <xf numFmtId="0" fontId="2" fillId="0" borderId="0" xfId="0" applyFont="1" applyAlignment="1">
      <alignment horizontal="center"/>
    </xf>
    <xf numFmtId="0" fontId="18" fillId="0" borderId="0" xfId="0" applyFont="1" applyAlignment="1">
      <alignment horizontal="center"/>
    </xf>
    <xf numFmtId="0" fontId="2" fillId="0" borderId="2" xfId="0" applyFont="1" applyBorder="1" applyAlignment="1">
      <alignment horizontal="center"/>
    </xf>
    <xf numFmtId="0" fontId="16" fillId="0" borderId="25" xfId="0" applyFont="1" applyBorder="1" applyAlignment="1">
      <alignment horizontal="center"/>
    </xf>
    <xf numFmtId="0" fontId="16" fillId="0" borderId="64" xfId="0" applyFont="1" applyBorder="1" applyAlignment="1">
      <alignment horizontal="center"/>
    </xf>
    <xf numFmtId="0" fontId="38" fillId="0" borderId="0" xfId="0" applyFont="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wrapText="1"/>
    </xf>
    <xf numFmtId="0" fontId="33" fillId="0" borderId="0" xfId="0" applyFont="1" applyAlignment="1">
      <alignment horizontal="left" vertical="top" wrapText="1"/>
    </xf>
    <xf numFmtId="0" fontId="1" fillId="0" borderId="0" xfId="0" applyFont="1" applyBorder="1"/>
    <xf numFmtId="0" fontId="1" fillId="0" borderId="34" xfId="0" applyFont="1" applyFill="1" applyBorder="1"/>
    <xf numFmtId="0" fontId="1" fillId="0" borderId="0" xfId="0" applyFont="1" applyFill="1"/>
    <xf numFmtId="0" fontId="1" fillId="0" borderId="0" xfId="0" applyFont="1" applyFill="1" applyAlignment="1">
      <alignment horizontal="center"/>
    </xf>
    <xf numFmtId="0" fontId="1" fillId="0" borderId="0" xfId="0" applyNumberFormat="1" applyFont="1" applyFill="1" applyAlignment="1">
      <alignment horizontal="center"/>
    </xf>
    <xf numFmtId="0" fontId="1" fillId="0" borderId="0" xfId="0" applyFont="1" applyAlignment="1">
      <alignment horizontal="center"/>
    </xf>
    <xf numFmtId="0" fontId="1" fillId="0" borderId="0" xfId="0" applyFont="1" applyFill="1" applyAlignment="1">
      <alignment horizontal="left"/>
    </xf>
    <xf numFmtId="0" fontId="1" fillId="7" borderId="0" xfId="0" applyFont="1" applyFill="1" applyAlignment="1">
      <alignment horizontal="center"/>
    </xf>
    <xf numFmtId="0" fontId="1" fillId="7" borderId="0" xfId="0" applyFont="1" applyFill="1" applyAlignment="1">
      <alignment horizontal="left"/>
    </xf>
    <xf numFmtId="2" fontId="1" fillId="7" borderId="0" xfId="0" applyNumberFormat="1" applyFont="1" applyFill="1" applyAlignment="1">
      <alignment horizontal="center"/>
    </xf>
    <xf numFmtId="2" fontId="1" fillId="7" borderId="0" xfId="0" applyNumberFormat="1" applyFont="1" applyFill="1" applyAlignment="1">
      <alignment horizontal="left"/>
    </xf>
    <xf numFmtId="2" fontId="1" fillId="7" borderId="0" xfId="0" applyNumberFormat="1" applyFont="1" applyFill="1"/>
    <xf numFmtId="0" fontId="1" fillId="0" borderId="58" xfId="0" applyFont="1" applyBorder="1" applyAlignment="1">
      <alignment horizontal="center"/>
    </xf>
    <xf numFmtId="0" fontId="1" fillId="0" borderId="55" xfId="0" applyFont="1" applyBorder="1" applyAlignment="1">
      <alignment horizontal="center"/>
    </xf>
    <xf numFmtId="0" fontId="1" fillId="0" borderId="59" xfId="0" applyFont="1" applyBorder="1" applyAlignment="1">
      <alignment horizontal="center"/>
    </xf>
    <xf numFmtId="0" fontId="1" fillId="0" borderId="46" xfId="0" applyFont="1" applyBorder="1" applyAlignment="1">
      <alignment vertical="top"/>
    </xf>
    <xf numFmtId="0" fontId="1" fillId="0" borderId="42" xfId="0" applyFont="1" applyBorder="1"/>
    <xf numFmtId="0" fontId="1" fillId="0" borderId="9" xfId="0" applyFont="1" applyBorder="1" applyAlignment="1">
      <alignment horizontal="center"/>
    </xf>
    <xf numFmtId="0" fontId="1" fillId="0" borderId="60" xfId="0" applyFont="1" applyBorder="1" applyAlignment="1">
      <alignment vertical="top"/>
    </xf>
    <xf numFmtId="0" fontId="1" fillId="0" borderId="15" xfId="0" applyFont="1" applyBorder="1" applyAlignment="1">
      <alignment horizontal="center"/>
    </xf>
    <xf numFmtId="0" fontId="1" fillId="0" borderId="15" xfId="0" applyFont="1" applyBorder="1" applyAlignment="1">
      <alignment horizontal="right"/>
    </xf>
    <xf numFmtId="0" fontId="1" fillId="0" borderId="43" xfId="0" applyFont="1" applyBorder="1"/>
    <xf numFmtId="3" fontId="1" fillId="0" borderId="15" xfId="0" applyNumberFormat="1" applyFont="1" applyBorder="1" applyAlignment="1">
      <alignment horizontal="right"/>
    </xf>
    <xf numFmtId="0" fontId="1" fillId="6" borderId="15" xfId="0" applyFont="1" applyFill="1" applyBorder="1" applyAlignment="1">
      <alignment horizontal="center"/>
    </xf>
    <xf numFmtId="0" fontId="1" fillId="0" borderId="39" xfId="0" applyFont="1" applyBorder="1"/>
    <xf numFmtId="0" fontId="1" fillId="0" borderId="35" xfId="0" applyFont="1" applyBorder="1" applyAlignment="1">
      <alignment horizontal="center"/>
    </xf>
    <xf numFmtId="0" fontId="1" fillId="0" borderId="35" xfId="0" applyFont="1" applyBorder="1" applyAlignment="1">
      <alignment horizontal="right"/>
    </xf>
    <xf numFmtId="0" fontId="1" fillId="0" borderId="29" xfId="0" applyFont="1" applyBorder="1"/>
    <xf numFmtId="0" fontId="1" fillId="0" borderId="44" xfId="0" applyFont="1" applyBorder="1" applyAlignment="1">
      <alignment horizontal="center"/>
    </xf>
    <xf numFmtId="3" fontId="1" fillId="0" borderId="44" xfId="0" applyNumberFormat="1" applyFont="1" applyBorder="1" applyAlignment="1">
      <alignment horizontal="right"/>
    </xf>
    <xf numFmtId="0" fontId="1" fillId="0" borderId="9" xfId="0" applyFont="1" applyBorder="1" applyAlignment="1">
      <alignment horizontal="right"/>
    </xf>
    <xf numFmtId="4" fontId="1" fillId="0" borderId="15" xfId="0" applyNumberFormat="1" applyFont="1" applyBorder="1" applyAlignment="1">
      <alignment horizontal="right"/>
    </xf>
    <xf numFmtId="3" fontId="1" fillId="0" borderId="9" xfId="0" applyNumberFormat="1" applyFont="1" applyBorder="1" applyAlignment="1">
      <alignment horizontal="right"/>
    </xf>
    <xf numFmtId="3" fontId="1" fillId="0" borderId="15" xfId="0" applyNumberFormat="1" applyFont="1" applyBorder="1" applyAlignment="1">
      <alignment horizontal="center"/>
    </xf>
    <xf numFmtId="1" fontId="1" fillId="0" borderId="9" xfId="0" applyNumberFormat="1" applyFont="1" applyBorder="1" applyAlignment="1">
      <alignment horizontal="center"/>
    </xf>
    <xf numFmtId="0" fontId="1" fillId="0" borderId="27" xfId="0" applyFont="1" applyBorder="1"/>
    <xf numFmtId="0" fontId="1" fillId="6" borderId="11" xfId="0" applyFont="1" applyFill="1" applyBorder="1" applyAlignment="1">
      <alignment horizontal="center"/>
    </xf>
    <xf numFmtId="2" fontId="1" fillId="0" borderId="11" xfId="0" applyNumberFormat="1" applyFont="1" applyBorder="1" applyAlignment="1">
      <alignment horizontal="center"/>
    </xf>
    <xf numFmtId="1" fontId="1" fillId="0" borderId="11" xfId="0" applyNumberFormat="1" applyFont="1" applyBorder="1" applyAlignment="1">
      <alignment horizontal="right"/>
    </xf>
    <xf numFmtId="1" fontId="1" fillId="0" borderId="15" xfId="0" applyNumberFormat="1" applyFont="1" applyBorder="1" applyAlignment="1">
      <alignment horizontal="right"/>
    </xf>
    <xf numFmtId="0" fontId="1" fillId="0" borderId="15" xfId="0" applyFont="1" applyFill="1" applyBorder="1" applyAlignment="1">
      <alignment horizontal="center"/>
    </xf>
    <xf numFmtId="4" fontId="1" fillId="0" borderId="27" xfId="0" applyNumberFormat="1" applyFont="1" applyBorder="1" applyAlignment="1">
      <alignment horizontal="right"/>
    </xf>
    <xf numFmtId="4" fontId="1" fillId="0" borderId="11" xfId="0" applyNumberFormat="1" applyFont="1" applyBorder="1" applyAlignment="1">
      <alignment horizontal="right"/>
    </xf>
    <xf numFmtId="0" fontId="1" fillId="0" borderId="9" xfId="0" applyFont="1" applyFill="1" applyBorder="1" applyAlignment="1">
      <alignment horizontal="center"/>
    </xf>
    <xf numFmtId="1" fontId="1" fillId="0" borderId="15" xfId="0" applyNumberFormat="1" applyFont="1" applyBorder="1" applyAlignment="1">
      <alignment horizontal="center"/>
    </xf>
    <xf numFmtId="0" fontId="17" fillId="0" borderId="0" xfId="0" applyFont="1" applyAlignment="1"/>
    <xf numFmtId="0" fontId="2" fillId="0" borderId="0" xfId="0" applyFont="1" applyAlignment="1"/>
    <xf numFmtId="0" fontId="1" fillId="0" borderId="0" xfId="0" applyFont="1" applyAlignment="1"/>
    <xf numFmtId="3" fontId="1" fillId="0" borderId="0" xfId="0" applyNumberFormat="1" applyFont="1" applyAlignment="1">
      <alignment horizontal="center"/>
    </xf>
    <xf numFmtId="0" fontId="5" fillId="0" borderId="0" xfId="0" applyFont="1" applyAlignment="1"/>
    <xf numFmtId="0" fontId="4" fillId="0" borderId="50" xfId="0" applyFont="1" applyBorder="1" applyAlignment="1"/>
    <xf numFmtId="0" fontId="4" fillId="0" borderId="52" xfId="0" applyFont="1" applyBorder="1" applyAlignment="1"/>
    <xf numFmtId="0" fontId="4" fillId="0" borderId="65" xfId="0" applyFont="1" applyBorder="1" applyAlignment="1"/>
    <xf numFmtId="0" fontId="4" fillId="0" borderId="21" xfId="0" applyFont="1" applyBorder="1" applyAlignment="1"/>
    <xf numFmtId="0" fontId="4" fillId="0" borderId="55" xfId="0" applyFont="1" applyBorder="1" applyAlignment="1"/>
    <xf numFmtId="0" fontId="4" fillId="0" borderId="66" xfId="0" applyFont="1" applyBorder="1" applyAlignment="1"/>
    <xf numFmtId="0" fontId="4" fillId="0" borderId="67" xfId="0" applyFont="1" applyBorder="1" applyAlignment="1"/>
    <xf numFmtId="0" fontId="4" fillId="0" borderId="68" xfId="0" applyFont="1" applyBorder="1" applyAlignment="1"/>
    <xf numFmtId="0" fontId="4" fillId="0" borderId="69" xfId="0" applyFont="1" applyBorder="1" applyAlignment="1"/>
    <xf numFmtId="0" fontId="5" fillId="0" borderId="25" xfId="0" applyFont="1" applyBorder="1" applyAlignment="1"/>
    <xf numFmtId="0" fontId="5" fillId="0" borderId="1" xfId="0" applyFont="1" applyBorder="1" applyAlignment="1"/>
    <xf numFmtId="0" fontId="5" fillId="0" borderId="63" xfId="0" applyFont="1" applyBorder="1" applyAlignment="1"/>
    <xf numFmtId="0" fontId="1" fillId="0" borderId="51" xfId="0" applyFont="1" applyBorder="1"/>
    <xf numFmtId="0" fontId="18" fillId="0" borderId="0" xfId="0" applyFont="1" applyAlignment="1"/>
    <xf numFmtId="0" fontId="2" fillId="0" borderId="61" xfId="0" applyFont="1" applyBorder="1" applyAlignment="1"/>
    <xf numFmtId="0" fontId="5" fillId="0" borderId="26" xfId="0" applyFont="1" applyBorder="1" applyAlignment="1"/>
    <xf numFmtId="0" fontId="5" fillId="0" borderId="2" xfId="0" applyFont="1" applyBorder="1" applyAlignment="1"/>
    <xf numFmtId="0" fontId="5" fillId="0" borderId="62" xfId="0" applyFont="1" applyBorder="1" applyAlignment="1"/>
    <xf numFmtId="0" fontId="25" fillId="0" borderId="0" xfId="0" applyFont="1" applyAlignment="1"/>
    <xf numFmtId="0" fontId="15" fillId="0" borderId="0" xfId="0" applyFont="1" applyAlignment="1"/>
    <xf numFmtId="0" fontId="23" fillId="0" borderId="0" xfId="0" applyFont="1" applyAlignment="1"/>
    <xf numFmtId="0" fontId="23" fillId="0" borderId="1" xfId="0" applyFont="1" applyBorder="1" applyAlignment="1"/>
    <xf numFmtId="0" fontId="23" fillId="0" borderId="26" xfId="0" applyFont="1" applyBorder="1" applyAlignment="1"/>
    <xf numFmtId="0" fontId="23" fillId="0" borderId="2" xfId="0" applyFont="1" applyBorder="1" applyAlignment="1"/>
    <xf numFmtId="1" fontId="1" fillId="2" borderId="45" xfId="0" applyNumberFormat="1" applyFont="1" applyFill="1" applyBorder="1"/>
  </cellXfs>
  <cellStyles count="8">
    <cellStyle name="Hyperlink" xfId="7" builtinId="8"/>
    <cellStyle name="Normal" xfId="0" builtinId="0"/>
    <cellStyle name="Normal 2" xfId="2"/>
    <cellStyle name="Normal 3" xfId="3"/>
    <cellStyle name="Normal 4" xfId="4"/>
    <cellStyle name="Normal 5" xfId="5"/>
    <cellStyle name="Normal 6" xfId="6"/>
    <cellStyle name="Percent" xfId="1" builtinId="5"/>
  </cellStyles>
  <dxfs count="0"/>
  <tableStyles count="0" defaultTableStyle="TableStyleMedium9" defaultPivotStyle="PivotStyleLight16"/>
  <colors>
    <mruColors>
      <color rgb="FFCCFFCC"/>
      <color rgb="FFFFFF99"/>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4827725611226E-2"/>
          <c:y val="8.3157130602063103E-2"/>
          <c:w val="0.79875882708551305"/>
          <c:h val="0.86489541966510652"/>
        </c:manualLayout>
      </c:layout>
      <c:barChart>
        <c:barDir val="col"/>
        <c:grouping val="clustered"/>
        <c:varyColors val="0"/>
        <c:ser>
          <c:idx val="0"/>
          <c:order val="0"/>
          <c:tx>
            <c:v>1st Minute</c:v>
          </c:tx>
          <c:invertIfNegative val="0"/>
          <c:val>
            <c:numRef>
              <c:f>'Battery Calc Sheet'!$E$59</c:f>
              <c:numCache>
                <c:formatCode>0</c:formatCode>
                <c:ptCount val="1"/>
                <c:pt idx="0">
                  <c:v>1138.0159999999998</c:v>
                </c:pt>
              </c:numCache>
            </c:numRef>
          </c:val>
        </c:ser>
        <c:ser>
          <c:idx val="1"/>
          <c:order val="1"/>
          <c:tx>
            <c:v>Minute 2-60</c:v>
          </c:tx>
          <c:invertIfNegative val="0"/>
          <c:val>
            <c:numRef>
              <c:f>'Battery Calc Sheet'!$F$59</c:f>
              <c:numCache>
                <c:formatCode>0</c:formatCode>
                <c:ptCount val="1"/>
                <c:pt idx="0">
                  <c:v>678.36999999999978</c:v>
                </c:pt>
              </c:numCache>
            </c:numRef>
          </c:val>
        </c:ser>
        <c:ser>
          <c:idx val="2"/>
          <c:order val="2"/>
          <c:tx>
            <c:v>Minute 61-120</c:v>
          </c:tx>
          <c:invertIfNegative val="0"/>
          <c:val>
            <c:numRef>
              <c:f>'Battery Calc Sheet'!$G$59</c:f>
              <c:numCache>
                <c:formatCode>0</c:formatCode>
                <c:ptCount val="1"/>
                <c:pt idx="0">
                  <c:v>678.36999999999978</c:v>
                </c:pt>
              </c:numCache>
            </c:numRef>
          </c:val>
        </c:ser>
        <c:ser>
          <c:idx val="3"/>
          <c:order val="3"/>
          <c:tx>
            <c:v>Minute 121-180</c:v>
          </c:tx>
          <c:invertIfNegative val="0"/>
          <c:val>
            <c:numRef>
              <c:f>'Battery Calc Sheet'!$G$59</c:f>
              <c:numCache>
                <c:formatCode>0</c:formatCode>
                <c:ptCount val="1"/>
                <c:pt idx="0">
                  <c:v>678.36999999999978</c:v>
                </c:pt>
              </c:numCache>
            </c:numRef>
          </c:val>
        </c:ser>
        <c:ser>
          <c:idx val="4"/>
          <c:order val="4"/>
          <c:tx>
            <c:v>Minute 181-239</c:v>
          </c:tx>
          <c:invertIfNegative val="0"/>
          <c:val>
            <c:numRef>
              <c:f>'Battery Calc Sheet'!$I$59</c:f>
              <c:numCache>
                <c:formatCode>0</c:formatCode>
                <c:ptCount val="1"/>
                <c:pt idx="0">
                  <c:v>678.36999999999978</c:v>
                </c:pt>
              </c:numCache>
            </c:numRef>
          </c:val>
        </c:ser>
        <c:ser>
          <c:idx val="5"/>
          <c:order val="5"/>
          <c:tx>
            <c:v>Minute 240</c:v>
          </c:tx>
          <c:invertIfNegative val="0"/>
          <c:val>
            <c:numRef>
              <c:f>'Battery Calc Sheet'!$J$59</c:f>
              <c:numCache>
                <c:formatCode>0</c:formatCode>
                <c:ptCount val="1"/>
                <c:pt idx="0">
                  <c:v>1392.5999999999997</c:v>
                </c:pt>
              </c:numCache>
            </c:numRef>
          </c:val>
        </c:ser>
        <c:dLbls>
          <c:showLegendKey val="0"/>
          <c:showVal val="0"/>
          <c:showCatName val="0"/>
          <c:showSerName val="0"/>
          <c:showPercent val="0"/>
          <c:showBubbleSize val="0"/>
        </c:dLbls>
        <c:gapWidth val="0"/>
        <c:axId val="26526856"/>
        <c:axId val="26527432"/>
      </c:barChart>
      <c:catAx>
        <c:axId val="26526856"/>
        <c:scaling>
          <c:orientation val="minMax"/>
        </c:scaling>
        <c:delete val="0"/>
        <c:axPos val="b"/>
        <c:numFmt formatCode="General" sourceLinked="1"/>
        <c:majorTickMark val="out"/>
        <c:minorTickMark val="none"/>
        <c:tickLblPos val="nextTo"/>
        <c:crossAx val="26527432"/>
        <c:crosses val="autoZero"/>
        <c:auto val="1"/>
        <c:lblAlgn val="ctr"/>
        <c:lblOffset val="100"/>
        <c:noMultiLvlLbl val="0"/>
      </c:catAx>
      <c:valAx>
        <c:axId val="26527432"/>
        <c:scaling>
          <c:orientation val="minMax"/>
        </c:scaling>
        <c:delete val="0"/>
        <c:axPos val="l"/>
        <c:majorGridlines/>
        <c:numFmt formatCode="0" sourceLinked="1"/>
        <c:majorTickMark val="out"/>
        <c:minorTickMark val="none"/>
        <c:tickLblPos val="nextTo"/>
        <c:crossAx val="26526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2.emf"/></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12</xdr:col>
      <xdr:colOff>28575</xdr:colOff>
      <xdr:row>12</xdr:row>
      <xdr:rowOff>28575</xdr:rowOff>
    </xdr:from>
    <xdr:to>
      <xdr:col>26</xdr:col>
      <xdr:colOff>47625</xdr:colOff>
      <xdr:row>50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0.19109</cdr:x>
      <cdr:y>0</cdr:y>
    </cdr:from>
    <cdr:to>
      <cdr:x>0.7649</cdr:x>
      <cdr:y>0.06897</cdr:y>
    </cdr:to>
    <cdr:sp macro="" textlink="">
      <cdr:nvSpPr>
        <cdr:cNvPr id="2" name="TextBox 1"/>
        <cdr:cNvSpPr txBox="1"/>
      </cdr:nvSpPr>
      <cdr:spPr>
        <a:xfrm xmlns:a="http://schemas.openxmlformats.org/drawingml/2006/main">
          <a:off x="1633538" y="0"/>
          <a:ext cx="4905375" cy="4223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b="1"/>
            <a:t>Battery Load Profile Graph</a:t>
          </a:r>
        </a:p>
      </cdr:txBody>
    </cdr:sp>
  </cdr:relSizeAnchor>
</c:userShapes>
</file>

<file path=xl/drawings/drawing3.xml><?xml version="1.0" encoding="utf-8"?>
<xdr:wsDr xmlns:xdr="http://schemas.openxmlformats.org/drawingml/2006/spreadsheetDrawing" xmlns:a="http://schemas.openxmlformats.org/drawingml/2006/main"/>
</file>

<file path=xl/drawings/drawing4.xml><?xml version="1.0" encoding="utf-8"?>
<xdr:wsDr xmlns:xdr="http://schemas.openxmlformats.org/drawingml/2006/spreadsheetDrawing" xmlns:a="http://schemas.openxmlformats.org/drawingml/2006/main"/>
</file>

<file path=xl/drawings/drawing5.xml><?xml version="1.0" encoding="utf-8"?>
<xdr:wsDr xmlns:xdr="http://schemas.openxmlformats.org/drawingml/2006/spreadsheetDrawing" xmlns:a="http://schemas.openxmlformats.org/drawingml/2006/main"/>
</file>

<file path=xl/drawings/drawing6.xml><?xml version="1.0" encoding="utf-8"?>
<xdr:wsDr xmlns:xdr="http://schemas.openxmlformats.org/drawingml/2006/spreadsheetDrawing" xmlns:a="http://schemas.openxmlformats.org/drawingml/2006/main"/>
</file>

<file path=xl/drawings/drawing7.xml><?xml version="1.0" encoding="utf-8"?>
<xdr:wsDr xmlns:xdr="http://schemas.openxmlformats.org/drawingml/2006/spreadsheetDrawing" xmlns:a="http://schemas.openxmlformats.org/drawingml/2006/main">
  <xdr:twoCellAnchor editAs="oneCell">
    <xdr:from>
      <xdr:col>0</xdr:col>
      <xdr:colOff>47625</xdr:colOff>
      <xdr:row>44</xdr:row>
      <xdr:rowOff>76200</xdr:rowOff>
    </xdr:from>
    <xdr:to>
      <xdr:col>1</xdr:col>
      <xdr:colOff>28575</xdr:colOff>
      <xdr:row>48</xdr:row>
      <xdr:rowOff>66675</xdr:rowOff>
    </xdr:to>
    <xdr:pic>
      <xdr:nvPicPr>
        <xdr:cNvPr id="3074" name="Picture 2"/>
        <xdr:cNvPicPr>
          <a:picLocks noChangeAspect="1" noChangeArrowheads="1"/>
        </xdr:cNvPicPr>
      </xdr:nvPicPr>
      <xdr:blipFill>
        <a:blip xmlns:r="http://schemas.openxmlformats.org/officeDocument/2006/relationships" r:embed="rId1"/>
        <a:srcRect/>
        <a:stretch>
          <a:fillRect/>
        </a:stretch>
      </xdr:blipFill>
      <xdr:spPr bwMode="auto">
        <a:xfrm>
          <a:off x="47625" y="9305925"/>
          <a:ext cx="2819400" cy="752475"/>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438150</xdr:colOff>
      <xdr:row>60</xdr:row>
      <xdr:rowOff>9525</xdr:rowOff>
    </xdr:from>
    <xdr:to>
      <xdr:col>4</xdr:col>
      <xdr:colOff>0</xdr:colOff>
      <xdr:row>64</xdr:row>
      <xdr:rowOff>114300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438150" y="10544175"/>
          <a:ext cx="2819400" cy="7524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21</xdr:row>
      <xdr:rowOff>76200</xdr:rowOff>
    </xdr:from>
    <xdr:to>
      <xdr:col>5</xdr:col>
      <xdr:colOff>561975</xdr:colOff>
      <xdr:row>22</xdr:row>
      <xdr:rowOff>95250</xdr:rowOff>
    </xdr:to>
    <xdr:pic>
      <xdr:nvPicPr>
        <xdr:cNvPr id="2" name="Picture 9"/>
        <xdr:cNvPicPr>
          <a:picLocks noChangeAspect="1" noChangeArrowheads="1"/>
        </xdr:cNvPicPr>
      </xdr:nvPicPr>
      <xdr:blipFill>
        <a:blip xmlns:r="http://schemas.openxmlformats.org/officeDocument/2006/relationships" r:embed="rId1" cstate="print"/>
        <a:stretch>
          <a:fillRect/>
        </a:stretch>
      </xdr:blipFill>
      <xdr:spPr bwMode="auto">
        <a:xfrm>
          <a:off x="612645" y="7527967"/>
          <a:ext cx="2999620" cy="186748"/>
        </a:xfrm>
        <a:prstGeom prst="rect">
          <a:avLst/>
        </a:prstGeom>
        <a:noFill/>
        <a:ln>
          <a:noFill/>
        </a:ln>
      </xdr:spPr>
    </xdr:pic>
    <xdr:clientData/>
  </xdr:twoCellAnchor>
  <xdr:twoCellAnchor>
    <xdr:from>
      <xdr:col>1</xdr:col>
      <xdr:colOff>342900</xdr:colOff>
      <xdr:row>14</xdr:row>
      <xdr:rowOff>38100</xdr:rowOff>
    </xdr:from>
    <xdr:to>
      <xdr:col>6</xdr:col>
      <xdr:colOff>104775</xdr:colOff>
      <xdr:row>15</xdr:row>
      <xdr:rowOff>66675</xdr:rowOff>
    </xdr:to>
    <xdr:pic>
      <xdr:nvPicPr>
        <xdr:cNvPr id="3" name="Picture 1"/>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956982" y="6359900"/>
          <a:ext cx="2807633" cy="190499"/>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tabSelected="1" topLeftCell="A13" zoomScaleNormal="100" workbookViewId="0">
      <selection activeCell="L21" sqref="L21"/>
    </sheetView>
  </sheetViews>
  <sheetFormatPr defaultRowHeight="12.75"/>
  <cols>
    <col min="1" max="1" width="36.85546875" bestFit="1" customWidth="1"/>
    <col min="2" max="4" width="8.5703125" customWidth="1"/>
    <col min="5" max="7" width="7.85546875" customWidth="1"/>
    <col min="8" max="8" width="7.85546875" style="268" customWidth="1"/>
    <col min="9" max="10" width="7.85546875" customWidth="1"/>
  </cols>
  <sheetData>
    <row r="1" spans="1:12" ht="15.75">
      <c r="A1" s="418" t="s">
        <v>0</v>
      </c>
      <c r="B1" s="418"/>
      <c r="C1" s="418"/>
      <c r="D1" s="418"/>
      <c r="E1" s="418"/>
      <c r="F1" s="418"/>
      <c r="G1" s="418"/>
      <c r="H1" s="418"/>
      <c r="I1" s="418"/>
      <c r="J1" s="418"/>
      <c r="K1" s="268"/>
      <c r="L1" s="268"/>
    </row>
    <row r="2" spans="1:12">
      <c r="A2" s="419" t="s">
        <v>1</v>
      </c>
      <c r="B2" s="419"/>
      <c r="C2" s="419"/>
      <c r="D2" s="419"/>
      <c r="E2" s="419"/>
      <c r="F2" s="419"/>
      <c r="G2" s="419"/>
      <c r="H2" s="419"/>
      <c r="I2" s="419"/>
      <c r="J2" s="419"/>
      <c r="K2" s="268"/>
      <c r="L2" s="268"/>
    </row>
    <row r="3" spans="1:12">
      <c r="A3" s="419" t="s">
        <v>2</v>
      </c>
      <c r="B3" s="419"/>
      <c r="C3" s="419"/>
      <c r="D3" s="419"/>
      <c r="E3" s="419"/>
      <c r="F3" s="419"/>
      <c r="G3" s="419"/>
      <c r="H3" s="419"/>
      <c r="I3" s="419"/>
      <c r="J3" s="419"/>
      <c r="K3" s="268"/>
      <c r="L3" s="268"/>
    </row>
    <row r="4" spans="1:12" ht="13.5" thickBot="1">
      <c r="A4" s="268"/>
      <c r="B4" s="268"/>
      <c r="C4" s="268"/>
      <c r="D4" s="268"/>
      <c r="E4" s="268">
        <v>1</v>
      </c>
      <c r="F4" s="347" t="s">
        <v>3</v>
      </c>
      <c r="G4" s="347" t="s">
        <v>4</v>
      </c>
      <c r="H4" s="347" t="s">
        <v>5</v>
      </c>
      <c r="I4" s="347" t="s">
        <v>6</v>
      </c>
      <c r="J4" s="268">
        <v>240</v>
      </c>
      <c r="K4" s="268"/>
      <c r="L4" s="268"/>
    </row>
    <row r="5" spans="1:12">
      <c r="A5" s="400" t="s">
        <v>7</v>
      </c>
      <c r="B5" s="47">
        <v>125</v>
      </c>
      <c r="C5" s="1"/>
      <c r="D5" s="1" t="s">
        <v>8</v>
      </c>
      <c r="E5" s="12">
        <v>1</v>
      </c>
      <c r="F5" s="13">
        <v>60</v>
      </c>
      <c r="G5" s="13">
        <v>120</v>
      </c>
      <c r="H5" s="13">
        <v>180</v>
      </c>
      <c r="I5" s="13">
        <v>239</v>
      </c>
      <c r="J5" s="14">
        <v>240</v>
      </c>
      <c r="K5" s="268"/>
      <c r="L5" s="268"/>
    </row>
    <row r="6" spans="1:12" ht="13.5" thickBot="1">
      <c r="A6" s="401" t="s">
        <v>9</v>
      </c>
      <c r="B6" s="395">
        <v>0.1</v>
      </c>
      <c r="C6" s="3"/>
      <c r="D6" s="3" t="s">
        <v>10</v>
      </c>
      <c r="E6" s="9">
        <v>1</v>
      </c>
      <c r="F6" s="10">
        <f>+F5-E5</f>
        <v>59</v>
      </c>
      <c r="G6" s="10">
        <f>+G5-F5</f>
        <v>60</v>
      </c>
      <c r="H6" s="10">
        <f>+H5-G5</f>
        <v>60</v>
      </c>
      <c r="I6" s="266">
        <f>+I5-H5</f>
        <v>59</v>
      </c>
      <c r="J6" s="11">
        <f>+J5-I5</f>
        <v>1</v>
      </c>
      <c r="K6" s="268"/>
      <c r="L6" s="268"/>
    </row>
    <row r="7" spans="1:12" s="334" customFormat="1" ht="25.5" customHeight="1" thickBot="1">
      <c r="A7" s="331" t="s">
        <v>11</v>
      </c>
      <c r="B7" s="332" t="s">
        <v>12</v>
      </c>
      <c r="C7" s="332" t="s">
        <v>13</v>
      </c>
      <c r="D7" s="332" t="s">
        <v>14</v>
      </c>
      <c r="E7" s="429" t="s">
        <v>15</v>
      </c>
      <c r="F7" s="430"/>
      <c r="G7" s="430"/>
      <c r="H7" s="430"/>
      <c r="I7" s="430"/>
      <c r="J7" s="431"/>
      <c r="K7" s="333"/>
      <c r="L7" s="333"/>
    </row>
    <row r="8" spans="1:12">
      <c r="A8" s="420" t="s">
        <v>16</v>
      </c>
      <c r="B8" s="421"/>
      <c r="C8" s="421"/>
      <c r="D8" s="421"/>
      <c r="E8" s="421"/>
      <c r="F8" s="421"/>
      <c r="G8" s="421"/>
      <c r="H8" s="421"/>
      <c r="I8" s="421"/>
      <c r="J8" s="422"/>
      <c r="K8" s="268"/>
      <c r="L8" s="268"/>
    </row>
    <row r="9" spans="1:12">
      <c r="A9" s="57" t="s">
        <v>17</v>
      </c>
      <c r="B9" s="15">
        <v>0</v>
      </c>
      <c r="C9" s="15">
        <v>176</v>
      </c>
      <c r="D9" s="35">
        <v>0</v>
      </c>
      <c r="E9" s="17">
        <f>C9*5*B9</f>
        <v>0</v>
      </c>
      <c r="F9" s="17">
        <f t="shared" ref="F9:F16" si="0">B9*C9</f>
        <v>0</v>
      </c>
      <c r="G9" s="17">
        <f t="shared" ref="G9:G16" si="1">B9*C9</f>
        <v>0</v>
      </c>
      <c r="H9" s="17">
        <f>B9*C9</f>
        <v>0</v>
      </c>
      <c r="I9" s="344">
        <v>0</v>
      </c>
      <c r="J9" s="345">
        <v>0</v>
      </c>
      <c r="K9" s="268"/>
      <c r="L9" s="268"/>
    </row>
    <row r="10" spans="1:12">
      <c r="A10" s="46" t="s">
        <v>18</v>
      </c>
      <c r="B10" s="15">
        <v>0</v>
      </c>
      <c r="C10" s="15">
        <v>142</v>
      </c>
      <c r="D10" s="33">
        <v>0</v>
      </c>
      <c r="E10" s="17">
        <f>C10*5*B10</f>
        <v>0</v>
      </c>
      <c r="F10" s="17">
        <f>B10*C10</f>
        <v>0</v>
      </c>
      <c r="G10" s="17">
        <f t="shared" si="1"/>
        <v>0</v>
      </c>
      <c r="H10" s="17">
        <f t="shared" ref="H10:H16" si="2">B10*C10</f>
        <v>0</v>
      </c>
      <c r="I10" s="344">
        <v>0</v>
      </c>
      <c r="J10" s="346">
        <v>0</v>
      </c>
      <c r="K10" s="268"/>
      <c r="L10" s="268"/>
    </row>
    <row r="11" spans="1:12">
      <c r="A11" s="46" t="s">
        <v>19</v>
      </c>
      <c r="B11" s="15">
        <v>0</v>
      </c>
      <c r="C11" s="15">
        <v>10</v>
      </c>
      <c r="D11" s="34">
        <f t="shared" ref="D11:D16" si="3">B11*C11</f>
        <v>0</v>
      </c>
      <c r="E11" s="17">
        <f t="shared" ref="E11:E16" si="4">B11*C11</f>
        <v>0</v>
      </c>
      <c r="F11" s="17">
        <f t="shared" si="0"/>
        <v>0</v>
      </c>
      <c r="G11" s="17">
        <f t="shared" si="1"/>
        <v>0</v>
      </c>
      <c r="H11" s="17">
        <f t="shared" si="2"/>
        <v>0</v>
      </c>
      <c r="I11" s="17">
        <f t="shared" ref="I11:I16" si="5">B11*C11</f>
        <v>0</v>
      </c>
      <c r="J11" s="39">
        <f t="shared" ref="J11:J16" si="6">B11*C11</f>
        <v>0</v>
      </c>
      <c r="K11" s="268"/>
      <c r="L11" s="268"/>
    </row>
    <row r="12" spans="1:12">
      <c r="A12" s="46"/>
      <c r="B12" s="15"/>
      <c r="C12" s="15"/>
      <c r="D12" s="34">
        <f>B12*C12</f>
        <v>0</v>
      </c>
      <c r="E12" s="17">
        <f>B12*C12</f>
        <v>0</v>
      </c>
      <c r="F12" s="19">
        <f>B12*C12</f>
        <v>0</v>
      </c>
      <c r="G12" s="19">
        <f>B12*C12</f>
        <v>0</v>
      </c>
      <c r="H12" s="17">
        <f t="shared" si="2"/>
        <v>0</v>
      </c>
      <c r="I12" s="19">
        <f>B12*C12</f>
        <v>0</v>
      </c>
      <c r="J12" s="37">
        <f>B12*C12</f>
        <v>0</v>
      </c>
      <c r="K12" s="268"/>
      <c r="L12" s="268"/>
    </row>
    <row r="13" spans="1:12">
      <c r="A13" s="46"/>
      <c r="B13" s="15"/>
      <c r="C13" s="15"/>
      <c r="D13" s="34">
        <f t="shared" si="3"/>
        <v>0</v>
      </c>
      <c r="E13" s="17">
        <f t="shared" si="4"/>
        <v>0</v>
      </c>
      <c r="F13" s="17">
        <f t="shared" si="0"/>
        <v>0</v>
      </c>
      <c r="G13" s="17">
        <f t="shared" si="1"/>
        <v>0</v>
      </c>
      <c r="H13" s="17">
        <f t="shared" si="2"/>
        <v>0</v>
      </c>
      <c r="I13" s="17">
        <f t="shared" si="5"/>
        <v>0</v>
      </c>
      <c r="J13" s="39">
        <f t="shared" si="6"/>
        <v>0</v>
      </c>
      <c r="K13" s="268"/>
      <c r="L13" s="268"/>
    </row>
    <row r="14" spans="1:12">
      <c r="A14" s="46"/>
      <c r="B14" s="15"/>
      <c r="C14" s="15"/>
      <c r="D14" s="34">
        <f t="shared" si="3"/>
        <v>0</v>
      </c>
      <c r="E14" s="17">
        <f t="shared" si="4"/>
        <v>0</v>
      </c>
      <c r="F14" s="17">
        <f t="shared" si="0"/>
        <v>0</v>
      </c>
      <c r="G14" s="17">
        <f t="shared" si="1"/>
        <v>0</v>
      </c>
      <c r="H14" s="17">
        <f t="shared" si="2"/>
        <v>0</v>
      </c>
      <c r="I14" s="17">
        <f t="shared" si="5"/>
        <v>0</v>
      </c>
      <c r="J14" s="39">
        <f t="shared" si="6"/>
        <v>0</v>
      </c>
      <c r="K14" s="268"/>
      <c r="L14" s="268"/>
    </row>
    <row r="15" spans="1:12">
      <c r="A15" s="46"/>
      <c r="B15" s="15"/>
      <c r="C15" s="15"/>
      <c r="D15" s="34">
        <f t="shared" si="3"/>
        <v>0</v>
      </c>
      <c r="E15" s="17">
        <f t="shared" si="4"/>
        <v>0</v>
      </c>
      <c r="F15" s="17">
        <f t="shared" si="0"/>
        <v>0</v>
      </c>
      <c r="G15" s="17">
        <f t="shared" si="1"/>
        <v>0</v>
      </c>
      <c r="H15" s="17">
        <f t="shared" si="2"/>
        <v>0</v>
      </c>
      <c r="I15" s="17">
        <f t="shared" si="5"/>
        <v>0</v>
      </c>
      <c r="J15" s="39">
        <f t="shared" si="6"/>
        <v>0</v>
      </c>
      <c r="K15" s="268"/>
      <c r="L15" s="268"/>
    </row>
    <row r="16" spans="1:12">
      <c r="A16" s="46"/>
      <c r="B16" s="267"/>
      <c r="C16" s="15"/>
      <c r="D16" s="34">
        <f t="shared" si="3"/>
        <v>0</v>
      </c>
      <c r="E16" s="17">
        <f t="shared" si="4"/>
        <v>0</v>
      </c>
      <c r="F16" s="17">
        <f t="shared" si="0"/>
        <v>0</v>
      </c>
      <c r="G16" s="17">
        <f t="shared" si="1"/>
        <v>0</v>
      </c>
      <c r="H16" s="17">
        <f t="shared" si="2"/>
        <v>0</v>
      </c>
      <c r="I16" s="17">
        <f t="shared" si="5"/>
        <v>0</v>
      </c>
      <c r="J16" s="39">
        <f t="shared" si="6"/>
        <v>0</v>
      </c>
      <c r="K16" s="268"/>
      <c r="L16" s="268"/>
    </row>
    <row r="17" spans="1:10">
      <c r="A17" s="423" t="s">
        <v>20</v>
      </c>
      <c r="B17" s="424"/>
      <c r="C17" s="424"/>
      <c r="D17" s="424"/>
      <c r="E17" s="424"/>
      <c r="F17" s="424"/>
      <c r="G17" s="424"/>
      <c r="H17" s="424"/>
      <c r="I17" s="424"/>
      <c r="J17" s="425"/>
    </row>
    <row r="18" spans="1:10">
      <c r="A18" s="46" t="s">
        <v>21</v>
      </c>
      <c r="B18" s="267">
        <v>2</v>
      </c>
      <c r="C18" s="31">
        <v>4.63</v>
      </c>
      <c r="D18" s="33">
        <v>0</v>
      </c>
      <c r="E18" s="17">
        <f>B18*C18</f>
        <v>9.26</v>
      </c>
      <c r="F18" s="29">
        <v>0</v>
      </c>
      <c r="G18" s="29">
        <v>0</v>
      </c>
      <c r="H18" s="29">
        <v>0</v>
      </c>
      <c r="I18" s="29">
        <v>0</v>
      </c>
      <c r="J18" s="38">
        <v>0</v>
      </c>
    </row>
    <row r="19" spans="1:10">
      <c r="A19" s="46" t="s">
        <v>22</v>
      </c>
      <c r="B19" s="15">
        <v>2</v>
      </c>
      <c r="C19" s="31">
        <v>7</v>
      </c>
      <c r="D19" s="34">
        <f>B19*C19</f>
        <v>14</v>
      </c>
      <c r="E19" s="17">
        <f>B19*C19</f>
        <v>14</v>
      </c>
      <c r="F19" s="19">
        <f>B19*C19</f>
        <v>14</v>
      </c>
      <c r="G19" s="19">
        <f>B19*C19</f>
        <v>14</v>
      </c>
      <c r="H19" s="17">
        <f>B19*C19</f>
        <v>14</v>
      </c>
      <c r="I19" s="19">
        <f>B19*C19</f>
        <v>14</v>
      </c>
      <c r="J19" s="37">
        <f>B19*C19</f>
        <v>14</v>
      </c>
    </row>
    <row r="20" spans="1:10">
      <c r="A20" s="46"/>
      <c r="B20" s="15"/>
      <c r="C20" s="15"/>
      <c r="D20" s="34">
        <f>B20*C20</f>
        <v>0</v>
      </c>
      <c r="E20" s="17">
        <f>B20*C20</f>
        <v>0</v>
      </c>
      <c r="F20" s="17">
        <f>B20*C20</f>
        <v>0</v>
      </c>
      <c r="G20" s="17">
        <f>B20*C20</f>
        <v>0</v>
      </c>
      <c r="H20" s="17">
        <f>B20*C20</f>
        <v>0</v>
      </c>
      <c r="I20" s="17">
        <f>B20*C20</f>
        <v>0</v>
      </c>
      <c r="J20" s="39">
        <f>B20*C20</f>
        <v>0</v>
      </c>
    </row>
    <row r="21" spans="1:10">
      <c r="A21" s="423" t="s">
        <v>23</v>
      </c>
      <c r="B21" s="424"/>
      <c r="C21" s="424"/>
      <c r="D21" s="424"/>
      <c r="E21" s="424"/>
      <c r="F21" s="424"/>
      <c r="G21" s="424"/>
      <c r="H21" s="424"/>
      <c r="I21" s="424"/>
      <c r="J21" s="425"/>
    </row>
    <row r="22" spans="1:10">
      <c r="A22" s="46" t="s">
        <v>24</v>
      </c>
      <c r="B22" s="267">
        <v>2</v>
      </c>
      <c r="C22" s="31">
        <v>5</v>
      </c>
      <c r="D22" s="34">
        <f>B22*C22</f>
        <v>10</v>
      </c>
      <c r="E22" s="17">
        <f>B22*C22</f>
        <v>10</v>
      </c>
      <c r="F22" s="19">
        <f>B22*C22</f>
        <v>10</v>
      </c>
      <c r="G22" s="19">
        <f>B22*C22</f>
        <v>10</v>
      </c>
      <c r="H22" s="17">
        <f>B22*C22</f>
        <v>10</v>
      </c>
      <c r="I22" s="19">
        <f>B22*C22</f>
        <v>10</v>
      </c>
      <c r="J22" s="37">
        <f>B22*C22</f>
        <v>10</v>
      </c>
    </row>
    <row r="23" spans="1:10">
      <c r="A23" s="46" t="s">
        <v>25</v>
      </c>
      <c r="B23" s="267">
        <v>0</v>
      </c>
      <c r="C23" s="31">
        <v>10</v>
      </c>
      <c r="D23" s="34">
        <f>B23*C23</f>
        <v>0</v>
      </c>
      <c r="E23" s="17">
        <f>B23*C23</f>
        <v>0</v>
      </c>
      <c r="F23" s="19">
        <f>B23*C23</f>
        <v>0</v>
      </c>
      <c r="G23" s="19">
        <f>B23*C23</f>
        <v>0</v>
      </c>
      <c r="H23" s="17">
        <f>B23*C23</f>
        <v>0</v>
      </c>
      <c r="I23" s="19">
        <f>B23*C23</f>
        <v>0</v>
      </c>
      <c r="J23" s="37">
        <f>B23*C23</f>
        <v>0</v>
      </c>
    </row>
    <row r="24" spans="1:10">
      <c r="A24" s="46" t="s">
        <v>26</v>
      </c>
      <c r="B24" s="267">
        <v>15</v>
      </c>
      <c r="C24" s="31">
        <v>10</v>
      </c>
      <c r="D24" s="34">
        <f>B24*C24</f>
        <v>150</v>
      </c>
      <c r="E24" s="17">
        <f>B24*C24</f>
        <v>150</v>
      </c>
      <c r="F24" s="19">
        <f>B24*C24</f>
        <v>150</v>
      </c>
      <c r="G24" s="19">
        <f>B24*C24</f>
        <v>150</v>
      </c>
      <c r="H24" s="17">
        <f t="shared" ref="H24:H25" si="7">B24*C24</f>
        <v>150</v>
      </c>
      <c r="I24" s="19">
        <f>B24*C24</f>
        <v>150</v>
      </c>
      <c r="J24" s="37">
        <f>B24*C24</f>
        <v>150</v>
      </c>
    </row>
    <row r="25" spans="1:10">
      <c r="A25" s="46" t="s">
        <v>27</v>
      </c>
      <c r="B25" s="15">
        <v>2</v>
      </c>
      <c r="C25" s="31">
        <v>2</v>
      </c>
      <c r="D25" s="34">
        <f>B25*C25</f>
        <v>4</v>
      </c>
      <c r="E25" s="17">
        <f>B25*C25</f>
        <v>4</v>
      </c>
      <c r="F25" s="19">
        <f>B25*C25</f>
        <v>4</v>
      </c>
      <c r="G25" s="19">
        <f>B25*C25</f>
        <v>4</v>
      </c>
      <c r="H25" s="17">
        <f t="shared" si="7"/>
        <v>4</v>
      </c>
      <c r="I25" s="19">
        <f>B25*C25</f>
        <v>4</v>
      </c>
      <c r="J25" s="37">
        <f>B25*C25</f>
        <v>4</v>
      </c>
    </row>
    <row r="26" spans="1:10">
      <c r="A26" s="46"/>
      <c r="B26" s="15"/>
      <c r="C26" s="15"/>
      <c r="D26" s="34"/>
      <c r="E26" s="17"/>
      <c r="F26" s="17"/>
      <c r="G26" s="17"/>
      <c r="H26" s="17"/>
      <c r="I26" s="17"/>
      <c r="J26" s="39"/>
    </row>
    <row r="27" spans="1:10">
      <c r="A27" s="423" t="s">
        <v>28</v>
      </c>
      <c r="B27" s="424"/>
      <c r="C27" s="424"/>
      <c r="D27" s="424"/>
      <c r="E27" s="424"/>
      <c r="F27" s="424"/>
      <c r="G27" s="424"/>
      <c r="H27" s="424"/>
      <c r="I27" s="424"/>
      <c r="J27" s="425"/>
    </row>
    <row r="28" spans="1:10">
      <c r="A28" s="46" t="s">
        <v>29</v>
      </c>
      <c r="B28" s="15">
        <v>29</v>
      </c>
      <c r="C28" s="31">
        <v>10</v>
      </c>
      <c r="D28" s="33">
        <v>0</v>
      </c>
      <c r="E28" s="17">
        <f>B28*C28</f>
        <v>290</v>
      </c>
      <c r="F28" s="29">
        <v>0</v>
      </c>
      <c r="G28" s="29">
        <v>0</v>
      </c>
      <c r="H28" s="29">
        <v>0</v>
      </c>
      <c r="I28" s="29">
        <v>0</v>
      </c>
      <c r="J28" s="38">
        <v>0</v>
      </c>
    </row>
    <row r="29" spans="1:10">
      <c r="A29" s="46" t="s">
        <v>30</v>
      </c>
      <c r="B29" s="386">
        <f>B28</f>
        <v>29</v>
      </c>
      <c r="C29" s="31">
        <v>12</v>
      </c>
      <c r="D29" s="33">
        <v>0</v>
      </c>
      <c r="E29" s="28">
        <v>0</v>
      </c>
      <c r="F29" s="29">
        <v>0</v>
      </c>
      <c r="G29" s="29">
        <v>0</v>
      </c>
      <c r="H29" s="29">
        <v>0</v>
      </c>
      <c r="I29" s="29">
        <v>0</v>
      </c>
      <c r="J29" s="20">
        <f>B29*C29</f>
        <v>348</v>
      </c>
    </row>
    <row r="30" spans="1:10">
      <c r="A30" s="46" t="s">
        <v>31</v>
      </c>
      <c r="B30" s="15">
        <v>2</v>
      </c>
      <c r="C30" s="31">
        <v>10</v>
      </c>
      <c r="D30" s="34">
        <f>B30*C30</f>
        <v>20</v>
      </c>
      <c r="E30" s="17">
        <f>B30*C30</f>
        <v>20</v>
      </c>
      <c r="F30" s="19">
        <f>B30*C30</f>
        <v>20</v>
      </c>
      <c r="G30" s="19">
        <f>B30*C30</f>
        <v>20</v>
      </c>
      <c r="H30" s="17">
        <f>B30*C30</f>
        <v>20</v>
      </c>
      <c r="I30" s="19">
        <f>B30*C30</f>
        <v>20</v>
      </c>
      <c r="J30" s="37">
        <f>B30*C30</f>
        <v>20</v>
      </c>
    </row>
    <row r="31" spans="1:10">
      <c r="A31" s="46" t="s">
        <v>32</v>
      </c>
      <c r="B31" s="16">
        <v>29</v>
      </c>
      <c r="C31" s="32">
        <v>3</v>
      </c>
      <c r="D31" s="33">
        <v>0</v>
      </c>
      <c r="E31" s="17">
        <f>B31*C31</f>
        <v>87</v>
      </c>
      <c r="F31" s="29">
        <v>0</v>
      </c>
      <c r="G31" s="29">
        <v>0</v>
      </c>
      <c r="H31" s="29">
        <v>0</v>
      </c>
      <c r="I31" s="29">
        <v>0</v>
      </c>
      <c r="J31" s="38">
        <v>0</v>
      </c>
    </row>
    <row r="32" spans="1:10">
      <c r="A32" s="46" t="s">
        <v>33</v>
      </c>
      <c r="B32" s="387">
        <f>B31</f>
        <v>29</v>
      </c>
      <c r="C32" s="32">
        <v>10</v>
      </c>
      <c r="D32" s="33">
        <v>0</v>
      </c>
      <c r="E32" s="28">
        <v>0</v>
      </c>
      <c r="F32" s="29">
        <v>0</v>
      </c>
      <c r="G32" s="29">
        <v>0</v>
      </c>
      <c r="H32" s="29">
        <v>0</v>
      </c>
      <c r="I32" s="29">
        <v>0</v>
      </c>
      <c r="J32" s="20">
        <f>B32*C32</f>
        <v>290</v>
      </c>
    </row>
    <row r="33" spans="1:10">
      <c r="A33" s="46" t="s">
        <v>34</v>
      </c>
      <c r="B33" s="15">
        <v>4</v>
      </c>
      <c r="C33" s="31">
        <v>3</v>
      </c>
      <c r="D33" s="34">
        <f>B33*C33</f>
        <v>12</v>
      </c>
      <c r="E33" s="17">
        <f>B33*C33</f>
        <v>12</v>
      </c>
      <c r="F33" s="19">
        <f>B33*C33</f>
        <v>12</v>
      </c>
      <c r="G33" s="19">
        <f>B33*C33</f>
        <v>12</v>
      </c>
      <c r="H33" s="17">
        <f>B33*C33</f>
        <v>12</v>
      </c>
      <c r="I33" s="19">
        <f>B33*C33</f>
        <v>12</v>
      </c>
      <c r="J33" s="37">
        <f>B33*C33</f>
        <v>12</v>
      </c>
    </row>
    <row r="34" spans="1:10">
      <c r="A34" s="46" t="s">
        <v>35</v>
      </c>
      <c r="B34" s="15">
        <v>1</v>
      </c>
      <c r="C34" s="31">
        <v>12.6</v>
      </c>
      <c r="D34" s="33">
        <v>0</v>
      </c>
      <c r="E34" s="17">
        <f>B34*C34</f>
        <v>12.6</v>
      </c>
      <c r="F34" s="29">
        <v>0</v>
      </c>
      <c r="G34" s="29">
        <v>0</v>
      </c>
      <c r="H34" s="29">
        <v>0</v>
      </c>
      <c r="I34" s="29">
        <v>0</v>
      </c>
      <c r="J34" s="38">
        <v>0</v>
      </c>
    </row>
    <row r="35" spans="1:10">
      <c r="A35" s="46" t="s">
        <v>36</v>
      </c>
      <c r="B35" s="18">
        <f>B34</f>
        <v>1</v>
      </c>
      <c r="C35" s="31">
        <v>2.2999999999999998</v>
      </c>
      <c r="D35" s="33">
        <v>0</v>
      </c>
      <c r="E35" s="28">
        <v>0</v>
      </c>
      <c r="F35" s="29">
        <v>0</v>
      </c>
      <c r="G35" s="29">
        <v>0</v>
      </c>
      <c r="H35" s="29">
        <v>0</v>
      </c>
      <c r="I35" s="29">
        <v>0</v>
      </c>
      <c r="J35" s="37">
        <f>B35*C35</f>
        <v>2.2999999999999998</v>
      </c>
    </row>
    <row r="36" spans="1:10">
      <c r="A36" s="46" t="s">
        <v>37</v>
      </c>
      <c r="B36" s="18">
        <f>B34</f>
        <v>1</v>
      </c>
      <c r="C36" s="31">
        <v>4</v>
      </c>
      <c r="D36" s="33">
        <v>0</v>
      </c>
      <c r="E36" s="28">
        <v>0</v>
      </c>
      <c r="F36" s="29">
        <v>0</v>
      </c>
      <c r="G36" s="29">
        <v>0</v>
      </c>
      <c r="H36" s="29">
        <v>0</v>
      </c>
      <c r="I36" s="29">
        <v>0</v>
      </c>
      <c r="J36" s="37">
        <f>B36*C36</f>
        <v>4</v>
      </c>
    </row>
    <row r="37" spans="1:10">
      <c r="A37" s="46"/>
      <c r="B37" s="15"/>
      <c r="C37" s="15"/>
      <c r="D37" s="34"/>
      <c r="E37" s="17"/>
      <c r="F37" s="17"/>
      <c r="G37" s="17"/>
      <c r="H37" s="17"/>
      <c r="I37" s="17"/>
      <c r="J37" s="39"/>
    </row>
    <row r="38" spans="1:10">
      <c r="A38" s="423" t="s">
        <v>38</v>
      </c>
      <c r="B38" s="424"/>
      <c r="C38" s="424"/>
      <c r="D38" s="424"/>
      <c r="E38" s="424"/>
      <c r="F38" s="424"/>
      <c r="G38" s="424"/>
      <c r="H38" s="424"/>
      <c r="I38" s="424"/>
      <c r="J38" s="425"/>
    </row>
    <row r="39" spans="1:10">
      <c r="A39" s="46" t="s">
        <v>39</v>
      </c>
      <c r="B39" s="15">
        <v>1</v>
      </c>
      <c r="C39" s="31">
        <v>3</v>
      </c>
      <c r="D39" s="34">
        <f>B39*C39</f>
        <v>3</v>
      </c>
      <c r="E39" s="17">
        <f>B39*C39</f>
        <v>3</v>
      </c>
      <c r="F39" s="19">
        <f>B39*C39</f>
        <v>3</v>
      </c>
      <c r="G39" s="19">
        <f>B39*C39</f>
        <v>3</v>
      </c>
      <c r="H39" s="17">
        <f>B39*C39</f>
        <v>3</v>
      </c>
      <c r="I39" s="19">
        <f>B39*C39</f>
        <v>3</v>
      </c>
      <c r="J39" s="37">
        <f>B39*C39</f>
        <v>3</v>
      </c>
    </row>
    <row r="40" spans="1:10">
      <c r="A40" s="46" t="s">
        <v>40</v>
      </c>
      <c r="B40" s="15">
        <v>2</v>
      </c>
      <c r="C40" s="31">
        <v>3</v>
      </c>
      <c r="D40" s="34">
        <f>B40*C40</f>
        <v>6</v>
      </c>
      <c r="E40" s="17">
        <f>B40*C40</f>
        <v>6</v>
      </c>
      <c r="F40" s="19">
        <f>B40*C40</f>
        <v>6</v>
      </c>
      <c r="G40" s="19">
        <f>B40*C40</f>
        <v>6</v>
      </c>
      <c r="H40" s="17">
        <f>B40*C40</f>
        <v>6</v>
      </c>
      <c r="I40" s="19">
        <f>B40*C40</f>
        <v>6</v>
      </c>
      <c r="J40" s="37">
        <f>B40*C40</f>
        <v>6</v>
      </c>
    </row>
    <row r="41" spans="1:10">
      <c r="A41" s="388" t="s">
        <v>41</v>
      </c>
      <c r="B41" s="389">
        <v>6</v>
      </c>
      <c r="C41" s="390">
        <v>3</v>
      </c>
      <c r="D41" s="391">
        <f>B41*C41</f>
        <v>18</v>
      </c>
      <c r="E41" s="392">
        <f>B41*C41</f>
        <v>18</v>
      </c>
      <c r="F41" s="393">
        <f>B41*C41</f>
        <v>18</v>
      </c>
      <c r="G41" s="393">
        <f>B41*C41</f>
        <v>18</v>
      </c>
      <c r="H41" s="392">
        <f>B41*C41</f>
        <v>18</v>
      </c>
      <c r="I41" s="393">
        <f>B41*C41</f>
        <v>18</v>
      </c>
      <c r="J41" s="394">
        <f>B41*C41</f>
        <v>18</v>
      </c>
    </row>
    <row r="42" spans="1:10">
      <c r="A42" s="423" t="s">
        <v>42</v>
      </c>
      <c r="B42" s="424"/>
      <c r="C42" s="424"/>
      <c r="D42" s="424"/>
      <c r="E42" s="424"/>
      <c r="F42" s="424"/>
      <c r="G42" s="424"/>
      <c r="H42" s="424"/>
      <c r="I42" s="424"/>
      <c r="J42" s="425"/>
    </row>
    <row r="43" spans="1:10">
      <c r="A43" s="46" t="s">
        <v>43</v>
      </c>
      <c r="B43" s="16">
        <v>1</v>
      </c>
      <c r="C43" s="32">
        <v>1</v>
      </c>
      <c r="D43" s="34">
        <f>B43*C43</f>
        <v>1</v>
      </c>
      <c r="E43" s="17">
        <f>C43*D43</f>
        <v>1</v>
      </c>
      <c r="F43" s="29">
        <v>0</v>
      </c>
      <c r="G43" s="29">
        <v>0</v>
      </c>
      <c r="H43" s="29">
        <v>0</v>
      </c>
      <c r="I43" s="29">
        <v>0</v>
      </c>
      <c r="J43" s="20">
        <f>B43*C43</f>
        <v>1</v>
      </c>
    </row>
    <row r="44" spans="1:10">
      <c r="A44" s="46" t="s">
        <v>44</v>
      </c>
      <c r="B44" s="30">
        <f>B43</f>
        <v>1</v>
      </c>
      <c r="C44" s="32">
        <v>5</v>
      </c>
      <c r="D44" s="33">
        <v>0</v>
      </c>
      <c r="E44" s="28">
        <v>0</v>
      </c>
      <c r="F44" s="19">
        <f>B44*C44</f>
        <v>5</v>
      </c>
      <c r="G44" s="19">
        <f>B44*C44</f>
        <v>5</v>
      </c>
      <c r="H44" s="17">
        <f>B44*C44</f>
        <v>5</v>
      </c>
      <c r="I44" s="19">
        <f>B44*C44</f>
        <v>5</v>
      </c>
      <c r="J44" s="36">
        <v>0</v>
      </c>
    </row>
    <row r="45" spans="1:10">
      <c r="A45" s="46" t="s">
        <v>33</v>
      </c>
      <c r="B45" s="30">
        <f>B43</f>
        <v>1</v>
      </c>
      <c r="C45" s="32">
        <v>10</v>
      </c>
      <c r="D45" s="33">
        <v>0</v>
      </c>
      <c r="E45" s="17">
        <f>B45*C45</f>
        <v>10</v>
      </c>
      <c r="F45" s="29">
        <v>0</v>
      </c>
      <c r="G45" s="29">
        <v>0</v>
      </c>
      <c r="H45" s="29">
        <v>0</v>
      </c>
      <c r="I45" s="29">
        <v>0</v>
      </c>
      <c r="J45" s="38">
        <v>0</v>
      </c>
    </row>
    <row r="46" spans="1:10">
      <c r="A46" s="58"/>
      <c r="B46" s="59"/>
      <c r="C46" s="59"/>
      <c r="D46" s="60"/>
      <c r="E46" s="61"/>
      <c r="F46" s="61"/>
      <c r="G46" s="61"/>
      <c r="H46" s="17"/>
      <c r="I46" s="61"/>
      <c r="J46" s="62"/>
    </row>
    <row r="47" spans="1:10">
      <c r="A47" s="423" t="s">
        <v>45</v>
      </c>
      <c r="B47" s="424"/>
      <c r="C47" s="424"/>
      <c r="D47" s="424"/>
      <c r="E47" s="424"/>
      <c r="F47" s="424"/>
      <c r="G47" s="424"/>
      <c r="H47" s="424"/>
      <c r="I47" s="424"/>
      <c r="J47" s="425"/>
    </row>
    <row r="48" spans="1:10">
      <c r="A48" s="46" t="s">
        <v>46</v>
      </c>
      <c r="B48" s="15">
        <v>1</v>
      </c>
      <c r="C48" s="31">
        <v>14</v>
      </c>
      <c r="D48" s="33">
        <v>0</v>
      </c>
      <c r="E48" s="17">
        <f>B48*C48</f>
        <v>14</v>
      </c>
      <c r="F48" s="29">
        <v>0</v>
      </c>
      <c r="G48" s="29">
        <v>0</v>
      </c>
      <c r="H48" s="29">
        <v>0</v>
      </c>
      <c r="I48" s="29">
        <v>0</v>
      </c>
      <c r="J48" s="36">
        <v>0</v>
      </c>
    </row>
    <row r="49" spans="1:13">
      <c r="A49" s="46" t="s">
        <v>47</v>
      </c>
      <c r="B49" s="18">
        <f>B48</f>
        <v>1</v>
      </c>
      <c r="C49" s="31">
        <v>10</v>
      </c>
      <c r="D49" s="33">
        <v>0</v>
      </c>
      <c r="E49" s="28">
        <v>0</v>
      </c>
      <c r="F49" s="29">
        <v>0</v>
      </c>
      <c r="G49" s="29">
        <v>0</v>
      </c>
      <c r="H49" s="29">
        <v>0</v>
      </c>
      <c r="I49" s="29">
        <v>0</v>
      </c>
      <c r="J49" s="37">
        <f>B49*C49</f>
        <v>10</v>
      </c>
      <c r="K49" s="268"/>
      <c r="L49" s="268"/>
      <c r="M49" s="268"/>
    </row>
    <row r="50" spans="1:13">
      <c r="A50" s="46" t="s">
        <v>48</v>
      </c>
      <c r="B50" s="18">
        <f>B48</f>
        <v>1</v>
      </c>
      <c r="C50" s="31">
        <v>1</v>
      </c>
      <c r="D50" s="34">
        <f>B50*C50</f>
        <v>1</v>
      </c>
      <c r="E50" s="28">
        <v>0</v>
      </c>
      <c r="F50" s="19">
        <f>B50*C50</f>
        <v>1</v>
      </c>
      <c r="G50" s="19">
        <f>B50*C50</f>
        <v>1</v>
      </c>
      <c r="H50" s="17">
        <f>B50*C50</f>
        <v>1</v>
      </c>
      <c r="I50" s="19">
        <f>B50*C50</f>
        <v>1</v>
      </c>
      <c r="J50" s="38">
        <v>0</v>
      </c>
      <c r="K50" s="268"/>
      <c r="L50" s="268"/>
      <c r="M50" s="268"/>
    </row>
    <row r="51" spans="1:13">
      <c r="A51" s="46" t="s">
        <v>49</v>
      </c>
      <c r="B51" s="389">
        <v>1</v>
      </c>
      <c r="C51" s="31">
        <v>5</v>
      </c>
      <c r="D51" s="34">
        <f>B51*C51</f>
        <v>5</v>
      </c>
      <c r="E51" s="17">
        <f>B51*C51</f>
        <v>5</v>
      </c>
      <c r="F51" s="17">
        <f>B51*C51</f>
        <v>5</v>
      </c>
      <c r="G51" s="17">
        <f>B51*C51</f>
        <v>5</v>
      </c>
      <c r="H51" s="17">
        <f>B51*C51</f>
        <v>5</v>
      </c>
      <c r="I51" s="17">
        <f>B51*C51</f>
        <v>5</v>
      </c>
      <c r="J51" s="39">
        <f>B51*C51</f>
        <v>5</v>
      </c>
      <c r="K51" s="268"/>
      <c r="L51" s="268"/>
      <c r="M51" s="268" t="s">
        <v>50</v>
      </c>
    </row>
    <row r="52" spans="1:13">
      <c r="A52" s="46"/>
      <c r="B52" s="15"/>
      <c r="C52" s="15"/>
      <c r="D52" s="34"/>
      <c r="E52" s="17"/>
      <c r="F52" s="17"/>
      <c r="G52" s="17"/>
      <c r="H52" s="17"/>
      <c r="I52" s="17"/>
      <c r="J52" s="39"/>
      <c r="K52" s="268"/>
      <c r="L52" s="268"/>
      <c r="M52" s="268"/>
    </row>
    <row r="53" spans="1:13">
      <c r="A53" s="423" t="s">
        <v>51</v>
      </c>
      <c r="B53" s="424"/>
      <c r="C53" s="424"/>
      <c r="D53" s="424"/>
      <c r="E53" s="424"/>
      <c r="F53" s="424"/>
      <c r="G53" s="424"/>
      <c r="H53" s="424"/>
      <c r="I53" s="424"/>
      <c r="J53" s="425"/>
      <c r="K53" s="268"/>
      <c r="L53" s="268"/>
      <c r="M53" s="268"/>
    </row>
    <row r="54" spans="1:13">
      <c r="A54" s="46" t="s">
        <v>52</v>
      </c>
      <c r="B54" s="16">
        <v>1</v>
      </c>
      <c r="C54" s="329">
        <f>'UPS Calc Sheet'!C43*1000/B5</f>
        <v>368.69999999999987</v>
      </c>
      <c r="D54" s="328">
        <f>B54*C54</f>
        <v>368.69999999999987</v>
      </c>
      <c r="E54" s="53">
        <f>B54*C54</f>
        <v>368.69999999999987</v>
      </c>
      <c r="F54" s="27">
        <f>B54*C54</f>
        <v>368.69999999999987</v>
      </c>
      <c r="G54" s="27">
        <f>B54*C54</f>
        <v>368.69999999999987</v>
      </c>
      <c r="H54" s="19">
        <f>B54*C54</f>
        <v>368.69999999999987</v>
      </c>
      <c r="I54" s="27">
        <f>B54*C54</f>
        <v>368.69999999999987</v>
      </c>
      <c r="J54" s="20">
        <f>B54*C54</f>
        <v>368.69999999999987</v>
      </c>
      <c r="K54" s="268"/>
      <c r="L54" s="268"/>
      <c r="M54" s="268"/>
    </row>
    <row r="55" spans="1:13">
      <c r="A55" s="46" t="s">
        <v>53</v>
      </c>
      <c r="B55" s="15">
        <v>0</v>
      </c>
      <c r="C55" s="31">
        <v>6</v>
      </c>
      <c r="D55" s="34">
        <f>B55*C55</f>
        <v>0</v>
      </c>
      <c r="E55" s="54">
        <f>B55*C55</f>
        <v>0</v>
      </c>
      <c r="F55" s="27">
        <f>B55*C55</f>
        <v>0</v>
      </c>
      <c r="G55" s="19">
        <f>B55*C55</f>
        <v>0</v>
      </c>
      <c r="H55" s="17">
        <f>B55*C55</f>
        <v>0</v>
      </c>
      <c r="I55" s="19">
        <f>B55*C55</f>
        <v>0</v>
      </c>
      <c r="J55" s="37">
        <f>B55*C55</f>
        <v>0</v>
      </c>
      <c r="K55" s="268"/>
      <c r="L55" s="268"/>
      <c r="M55" s="268"/>
    </row>
    <row r="56" spans="1:13" ht="13.5" thickBot="1">
      <c r="A56" s="55"/>
      <c r="B56" s="56"/>
      <c r="C56" s="56"/>
      <c r="D56" s="34"/>
      <c r="E56" s="45"/>
      <c r="F56" s="17"/>
      <c r="G56" s="17"/>
      <c r="H56" s="17"/>
      <c r="I56" s="17"/>
      <c r="J56" s="39"/>
      <c r="K56" s="268"/>
      <c r="L56" s="268"/>
      <c r="M56" s="268"/>
    </row>
    <row r="57" spans="1:13">
      <c r="A57" s="434" t="s">
        <v>54</v>
      </c>
      <c r="B57" s="434"/>
      <c r="C57" s="435"/>
      <c r="D57" s="42">
        <f t="shared" ref="D57:J57" si="8">SUM(D8:D56)</f>
        <v>612.69999999999982</v>
      </c>
      <c r="E57" s="42">
        <f t="shared" si="8"/>
        <v>1034.56</v>
      </c>
      <c r="F57" s="49">
        <f t="shared" si="8"/>
        <v>616.69999999999982</v>
      </c>
      <c r="G57" s="49">
        <f t="shared" si="8"/>
        <v>616.69999999999982</v>
      </c>
      <c r="H57" s="49">
        <f t="shared" ref="H57" si="9">SUM(H8:H56)</f>
        <v>616.69999999999982</v>
      </c>
      <c r="I57" s="49">
        <f t="shared" si="8"/>
        <v>616.69999999999982</v>
      </c>
      <c r="J57" s="50">
        <f t="shared" si="8"/>
        <v>1265.9999999999998</v>
      </c>
      <c r="K57" s="268"/>
      <c r="L57" s="268"/>
      <c r="M57" s="268"/>
    </row>
    <row r="58" spans="1:13">
      <c r="A58" s="436" t="str">
        <f>B6*100&amp;"% Margin"</f>
        <v>10% Margin</v>
      </c>
      <c r="B58" s="436"/>
      <c r="C58" s="437"/>
      <c r="D58" s="383">
        <f t="shared" ref="D58:J58" si="10">D57*$B$6</f>
        <v>61.269999999999982</v>
      </c>
      <c r="E58" s="53">
        <f t="shared" si="10"/>
        <v>103.456</v>
      </c>
      <c r="F58" s="379">
        <f t="shared" si="10"/>
        <v>61.669999999999987</v>
      </c>
      <c r="G58" s="379">
        <f t="shared" si="10"/>
        <v>61.669999999999987</v>
      </c>
      <c r="H58" s="379">
        <f t="shared" ref="H58" si="11">H57*$B$6</f>
        <v>61.669999999999987</v>
      </c>
      <c r="I58" s="379">
        <f t="shared" si="10"/>
        <v>61.669999999999987</v>
      </c>
      <c r="J58" s="20">
        <f t="shared" si="10"/>
        <v>126.59999999999998</v>
      </c>
      <c r="K58" s="268"/>
      <c r="L58" s="268"/>
      <c r="M58" s="268"/>
    </row>
    <row r="59" spans="1:13" ht="13.5" thickBot="1">
      <c r="A59" s="436" t="s">
        <v>55</v>
      </c>
      <c r="B59" s="436"/>
      <c r="C59" s="437"/>
      <c r="D59" s="378">
        <f t="shared" ref="D59:J59" si="12">SUM(D57:D58)</f>
        <v>673.9699999999998</v>
      </c>
      <c r="E59" s="381">
        <f t="shared" si="12"/>
        <v>1138.0159999999998</v>
      </c>
      <c r="F59" s="382">
        <f t="shared" si="12"/>
        <v>678.36999999999978</v>
      </c>
      <c r="G59" s="380">
        <f t="shared" si="12"/>
        <v>678.36999999999978</v>
      </c>
      <c r="H59" s="382">
        <f t="shared" si="12"/>
        <v>678.36999999999978</v>
      </c>
      <c r="I59" s="380">
        <f t="shared" si="12"/>
        <v>678.36999999999978</v>
      </c>
      <c r="J59" s="384">
        <f t="shared" si="12"/>
        <v>1392.5999999999997</v>
      </c>
      <c r="K59" s="245"/>
      <c r="L59" s="268"/>
      <c r="M59" s="268"/>
    </row>
    <row r="60" spans="1:13" ht="13.5" thickBot="1">
      <c r="A60" s="428" t="s">
        <v>56</v>
      </c>
      <c r="B60" s="428"/>
      <c r="C60" s="22"/>
      <c r="D60" s="22"/>
      <c r="E60" s="25"/>
      <c r="F60" s="25"/>
      <c r="G60" s="25"/>
      <c r="H60" s="25"/>
      <c r="I60" s="25"/>
      <c r="J60" s="25"/>
      <c r="K60" s="268"/>
      <c r="L60" s="268"/>
      <c r="M60" s="268"/>
    </row>
    <row r="61" spans="1:13" ht="13.5" thickBot="1">
      <c r="A61" s="342" t="s">
        <v>57</v>
      </c>
      <c r="B61" s="66">
        <v>24</v>
      </c>
      <c r="C61" s="22"/>
      <c r="D61" s="428" t="s">
        <v>58</v>
      </c>
      <c r="E61" s="428"/>
      <c r="F61" s="428"/>
      <c r="G61" s="428"/>
      <c r="H61" s="428"/>
      <c r="I61" s="428"/>
      <c r="J61" s="428"/>
      <c r="K61" s="268"/>
      <c r="L61" s="268"/>
      <c r="M61" s="268"/>
    </row>
    <row r="62" spans="1:13" ht="13.5" thickBot="1">
      <c r="A62" s="397" t="s">
        <v>59</v>
      </c>
      <c r="B62" s="68">
        <f>D59+(1.1*J67)/B61</f>
        <v>830.55068020833312</v>
      </c>
      <c r="C62" s="268"/>
      <c r="D62" s="330"/>
      <c r="E62" s="324">
        <f t="shared" ref="E62:J62" si="13">E57*E6/60</f>
        <v>17.242666666666665</v>
      </c>
      <c r="F62" s="325">
        <f t="shared" si="13"/>
        <v>606.42166666666651</v>
      </c>
      <c r="G62" s="325">
        <f t="shared" si="13"/>
        <v>616.6999999999997</v>
      </c>
      <c r="H62" s="325">
        <f t="shared" si="13"/>
        <v>616.6999999999997</v>
      </c>
      <c r="I62" s="325">
        <f t="shared" si="13"/>
        <v>606.42166666666651</v>
      </c>
      <c r="J62" s="326">
        <f t="shared" si="13"/>
        <v>21.099999999999998</v>
      </c>
      <c r="K62" s="268"/>
      <c r="L62" s="268"/>
      <c r="M62" s="268"/>
    </row>
    <row r="63" spans="1:13" ht="13.5" thickBot="1">
      <c r="A63" s="343" t="s">
        <v>60</v>
      </c>
      <c r="B63" s="341">
        <f>IF(MOD(B62,50)&lt;25,MROUND(B62+50,50),MROUND(B62,50))</f>
        <v>850</v>
      </c>
      <c r="C63" s="268"/>
      <c r="D63" s="438" t="s">
        <v>61</v>
      </c>
      <c r="E63" s="439"/>
      <c r="F63" s="439"/>
      <c r="G63" s="439"/>
      <c r="H63" s="439"/>
      <c r="I63" s="439"/>
      <c r="J63" s="338">
        <f>SUM(E62:J62)</f>
        <v>2484.5859999999993</v>
      </c>
      <c r="K63" s="268"/>
      <c r="L63" s="268"/>
      <c r="M63" s="268"/>
    </row>
    <row r="64" spans="1:13">
      <c r="A64" s="268"/>
      <c r="B64" s="268"/>
      <c r="C64" s="268"/>
      <c r="D64" s="416" t="s">
        <v>62</v>
      </c>
      <c r="E64" s="417"/>
      <c r="F64" s="417"/>
      <c r="G64" s="417"/>
      <c r="H64" s="417"/>
      <c r="I64" s="417"/>
      <c r="J64" s="339">
        <f>B6</f>
        <v>0.1</v>
      </c>
      <c r="K64" s="268"/>
      <c r="L64" s="268"/>
      <c r="M64" s="268"/>
    </row>
    <row r="65" spans="1:10">
      <c r="A65" s="268"/>
      <c r="B65" s="268"/>
      <c r="C65" s="268"/>
      <c r="D65" s="416" t="s">
        <v>63</v>
      </c>
      <c r="E65" s="417"/>
      <c r="F65" s="417"/>
      <c r="G65" s="417"/>
      <c r="H65" s="417"/>
      <c r="I65" s="417"/>
      <c r="J65" s="336">
        <v>1</v>
      </c>
    </row>
    <row r="66" spans="1:10" ht="13.5" thickBot="1">
      <c r="A66" s="268"/>
      <c r="B66" s="268"/>
      <c r="C66" s="268"/>
      <c r="D66" s="432" t="s">
        <v>64</v>
      </c>
      <c r="E66" s="433"/>
      <c r="F66" s="433"/>
      <c r="G66" s="433"/>
      <c r="H66" s="433"/>
      <c r="I66" s="433"/>
      <c r="J66" s="337">
        <v>1.25</v>
      </c>
    </row>
    <row r="67" spans="1:10" ht="13.5" thickBot="1">
      <c r="A67" s="268"/>
      <c r="B67" s="268"/>
      <c r="C67" s="22"/>
      <c r="D67" s="426" t="s">
        <v>65</v>
      </c>
      <c r="E67" s="427"/>
      <c r="F67" s="427"/>
      <c r="G67" s="427"/>
      <c r="H67" s="427"/>
      <c r="I67" s="427"/>
      <c r="J67" s="340">
        <f>J63*J65*J66*(1+J64)</f>
        <v>3416.3057499999995</v>
      </c>
    </row>
    <row r="68" spans="1:10">
      <c r="A68" s="269" t="s">
        <v>66</v>
      </c>
      <c r="B68" s="268"/>
      <c r="C68" s="22"/>
      <c r="D68" s="269"/>
      <c r="E68" s="23"/>
      <c r="F68" s="23"/>
      <c r="G68" s="268"/>
      <c r="I68" s="23"/>
      <c r="J68" s="23"/>
    </row>
    <row r="69" spans="1:10">
      <c r="A69" s="269" t="s">
        <v>67</v>
      </c>
      <c r="B69" s="268"/>
      <c r="C69" s="268"/>
      <c r="D69" s="269"/>
      <c r="E69" s="268"/>
      <c r="F69" s="23"/>
      <c r="G69" s="268"/>
      <c r="I69" s="23"/>
      <c r="J69" s="23"/>
    </row>
    <row r="70" spans="1:10">
      <c r="A70" s="269" t="s">
        <v>68</v>
      </c>
      <c r="B70" s="268"/>
      <c r="C70" s="268"/>
      <c r="D70" s="269"/>
      <c r="E70" s="268"/>
      <c r="F70" s="23"/>
      <c r="G70" s="268"/>
      <c r="I70" s="23"/>
      <c r="J70" s="23"/>
    </row>
    <row r="71" spans="1:10">
      <c r="A71" s="269" t="s">
        <v>69</v>
      </c>
      <c r="B71" s="268"/>
      <c r="C71" s="268"/>
      <c r="D71" s="269"/>
      <c r="E71" s="268"/>
      <c r="F71" s="23"/>
      <c r="G71" s="23"/>
      <c r="H71" s="23"/>
      <c r="I71" s="23"/>
      <c r="J71" s="23"/>
    </row>
    <row r="72" spans="1:10">
      <c r="A72" s="272"/>
      <c r="B72" s="268"/>
      <c r="C72" s="268"/>
      <c r="D72" s="22"/>
      <c r="E72" s="335" t="s">
        <v>70</v>
      </c>
      <c r="F72" s="23"/>
      <c r="G72" s="23"/>
      <c r="H72" s="23"/>
      <c r="I72" s="23"/>
      <c r="J72" s="23"/>
    </row>
    <row r="73" spans="1:10">
      <c r="A73" s="272"/>
      <c r="B73" s="268"/>
      <c r="C73" s="268"/>
      <c r="D73" s="268"/>
      <c r="E73" s="269" t="s">
        <v>71</v>
      </c>
      <c r="F73" s="268"/>
      <c r="G73" s="268"/>
      <c r="I73" s="268"/>
      <c r="J73" s="268"/>
    </row>
    <row r="74" spans="1:10">
      <c r="A74" s="268"/>
      <c r="B74" s="268"/>
      <c r="C74" s="268"/>
      <c r="D74" s="268"/>
      <c r="E74" s="269" t="s">
        <v>72</v>
      </c>
      <c r="F74" s="268"/>
      <c r="G74" s="268"/>
      <c r="I74" s="268"/>
      <c r="J74" s="268"/>
    </row>
    <row r="75" spans="1:10">
      <c r="A75" s="268"/>
      <c r="B75" s="268"/>
      <c r="C75" s="268"/>
      <c r="D75" s="268"/>
      <c r="E75" s="269" t="s">
        <v>73</v>
      </c>
      <c r="F75" s="268"/>
      <c r="G75" s="268"/>
      <c r="I75" s="268"/>
      <c r="J75" s="268"/>
    </row>
  </sheetData>
  <mergeCells count="22">
    <mergeCell ref="D67:I67"/>
    <mergeCell ref="A60:B60"/>
    <mergeCell ref="D61:J61"/>
    <mergeCell ref="E7:J7"/>
    <mergeCell ref="D66:I66"/>
    <mergeCell ref="A42:J42"/>
    <mergeCell ref="A21:J21"/>
    <mergeCell ref="A17:J17"/>
    <mergeCell ref="A38:J38"/>
    <mergeCell ref="A27:J27"/>
    <mergeCell ref="A47:J47"/>
    <mergeCell ref="A57:C57"/>
    <mergeCell ref="A58:C58"/>
    <mergeCell ref="A59:C59"/>
    <mergeCell ref="D63:I63"/>
    <mergeCell ref="D65:I65"/>
    <mergeCell ref="D64:I64"/>
    <mergeCell ref="A1:J1"/>
    <mergeCell ref="A3:J3"/>
    <mergeCell ref="A2:J2"/>
    <mergeCell ref="A8:J8"/>
    <mergeCell ref="A53:J53"/>
  </mergeCells>
  <phoneticPr fontId="0" type="noConversion"/>
  <printOptions horizontalCentered="1"/>
  <pageMargins left="0.75" right="0.75" top="1" bottom="1" header="0.5" footer="0.5"/>
  <pageSetup scale="76" orientation="portrait" r:id="rId1"/>
  <headerFooter alignWithMargins="0">
    <oddFooter>&amp;L&amp;F&amp;CPage &amp;P of &amp;N&amp;RTemplated Dated: 8/15/05</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89"/>
  <sheetViews>
    <sheetView workbookViewId="0">
      <selection activeCell="G46" sqref="G46"/>
    </sheetView>
  </sheetViews>
  <sheetFormatPr defaultRowHeight="12.75"/>
  <cols>
    <col min="1" max="1" width="38.5703125" bestFit="1" customWidth="1"/>
    <col min="2" max="4" width="8.5703125" customWidth="1"/>
    <col min="5" max="9" width="7.85546875" customWidth="1"/>
    <col min="12" max="12" width="24.42578125" style="128" bestFit="1" customWidth="1"/>
  </cols>
  <sheetData>
    <row r="2" spans="1:18" ht="13.5" thickBot="1">
      <c r="A2" s="407"/>
      <c r="B2" s="407"/>
      <c r="C2" s="407"/>
      <c r="D2" s="407"/>
      <c r="E2" s="478" t="s">
        <v>483</v>
      </c>
      <c r="F2" s="478" t="s">
        <v>484</v>
      </c>
      <c r="G2" s="478" t="s">
        <v>485</v>
      </c>
      <c r="H2" s="478" t="s">
        <v>486</v>
      </c>
      <c r="I2" s="478" t="s">
        <v>487</v>
      </c>
      <c r="J2" s="268"/>
      <c r="K2" s="268"/>
      <c r="L2" s="406"/>
      <c r="M2" s="268"/>
      <c r="N2" s="268"/>
      <c r="O2" s="268"/>
      <c r="P2" s="268"/>
      <c r="Q2" s="268"/>
      <c r="R2" s="268"/>
    </row>
    <row r="3" spans="1:18">
      <c r="A3" s="465" t="s">
        <v>488</v>
      </c>
      <c r="B3" s="1"/>
      <c r="C3" s="1"/>
      <c r="D3" s="129" t="s">
        <v>489</v>
      </c>
      <c r="E3" s="130">
        <v>1</v>
      </c>
      <c r="F3" s="130">
        <v>60</v>
      </c>
      <c r="G3" s="130">
        <v>120</v>
      </c>
      <c r="H3" s="130">
        <v>179</v>
      </c>
      <c r="I3" s="131">
        <v>180</v>
      </c>
      <c r="J3" s="268"/>
      <c r="K3" s="518" t="s">
        <v>490</v>
      </c>
      <c r="L3" s="518"/>
      <c r="M3" s="518"/>
      <c r="N3" s="518"/>
      <c r="O3" s="268"/>
      <c r="P3" s="268"/>
      <c r="Q3" s="268"/>
      <c r="R3" s="268"/>
    </row>
    <row r="4" spans="1:18" ht="13.5" thickBot="1">
      <c r="A4" s="466"/>
      <c r="B4" s="3"/>
      <c r="C4" s="3"/>
      <c r="D4" s="132" t="s">
        <v>491</v>
      </c>
      <c r="E4" s="133">
        <v>1</v>
      </c>
      <c r="F4" s="133">
        <v>59</v>
      </c>
      <c r="G4" s="133">
        <v>60</v>
      </c>
      <c r="H4" s="133">
        <v>59</v>
      </c>
      <c r="I4" s="134">
        <v>1</v>
      </c>
      <c r="J4" s="268"/>
      <c r="K4" s="407"/>
      <c r="L4" s="135"/>
      <c r="M4" s="407"/>
      <c r="N4" s="407"/>
      <c r="O4" s="407"/>
      <c r="P4" s="519"/>
      <c r="Q4" s="519"/>
      <c r="R4" s="268"/>
    </row>
    <row r="5" spans="1:18" ht="13.5" thickBot="1">
      <c r="A5" s="136" t="s">
        <v>11</v>
      </c>
      <c r="B5" s="137" t="s">
        <v>492</v>
      </c>
      <c r="C5" s="137" t="s">
        <v>493</v>
      </c>
      <c r="D5" s="138" t="s">
        <v>13</v>
      </c>
      <c r="E5" s="2"/>
      <c r="F5" s="2"/>
      <c r="G5" s="2"/>
      <c r="H5" s="2"/>
      <c r="I5" s="4"/>
      <c r="J5" s="268"/>
      <c r="K5" s="407"/>
      <c r="L5" s="520" t="s">
        <v>494</v>
      </c>
      <c r="M5" s="520"/>
      <c r="N5" s="407"/>
      <c r="O5" s="407"/>
      <c r="P5" s="519"/>
      <c r="Q5" s="519"/>
      <c r="R5" s="268"/>
    </row>
    <row r="6" spans="1:18">
      <c r="A6" s="139" t="s">
        <v>168</v>
      </c>
      <c r="B6" s="140">
        <v>1</v>
      </c>
      <c r="C6" s="141">
        <v>880</v>
      </c>
      <c r="D6" s="140">
        <v>176</v>
      </c>
      <c r="E6" s="141">
        <v>880</v>
      </c>
      <c r="F6" s="141">
        <v>176</v>
      </c>
      <c r="G6" s="141">
        <v>0</v>
      </c>
      <c r="H6" s="141">
        <v>0</v>
      </c>
      <c r="I6" s="140">
        <v>0</v>
      </c>
      <c r="J6" s="268"/>
      <c r="K6" s="407"/>
      <c r="L6" s="478" t="s">
        <v>495</v>
      </c>
      <c r="M6" s="478" t="s">
        <v>246</v>
      </c>
      <c r="N6" s="478" t="s">
        <v>496</v>
      </c>
      <c r="O6" s="478" t="s">
        <v>497</v>
      </c>
      <c r="P6" s="519"/>
      <c r="Q6" s="519"/>
      <c r="R6" s="478" t="s">
        <v>78</v>
      </c>
    </row>
    <row r="7" spans="1:18">
      <c r="A7" s="142" t="s">
        <v>169</v>
      </c>
      <c r="B7" s="143">
        <v>1</v>
      </c>
      <c r="C7" s="141">
        <v>710</v>
      </c>
      <c r="D7" s="140">
        <v>142</v>
      </c>
      <c r="E7" s="141">
        <v>710</v>
      </c>
      <c r="F7" s="141">
        <v>142</v>
      </c>
      <c r="G7" s="141">
        <v>142</v>
      </c>
      <c r="H7" s="141">
        <v>0</v>
      </c>
      <c r="I7" s="140">
        <v>0</v>
      </c>
      <c r="J7" s="268"/>
      <c r="K7" s="407"/>
      <c r="L7" s="373" t="s">
        <v>498</v>
      </c>
      <c r="M7" s="478">
        <v>13</v>
      </c>
      <c r="N7" s="478">
        <v>200</v>
      </c>
      <c r="O7" s="521">
        <v>2600</v>
      </c>
      <c r="P7" s="519"/>
      <c r="Q7" s="519"/>
      <c r="R7" s="144">
        <f t="shared" ref="R7:R13" si="0">N7/120/0.85</f>
        <v>1.9607843137254903</v>
      </c>
    </row>
    <row r="8" spans="1:18">
      <c r="A8" s="142" t="s">
        <v>170</v>
      </c>
      <c r="B8" s="143">
        <v>1</v>
      </c>
      <c r="C8" s="141"/>
      <c r="D8" s="145">
        <v>24</v>
      </c>
      <c r="E8" s="141">
        <v>24</v>
      </c>
      <c r="F8" s="141">
        <v>24</v>
      </c>
      <c r="G8" s="141">
        <v>24</v>
      </c>
      <c r="H8" s="141">
        <v>24</v>
      </c>
      <c r="I8" s="140">
        <v>24</v>
      </c>
      <c r="J8" s="268"/>
      <c r="K8" s="407"/>
      <c r="L8" s="373" t="s">
        <v>499</v>
      </c>
      <c r="M8" s="478">
        <v>8</v>
      </c>
      <c r="N8" s="478">
        <v>250</v>
      </c>
      <c r="O8" s="521">
        <v>2000</v>
      </c>
      <c r="P8" s="519"/>
      <c r="Q8" s="519"/>
      <c r="R8" s="144">
        <f t="shared" si="0"/>
        <v>2.4509803921568629</v>
      </c>
    </row>
    <row r="9" spans="1:18">
      <c r="A9" s="142" t="s">
        <v>171</v>
      </c>
      <c r="B9" s="143">
        <v>1</v>
      </c>
      <c r="C9" s="141"/>
      <c r="D9" s="145">
        <v>7</v>
      </c>
      <c r="E9" s="141">
        <v>7</v>
      </c>
      <c r="F9" s="141">
        <v>7</v>
      </c>
      <c r="G9" s="141">
        <v>7</v>
      </c>
      <c r="H9" s="141">
        <v>7</v>
      </c>
      <c r="I9" s="140">
        <v>7</v>
      </c>
      <c r="J9" s="268"/>
      <c r="K9" s="407"/>
      <c r="L9" s="373" t="s">
        <v>500</v>
      </c>
      <c r="M9" s="478">
        <v>2</v>
      </c>
      <c r="N9" s="478">
        <v>350</v>
      </c>
      <c r="O9" s="478">
        <v>700</v>
      </c>
      <c r="P9" s="407"/>
      <c r="Q9" s="407"/>
      <c r="R9" s="144">
        <f t="shared" si="0"/>
        <v>3.4313725490196076</v>
      </c>
    </row>
    <row r="10" spans="1:18">
      <c r="A10" s="142" t="s">
        <v>501</v>
      </c>
      <c r="B10" s="143">
        <v>5</v>
      </c>
      <c r="C10" s="141"/>
      <c r="D10" s="145">
        <v>3</v>
      </c>
      <c r="E10" s="141">
        <v>15</v>
      </c>
      <c r="F10" s="141">
        <v>15</v>
      </c>
      <c r="G10" s="141">
        <v>15</v>
      </c>
      <c r="H10" s="141">
        <v>15</v>
      </c>
      <c r="I10" s="140">
        <v>15</v>
      </c>
      <c r="J10" s="268"/>
      <c r="K10" s="407"/>
      <c r="L10" s="373" t="s">
        <v>502</v>
      </c>
      <c r="M10" s="478">
        <v>1</v>
      </c>
      <c r="N10" s="478">
        <v>1000</v>
      </c>
      <c r="O10" s="521">
        <v>1000</v>
      </c>
      <c r="P10" s="407"/>
      <c r="Q10" s="407"/>
      <c r="R10" s="144">
        <f t="shared" si="0"/>
        <v>9.8039215686274517</v>
      </c>
    </row>
    <row r="11" spans="1:18">
      <c r="A11" s="142" t="s">
        <v>503</v>
      </c>
      <c r="B11" s="143">
        <v>2</v>
      </c>
      <c r="C11" s="141"/>
      <c r="D11" s="140">
        <v>6.1</v>
      </c>
      <c r="E11" s="141">
        <v>12.2</v>
      </c>
      <c r="F11" s="141">
        <v>0</v>
      </c>
      <c r="G11" s="141">
        <v>0</v>
      </c>
      <c r="H11" s="141">
        <v>0</v>
      </c>
      <c r="I11" s="140">
        <v>0</v>
      </c>
      <c r="J11" s="268"/>
      <c r="K11" s="407"/>
      <c r="L11" s="373" t="s">
        <v>504</v>
      </c>
      <c r="M11" s="478">
        <v>5</v>
      </c>
      <c r="N11" s="478">
        <v>400</v>
      </c>
      <c r="O11" s="478">
        <v>800</v>
      </c>
      <c r="P11" s="519"/>
      <c r="Q11" s="519"/>
      <c r="R11" s="144">
        <f t="shared" si="0"/>
        <v>3.9215686274509807</v>
      </c>
    </row>
    <row r="12" spans="1:18">
      <c r="A12" s="142" t="s">
        <v>505</v>
      </c>
      <c r="B12" s="143">
        <v>2</v>
      </c>
      <c r="C12" s="146"/>
      <c r="D12" s="140">
        <v>2.2999999999999998</v>
      </c>
      <c r="E12" s="141">
        <v>0</v>
      </c>
      <c r="F12" s="141">
        <v>0</v>
      </c>
      <c r="G12" s="141">
        <v>0</v>
      </c>
      <c r="H12" s="141">
        <v>0</v>
      </c>
      <c r="I12" s="140">
        <v>6.9</v>
      </c>
      <c r="J12" s="268"/>
      <c r="K12" s="407"/>
      <c r="L12" s="373" t="s">
        <v>506</v>
      </c>
      <c r="M12" s="478">
        <v>2</v>
      </c>
      <c r="N12" s="478">
        <v>190</v>
      </c>
      <c r="O12" s="478">
        <v>380</v>
      </c>
      <c r="P12" s="407"/>
      <c r="Q12" s="407"/>
      <c r="R12" s="144">
        <f t="shared" si="0"/>
        <v>1.8627450980392157</v>
      </c>
    </row>
    <row r="13" spans="1:18">
      <c r="A13" s="142" t="s">
        <v>507</v>
      </c>
      <c r="B13" s="143">
        <v>2</v>
      </c>
      <c r="C13" s="146"/>
      <c r="D13" s="140">
        <v>4</v>
      </c>
      <c r="E13" s="141">
        <v>0</v>
      </c>
      <c r="F13" s="141">
        <v>0</v>
      </c>
      <c r="G13" s="141">
        <v>0</v>
      </c>
      <c r="H13" s="141">
        <v>0</v>
      </c>
      <c r="I13" s="140">
        <v>8</v>
      </c>
      <c r="J13" s="268"/>
      <c r="K13" s="407"/>
      <c r="L13" s="373" t="s">
        <v>508</v>
      </c>
      <c r="M13" s="478">
        <v>1</v>
      </c>
      <c r="N13" s="478">
        <v>1000</v>
      </c>
      <c r="O13" s="521">
        <v>1000</v>
      </c>
      <c r="P13" s="407"/>
      <c r="Q13" s="407"/>
      <c r="R13" s="144">
        <f t="shared" si="0"/>
        <v>9.8039215686274517</v>
      </c>
    </row>
    <row r="14" spans="1:18">
      <c r="A14" s="142" t="s">
        <v>509</v>
      </c>
      <c r="B14" s="143">
        <v>2</v>
      </c>
      <c r="C14" s="146"/>
      <c r="D14" s="140">
        <v>4.5999999999999996</v>
      </c>
      <c r="E14" s="141">
        <v>9.1999999999999993</v>
      </c>
      <c r="F14" s="141">
        <v>0</v>
      </c>
      <c r="G14" s="141">
        <v>0</v>
      </c>
      <c r="H14" s="141">
        <v>0</v>
      </c>
      <c r="I14" s="140">
        <v>0</v>
      </c>
      <c r="J14" s="268"/>
      <c r="K14" s="407"/>
      <c r="L14" s="135"/>
      <c r="M14" s="407"/>
      <c r="N14" s="410"/>
      <c r="O14" s="410"/>
      <c r="P14" s="519"/>
      <c r="Q14" s="519"/>
      <c r="R14" s="268"/>
    </row>
    <row r="15" spans="1:18">
      <c r="A15" s="142" t="s">
        <v>510</v>
      </c>
      <c r="B15" s="143">
        <v>2</v>
      </c>
      <c r="C15" s="141"/>
      <c r="D15" s="140">
        <v>7</v>
      </c>
      <c r="E15" s="141">
        <v>14</v>
      </c>
      <c r="F15" s="141">
        <v>0</v>
      </c>
      <c r="G15" s="141">
        <v>0</v>
      </c>
      <c r="H15" s="141">
        <v>0</v>
      </c>
      <c r="I15" s="140">
        <v>0</v>
      </c>
      <c r="J15" s="268"/>
      <c r="K15" s="407"/>
      <c r="L15" s="135"/>
      <c r="M15" s="407"/>
      <c r="N15" s="147"/>
      <c r="O15" s="148">
        <v>8500</v>
      </c>
      <c r="P15" s="522" t="s">
        <v>511</v>
      </c>
      <c r="Q15" s="522"/>
      <c r="R15" s="268"/>
    </row>
    <row r="16" spans="1:18">
      <c r="A16" s="142" t="s">
        <v>512</v>
      </c>
      <c r="B16" s="143">
        <v>2</v>
      </c>
      <c r="C16" s="141"/>
      <c r="D16" s="140">
        <v>14</v>
      </c>
      <c r="E16" s="141">
        <v>0</v>
      </c>
      <c r="F16" s="141">
        <v>0</v>
      </c>
      <c r="G16" s="141">
        <v>0</v>
      </c>
      <c r="H16" s="141">
        <v>0</v>
      </c>
      <c r="I16" s="140">
        <v>28</v>
      </c>
      <c r="J16" s="268"/>
      <c r="K16" s="407"/>
      <c r="L16" s="135"/>
      <c r="M16" s="407"/>
      <c r="N16" s="410"/>
      <c r="O16" s="410"/>
      <c r="P16" s="519"/>
      <c r="Q16" s="519"/>
      <c r="R16" s="268"/>
    </row>
    <row r="17" spans="1:18">
      <c r="A17" s="142" t="s">
        <v>513</v>
      </c>
      <c r="B17" s="143">
        <v>2</v>
      </c>
      <c r="C17" s="141"/>
      <c r="D17" s="145">
        <v>5</v>
      </c>
      <c r="E17" s="141">
        <v>10</v>
      </c>
      <c r="F17" s="141">
        <v>10</v>
      </c>
      <c r="G17" s="141">
        <v>10</v>
      </c>
      <c r="H17" s="141">
        <v>10</v>
      </c>
      <c r="I17" s="140">
        <v>10</v>
      </c>
      <c r="J17" s="268"/>
      <c r="K17" s="407"/>
      <c r="L17" s="520" t="s">
        <v>514</v>
      </c>
      <c r="M17" s="520"/>
      <c r="N17" s="410"/>
      <c r="O17" s="410"/>
      <c r="P17" s="519"/>
      <c r="Q17" s="519"/>
      <c r="R17" s="268"/>
    </row>
    <row r="18" spans="1:18">
      <c r="A18" s="142" t="s">
        <v>515</v>
      </c>
      <c r="B18" s="143">
        <v>1</v>
      </c>
      <c r="C18" s="141"/>
      <c r="D18" s="145">
        <v>5</v>
      </c>
      <c r="E18" s="141">
        <v>5</v>
      </c>
      <c r="F18" s="141">
        <v>5</v>
      </c>
      <c r="G18" s="141">
        <v>5</v>
      </c>
      <c r="H18" s="141">
        <v>5</v>
      </c>
      <c r="I18" s="140">
        <v>5</v>
      </c>
      <c r="J18" s="268"/>
      <c r="K18" s="407"/>
      <c r="L18" s="478" t="s">
        <v>495</v>
      </c>
      <c r="M18" s="478" t="s">
        <v>246</v>
      </c>
      <c r="N18" s="478" t="s">
        <v>496</v>
      </c>
      <c r="O18" s="478" t="s">
        <v>497</v>
      </c>
      <c r="P18" s="519"/>
      <c r="Q18" s="519"/>
      <c r="R18" s="268"/>
    </row>
    <row r="19" spans="1:18">
      <c r="A19" s="142" t="s">
        <v>516</v>
      </c>
      <c r="B19" s="143">
        <v>4</v>
      </c>
      <c r="C19" s="141"/>
      <c r="D19" s="140">
        <v>2</v>
      </c>
      <c r="E19" s="141">
        <v>8</v>
      </c>
      <c r="F19" s="141">
        <v>0</v>
      </c>
      <c r="G19" s="141">
        <v>0</v>
      </c>
      <c r="H19" s="141">
        <v>0</v>
      </c>
      <c r="I19" s="140">
        <v>0</v>
      </c>
      <c r="J19" s="268"/>
      <c r="K19" s="407"/>
      <c r="L19" s="373" t="s">
        <v>91</v>
      </c>
      <c r="M19" s="478">
        <v>1</v>
      </c>
      <c r="N19" s="478">
        <v>2000</v>
      </c>
      <c r="O19" s="521">
        <v>2000</v>
      </c>
      <c r="P19" s="519"/>
      <c r="Q19" s="519"/>
      <c r="R19" s="144">
        <f>N19/120/0.85</f>
        <v>19.607843137254903</v>
      </c>
    </row>
    <row r="20" spans="1:18">
      <c r="A20" s="142" t="s">
        <v>517</v>
      </c>
      <c r="B20" s="143">
        <v>4</v>
      </c>
      <c r="C20" s="141"/>
      <c r="D20" s="140">
        <v>8</v>
      </c>
      <c r="E20" s="141">
        <v>0</v>
      </c>
      <c r="F20" s="141">
        <v>0</v>
      </c>
      <c r="G20" s="141">
        <v>0</v>
      </c>
      <c r="H20" s="141">
        <v>0</v>
      </c>
      <c r="I20" s="140">
        <v>32</v>
      </c>
      <c r="J20" s="268"/>
      <c r="K20" s="407"/>
      <c r="L20" s="373" t="s">
        <v>518</v>
      </c>
      <c r="M20" s="478">
        <v>1</v>
      </c>
      <c r="N20" s="478">
        <v>1500</v>
      </c>
      <c r="O20" s="521">
        <v>1500</v>
      </c>
      <c r="P20" s="519"/>
      <c r="Q20" s="519"/>
      <c r="R20" s="144">
        <f>N20/120/0.85</f>
        <v>14.705882352941178</v>
      </c>
    </row>
    <row r="21" spans="1:18">
      <c r="A21" s="142" t="s">
        <v>519</v>
      </c>
      <c r="B21" s="143">
        <v>2</v>
      </c>
      <c r="C21" s="141"/>
      <c r="D21" s="145">
        <v>3</v>
      </c>
      <c r="E21" s="141">
        <v>6</v>
      </c>
      <c r="F21" s="141">
        <v>6</v>
      </c>
      <c r="G21" s="141">
        <v>6</v>
      </c>
      <c r="H21" s="141">
        <v>6</v>
      </c>
      <c r="I21" s="140">
        <v>6</v>
      </c>
      <c r="J21" s="268"/>
      <c r="K21" s="407"/>
      <c r="L21" s="373" t="s">
        <v>508</v>
      </c>
      <c r="M21" s="478">
        <v>1</v>
      </c>
      <c r="N21" s="478">
        <v>1000</v>
      </c>
      <c r="O21" s="521">
        <v>1000</v>
      </c>
      <c r="P21" s="519"/>
      <c r="Q21" s="519"/>
      <c r="R21" s="144">
        <f>N21/120/0.85</f>
        <v>9.8039215686274517</v>
      </c>
    </row>
    <row r="22" spans="1:18">
      <c r="A22" s="142" t="s">
        <v>24</v>
      </c>
      <c r="B22" s="143">
        <v>1</v>
      </c>
      <c r="C22" s="141"/>
      <c r="D22" s="145">
        <v>5</v>
      </c>
      <c r="E22" s="141">
        <v>5</v>
      </c>
      <c r="F22" s="141">
        <v>5</v>
      </c>
      <c r="G22" s="141">
        <v>5</v>
      </c>
      <c r="H22" s="141">
        <v>5</v>
      </c>
      <c r="I22" s="140">
        <v>5</v>
      </c>
      <c r="J22" s="268"/>
      <c r="K22" s="407"/>
      <c r="L22" s="135"/>
      <c r="M22" s="407"/>
      <c r="N22" s="410"/>
      <c r="O22" s="410"/>
      <c r="P22" s="519"/>
      <c r="Q22" s="519"/>
      <c r="R22" s="268"/>
    </row>
    <row r="23" spans="1:18">
      <c r="A23" s="142" t="s">
        <v>520</v>
      </c>
      <c r="B23" s="143">
        <v>1</v>
      </c>
      <c r="C23" s="146"/>
      <c r="D23" s="140">
        <v>256</v>
      </c>
      <c r="E23" s="141">
        <v>256</v>
      </c>
      <c r="F23" s="141">
        <v>256</v>
      </c>
      <c r="G23" s="141">
        <v>256</v>
      </c>
      <c r="H23" s="141">
        <v>256</v>
      </c>
      <c r="I23" s="140">
        <v>256</v>
      </c>
      <c r="J23" s="268"/>
      <c r="K23" s="407"/>
      <c r="L23" s="135"/>
      <c r="M23" s="407"/>
      <c r="N23" s="147"/>
      <c r="O23" s="148">
        <v>4500</v>
      </c>
      <c r="P23" s="522" t="s">
        <v>511</v>
      </c>
      <c r="Q23" s="522"/>
      <c r="R23" s="268"/>
    </row>
    <row r="24" spans="1:18">
      <c r="A24" s="142" t="s">
        <v>521</v>
      </c>
      <c r="B24" s="143">
        <v>3</v>
      </c>
      <c r="C24" s="146"/>
      <c r="D24" s="145">
        <v>2</v>
      </c>
      <c r="E24" s="141">
        <v>6</v>
      </c>
      <c r="F24" s="141">
        <v>6</v>
      </c>
      <c r="G24" s="141">
        <v>6</v>
      </c>
      <c r="H24" s="141">
        <v>6</v>
      </c>
      <c r="I24" s="140">
        <v>6</v>
      </c>
      <c r="J24" s="268"/>
      <c r="K24" s="407"/>
      <c r="L24" s="135"/>
      <c r="M24" s="407"/>
      <c r="N24" s="410"/>
      <c r="O24" s="410"/>
      <c r="P24" s="519"/>
      <c r="Q24" s="519"/>
      <c r="R24" s="268"/>
    </row>
    <row r="25" spans="1:18">
      <c r="A25" s="149"/>
      <c r="B25" s="150"/>
      <c r="C25" s="146"/>
      <c r="D25" s="151"/>
      <c r="E25" s="146"/>
      <c r="F25" s="146"/>
      <c r="G25" s="146"/>
      <c r="H25" s="146"/>
      <c r="I25" s="151"/>
      <c r="J25" s="268"/>
      <c r="K25" s="407"/>
      <c r="L25" s="520" t="s">
        <v>522</v>
      </c>
      <c r="M25" s="520"/>
      <c r="N25" s="410"/>
      <c r="O25" s="410"/>
      <c r="P25" s="519"/>
      <c r="Q25" s="519"/>
      <c r="R25" s="268"/>
    </row>
    <row r="26" spans="1:18" ht="13.5" thickBot="1">
      <c r="A26" s="152"/>
      <c r="B26" s="153"/>
      <c r="C26" s="154"/>
      <c r="D26" s="155"/>
      <c r="E26" s="154"/>
      <c r="F26" s="154"/>
      <c r="G26" s="154"/>
      <c r="H26" s="154"/>
      <c r="I26" s="155"/>
      <c r="J26" s="268"/>
      <c r="K26" s="407"/>
      <c r="L26" s="478" t="s">
        <v>495</v>
      </c>
      <c r="M26" s="478" t="s">
        <v>246</v>
      </c>
      <c r="N26" s="478" t="s">
        <v>496</v>
      </c>
      <c r="O26" s="478" t="s">
        <v>497</v>
      </c>
      <c r="P26" s="519"/>
      <c r="Q26" s="519"/>
      <c r="R26" s="268"/>
    </row>
    <row r="27" spans="1:18">
      <c r="A27" s="408" t="s">
        <v>523</v>
      </c>
      <c r="B27" s="523" t="s">
        <v>524</v>
      </c>
      <c r="C27" s="524"/>
      <c r="D27" s="525"/>
      <c r="E27" s="141">
        <v>1967.4</v>
      </c>
      <c r="F27" s="141">
        <v>652</v>
      </c>
      <c r="G27" s="141">
        <v>476</v>
      </c>
      <c r="H27" s="141">
        <v>334</v>
      </c>
      <c r="I27" s="140">
        <v>408.9</v>
      </c>
      <c r="J27" s="268"/>
      <c r="K27" s="407"/>
      <c r="L27" s="373" t="s">
        <v>26</v>
      </c>
      <c r="M27" s="478">
        <v>1</v>
      </c>
      <c r="N27" s="478">
        <v>200</v>
      </c>
      <c r="O27" s="478">
        <v>200</v>
      </c>
      <c r="P27" s="519"/>
      <c r="Q27" s="519"/>
      <c r="R27" s="144">
        <f>N27/120/0.85</f>
        <v>1.9607843137254903</v>
      </c>
    </row>
    <row r="28" spans="1:18" ht="13.5" thickBot="1">
      <c r="A28" s="407"/>
      <c r="B28" s="526" t="s">
        <v>525</v>
      </c>
      <c r="C28" s="527"/>
      <c r="D28" s="528"/>
      <c r="E28" s="156">
        <v>196.74</v>
      </c>
      <c r="F28" s="156">
        <v>65.2</v>
      </c>
      <c r="G28" s="156">
        <v>47.6</v>
      </c>
      <c r="H28" s="156">
        <v>33.4</v>
      </c>
      <c r="I28" s="157">
        <v>40.89</v>
      </c>
      <c r="J28" s="268"/>
      <c r="K28" s="407"/>
      <c r="L28" s="373" t="s">
        <v>221</v>
      </c>
      <c r="M28" s="478">
        <v>1</v>
      </c>
      <c r="N28" s="478">
        <v>1000</v>
      </c>
      <c r="O28" s="521">
        <v>1000</v>
      </c>
      <c r="P28" s="519"/>
      <c r="Q28" s="519"/>
      <c r="R28" s="144">
        <f>N28/120/0.85</f>
        <v>9.8039215686274517</v>
      </c>
    </row>
    <row r="29" spans="1:18" ht="13.5" thickBot="1">
      <c r="A29" s="407"/>
      <c r="B29" s="529" t="s">
        <v>526</v>
      </c>
      <c r="C29" s="530"/>
      <c r="D29" s="531"/>
      <c r="E29" s="158">
        <v>2164.14</v>
      </c>
      <c r="F29" s="158">
        <v>717.2</v>
      </c>
      <c r="G29" s="158">
        <v>523.6</v>
      </c>
      <c r="H29" s="158">
        <v>367.4</v>
      </c>
      <c r="I29" s="405">
        <v>449.79</v>
      </c>
      <c r="J29" s="268"/>
      <c r="K29" s="407"/>
      <c r="L29" s="373" t="s">
        <v>508</v>
      </c>
      <c r="M29" s="478">
        <v>1</v>
      </c>
      <c r="N29" s="478">
        <v>1000</v>
      </c>
      <c r="O29" s="521">
        <v>1000</v>
      </c>
      <c r="P29" s="519"/>
      <c r="Q29" s="519"/>
      <c r="R29" s="144">
        <f>N29/120/0.85</f>
        <v>9.8039215686274517</v>
      </c>
    </row>
    <row r="30" spans="1:18">
      <c r="A30" s="268"/>
      <c r="B30" s="268"/>
      <c r="C30" s="268"/>
      <c r="D30" s="268"/>
      <c r="E30" s="268"/>
      <c r="F30" s="268"/>
      <c r="G30" s="268"/>
      <c r="H30" s="268"/>
      <c r="I30" s="268"/>
      <c r="J30" s="268"/>
      <c r="K30" s="407"/>
      <c r="L30" s="135"/>
      <c r="M30" s="407"/>
      <c r="N30" s="410"/>
      <c r="O30" s="410"/>
      <c r="P30" s="519"/>
      <c r="Q30" s="519"/>
      <c r="R30" s="268"/>
    </row>
    <row r="31" spans="1:18">
      <c r="A31" s="268"/>
      <c r="B31" s="268"/>
      <c r="C31" s="268"/>
      <c r="D31" s="268"/>
      <c r="E31" s="268"/>
      <c r="F31" s="268"/>
      <c r="G31" s="268"/>
      <c r="H31" s="268"/>
      <c r="I31" s="268"/>
      <c r="J31" s="268"/>
      <c r="K31" s="407"/>
      <c r="L31" s="135"/>
      <c r="M31" s="407"/>
      <c r="N31" s="147"/>
      <c r="O31" s="148">
        <v>2200</v>
      </c>
      <c r="P31" s="522" t="s">
        <v>511</v>
      </c>
      <c r="Q31" s="522"/>
      <c r="R31" s="268"/>
    </row>
    <row r="32" spans="1:18">
      <c r="A32" s="518"/>
      <c r="B32" s="518"/>
      <c r="C32" s="518"/>
      <c r="D32" s="518"/>
      <c r="E32" s="518"/>
      <c r="F32" s="268"/>
      <c r="G32" s="268"/>
      <c r="H32" s="268"/>
      <c r="I32" s="268"/>
      <c r="J32" s="268"/>
      <c r="K32" s="407"/>
      <c r="L32" s="135"/>
      <c r="M32" s="407"/>
      <c r="N32" s="410"/>
      <c r="O32" s="410"/>
      <c r="P32" s="519"/>
      <c r="Q32" s="519"/>
      <c r="R32" s="268"/>
    </row>
    <row r="33" spans="1:18">
      <c r="A33" s="518"/>
      <c r="B33" s="518"/>
      <c r="C33" s="518"/>
      <c r="D33" s="518"/>
      <c r="E33" s="518"/>
      <c r="F33" s="268"/>
      <c r="G33" s="268"/>
      <c r="H33" s="268"/>
      <c r="I33" s="268"/>
      <c r="J33" s="268"/>
      <c r="K33" s="407"/>
      <c r="L33" s="520" t="s">
        <v>527</v>
      </c>
      <c r="M33" s="520"/>
      <c r="N33" s="410"/>
      <c r="O33" s="410"/>
      <c r="P33" s="519"/>
      <c r="Q33" s="519"/>
      <c r="R33" s="268"/>
    </row>
    <row r="34" spans="1:18">
      <c r="A34" s="518"/>
      <c r="B34" s="518"/>
      <c r="C34" s="518"/>
      <c r="D34" s="518"/>
      <c r="E34" s="518"/>
      <c r="F34" s="268"/>
      <c r="G34" s="268"/>
      <c r="H34" s="268"/>
      <c r="I34" s="268"/>
      <c r="J34" s="268"/>
      <c r="K34" s="407"/>
      <c r="L34" s="478" t="s">
        <v>495</v>
      </c>
      <c r="M34" s="478" t="s">
        <v>246</v>
      </c>
      <c r="N34" s="478" t="s">
        <v>496</v>
      </c>
      <c r="O34" s="478" t="s">
        <v>497</v>
      </c>
      <c r="P34" s="519"/>
      <c r="Q34" s="519"/>
      <c r="R34" s="268"/>
    </row>
    <row r="35" spans="1:18">
      <c r="A35" s="518"/>
      <c r="B35" s="518"/>
      <c r="C35" s="518"/>
      <c r="D35" s="518"/>
      <c r="E35" s="518"/>
      <c r="F35" s="268"/>
      <c r="G35" s="268"/>
      <c r="H35" s="268"/>
      <c r="I35" s="268"/>
      <c r="J35" s="268"/>
      <c r="K35" s="407"/>
      <c r="L35" s="373" t="s">
        <v>26</v>
      </c>
      <c r="M35" s="478">
        <v>1</v>
      </c>
      <c r="N35" s="478">
        <v>300</v>
      </c>
      <c r="O35" s="478">
        <v>300</v>
      </c>
      <c r="P35" s="519"/>
      <c r="Q35" s="519"/>
      <c r="R35" s="144">
        <f>N35/120/0.85</f>
        <v>2.9411764705882355</v>
      </c>
    </row>
    <row r="36" spans="1:18">
      <c r="A36" s="518"/>
      <c r="B36" s="518"/>
      <c r="C36" s="518"/>
      <c r="D36" s="518"/>
      <c r="E36" s="518"/>
      <c r="F36" s="268"/>
      <c r="G36" s="268"/>
      <c r="H36" s="268"/>
      <c r="I36" s="268"/>
      <c r="J36" s="268"/>
      <c r="K36" s="407"/>
      <c r="L36" s="135"/>
      <c r="M36" s="410"/>
      <c r="N36" s="410"/>
      <c r="O36" s="410"/>
      <c r="P36" s="519"/>
      <c r="Q36" s="519"/>
      <c r="R36" s="268"/>
    </row>
    <row r="37" spans="1:18">
      <c r="A37" s="518"/>
      <c r="B37" s="518"/>
      <c r="C37" s="518"/>
      <c r="D37" s="518"/>
      <c r="E37" s="518"/>
      <c r="F37" s="268"/>
      <c r="G37" s="268"/>
      <c r="H37" s="268"/>
      <c r="I37" s="268"/>
      <c r="J37" s="268"/>
      <c r="K37" s="407"/>
      <c r="L37" s="135"/>
      <c r="M37" s="407"/>
      <c r="N37" s="147"/>
      <c r="O37" s="399">
        <v>300</v>
      </c>
      <c r="P37" s="522" t="s">
        <v>511</v>
      </c>
      <c r="Q37" s="522"/>
      <c r="R37" s="268"/>
    </row>
    <row r="38" spans="1:18">
      <c r="A38" s="268"/>
      <c r="B38" s="268"/>
      <c r="C38" s="268"/>
      <c r="D38" s="268"/>
      <c r="E38" s="268"/>
      <c r="F38" s="268"/>
      <c r="G38" s="268"/>
      <c r="H38" s="268"/>
      <c r="I38" s="268"/>
      <c r="J38" s="268"/>
      <c r="K38" s="407"/>
      <c r="L38" s="135"/>
      <c r="M38" s="407"/>
      <c r="N38" s="410"/>
      <c r="O38" s="410"/>
      <c r="P38" s="519"/>
      <c r="Q38" s="519"/>
      <c r="R38" s="268"/>
    </row>
    <row r="39" spans="1:18">
      <c r="A39" s="268"/>
      <c r="B39" s="268"/>
      <c r="C39" s="268"/>
      <c r="D39" s="268"/>
      <c r="E39" s="268"/>
      <c r="F39" s="268"/>
      <c r="G39" s="268"/>
      <c r="H39" s="268"/>
      <c r="I39" s="268"/>
      <c r="J39" s="268"/>
      <c r="K39" s="407"/>
      <c r="L39" s="520" t="s">
        <v>528</v>
      </c>
      <c r="M39" s="520"/>
      <c r="N39" s="410"/>
      <c r="O39" s="410"/>
      <c r="P39" s="519"/>
      <c r="Q39" s="519"/>
      <c r="R39" s="268"/>
    </row>
    <row r="40" spans="1:18">
      <c r="A40" s="268"/>
      <c r="B40" s="268"/>
      <c r="C40" s="268"/>
      <c r="D40" s="268"/>
      <c r="E40" s="268"/>
      <c r="F40" s="268"/>
      <c r="G40" s="268"/>
      <c r="H40" s="268"/>
      <c r="I40" s="268"/>
      <c r="J40" s="268"/>
      <c r="K40" s="407"/>
      <c r="L40" s="478" t="s">
        <v>495</v>
      </c>
      <c r="M40" s="478" t="s">
        <v>246</v>
      </c>
      <c r="N40" s="478" t="s">
        <v>496</v>
      </c>
      <c r="O40" s="478" t="s">
        <v>497</v>
      </c>
      <c r="P40" s="519"/>
      <c r="Q40" s="519"/>
      <c r="R40" s="268"/>
    </row>
    <row r="41" spans="1:18">
      <c r="A41" s="268"/>
      <c r="B41" s="268"/>
      <c r="C41" s="268"/>
      <c r="D41" s="268"/>
      <c r="E41" s="268"/>
      <c r="F41" s="268"/>
      <c r="G41" s="268"/>
      <c r="H41" s="268"/>
      <c r="I41" s="268"/>
      <c r="J41" s="268"/>
      <c r="K41" s="407"/>
      <c r="L41" s="373" t="s">
        <v>26</v>
      </c>
      <c r="M41" s="478">
        <v>1</v>
      </c>
      <c r="N41" s="521">
        <v>2000</v>
      </c>
      <c r="O41" s="521">
        <v>2000</v>
      </c>
      <c r="P41" s="519"/>
      <c r="Q41" s="519"/>
      <c r="R41" s="144">
        <f>N41/120/0.85</f>
        <v>19.607843137254903</v>
      </c>
    </row>
    <row r="42" spans="1:18">
      <c r="A42" s="268"/>
      <c r="B42" s="268"/>
      <c r="C42" s="268"/>
      <c r="D42" s="268"/>
      <c r="E42" s="268"/>
      <c r="F42" s="268"/>
      <c r="G42" s="268"/>
      <c r="H42" s="268"/>
      <c r="I42" s="268"/>
      <c r="J42" s="268"/>
      <c r="K42" s="407"/>
      <c r="L42" s="135"/>
      <c r="M42" s="410"/>
      <c r="N42" s="410"/>
      <c r="O42" s="410"/>
      <c r="P42" s="519"/>
      <c r="Q42" s="519"/>
      <c r="R42" s="268"/>
    </row>
    <row r="43" spans="1:18">
      <c r="A43" s="268"/>
      <c r="B43" s="268"/>
      <c r="C43" s="268"/>
      <c r="D43" s="268"/>
      <c r="E43" s="268"/>
      <c r="F43" s="268"/>
      <c r="G43" s="268"/>
      <c r="H43" s="268"/>
      <c r="I43" s="268"/>
      <c r="J43" s="268"/>
      <c r="K43" s="407"/>
      <c r="L43" s="135"/>
      <c r="M43" s="407"/>
      <c r="N43" s="147"/>
      <c r="O43" s="148">
        <v>2000</v>
      </c>
      <c r="P43" s="522" t="s">
        <v>511</v>
      </c>
      <c r="Q43" s="522"/>
      <c r="R43" s="268"/>
    </row>
    <row r="44" spans="1:18">
      <c r="A44" s="268"/>
      <c r="B44" s="268"/>
      <c r="C44" s="268"/>
      <c r="D44" s="268"/>
      <c r="E44" s="268"/>
      <c r="F44" s="268"/>
      <c r="G44" s="268"/>
      <c r="H44" s="268"/>
      <c r="I44" s="268"/>
      <c r="J44" s="268"/>
      <c r="K44" s="407"/>
      <c r="L44" s="135"/>
      <c r="M44" s="407"/>
      <c r="N44" s="410"/>
      <c r="O44" s="410"/>
      <c r="P44" s="519"/>
      <c r="Q44" s="519"/>
      <c r="R44" s="268"/>
    </row>
    <row r="45" spans="1:18">
      <c r="A45" s="268"/>
      <c r="B45" s="268"/>
      <c r="C45" s="268"/>
      <c r="D45" s="268"/>
      <c r="E45" s="268"/>
      <c r="F45" s="268"/>
      <c r="G45" s="268"/>
      <c r="H45" s="268"/>
      <c r="I45" s="268"/>
      <c r="J45" s="268"/>
      <c r="K45" s="407"/>
      <c r="L45" s="520" t="s">
        <v>529</v>
      </c>
      <c r="M45" s="520"/>
      <c r="N45" s="410"/>
      <c r="O45" s="410"/>
      <c r="P45" s="519"/>
      <c r="Q45" s="519"/>
      <c r="R45" s="268"/>
    </row>
    <row r="46" spans="1:18">
      <c r="A46" s="268"/>
      <c r="B46" s="268"/>
      <c r="C46" s="268"/>
      <c r="D46" s="268"/>
      <c r="E46" s="268"/>
      <c r="F46" s="268"/>
      <c r="G46" s="268"/>
      <c r="H46" s="268"/>
      <c r="I46" s="268"/>
      <c r="J46" s="268"/>
      <c r="K46" s="407"/>
      <c r="L46" s="478" t="s">
        <v>495</v>
      </c>
      <c r="M46" s="478" t="s">
        <v>246</v>
      </c>
      <c r="N46" s="478" t="s">
        <v>496</v>
      </c>
      <c r="O46" s="478" t="s">
        <v>497</v>
      </c>
      <c r="P46" s="519"/>
      <c r="Q46" s="519"/>
      <c r="R46" s="268"/>
    </row>
    <row r="47" spans="1:18">
      <c r="A47" s="268"/>
      <c r="B47" s="268"/>
      <c r="C47" s="268"/>
      <c r="D47" s="268"/>
      <c r="E47" s="268"/>
      <c r="F47" s="268"/>
      <c r="G47" s="268"/>
      <c r="H47" s="268"/>
      <c r="I47" s="268"/>
      <c r="J47" s="268"/>
      <c r="K47" s="407"/>
      <c r="L47" s="373" t="s">
        <v>26</v>
      </c>
      <c r="M47" s="478">
        <v>1</v>
      </c>
      <c r="N47" s="521">
        <v>1500</v>
      </c>
      <c r="O47" s="521">
        <v>1500</v>
      </c>
      <c r="P47" s="519"/>
      <c r="Q47" s="519"/>
      <c r="R47" s="144">
        <f>N47/120/0.85</f>
        <v>14.705882352941178</v>
      </c>
    </row>
    <row r="48" spans="1:18">
      <c r="A48" s="268"/>
      <c r="B48" s="268"/>
      <c r="C48" s="268"/>
      <c r="D48" s="268"/>
      <c r="E48" s="268"/>
      <c r="F48" s="268"/>
      <c r="G48" s="268"/>
      <c r="H48" s="268"/>
      <c r="I48" s="268"/>
      <c r="J48" s="268"/>
      <c r="K48" s="407"/>
      <c r="L48" s="135"/>
      <c r="M48" s="410"/>
      <c r="N48" s="410"/>
      <c r="O48" s="410"/>
      <c r="P48" s="519"/>
      <c r="Q48" s="519"/>
      <c r="R48" s="268"/>
    </row>
    <row r="49" spans="11:18">
      <c r="K49" s="407"/>
      <c r="L49" s="135"/>
      <c r="M49" s="407"/>
      <c r="N49" s="147"/>
      <c r="O49" s="148">
        <v>1500</v>
      </c>
      <c r="P49" s="522" t="s">
        <v>511</v>
      </c>
      <c r="Q49" s="522"/>
      <c r="R49" s="268"/>
    </row>
    <row r="50" spans="11:18">
      <c r="K50" s="407"/>
      <c r="L50" s="135"/>
      <c r="M50" s="407"/>
      <c r="N50" s="410"/>
      <c r="O50" s="410"/>
      <c r="P50" s="519"/>
      <c r="Q50" s="519"/>
      <c r="R50" s="268"/>
    </row>
    <row r="51" spans="11:18">
      <c r="K51" s="407"/>
      <c r="L51" s="520" t="s">
        <v>530</v>
      </c>
      <c r="M51" s="520"/>
      <c r="N51" s="410"/>
      <c r="O51" s="410"/>
      <c r="P51" s="519"/>
      <c r="Q51" s="519"/>
      <c r="R51" s="268"/>
    </row>
    <row r="52" spans="11:18">
      <c r="K52" s="407"/>
      <c r="L52" s="478" t="s">
        <v>495</v>
      </c>
      <c r="M52" s="478" t="s">
        <v>246</v>
      </c>
      <c r="N52" s="478" t="s">
        <v>496</v>
      </c>
      <c r="O52" s="478" t="s">
        <v>497</v>
      </c>
      <c r="P52" s="519"/>
      <c r="Q52" s="519"/>
      <c r="R52" s="268"/>
    </row>
    <row r="53" spans="11:18">
      <c r="K53" s="407"/>
      <c r="L53" s="373" t="s">
        <v>26</v>
      </c>
      <c r="M53" s="478">
        <v>1</v>
      </c>
      <c r="N53" s="478">
        <v>300</v>
      </c>
      <c r="O53" s="478">
        <v>300</v>
      </c>
      <c r="P53" s="519"/>
      <c r="Q53" s="519"/>
      <c r="R53" s="144">
        <f>N53/120/0.85</f>
        <v>2.9411764705882355</v>
      </c>
    </row>
    <row r="54" spans="11:18">
      <c r="K54" s="407"/>
      <c r="L54" s="135"/>
      <c r="M54" s="410"/>
      <c r="N54" s="410"/>
      <c r="O54" s="410"/>
      <c r="P54" s="519"/>
      <c r="Q54" s="519"/>
      <c r="R54" s="268"/>
    </row>
    <row r="55" spans="11:18">
      <c r="K55" s="407"/>
      <c r="L55" s="135"/>
      <c r="M55" s="407"/>
      <c r="N55" s="147"/>
      <c r="O55" s="399">
        <v>300</v>
      </c>
      <c r="P55" s="522" t="s">
        <v>511</v>
      </c>
      <c r="Q55" s="522"/>
      <c r="R55" s="268"/>
    </row>
    <row r="56" spans="11:18">
      <c r="K56" s="407"/>
      <c r="L56" s="135"/>
      <c r="M56" s="407"/>
      <c r="N56" s="410"/>
      <c r="O56" s="410"/>
      <c r="P56" s="519"/>
      <c r="Q56" s="519"/>
      <c r="R56" s="268"/>
    </row>
    <row r="57" spans="11:18">
      <c r="K57" s="407"/>
      <c r="L57" s="520" t="s">
        <v>531</v>
      </c>
      <c r="M57" s="520"/>
      <c r="N57" s="410"/>
      <c r="O57" s="410"/>
      <c r="P57" s="519"/>
      <c r="Q57" s="519"/>
      <c r="R57" s="268"/>
    </row>
    <row r="58" spans="11:18">
      <c r="K58" s="407"/>
      <c r="L58" s="478" t="s">
        <v>495</v>
      </c>
      <c r="M58" s="478" t="s">
        <v>246</v>
      </c>
      <c r="N58" s="478" t="s">
        <v>496</v>
      </c>
      <c r="O58" s="478" t="s">
        <v>497</v>
      </c>
      <c r="P58" s="519"/>
      <c r="Q58" s="519"/>
      <c r="R58" s="268"/>
    </row>
    <row r="59" spans="11:18">
      <c r="K59" s="407"/>
      <c r="L59" s="373" t="s">
        <v>26</v>
      </c>
      <c r="M59" s="478">
        <v>1</v>
      </c>
      <c r="N59" s="478">
        <v>500</v>
      </c>
      <c r="O59" s="478">
        <v>500</v>
      </c>
      <c r="P59" s="519"/>
      <c r="Q59" s="519"/>
      <c r="R59" s="144">
        <f>N59/120/0.85</f>
        <v>4.9019607843137258</v>
      </c>
    </row>
    <row r="60" spans="11:18">
      <c r="K60" s="407"/>
      <c r="L60" s="373" t="s">
        <v>532</v>
      </c>
      <c r="M60" s="478">
        <v>1</v>
      </c>
      <c r="N60" s="478">
        <v>1000</v>
      </c>
      <c r="O60" s="521">
        <v>1000</v>
      </c>
      <c r="P60" s="519"/>
      <c r="Q60" s="519"/>
      <c r="R60" s="144">
        <f>N60/120/0.85</f>
        <v>9.8039215686274517</v>
      </c>
    </row>
    <row r="61" spans="11:18">
      <c r="K61" s="407"/>
      <c r="L61" s="135"/>
      <c r="M61" s="407"/>
      <c r="N61" s="147"/>
      <c r="O61" s="148">
        <v>1500</v>
      </c>
      <c r="P61" s="522" t="s">
        <v>511</v>
      </c>
      <c r="Q61" s="522"/>
      <c r="R61" s="268"/>
    </row>
    <row r="62" spans="11:18">
      <c r="K62" s="407"/>
      <c r="L62" s="135"/>
      <c r="M62" s="407"/>
      <c r="N62" s="410"/>
      <c r="O62" s="410"/>
      <c r="P62" s="519"/>
      <c r="Q62" s="519"/>
      <c r="R62" s="268"/>
    </row>
    <row r="63" spans="11:18">
      <c r="K63" s="407"/>
      <c r="L63" s="135" t="s">
        <v>533</v>
      </c>
      <c r="M63" s="407"/>
      <c r="N63" s="410"/>
      <c r="O63" s="410"/>
      <c r="P63" s="519"/>
      <c r="Q63" s="519"/>
      <c r="R63" s="268"/>
    </row>
    <row r="64" spans="11:18">
      <c r="K64" s="407"/>
      <c r="L64" s="410" t="s">
        <v>495</v>
      </c>
      <c r="M64" s="410" t="s">
        <v>246</v>
      </c>
      <c r="N64" s="410" t="s">
        <v>496</v>
      </c>
      <c r="O64" s="410" t="s">
        <v>497</v>
      </c>
      <c r="P64" s="519"/>
      <c r="Q64" s="519"/>
      <c r="R64" s="268"/>
    </row>
    <row r="65" spans="11:18">
      <c r="K65" s="407"/>
      <c r="L65" s="135" t="s">
        <v>534</v>
      </c>
      <c r="M65" s="410">
        <v>2</v>
      </c>
      <c r="N65" s="410">
        <v>3500</v>
      </c>
      <c r="O65" s="159">
        <v>7000</v>
      </c>
      <c r="P65" s="519"/>
      <c r="Q65" s="519"/>
      <c r="R65" s="144">
        <f>N65/120/0.85</f>
        <v>34.313725490196077</v>
      </c>
    </row>
    <row r="66" spans="11:18">
      <c r="K66" s="407"/>
      <c r="L66" s="135"/>
      <c r="M66" s="407"/>
      <c r="N66" s="147"/>
      <c r="O66" s="148">
        <v>7000</v>
      </c>
      <c r="P66" s="522" t="s">
        <v>511</v>
      </c>
      <c r="Q66" s="522"/>
      <c r="R66" s="268"/>
    </row>
    <row r="67" spans="11:18">
      <c r="K67" s="407"/>
      <c r="L67" s="135"/>
      <c r="M67" s="407"/>
      <c r="N67" s="410"/>
      <c r="O67" s="410"/>
      <c r="P67" s="519"/>
      <c r="Q67" s="519"/>
      <c r="R67" s="268"/>
    </row>
    <row r="68" spans="11:18">
      <c r="K68" s="407"/>
      <c r="L68" s="135"/>
      <c r="M68" s="407"/>
      <c r="N68" s="410"/>
      <c r="O68" s="410"/>
      <c r="P68" s="519"/>
      <c r="Q68" s="519"/>
      <c r="R68" s="268"/>
    </row>
    <row r="69" spans="11:18">
      <c r="K69" s="407"/>
      <c r="L69" s="519" t="s">
        <v>535</v>
      </c>
      <c r="M69" s="519"/>
      <c r="N69" s="410"/>
      <c r="O69" s="410"/>
      <c r="P69" s="519"/>
      <c r="Q69" s="519"/>
      <c r="R69" s="268"/>
    </row>
    <row r="70" spans="11:18">
      <c r="K70" s="407"/>
      <c r="L70" s="410" t="s">
        <v>495</v>
      </c>
      <c r="M70" s="410" t="s">
        <v>246</v>
      </c>
      <c r="N70" s="410" t="s">
        <v>496</v>
      </c>
      <c r="O70" s="410" t="s">
        <v>497</v>
      </c>
      <c r="P70" s="519"/>
      <c r="Q70" s="519"/>
      <c r="R70" s="268"/>
    </row>
    <row r="71" spans="11:18">
      <c r="K71" s="407"/>
      <c r="L71" s="135" t="s">
        <v>536</v>
      </c>
      <c r="M71" s="410">
        <v>2</v>
      </c>
      <c r="N71" s="410">
        <v>1003</v>
      </c>
      <c r="O71" s="410">
        <v>2006</v>
      </c>
      <c r="P71" s="462"/>
      <c r="Q71" s="462"/>
      <c r="R71" s="144">
        <f>N71/120/0.85</f>
        <v>9.8333333333333321</v>
      </c>
    </row>
    <row r="72" spans="11:18">
      <c r="K72" s="407"/>
      <c r="L72" s="135" t="s">
        <v>537</v>
      </c>
      <c r="M72" s="410">
        <v>1</v>
      </c>
      <c r="N72" s="410">
        <v>205</v>
      </c>
      <c r="O72" s="410">
        <v>205</v>
      </c>
      <c r="P72" s="462"/>
      <c r="Q72" s="462"/>
      <c r="R72" s="144">
        <f>N72/120/0.85</f>
        <v>2.0098039215686274</v>
      </c>
    </row>
    <row r="73" spans="11:18">
      <c r="K73" s="407"/>
      <c r="L73" s="135"/>
      <c r="M73" s="410"/>
      <c r="N73" s="160"/>
      <c r="O73" s="411">
        <v>2211</v>
      </c>
      <c r="P73" s="463" t="s">
        <v>511</v>
      </c>
      <c r="Q73" s="463"/>
      <c r="R73" s="268"/>
    </row>
    <row r="74" spans="11:18">
      <c r="K74" s="407"/>
      <c r="L74" s="135"/>
      <c r="M74" s="410"/>
      <c r="N74" s="410"/>
      <c r="O74" s="410"/>
      <c r="P74" s="462"/>
      <c r="Q74" s="462"/>
      <c r="R74" s="268"/>
    </row>
    <row r="75" spans="11:18">
      <c r="K75" s="407"/>
      <c r="L75" s="135" t="s">
        <v>538</v>
      </c>
      <c r="M75" s="410"/>
      <c r="N75" s="410"/>
      <c r="O75" s="410"/>
      <c r="P75" s="462"/>
      <c r="Q75" s="462"/>
      <c r="R75" s="268"/>
    </row>
    <row r="76" spans="11:18">
      <c r="K76" s="407"/>
      <c r="L76" s="410" t="s">
        <v>495</v>
      </c>
      <c r="M76" s="410" t="s">
        <v>246</v>
      </c>
      <c r="N76" s="410" t="s">
        <v>496</v>
      </c>
      <c r="O76" s="410" t="s">
        <v>497</v>
      </c>
      <c r="P76" s="462"/>
      <c r="Q76" s="462"/>
      <c r="R76" s="268"/>
    </row>
    <row r="77" spans="11:18">
      <c r="K77" s="407"/>
      <c r="L77" s="135" t="s">
        <v>539</v>
      </c>
      <c r="M77" s="410">
        <v>2</v>
      </c>
      <c r="N77" s="410">
        <v>205</v>
      </c>
      <c r="O77" s="410">
        <v>410</v>
      </c>
      <c r="P77" s="462"/>
      <c r="Q77" s="462"/>
      <c r="R77" s="144">
        <f>N77/120/0.85</f>
        <v>2.0098039215686274</v>
      </c>
    </row>
    <row r="78" spans="11:18">
      <c r="K78" s="407"/>
      <c r="L78" s="135" t="s">
        <v>540</v>
      </c>
      <c r="M78" s="410">
        <v>1</v>
      </c>
      <c r="N78" s="410">
        <v>570</v>
      </c>
      <c r="O78" s="410">
        <v>570</v>
      </c>
      <c r="P78" s="462"/>
      <c r="Q78" s="462"/>
      <c r="R78" s="144">
        <f>N78/120/0.85</f>
        <v>5.5882352941176476</v>
      </c>
    </row>
    <row r="79" spans="11:18">
      <c r="K79" s="407"/>
      <c r="L79" s="135" t="s">
        <v>541</v>
      </c>
      <c r="M79" s="410">
        <v>1</v>
      </c>
      <c r="N79" s="410">
        <v>2111</v>
      </c>
      <c r="O79" s="410">
        <v>2111</v>
      </c>
      <c r="P79" s="462"/>
      <c r="Q79" s="462"/>
      <c r="R79" s="144">
        <f>N79/120/0.85</f>
        <v>20.696078431372548</v>
      </c>
    </row>
    <row r="80" spans="11:18">
      <c r="K80" s="407"/>
      <c r="L80" s="135"/>
      <c r="M80" s="410"/>
      <c r="N80" s="160"/>
      <c r="O80" s="411">
        <v>3254</v>
      </c>
      <c r="P80" s="463" t="s">
        <v>511</v>
      </c>
      <c r="Q80" s="463"/>
      <c r="R80" s="268"/>
    </row>
    <row r="81" spans="11:18">
      <c r="K81" s="407"/>
      <c r="L81" s="135"/>
      <c r="M81" s="410"/>
      <c r="N81" s="410"/>
      <c r="O81" s="410"/>
      <c r="P81" s="462"/>
      <c r="Q81" s="462"/>
      <c r="R81" s="268"/>
    </row>
    <row r="82" spans="11:18">
      <c r="K82" s="407"/>
      <c r="L82" s="135" t="s">
        <v>542</v>
      </c>
      <c r="M82" s="410"/>
      <c r="N82" s="410"/>
      <c r="O82" s="410"/>
      <c r="P82" s="462"/>
      <c r="Q82" s="462"/>
      <c r="R82" s="268"/>
    </row>
    <row r="83" spans="11:18">
      <c r="K83" s="407"/>
      <c r="L83" s="410" t="s">
        <v>495</v>
      </c>
      <c r="M83" s="410" t="s">
        <v>246</v>
      </c>
      <c r="N83" s="410" t="s">
        <v>496</v>
      </c>
      <c r="O83" s="410" t="s">
        <v>497</v>
      </c>
      <c r="P83" s="462"/>
      <c r="Q83" s="462"/>
      <c r="R83" s="268"/>
    </row>
    <row r="84" spans="11:18">
      <c r="K84" s="407"/>
      <c r="L84" s="135" t="s">
        <v>543</v>
      </c>
      <c r="M84" s="410">
        <v>2</v>
      </c>
      <c r="N84" s="410">
        <v>684</v>
      </c>
      <c r="O84" s="410">
        <v>1368</v>
      </c>
      <c r="P84" s="462"/>
      <c r="Q84" s="462"/>
      <c r="R84" s="144">
        <f>N84/120/0.85</f>
        <v>6.7058823529411766</v>
      </c>
    </row>
    <row r="85" spans="11:18">
      <c r="K85" s="407"/>
      <c r="L85" s="135"/>
      <c r="M85" s="410"/>
      <c r="N85" s="160"/>
      <c r="O85" s="411">
        <v>1440</v>
      </c>
      <c r="P85" s="463" t="s">
        <v>511</v>
      </c>
      <c r="Q85" s="463"/>
      <c r="R85" s="268"/>
    </row>
    <row r="86" spans="11:18" ht="13.5" thickBot="1">
      <c r="K86" s="407"/>
      <c r="L86" s="135"/>
      <c r="M86" s="410"/>
      <c r="N86" s="410"/>
      <c r="O86" s="410"/>
      <c r="P86" s="464"/>
      <c r="Q86" s="464"/>
      <c r="R86" s="268"/>
    </row>
    <row r="87" spans="11:18">
      <c r="K87" s="532" t="s">
        <v>544</v>
      </c>
      <c r="L87" s="533"/>
      <c r="M87" s="533"/>
      <c r="N87" s="161"/>
      <c r="O87" s="162">
        <v>34705</v>
      </c>
      <c r="P87" s="533" t="s">
        <v>511</v>
      </c>
      <c r="Q87" s="534"/>
      <c r="R87" s="268"/>
    </row>
    <row r="88" spans="11:18">
      <c r="K88" s="535"/>
      <c r="L88" s="536" t="s">
        <v>302</v>
      </c>
      <c r="M88" s="536"/>
      <c r="N88" s="410"/>
      <c r="O88" s="411">
        <v>0.95</v>
      </c>
      <c r="P88" s="519"/>
      <c r="Q88" s="537"/>
      <c r="R88" s="268"/>
    </row>
    <row r="89" spans="11:18" ht="13.5" thickBot="1">
      <c r="K89" s="538" t="s">
        <v>545</v>
      </c>
      <c r="L89" s="539"/>
      <c r="M89" s="539"/>
      <c r="N89" s="539"/>
      <c r="O89" s="163">
        <v>36531</v>
      </c>
      <c r="P89" s="539" t="s">
        <v>306</v>
      </c>
      <c r="Q89" s="540"/>
      <c r="R89" s="268"/>
    </row>
  </sheetData>
  <mergeCells count="105">
    <mergeCell ref="A36:E36"/>
    <mergeCell ref="P14:Q14"/>
    <mergeCell ref="P15:Q15"/>
    <mergeCell ref="P6:Q6"/>
    <mergeCell ref="P7:Q7"/>
    <mergeCell ref="P8:Q8"/>
    <mergeCell ref="P11:Q11"/>
    <mergeCell ref="A37:E37"/>
    <mergeCell ref="K3:N3"/>
    <mergeCell ref="A32:E32"/>
    <mergeCell ref="A33:E33"/>
    <mergeCell ref="A34:E34"/>
    <mergeCell ref="A35:E35"/>
    <mergeCell ref="A3:A4"/>
    <mergeCell ref="B27:D27"/>
    <mergeCell ref="B28:D28"/>
    <mergeCell ref="B29:D29"/>
    <mergeCell ref="L25:M25"/>
    <mergeCell ref="P25:Q25"/>
    <mergeCell ref="P16:Q16"/>
    <mergeCell ref="L17:M17"/>
    <mergeCell ref="P17:Q17"/>
    <mergeCell ref="P18:Q18"/>
    <mergeCell ref="P19:Q19"/>
    <mergeCell ref="P20:Q20"/>
    <mergeCell ref="P4:Q4"/>
    <mergeCell ref="L5:M5"/>
    <mergeCell ref="P5:Q5"/>
    <mergeCell ref="P30:Q30"/>
    <mergeCell ref="P31:Q31"/>
    <mergeCell ref="P32:Q32"/>
    <mergeCell ref="P26:Q26"/>
    <mergeCell ref="P27:Q27"/>
    <mergeCell ref="P28:Q28"/>
    <mergeCell ref="P29:Q29"/>
    <mergeCell ref="P21:Q21"/>
    <mergeCell ref="P22:Q22"/>
    <mergeCell ref="P23:Q23"/>
    <mergeCell ref="P24:Q24"/>
    <mergeCell ref="L39:M39"/>
    <mergeCell ref="P39:Q39"/>
    <mergeCell ref="P40:Q40"/>
    <mergeCell ref="P41:Q41"/>
    <mergeCell ref="P36:Q36"/>
    <mergeCell ref="P37:Q37"/>
    <mergeCell ref="P38:Q38"/>
    <mergeCell ref="L33:M33"/>
    <mergeCell ref="P33:Q33"/>
    <mergeCell ref="P34:Q34"/>
    <mergeCell ref="P35:Q35"/>
    <mergeCell ref="P48:Q48"/>
    <mergeCell ref="P49:Q49"/>
    <mergeCell ref="P50:Q50"/>
    <mergeCell ref="L45:M45"/>
    <mergeCell ref="P45:Q45"/>
    <mergeCell ref="P46:Q46"/>
    <mergeCell ref="P47:Q47"/>
    <mergeCell ref="P42:Q42"/>
    <mergeCell ref="P43:Q43"/>
    <mergeCell ref="P44:Q44"/>
    <mergeCell ref="L57:M57"/>
    <mergeCell ref="P57:Q57"/>
    <mergeCell ref="P58:Q58"/>
    <mergeCell ref="P59:Q59"/>
    <mergeCell ref="P54:Q54"/>
    <mergeCell ref="P55:Q55"/>
    <mergeCell ref="P56:Q56"/>
    <mergeCell ref="L51:M51"/>
    <mergeCell ref="P51:Q51"/>
    <mergeCell ref="P52:Q52"/>
    <mergeCell ref="P53:Q53"/>
    <mergeCell ref="P63:Q63"/>
    <mergeCell ref="P64:Q64"/>
    <mergeCell ref="P65:Q65"/>
    <mergeCell ref="P66:Q66"/>
    <mergeCell ref="P67:Q67"/>
    <mergeCell ref="P68:Q68"/>
    <mergeCell ref="P60:Q60"/>
    <mergeCell ref="P61:Q61"/>
    <mergeCell ref="P62:Q62"/>
    <mergeCell ref="P78:Q78"/>
    <mergeCell ref="P79:Q79"/>
    <mergeCell ref="P80:Q80"/>
    <mergeCell ref="P74:Q74"/>
    <mergeCell ref="P75:Q75"/>
    <mergeCell ref="P76:Q76"/>
    <mergeCell ref="P77:Q77"/>
    <mergeCell ref="L69:M69"/>
    <mergeCell ref="P69:Q69"/>
    <mergeCell ref="P70:Q70"/>
    <mergeCell ref="P71:Q71"/>
    <mergeCell ref="P72:Q72"/>
    <mergeCell ref="P73:Q73"/>
    <mergeCell ref="K87:M87"/>
    <mergeCell ref="P87:Q87"/>
    <mergeCell ref="L88:M88"/>
    <mergeCell ref="P88:Q88"/>
    <mergeCell ref="K89:N89"/>
    <mergeCell ref="P89:Q89"/>
    <mergeCell ref="P81:Q81"/>
    <mergeCell ref="P82:Q82"/>
    <mergeCell ref="P83:Q83"/>
    <mergeCell ref="P84:Q84"/>
    <mergeCell ref="P85:Q85"/>
    <mergeCell ref="P86:Q86"/>
  </mergeCells>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workbookViewId="0">
      <selection activeCell="G46" sqref="G46"/>
    </sheetView>
  </sheetViews>
  <sheetFormatPr defaultRowHeight="12.75"/>
  <cols>
    <col min="1" max="1" width="33.28515625" bestFit="1" customWidth="1"/>
    <col min="14" max="14" width="29.7109375" bestFit="1" customWidth="1"/>
  </cols>
  <sheetData>
    <row r="1" spans="1:18">
      <c r="A1" s="164"/>
      <c r="B1" s="165"/>
      <c r="C1" s="165"/>
      <c r="D1" s="1" t="s">
        <v>489</v>
      </c>
      <c r="E1" s="166">
        <v>1</v>
      </c>
      <c r="F1" s="130">
        <v>60</v>
      </c>
      <c r="G1" s="130">
        <v>90</v>
      </c>
      <c r="H1" s="130">
        <v>179</v>
      </c>
      <c r="I1" s="131">
        <v>180</v>
      </c>
      <c r="J1" s="268"/>
      <c r="K1" s="518" t="s">
        <v>490</v>
      </c>
      <c r="L1" s="518"/>
      <c r="M1" s="518"/>
      <c r="N1" s="518"/>
      <c r="O1" s="518"/>
      <c r="P1" s="407"/>
      <c r="Q1" s="407"/>
      <c r="R1" s="268"/>
    </row>
    <row r="2" spans="1:18" ht="13.5" thickBot="1">
      <c r="A2" s="167"/>
      <c r="B2" s="2"/>
      <c r="C2" s="2"/>
      <c r="D2" s="3" t="s">
        <v>546</v>
      </c>
      <c r="E2" s="168">
        <v>1</v>
      </c>
      <c r="F2" s="133">
        <f>+F1-E1</f>
        <v>59</v>
      </c>
      <c r="G2" s="133">
        <f>+G1-F1</f>
        <v>30</v>
      </c>
      <c r="H2" s="133">
        <f>+H1-G1</f>
        <v>89</v>
      </c>
      <c r="I2" s="134">
        <f>+I1-H1</f>
        <v>1</v>
      </c>
      <c r="J2" s="268"/>
      <c r="K2" s="407"/>
      <c r="L2" s="407"/>
      <c r="M2" s="407"/>
      <c r="N2" s="407"/>
      <c r="O2" s="407"/>
      <c r="P2" s="407"/>
      <c r="Q2" s="407"/>
      <c r="R2" s="268"/>
    </row>
    <row r="3" spans="1:18" ht="13.5" thickBot="1">
      <c r="A3" s="5" t="s">
        <v>11</v>
      </c>
      <c r="B3" s="137" t="s">
        <v>12</v>
      </c>
      <c r="C3" s="138" t="s">
        <v>493</v>
      </c>
      <c r="D3" s="138" t="s">
        <v>13</v>
      </c>
      <c r="E3" s="2"/>
      <c r="F3" s="2"/>
      <c r="G3" s="2"/>
      <c r="H3" s="2"/>
      <c r="I3" s="4"/>
      <c r="J3" s="268"/>
      <c r="K3" s="407"/>
      <c r="L3" s="520" t="s">
        <v>494</v>
      </c>
      <c r="M3" s="520"/>
      <c r="N3" s="520"/>
      <c r="O3" s="407"/>
      <c r="P3" s="407"/>
      <c r="Q3" s="407"/>
      <c r="R3" s="268"/>
    </row>
    <row r="4" spans="1:18">
      <c r="A4" s="6" t="s">
        <v>168</v>
      </c>
      <c r="B4" s="140">
        <v>1</v>
      </c>
      <c r="C4" s="141">
        <v>820</v>
      </c>
      <c r="D4" s="140">
        <v>230</v>
      </c>
      <c r="E4" s="141">
        <v>820</v>
      </c>
      <c r="F4" s="141">
        <v>230</v>
      </c>
      <c r="G4" s="141">
        <v>0</v>
      </c>
      <c r="H4" s="141">
        <v>0</v>
      </c>
      <c r="I4" s="140">
        <v>0</v>
      </c>
      <c r="J4" s="268"/>
      <c r="K4" s="407"/>
      <c r="L4" s="407"/>
      <c r="M4" s="478" t="s">
        <v>246</v>
      </c>
      <c r="N4" s="478" t="s">
        <v>495</v>
      </c>
      <c r="O4" s="478" t="s">
        <v>496</v>
      </c>
      <c r="P4" s="478" t="s">
        <v>497</v>
      </c>
      <c r="Q4" s="407"/>
      <c r="R4" s="268"/>
    </row>
    <row r="5" spans="1:18">
      <c r="A5" s="7" t="s">
        <v>169</v>
      </c>
      <c r="B5" s="140">
        <v>1</v>
      </c>
      <c r="C5" s="141">
        <v>130</v>
      </c>
      <c r="D5" s="140">
        <v>37</v>
      </c>
      <c r="E5" s="141">
        <v>130</v>
      </c>
      <c r="F5" s="141">
        <v>37</v>
      </c>
      <c r="G5" s="141">
        <v>0</v>
      </c>
      <c r="H5" s="141">
        <v>0</v>
      </c>
      <c r="I5" s="140">
        <v>0</v>
      </c>
      <c r="J5" s="268"/>
      <c r="K5" s="407"/>
      <c r="L5" s="407"/>
      <c r="M5" s="478">
        <v>10</v>
      </c>
      <c r="N5" s="478" t="s">
        <v>498</v>
      </c>
      <c r="O5" s="478">
        <v>600</v>
      </c>
      <c r="P5" s="521">
        <v>6000</v>
      </c>
      <c r="Q5" s="407"/>
      <c r="R5" s="144">
        <f>O5/120/0.85</f>
        <v>5.882352941176471</v>
      </c>
    </row>
    <row r="6" spans="1:18">
      <c r="A6" s="7" t="s">
        <v>173</v>
      </c>
      <c r="B6" s="140">
        <v>1</v>
      </c>
      <c r="C6" s="141"/>
      <c r="D6" s="140">
        <v>10</v>
      </c>
      <c r="E6" s="141">
        <v>10</v>
      </c>
      <c r="F6" s="141">
        <v>10</v>
      </c>
      <c r="G6" s="141">
        <v>10</v>
      </c>
      <c r="H6" s="141">
        <v>10</v>
      </c>
      <c r="I6" s="140">
        <v>10</v>
      </c>
      <c r="J6" s="268"/>
      <c r="K6" s="407"/>
      <c r="L6" s="407"/>
      <c r="M6" s="478">
        <v>6</v>
      </c>
      <c r="N6" s="478" t="s">
        <v>547</v>
      </c>
      <c r="O6" s="478">
        <v>312</v>
      </c>
      <c r="P6" s="521">
        <v>1872</v>
      </c>
      <c r="Q6" s="407"/>
      <c r="R6" s="144">
        <f>O6/120/0.85</f>
        <v>3.0588235294117649</v>
      </c>
    </row>
    <row r="7" spans="1:18">
      <c r="A7" s="7" t="s">
        <v>174</v>
      </c>
      <c r="B7" s="140">
        <v>1</v>
      </c>
      <c r="C7" s="141"/>
      <c r="D7" s="140">
        <v>10</v>
      </c>
      <c r="E7" s="141">
        <v>10</v>
      </c>
      <c r="F7" s="141">
        <v>10</v>
      </c>
      <c r="G7" s="141">
        <v>10</v>
      </c>
      <c r="H7" s="141">
        <v>10</v>
      </c>
      <c r="I7" s="140">
        <v>10</v>
      </c>
      <c r="J7" s="268"/>
      <c r="K7" s="407"/>
      <c r="L7" s="407"/>
      <c r="M7" s="478">
        <v>5</v>
      </c>
      <c r="N7" s="478" t="s">
        <v>504</v>
      </c>
      <c r="O7" s="478">
        <v>400</v>
      </c>
      <c r="P7" s="478">
        <v>800</v>
      </c>
      <c r="Q7" s="407"/>
      <c r="R7" s="144">
        <f>O7/120/0.85</f>
        <v>3.9215686274509807</v>
      </c>
    </row>
    <row r="8" spans="1:18">
      <c r="A8" s="7" t="s">
        <v>175</v>
      </c>
      <c r="B8" s="140">
        <v>1</v>
      </c>
      <c r="C8" s="141"/>
      <c r="D8" s="140">
        <v>24</v>
      </c>
      <c r="E8" s="141">
        <v>24</v>
      </c>
      <c r="F8" s="141">
        <v>24</v>
      </c>
      <c r="G8" s="141">
        <v>24</v>
      </c>
      <c r="H8" s="141">
        <v>24</v>
      </c>
      <c r="I8" s="140">
        <v>24</v>
      </c>
      <c r="J8" s="268"/>
      <c r="K8" s="407"/>
      <c r="L8" s="407"/>
      <c r="M8" s="478">
        <v>1</v>
      </c>
      <c r="N8" s="478" t="s">
        <v>508</v>
      </c>
      <c r="O8" s="478">
        <v>1500</v>
      </c>
      <c r="P8" s="521">
        <v>1500</v>
      </c>
      <c r="Q8" s="407"/>
      <c r="R8" s="144">
        <f>O8/120/0.85</f>
        <v>14.705882352941178</v>
      </c>
    </row>
    <row r="9" spans="1:18">
      <c r="A9" s="7" t="s">
        <v>176</v>
      </c>
      <c r="B9" s="140">
        <v>1</v>
      </c>
      <c r="C9" s="141"/>
      <c r="D9" s="140">
        <v>8</v>
      </c>
      <c r="E9" s="141">
        <v>8</v>
      </c>
      <c r="F9" s="141">
        <v>8</v>
      </c>
      <c r="G9" s="141">
        <v>8</v>
      </c>
      <c r="H9" s="141">
        <v>8</v>
      </c>
      <c r="I9" s="140">
        <v>8</v>
      </c>
      <c r="J9" s="268"/>
      <c r="K9" s="407"/>
      <c r="L9" s="407"/>
      <c r="M9" s="407"/>
      <c r="N9" s="407"/>
      <c r="O9" s="410"/>
      <c r="P9" s="410"/>
      <c r="Q9" s="407"/>
      <c r="R9" s="268"/>
    </row>
    <row r="10" spans="1:18">
      <c r="A10" s="7" t="s">
        <v>19</v>
      </c>
      <c r="B10" s="140">
        <v>1</v>
      </c>
      <c r="C10" s="141"/>
      <c r="D10" s="140">
        <v>10</v>
      </c>
      <c r="E10" s="141">
        <v>10</v>
      </c>
      <c r="F10" s="141">
        <v>10</v>
      </c>
      <c r="G10" s="141">
        <v>10</v>
      </c>
      <c r="H10" s="141">
        <v>10</v>
      </c>
      <c r="I10" s="140">
        <v>10</v>
      </c>
      <c r="J10" s="268"/>
      <c r="K10" s="407"/>
      <c r="L10" s="407"/>
      <c r="M10" s="407"/>
      <c r="N10" s="408" t="s">
        <v>548</v>
      </c>
      <c r="O10" s="410"/>
      <c r="P10" s="148">
        <v>10172</v>
      </c>
      <c r="Q10" s="408" t="s">
        <v>511</v>
      </c>
      <c r="R10" s="268"/>
    </row>
    <row r="11" spans="1:18">
      <c r="A11" s="7" t="s">
        <v>549</v>
      </c>
      <c r="B11" s="140">
        <v>1</v>
      </c>
      <c r="C11" s="141"/>
      <c r="D11" s="140">
        <v>120</v>
      </c>
      <c r="E11" s="141">
        <v>0</v>
      </c>
      <c r="F11" s="141">
        <v>0</v>
      </c>
      <c r="G11" s="141">
        <v>0</v>
      </c>
      <c r="H11" s="141">
        <v>0</v>
      </c>
      <c r="I11" s="140">
        <v>0</v>
      </c>
      <c r="J11" s="268"/>
      <c r="K11" s="407"/>
      <c r="L11" s="407"/>
      <c r="M11" s="407"/>
      <c r="N11" s="407"/>
      <c r="O11" s="410"/>
      <c r="P11" s="410"/>
      <c r="Q11" s="407"/>
      <c r="R11" s="268"/>
    </row>
    <row r="12" spans="1:18">
      <c r="A12" s="7" t="s">
        <v>177</v>
      </c>
      <c r="B12" s="140">
        <v>1</v>
      </c>
      <c r="C12" s="141"/>
      <c r="D12" s="140">
        <v>4</v>
      </c>
      <c r="E12" s="141">
        <v>4</v>
      </c>
      <c r="F12" s="141">
        <v>4</v>
      </c>
      <c r="G12" s="141">
        <v>4</v>
      </c>
      <c r="H12" s="141">
        <v>0</v>
      </c>
      <c r="I12" s="140">
        <v>0</v>
      </c>
      <c r="J12" s="268"/>
      <c r="K12" s="407"/>
      <c r="L12" s="407"/>
      <c r="M12" s="407"/>
      <c r="N12" s="407"/>
      <c r="O12" s="410"/>
      <c r="P12" s="410"/>
      <c r="Q12" s="407"/>
      <c r="R12" s="268"/>
    </row>
    <row r="13" spans="1:18">
      <c r="A13" s="7" t="s">
        <v>178</v>
      </c>
      <c r="B13" s="140">
        <v>1</v>
      </c>
      <c r="C13" s="141"/>
      <c r="D13" s="140">
        <v>8</v>
      </c>
      <c r="E13" s="141">
        <v>8</v>
      </c>
      <c r="F13" s="141">
        <v>8</v>
      </c>
      <c r="G13" s="141">
        <v>8</v>
      </c>
      <c r="H13" s="141">
        <v>0</v>
      </c>
      <c r="I13" s="140">
        <v>0</v>
      </c>
      <c r="J13" s="268"/>
      <c r="K13" s="407"/>
      <c r="L13" s="520" t="s">
        <v>514</v>
      </c>
      <c r="M13" s="520"/>
      <c r="N13" s="407"/>
      <c r="O13" s="410"/>
      <c r="P13" s="410"/>
      <c r="Q13" s="407"/>
      <c r="R13" s="268"/>
    </row>
    <row r="14" spans="1:18">
      <c r="A14" s="7" t="s">
        <v>550</v>
      </c>
      <c r="B14" s="140">
        <v>2</v>
      </c>
      <c r="C14" s="141"/>
      <c r="D14" s="140">
        <v>7</v>
      </c>
      <c r="E14" s="141">
        <f>+D14*B14</f>
        <v>14</v>
      </c>
      <c r="F14" s="141">
        <v>0</v>
      </c>
      <c r="G14" s="141">
        <v>0</v>
      </c>
      <c r="H14" s="141">
        <v>0</v>
      </c>
      <c r="I14" s="140">
        <v>0</v>
      </c>
      <c r="J14" s="268"/>
      <c r="K14" s="407"/>
      <c r="L14" s="407"/>
      <c r="M14" s="478" t="s">
        <v>246</v>
      </c>
      <c r="N14" s="478" t="s">
        <v>495</v>
      </c>
      <c r="O14" s="478" t="s">
        <v>496</v>
      </c>
      <c r="P14" s="478" t="s">
        <v>497</v>
      </c>
      <c r="Q14" s="407"/>
      <c r="R14" s="268"/>
    </row>
    <row r="15" spans="1:18">
      <c r="A15" s="7" t="s">
        <v>551</v>
      </c>
      <c r="B15" s="140">
        <v>1</v>
      </c>
      <c r="C15" s="141"/>
      <c r="D15" s="169">
        <f>30000/0.88/0.85/125</f>
        <v>320.85561497326199</v>
      </c>
      <c r="E15" s="170">
        <f>+D15</f>
        <v>320.85561497326199</v>
      </c>
      <c r="F15" s="170">
        <f>+E15</f>
        <v>320.85561497326199</v>
      </c>
      <c r="G15" s="170">
        <f>25000/0.88/0.85/125</f>
        <v>267.37967914438502</v>
      </c>
      <c r="H15" s="170">
        <f>+G15</f>
        <v>267.37967914438502</v>
      </c>
      <c r="I15" s="71">
        <f>+H15</f>
        <v>267.37967914438502</v>
      </c>
      <c r="J15" s="268"/>
      <c r="K15" s="407"/>
      <c r="L15" s="407"/>
      <c r="M15" s="478">
        <v>2</v>
      </c>
      <c r="N15" s="478" t="s">
        <v>91</v>
      </c>
      <c r="O15" s="478">
        <v>3453</v>
      </c>
      <c r="P15" s="478">
        <v>7.0279999999999996</v>
      </c>
      <c r="Q15" s="407"/>
      <c r="R15" s="144">
        <f>O15/120/0.85</f>
        <v>33.852941176470587</v>
      </c>
    </row>
    <row r="16" spans="1:18">
      <c r="A16" s="7" t="s">
        <v>510</v>
      </c>
      <c r="B16" s="140">
        <v>5</v>
      </c>
      <c r="C16" s="141"/>
      <c r="D16" s="140">
        <v>7</v>
      </c>
      <c r="E16" s="170">
        <f>+D16*B16</f>
        <v>35</v>
      </c>
      <c r="F16" s="170">
        <v>0</v>
      </c>
      <c r="G16" s="170">
        <v>0</v>
      </c>
      <c r="H16" s="170">
        <v>0</v>
      </c>
      <c r="I16" s="169">
        <v>0</v>
      </c>
      <c r="J16" s="268"/>
      <c r="K16" s="407"/>
      <c r="L16" s="407"/>
      <c r="M16" s="478">
        <v>1</v>
      </c>
      <c r="N16" s="478" t="s">
        <v>518</v>
      </c>
      <c r="O16" s="478">
        <v>1500</v>
      </c>
      <c r="P16" s="521">
        <v>1500</v>
      </c>
      <c r="Q16" s="407"/>
      <c r="R16" s="144">
        <f>O16/120/0.85</f>
        <v>14.705882352941178</v>
      </c>
    </row>
    <row r="17" spans="1:18">
      <c r="A17" s="7" t="s">
        <v>512</v>
      </c>
      <c r="B17" s="140">
        <v>2</v>
      </c>
      <c r="C17" s="141"/>
      <c r="D17" s="140">
        <v>5</v>
      </c>
      <c r="E17" s="170">
        <v>0</v>
      </c>
      <c r="F17" s="170">
        <v>0</v>
      </c>
      <c r="G17" s="170">
        <v>0</v>
      </c>
      <c r="H17" s="170">
        <v>0</v>
      </c>
      <c r="I17" s="171">
        <f>+D17*B17</f>
        <v>10</v>
      </c>
      <c r="J17" s="268"/>
      <c r="K17" s="407"/>
      <c r="L17" s="407"/>
      <c r="M17" s="478">
        <v>1</v>
      </c>
      <c r="N17" s="478" t="s">
        <v>508</v>
      </c>
      <c r="O17" s="478">
        <v>1500</v>
      </c>
      <c r="P17" s="521">
        <v>1500</v>
      </c>
      <c r="Q17" s="407"/>
      <c r="R17" s="144">
        <f>O17/120/0.85</f>
        <v>14.705882352941178</v>
      </c>
    </row>
    <row r="18" spans="1:18">
      <c r="A18" s="7" t="s">
        <v>516</v>
      </c>
      <c r="B18" s="172">
        <v>3</v>
      </c>
      <c r="C18" s="173"/>
      <c r="D18" s="172">
        <v>3</v>
      </c>
      <c r="E18" s="170">
        <f>+D18*B18</f>
        <v>9</v>
      </c>
      <c r="F18" s="174">
        <v>0</v>
      </c>
      <c r="G18" s="174">
        <v>0</v>
      </c>
      <c r="H18" s="174">
        <v>0</v>
      </c>
      <c r="I18" s="171">
        <v>0</v>
      </c>
      <c r="J18" s="268"/>
      <c r="K18" s="407"/>
      <c r="L18" s="407"/>
      <c r="M18" s="407"/>
      <c r="N18" s="407"/>
      <c r="O18" s="410"/>
      <c r="P18" s="410"/>
      <c r="Q18" s="407"/>
      <c r="R18" s="268"/>
    </row>
    <row r="19" spans="1:18">
      <c r="A19" s="7" t="s">
        <v>517</v>
      </c>
      <c r="B19" s="172">
        <v>1</v>
      </c>
      <c r="C19" s="173"/>
      <c r="D19" s="172">
        <v>3</v>
      </c>
      <c r="E19" s="174">
        <v>0</v>
      </c>
      <c r="F19" s="174">
        <v>0</v>
      </c>
      <c r="G19" s="174">
        <v>0</v>
      </c>
      <c r="H19" s="174">
        <v>0</v>
      </c>
      <c r="I19" s="171">
        <f>+D19*B19</f>
        <v>3</v>
      </c>
      <c r="J19" s="268"/>
      <c r="K19" s="407"/>
      <c r="L19" s="407"/>
      <c r="M19" s="407"/>
      <c r="N19" s="408" t="s">
        <v>552</v>
      </c>
      <c r="O19" s="410"/>
      <c r="P19" s="148">
        <v>10028</v>
      </c>
      <c r="Q19" s="408" t="s">
        <v>511</v>
      </c>
      <c r="R19" s="268"/>
    </row>
    <row r="20" spans="1:18" ht="13.5" thickBot="1">
      <c r="A20" s="8" t="s">
        <v>24</v>
      </c>
      <c r="B20" s="157">
        <v>1</v>
      </c>
      <c r="C20" s="156"/>
      <c r="D20" s="157">
        <v>5</v>
      </c>
      <c r="E20" s="175">
        <f>+D20</f>
        <v>5</v>
      </c>
      <c r="F20" s="175">
        <f>+E20</f>
        <v>5</v>
      </c>
      <c r="G20" s="175">
        <f>+F20</f>
        <v>5</v>
      </c>
      <c r="H20" s="175">
        <f>+G20</f>
        <v>5</v>
      </c>
      <c r="I20" s="176">
        <f>+D20</f>
        <v>5</v>
      </c>
      <c r="J20" s="268"/>
      <c r="K20" s="407"/>
      <c r="L20" s="407"/>
      <c r="M20" s="407"/>
      <c r="N20" s="407"/>
      <c r="O20" s="410"/>
      <c r="P20" s="410"/>
      <c r="Q20" s="407"/>
      <c r="R20" s="268"/>
    </row>
    <row r="21" spans="1:18">
      <c r="A21" s="407"/>
      <c r="B21" s="409" t="s">
        <v>553</v>
      </c>
      <c r="C21" s="177"/>
      <c r="D21" s="178"/>
      <c r="E21" s="179">
        <f>SUM(E4:E20)</f>
        <v>1407.8556149732619</v>
      </c>
      <c r="F21" s="179">
        <f>SUM(F4:F20)</f>
        <v>666.85561497326194</v>
      </c>
      <c r="G21" s="179">
        <f>SUM(G4:G20)</f>
        <v>346.37967914438502</v>
      </c>
      <c r="H21" s="179">
        <f>SUM(H4:H20)</f>
        <v>334.37967914438502</v>
      </c>
      <c r="I21" s="179">
        <f>SUM(I4:I20)</f>
        <v>347.37967914438502</v>
      </c>
      <c r="J21" s="268"/>
      <c r="K21" s="407"/>
      <c r="L21" s="520" t="s">
        <v>522</v>
      </c>
      <c r="M21" s="520"/>
      <c r="N21" s="520"/>
      <c r="O21" s="410"/>
      <c r="P21" s="410"/>
      <c r="Q21" s="407"/>
      <c r="R21" s="268"/>
    </row>
    <row r="22" spans="1:18" ht="13.5" thickBot="1">
      <c r="A22" s="407"/>
      <c r="B22" s="180" t="s">
        <v>554</v>
      </c>
      <c r="C22" s="181"/>
      <c r="D22" s="182"/>
      <c r="E22" s="175">
        <f>+E21*0.15</f>
        <v>211.17834224598928</v>
      </c>
      <c r="F22" s="175">
        <f>+F21*0.15</f>
        <v>100.02834224598929</v>
      </c>
      <c r="G22" s="175">
        <f>+G21*0.15</f>
        <v>51.956951871657751</v>
      </c>
      <c r="H22" s="175">
        <f>+H21*0.15</f>
        <v>50.156951871657753</v>
      </c>
      <c r="I22" s="175">
        <f>+I21*0.15</f>
        <v>52.106951871657749</v>
      </c>
      <c r="J22" s="268"/>
      <c r="K22" s="407"/>
      <c r="L22" s="410"/>
      <c r="M22" s="478" t="s">
        <v>246</v>
      </c>
      <c r="N22" s="478" t="s">
        <v>495</v>
      </c>
      <c r="O22" s="478" t="s">
        <v>496</v>
      </c>
      <c r="P22" s="478" t="s">
        <v>497</v>
      </c>
      <c r="Q22" s="407"/>
      <c r="R22" s="268"/>
    </row>
    <row r="23" spans="1:18" ht="13.5" thickBot="1">
      <c r="A23" s="407"/>
      <c r="B23" s="183" t="s">
        <v>555</v>
      </c>
      <c r="C23" s="2"/>
      <c r="D23" s="4"/>
      <c r="E23" s="184">
        <f>SUM(E21:E22)</f>
        <v>1619.0339572192513</v>
      </c>
      <c r="F23" s="184">
        <f>SUM(F21:F22)</f>
        <v>766.88395721925122</v>
      </c>
      <c r="G23" s="184">
        <f>SUM(G21:G22)</f>
        <v>398.33663101604276</v>
      </c>
      <c r="H23" s="184">
        <f>SUM(H21:H22)</f>
        <v>384.53663101604275</v>
      </c>
      <c r="I23" s="184">
        <f>SUM(I21:I22)</f>
        <v>399.48663101604279</v>
      </c>
      <c r="J23" s="268"/>
      <c r="K23" s="407"/>
      <c r="L23" s="407"/>
      <c r="M23" s="478">
        <v>0</v>
      </c>
      <c r="N23" s="478" t="s">
        <v>26</v>
      </c>
      <c r="O23" s="478">
        <v>0</v>
      </c>
      <c r="P23" s="478">
        <v>0</v>
      </c>
      <c r="Q23" s="407"/>
      <c r="R23" s="144">
        <f>O23/120/0.85</f>
        <v>0</v>
      </c>
    </row>
    <row r="24" spans="1:18">
      <c r="A24" s="268"/>
      <c r="B24" s="268"/>
      <c r="C24" s="268"/>
      <c r="D24" s="268"/>
      <c r="E24" s="268"/>
      <c r="F24" s="268"/>
      <c r="G24" s="268"/>
      <c r="H24" s="268"/>
      <c r="I24" s="268"/>
      <c r="J24" s="268"/>
      <c r="K24" s="407"/>
      <c r="L24" s="407"/>
      <c r="M24" s="478">
        <v>1</v>
      </c>
      <c r="N24" s="478" t="s">
        <v>221</v>
      </c>
      <c r="O24" s="478">
        <v>1000</v>
      </c>
      <c r="P24" s="521">
        <v>1000</v>
      </c>
      <c r="Q24" s="407"/>
      <c r="R24" s="144">
        <f>O24/120/0.85</f>
        <v>9.8039215686274517</v>
      </c>
    </row>
    <row r="25" spans="1:18">
      <c r="A25" s="268"/>
      <c r="B25" s="268"/>
      <c r="C25" s="268"/>
      <c r="D25" s="268"/>
      <c r="E25" s="268"/>
      <c r="F25" s="268"/>
      <c r="G25" s="268"/>
      <c r="H25" s="268"/>
      <c r="I25" s="268"/>
      <c r="J25" s="268"/>
      <c r="K25" s="407"/>
      <c r="L25" s="407"/>
      <c r="M25" s="478">
        <v>1</v>
      </c>
      <c r="N25" s="478" t="s">
        <v>508</v>
      </c>
      <c r="O25" s="478">
        <v>1000</v>
      </c>
      <c r="P25" s="521">
        <v>1000</v>
      </c>
      <c r="Q25" s="407"/>
      <c r="R25" s="144">
        <f>O25/120/0.85</f>
        <v>9.8039215686274517</v>
      </c>
    </row>
    <row r="26" spans="1:18">
      <c r="A26" s="268"/>
      <c r="B26" s="268"/>
      <c r="C26" s="268"/>
      <c r="D26" s="268"/>
      <c r="E26" s="268"/>
      <c r="F26" s="268"/>
      <c r="G26" s="268"/>
      <c r="H26" s="268"/>
      <c r="I26" s="268"/>
      <c r="J26" s="268"/>
      <c r="K26" s="407"/>
      <c r="L26" s="407"/>
      <c r="M26" s="407"/>
      <c r="N26" s="407"/>
      <c r="O26" s="410"/>
      <c r="P26" s="410"/>
      <c r="Q26" s="407"/>
      <c r="R26" s="268"/>
    </row>
    <row r="27" spans="1:18">
      <c r="A27" s="268"/>
      <c r="B27" s="268"/>
      <c r="C27" s="268"/>
      <c r="D27" s="268"/>
      <c r="E27" s="268"/>
      <c r="F27" s="268"/>
      <c r="G27" s="268"/>
      <c r="H27" s="268"/>
      <c r="I27" s="268"/>
      <c r="J27" s="268"/>
      <c r="K27" s="407"/>
      <c r="L27" s="407"/>
      <c r="M27" s="407"/>
      <c r="N27" s="522" t="s">
        <v>556</v>
      </c>
      <c r="O27" s="522"/>
      <c r="P27" s="148">
        <v>2000</v>
      </c>
      <c r="Q27" s="408" t="s">
        <v>511</v>
      </c>
      <c r="R27" s="268"/>
    </row>
    <row r="28" spans="1:18">
      <c r="A28" s="268"/>
      <c r="B28" s="268"/>
      <c r="C28" s="268"/>
      <c r="D28" s="268"/>
      <c r="E28" s="268"/>
      <c r="F28" s="268"/>
      <c r="G28" s="268"/>
      <c r="H28" s="268"/>
      <c r="I28" s="268"/>
      <c r="J28" s="268"/>
      <c r="K28" s="407"/>
      <c r="L28" s="407"/>
      <c r="M28" s="407"/>
      <c r="N28" s="407"/>
      <c r="O28" s="410"/>
      <c r="P28" s="410"/>
      <c r="Q28" s="407"/>
      <c r="R28" s="268"/>
    </row>
    <row r="29" spans="1:18">
      <c r="A29" s="268"/>
      <c r="B29" s="268"/>
      <c r="C29" s="268"/>
      <c r="D29" s="268"/>
      <c r="E29" s="268"/>
      <c r="F29" s="268"/>
      <c r="G29" s="268"/>
      <c r="H29" s="268"/>
      <c r="I29" s="268"/>
      <c r="J29" s="268"/>
      <c r="K29" s="407"/>
      <c r="L29" s="520" t="s">
        <v>527</v>
      </c>
      <c r="M29" s="520"/>
      <c r="N29" s="520"/>
      <c r="O29" s="410"/>
      <c r="P29" s="410"/>
      <c r="Q29" s="407"/>
      <c r="R29" s="268"/>
    </row>
    <row r="30" spans="1:18">
      <c r="A30" s="268"/>
      <c r="B30" s="268"/>
      <c r="C30" s="268"/>
      <c r="D30" s="268"/>
      <c r="E30" s="268"/>
      <c r="F30" s="268"/>
      <c r="G30" s="268"/>
      <c r="H30" s="268"/>
      <c r="I30" s="268"/>
      <c r="J30" s="268"/>
      <c r="K30" s="407"/>
      <c r="L30" s="407"/>
      <c r="M30" s="478" t="s">
        <v>246</v>
      </c>
      <c r="N30" s="478" t="s">
        <v>495</v>
      </c>
      <c r="O30" s="478" t="s">
        <v>496</v>
      </c>
      <c r="P30" s="478" t="s">
        <v>497</v>
      </c>
      <c r="Q30" s="407"/>
      <c r="R30" s="268"/>
    </row>
    <row r="31" spans="1:18">
      <c r="A31" s="268"/>
      <c r="B31" s="268"/>
      <c r="C31" s="268"/>
      <c r="D31" s="268"/>
      <c r="E31" s="268"/>
      <c r="F31" s="268"/>
      <c r="G31" s="268"/>
      <c r="H31" s="268"/>
      <c r="I31" s="268"/>
      <c r="J31" s="268"/>
      <c r="K31" s="407"/>
      <c r="L31" s="407"/>
      <c r="M31" s="478">
        <v>1</v>
      </c>
      <c r="N31" s="478" t="s">
        <v>26</v>
      </c>
      <c r="O31" s="521">
        <v>3216</v>
      </c>
      <c r="P31" s="521">
        <v>3216</v>
      </c>
      <c r="Q31" s="407"/>
      <c r="R31" s="144">
        <f>O31/120/0.85</f>
        <v>31.529411764705884</v>
      </c>
    </row>
    <row r="32" spans="1:18">
      <c r="A32" s="268"/>
      <c r="B32" s="268"/>
      <c r="C32" s="268"/>
      <c r="D32" s="268"/>
      <c r="E32" s="268"/>
      <c r="F32" s="268"/>
      <c r="G32" s="268"/>
      <c r="H32" s="268"/>
      <c r="I32" s="268"/>
      <c r="J32" s="268"/>
      <c r="K32" s="407"/>
      <c r="L32" s="407"/>
      <c r="M32" s="410"/>
      <c r="N32" s="407"/>
      <c r="O32" s="410"/>
      <c r="P32" s="410"/>
      <c r="Q32" s="407"/>
      <c r="R32" s="268"/>
    </row>
    <row r="33" spans="11:18">
      <c r="K33" s="407"/>
      <c r="L33" s="407"/>
      <c r="M33" s="407"/>
      <c r="N33" s="522" t="s">
        <v>557</v>
      </c>
      <c r="O33" s="522"/>
      <c r="P33" s="148">
        <v>3216</v>
      </c>
      <c r="Q33" s="408" t="s">
        <v>511</v>
      </c>
      <c r="R33" s="268"/>
    </row>
    <row r="34" spans="11:18">
      <c r="K34" s="407"/>
      <c r="L34" s="407"/>
      <c r="M34" s="407"/>
      <c r="N34" s="407"/>
      <c r="O34" s="410"/>
      <c r="P34" s="410"/>
      <c r="Q34" s="407"/>
      <c r="R34" s="268"/>
    </row>
    <row r="35" spans="11:18">
      <c r="K35" s="407"/>
      <c r="L35" s="520" t="s">
        <v>558</v>
      </c>
      <c r="M35" s="520"/>
      <c r="N35" s="520"/>
      <c r="O35" s="410"/>
      <c r="P35" s="410"/>
      <c r="Q35" s="407"/>
      <c r="R35" s="268"/>
    </row>
    <row r="36" spans="11:18">
      <c r="K36" s="407"/>
      <c r="L36" s="407"/>
      <c r="M36" s="478" t="s">
        <v>246</v>
      </c>
      <c r="N36" s="478" t="s">
        <v>495</v>
      </c>
      <c r="O36" s="478" t="s">
        <v>496</v>
      </c>
      <c r="P36" s="478" t="s">
        <v>497</v>
      </c>
      <c r="Q36" s="407"/>
      <c r="R36" s="268"/>
    </row>
    <row r="37" spans="11:18">
      <c r="K37" s="407"/>
      <c r="L37" s="407"/>
      <c r="M37" s="478">
        <v>1</v>
      </c>
      <c r="N37" s="478" t="s">
        <v>26</v>
      </c>
      <c r="O37" s="521">
        <v>3307</v>
      </c>
      <c r="P37" s="521">
        <v>3307</v>
      </c>
      <c r="Q37" s="407"/>
      <c r="R37" s="144">
        <f>O37/120/0.85</f>
        <v>32.421568627450981</v>
      </c>
    </row>
    <row r="38" spans="11:18">
      <c r="K38" s="407"/>
      <c r="L38" s="407"/>
      <c r="M38" s="410"/>
      <c r="N38" s="407"/>
      <c r="O38" s="410"/>
      <c r="P38" s="410"/>
      <c r="Q38" s="407"/>
      <c r="R38" s="268"/>
    </row>
    <row r="39" spans="11:18">
      <c r="K39" s="407"/>
      <c r="L39" s="407"/>
      <c r="M39" s="407"/>
      <c r="N39" s="522" t="s">
        <v>559</v>
      </c>
      <c r="O39" s="522"/>
      <c r="P39" s="148">
        <v>3307</v>
      </c>
      <c r="Q39" s="408" t="s">
        <v>511</v>
      </c>
      <c r="R39" s="268"/>
    </row>
    <row r="40" spans="11:18">
      <c r="K40" s="407"/>
      <c r="L40" s="407"/>
      <c r="M40" s="407"/>
      <c r="N40" s="407"/>
      <c r="O40" s="410"/>
      <c r="P40" s="410"/>
      <c r="Q40" s="407"/>
      <c r="R40" s="268"/>
    </row>
    <row r="41" spans="11:18">
      <c r="K41" s="407"/>
      <c r="L41" s="520" t="s">
        <v>560</v>
      </c>
      <c r="M41" s="520"/>
      <c r="N41" s="520"/>
      <c r="O41" s="410"/>
      <c r="P41" s="410"/>
      <c r="Q41" s="407"/>
      <c r="R41" s="268"/>
    </row>
    <row r="42" spans="11:18">
      <c r="K42" s="407"/>
      <c r="L42" s="407"/>
      <c r="M42" s="478" t="s">
        <v>246</v>
      </c>
      <c r="N42" s="478" t="s">
        <v>495</v>
      </c>
      <c r="O42" s="478" t="s">
        <v>496</v>
      </c>
      <c r="P42" s="478" t="s">
        <v>497</v>
      </c>
      <c r="Q42" s="407"/>
      <c r="R42" s="268"/>
    </row>
    <row r="43" spans="11:18">
      <c r="K43" s="407"/>
      <c r="L43" s="407"/>
      <c r="M43" s="478">
        <v>1</v>
      </c>
      <c r="N43" s="478" t="s">
        <v>26</v>
      </c>
      <c r="O43" s="521">
        <v>3321</v>
      </c>
      <c r="P43" s="521">
        <v>3321</v>
      </c>
      <c r="Q43" s="407"/>
      <c r="R43" s="144">
        <f>O43/120/0.85</f>
        <v>32.558823529411768</v>
      </c>
    </row>
    <row r="44" spans="11:18">
      <c r="K44" s="407"/>
      <c r="L44" s="407"/>
      <c r="M44" s="410"/>
      <c r="N44" s="407"/>
      <c r="O44" s="410"/>
      <c r="P44" s="410"/>
      <c r="Q44" s="407"/>
      <c r="R44" s="268"/>
    </row>
    <row r="45" spans="11:18">
      <c r="K45" s="407"/>
      <c r="L45" s="407"/>
      <c r="M45" s="407"/>
      <c r="N45" s="522" t="s">
        <v>561</v>
      </c>
      <c r="O45" s="522"/>
      <c r="P45" s="148">
        <v>3321</v>
      </c>
      <c r="Q45" s="408" t="s">
        <v>511</v>
      </c>
      <c r="R45" s="268"/>
    </row>
    <row r="46" spans="11:18">
      <c r="K46" s="407"/>
      <c r="L46" s="407"/>
      <c r="M46" s="407"/>
      <c r="N46" s="407"/>
      <c r="O46" s="410"/>
      <c r="P46" s="410"/>
      <c r="Q46" s="407"/>
      <c r="R46" s="268"/>
    </row>
    <row r="47" spans="11:18">
      <c r="K47" s="407"/>
      <c r="L47" s="520" t="s">
        <v>562</v>
      </c>
      <c r="M47" s="520"/>
      <c r="N47" s="407"/>
      <c r="O47" s="410"/>
      <c r="P47" s="410"/>
      <c r="Q47" s="407"/>
      <c r="R47" s="268"/>
    </row>
    <row r="48" spans="11:18">
      <c r="K48" s="407"/>
      <c r="L48" s="407"/>
      <c r="M48" s="478" t="s">
        <v>246</v>
      </c>
      <c r="N48" s="478" t="s">
        <v>495</v>
      </c>
      <c r="O48" s="478" t="s">
        <v>496</v>
      </c>
      <c r="P48" s="478" t="s">
        <v>497</v>
      </c>
      <c r="Q48" s="407"/>
      <c r="R48" s="268"/>
    </row>
    <row r="49" spans="11:18">
      <c r="K49" s="407"/>
      <c r="L49" s="407"/>
      <c r="M49" s="478">
        <v>1</v>
      </c>
      <c r="N49" s="478" t="s">
        <v>26</v>
      </c>
      <c r="O49" s="521">
        <v>15024</v>
      </c>
      <c r="P49" s="521">
        <v>15024</v>
      </c>
      <c r="Q49" s="407"/>
      <c r="R49" s="144">
        <f>O49/120/0.85</f>
        <v>147.29411764705884</v>
      </c>
    </row>
    <row r="50" spans="11:18">
      <c r="K50" s="407"/>
      <c r="L50" s="407"/>
      <c r="M50" s="410"/>
      <c r="N50" s="407"/>
      <c r="O50" s="410"/>
      <c r="P50" s="410"/>
      <c r="Q50" s="407"/>
      <c r="R50" s="268"/>
    </row>
    <row r="51" spans="11:18">
      <c r="K51" s="407"/>
      <c r="L51" s="407"/>
      <c r="M51" s="407"/>
      <c r="N51" s="408" t="s">
        <v>563</v>
      </c>
      <c r="O51" s="410"/>
      <c r="P51" s="148">
        <v>15024</v>
      </c>
      <c r="Q51" s="408" t="s">
        <v>511</v>
      </c>
      <c r="R51" s="268"/>
    </row>
    <row r="52" spans="11:18">
      <c r="K52" s="407"/>
      <c r="L52" s="407"/>
      <c r="M52" s="407"/>
      <c r="N52" s="407"/>
      <c r="O52" s="410"/>
      <c r="P52" s="410"/>
      <c r="Q52" s="407"/>
      <c r="R52" s="268"/>
    </row>
    <row r="53" spans="11:18">
      <c r="K53" s="407"/>
      <c r="L53" s="520" t="s">
        <v>531</v>
      </c>
      <c r="M53" s="520"/>
      <c r="N53" s="520"/>
      <c r="O53" s="410"/>
      <c r="P53" s="410"/>
      <c r="Q53" s="407"/>
      <c r="R53" s="268"/>
    </row>
    <row r="54" spans="11:18">
      <c r="K54" s="407"/>
      <c r="L54" s="407"/>
      <c r="M54" s="478" t="s">
        <v>246</v>
      </c>
      <c r="N54" s="478" t="s">
        <v>495</v>
      </c>
      <c r="O54" s="478" t="s">
        <v>496</v>
      </c>
      <c r="P54" s="478" t="s">
        <v>497</v>
      </c>
      <c r="Q54" s="407"/>
      <c r="R54" s="268"/>
    </row>
    <row r="55" spans="11:18">
      <c r="K55" s="407"/>
      <c r="L55" s="407"/>
      <c r="M55" s="478">
        <v>0</v>
      </c>
      <c r="N55" s="478" t="s">
        <v>26</v>
      </c>
      <c r="O55" s="478">
        <v>0</v>
      </c>
      <c r="P55" s="478">
        <v>0</v>
      </c>
      <c r="Q55" s="407"/>
      <c r="R55" s="144">
        <f>O55/120/0.85</f>
        <v>0</v>
      </c>
    </row>
    <row r="56" spans="11:18">
      <c r="K56" s="407"/>
      <c r="L56" s="407"/>
      <c r="M56" s="478">
        <v>1</v>
      </c>
      <c r="N56" s="478" t="s">
        <v>532</v>
      </c>
      <c r="O56" s="478">
        <v>1500</v>
      </c>
      <c r="P56" s="521">
        <v>1500</v>
      </c>
      <c r="Q56" s="407"/>
      <c r="R56" s="144">
        <f>O56/120/0.85</f>
        <v>14.705882352941178</v>
      </c>
    </row>
    <row r="57" spans="11:18">
      <c r="K57" s="407"/>
      <c r="L57" s="407"/>
      <c r="M57" s="407"/>
      <c r="N57" s="407"/>
      <c r="O57" s="410"/>
      <c r="P57" s="410"/>
      <c r="Q57" s="407"/>
      <c r="R57" s="268"/>
    </row>
    <row r="58" spans="11:18">
      <c r="K58" s="407"/>
      <c r="L58" s="407"/>
      <c r="M58" s="407"/>
      <c r="N58" s="522" t="s">
        <v>564</v>
      </c>
      <c r="O58" s="522"/>
      <c r="P58" s="148">
        <v>1500</v>
      </c>
      <c r="Q58" s="408" t="s">
        <v>511</v>
      </c>
      <c r="R58" s="268"/>
    </row>
    <row r="59" spans="11:18">
      <c r="K59" s="407"/>
      <c r="L59" s="407"/>
      <c r="M59" s="407"/>
      <c r="N59" s="407"/>
      <c r="O59" s="410"/>
      <c r="P59" s="410"/>
      <c r="Q59" s="407"/>
      <c r="R59" s="268"/>
    </row>
    <row r="60" spans="11:18">
      <c r="K60" s="407"/>
      <c r="L60" s="407"/>
      <c r="M60" s="356" t="s">
        <v>565</v>
      </c>
      <c r="N60" s="407"/>
      <c r="O60" s="410"/>
      <c r="P60" s="410"/>
      <c r="Q60" s="407"/>
      <c r="R60" s="268"/>
    </row>
    <row r="61" spans="11:18">
      <c r="K61" s="407"/>
      <c r="L61" s="407"/>
      <c r="M61" s="478" t="s">
        <v>246</v>
      </c>
      <c r="N61" s="478" t="s">
        <v>495</v>
      </c>
      <c r="O61" s="478" t="s">
        <v>496</v>
      </c>
      <c r="P61" s="478" t="s">
        <v>497</v>
      </c>
      <c r="Q61" s="407"/>
      <c r="R61" s="268"/>
    </row>
    <row r="62" spans="11:18">
      <c r="K62" s="407"/>
      <c r="L62" s="407"/>
      <c r="M62" s="478">
        <v>1</v>
      </c>
      <c r="N62" s="478" t="s">
        <v>224</v>
      </c>
      <c r="O62" s="478">
        <v>3000</v>
      </c>
      <c r="P62" s="521">
        <v>3000</v>
      </c>
      <c r="Q62" s="407"/>
      <c r="R62" s="144">
        <f>O62/120/0.85</f>
        <v>29.411764705882355</v>
      </c>
    </row>
    <row r="63" spans="11:18">
      <c r="K63" s="407"/>
      <c r="L63" s="407"/>
      <c r="M63" s="478">
        <v>1</v>
      </c>
      <c r="N63" s="478" t="s">
        <v>225</v>
      </c>
      <c r="O63" s="478">
        <v>1500</v>
      </c>
      <c r="P63" s="521">
        <v>1500</v>
      </c>
      <c r="Q63" s="407"/>
      <c r="R63" s="144">
        <f>O63/120/0.85</f>
        <v>14.705882352941178</v>
      </c>
    </row>
    <row r="64" spans="11:18">
      <c r="K64" s="407"/>
      <c r="L64" s="407"/>
      <c r="M64" s="410"/>
      <c r="N64" s="478" t="s">
        <v>566</v>
      </c>
      <c r="O64" s="478">
        <v>1500</v>
      </c>
      <c r="P64" s="521">
        <v>1500</v>
      </c>
      <c r="Q64" s="407"/>
      <c r="R64" s="144">
        <f>O64/120/0.85</f>
        <v>14.705882352941178</v>
      </c>
    </row>
    <row r="65" spans="11:17">
      <c r="K65" s="407"/>
      <c r="L65" s="407"/>
      <c r="M65" s="407"/>
      <c r="N65" s="356" t="s">
        <v>567</v>
      </c>
      <c r="O65" s="410"/>
      <c r="P65" s="148">
        <v>6000</v>
      </c>
      <c r="Q65" s="408" t="s">
        <v>511</v>
      </c>
    </row>
    <row r="66" spans="11:17" ht="13.5" thickBot="1">
      <c r="K66" s="407"/>
      <c r="L66" s="407"/>
      <c r="M66" s="407"/>
      <c r="N66" s="407"/>
      <c r="O66" s="410"/>
      <c r="P66" s="410"/>
      <c r="Q66" s="407"/>
    </row>
    <row r="67" spans="11:17">
      <c r="K67" s="412"/>
      <c r="L67" s="533" t="s">
        <v>568</v>
      </c>
      <c r="M67" s="533"/>
      <c r="N67" s="533"/>
      <c r="O67" s="161"/>
      <c r="P67" s="161">
        <v>54.567999999999998</v>
      </c>
      <c r="Q67" s="185" t="s">
        <v>511</v>
      </c>
    </row>
    <row r="68" spans="11:17">
      <c r="K68" s="186"/>
      <c r="L68" s="522" t="s">
        <v>569</v>
      </c>
      <c r="M68" s="522"/>
      <c r="N68" s="407"/>
      <c r="O68" s="410"/>
      <c r="P68" s="187">
        <v>-7000</v>
      </c>
      <c r="Q68" s="188" t="s">
        <v>511</v>
      </c>
    </row>
    <row r="69" spans="11:17" ht="13.5" thickBot="1">
      <c r="K69" s="538" t="s">
        <v>544</v>
      </c>
      <c r="L69" s="539"/>
      <c r="M69" s="539"/>
      <c r="N69" s="539"/>
      <c r="O69" s="189"/>
      <c r="P69" s="163">
        <v>47568</v>
      </c>
      <c r="Q69" s="190" t="s">
        <v>511</v>
      </c>
    </row>
    <row r="70" spans="11:17">
      <c r="K70" s="407"/>
      <c r="L70" s="407"/>
      <c r="M70" s="407"/>
      <c r="N70" s="407"/>
      <c r="O70" s="410"/>
      <c r="P70" s="410"/>
      <c r="Q70" s="407"/>
    </row>
  </sheetData>
  <mergeCells count="17">
    <mergeCell ref="L47:M47"/>
    <mergeCell ref="K1:O1"/>
    <mergeCell ref="L3:N3"/>
    <mergeCell ref="L13:M13"/>
    <mergeCell ref="L21:N21"/>
    <mergeCell ref="N27:O27"/>
    <mergeCell ref="L29:N29"/>
    <mergeCell ref="N33:O33"/>
    <mergeCell ref="L35:N35"/>
    <mergeCell ref="N39:O39"/>
    <mergeCell ref="L41:N41"/>
    <mergeCell ref="N45:O45"/>
    <mergeCell ref="K69:N69"/>
    <mergeCell ref="L53:N53"/>
    <mergeCell ref="N58:O58"/>
    <mergeCell ref="L67:N67"/>
    <mergeCell ref="L68:M68"/>
  </mergeCells>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6"/>
  <sheetViews>
    <sheetView topLeftCell="H1" workbookViewId="0">
      <selection activeCell="G46" sqref="G46"/>
    </sheetView>
  </sheetViews>
  <sheetFormatPr defaultRowHeight="12.75"/>
  <cols>
    <col min="1" max="1" width="42.5703125" bestFit="1" customWidth="1"/>
    <col min="2" max="5" width="7.85546875" customWidth="1"/>
    <col min="6" max="6" width="53.7109375" bestFit="1" customWidth="1"/>
    <col min="8" max="9" width="4" customWidth="1"/>
    <col min="11" max="11" width="65" style="128" bestFit="1" customWidth="1"/>
  </cols>
  <sheetData>
    <row r="2" spans="1:15" ht="19.5" thickBot="1">
      <c r="A2" s="191" t="s">
        <v>570</v>
      </c>
      <c r="B2" s="191"/>
      <c r="C2" s="191"/>
      <c r="D2" s="191"/>
      <c r="E2" s="191"/>
      <c r="F2" s="191"/>
      <c r="G2" s="268"/>
      <c r="H2" s="268"/>
      <c r="I2" s="268"/>
      <c r="J2" s="268"/>
      <c r="K2" s="406"/>
      <c r="L2" s="268"/>
      <c r="M2" s="268"/>
      <c r="N2" s="268"/>
      <c r="O2" s="268"/>
    </row>
    <row r="3" spans="1:15" ht="66.75">
      <c r="A3" s="269"/>
      <c r="B3" s="192" t="s">
        <v>571</v>
      </c>
      <c r="C3" s="192" t="s">
        <v>572</v>
      </c>
      <c r="D3" s="192" t="s">
        <v>573</v>
      </c>
      <c r="E3" s="192" t="s">
        <v>574</v>
      </c>
      <c r="F3" s="193"/>
      <c r="G3" s="268"/>
      <c r="H3" s="268"/>
      <c r="I3" s="268"/>
      <c r="J3" s="268"/>
      <c r="K3" s="406"/>
      <c r="L3" s="268"/>
      <c r="M3" s="268"/>
      <c r="N3" s="268"/>
      <c r="O3" s="268"/>
    </row>
    <row r="4" spans="1:15" ht="15.75">
      <c r="A4" s="269" t="s">
        <v>575</v>
      </c>
      <c r="B4" s="194">
        <v>4.63</v>
      </c>
      <c r="C4" s="194"/>
      <c r="D4" s="194"/>
      <c r="E4" s="194"/>
      <c r="F4" s="195" t="s">
        <v>576</v>
      </c>
      <c r="G4" s="268"/>
      <c r="H4" s="541" t="s">
        <v>577</v>
      </c>
      <c r="I4" s="541"/>
      <c r="J4" s="541"/>
      <c r="K4" s="541"/>
      <c r="L4" s="541"/>
      <c r="M4" s="407"/>
      <c r="N4" s="407"/>
      <c r="O4" s="268"/>
    </row>
    <row r="5" spans="1:15">
      <c r="A5" s="269" t="s">
        <v>578</v>
      </c>
      <c r="B5" s="194">
        <v>4.63</v>
      </c>
      <c r="C5" s="194"/>
      <c r="D5" s="194"/>
      <c r="E5" s="194"/>
      <c r="F5" s="193"/>
      <c r="G5" s="268"/>
      <c r="H5" s="407"/>
      <c r="I5" s="407"/>
      <c r="J5" s="407"/>
      <c r="K5" s="135"/>
      <c r="L5" s="407"/>
      <c r="M5" s="407"/>
      <c r="N5" s="407"/>
      <c r="O5" s="268"/>
    </row>
    <row r="6" spans="1:15" ht="15.75">
      <c r="A6" s="269" t="s">
        <v>578</v>
      </c>
      <c r="B6" s="194">
        <v>4.63</v>
      </c>
      <c r="C6" s="194"/>
      <c r="D6" s="194"/>
      <c r="E6" s="194"/>
      <c r="F6" s="193"/>
      <c r="G6" s="268"/>
      <c r="H6" s="407"/>
      <c r="I6" s="542" t="s">
        <v>494</v>
      </c>
      <c r="J6" s="542"/>
      <c r="K6" s="542"/>
      <c r="L6" s="407"/>
      <c r="M6" s="407"/>
      <c r="N6" s="407"/>
      <c r="O6" s="268"/>
    </row>
    <row r="7" spans="1:15" ht="16.5" thickBot="1">
      <c r="A7" s="196" t="s">
        <v>579</v>
      </c>
      <c r="B7" s="197"/>
      <c r="C7" s="197"/>
      <c r="D7" s="197"/>
      <c r="E7" s="197"/>
      <c r="F7" s="198"/>
      <c r="G7" s="268"/>
      <c r="H7" s="407"/>
      <c r="I7" s="407"/>
      <c r="J7" s="250" t="s">
        <v>246</v>
      </c>
      <c r="K7" s="264" t="s">
        <v>495</v>
      </c>
      <c r="L7" s="250" t="s">
        <v>496</v>
      </c>
      <c r="M7" s="250" t="s">
        <v>497</v>
      </c>
      <c r="N7" s="407"/>
      <c r="O7" s="268"/>
    </row>
    <row r="8" spans="1:15" ht="15.75">
      <c r="A8" s="199" t="s">
        <v>580</v>
      </c>
      <c r="B8" s="200">
        <v>10.5</v>
      </c>
      <c r="C8" s="200"/>
      <c r="D8" s="200"/>
      <c r="E8" s="200">
        <v>23</v>
      </c>
      <c r="F8" s="199" t="s">
        <v>581</v>
      </c>
      <c r="G8" s="268"/>
      <c r="H8" s="407"/>
      <c r="I8" s="407"/>
      <c r="J8" s="250">
        <v>8</v>
      </c>
      <c r="K8" s="264" t="s">
        <v>582</v>
      </c>
      <c r="L8" s="250">
        <v>140</v>
      </c>
      <c r="M8" s="251">
        <v>1120</v>
      </c>
      <c r="N8" s="407"/>
      <c r="O8" s="268">
        <f>L8/0.85/120</f>
        <v>1.3725490196078431</v>
      </c>
    </row>
    <row r="9" spans="1:15" ht="15.75">
      <c r="A9" s="199" t="s">
        <v>583</v>
      </c>
      <c r="B9" s="200">
        <v>10.5</v>
      </c>
      <c r="C9" s="200"/>
      <c r="D9" s="200"/>
      <c r="E9" s="200">
        <v>23</v>
      </c>
      <c r="F9" s="199" t="s">
        <v>584</v>
      </c>
      <c r="G9" s="268"/>
      <c r="H9" s="407"/>
      <c r="I9" s="407"/>
      <c r="J9" s="250">
        <v>4</v>
      </c>
      <c r="K9" s="264" t="s">
        <v>585</v>
      </c>
      <c r="L9" s="250">
        <v>157</v>
      </c>
      <c r="M9" s="250">
        <v>628</v>
      </c>
      <c r="N9" s="407"/>
      <c r="O9" s="268">
        <f t="shared" ref="O9:O23" si="0">L9/0.85/120</f>
        <v>1.5392156862745099</v>
      </c>
    </row>
    <row r="10" spans="1:15" ht="15.75">
      <c r="A10" s="199" t="s">
        <v>586</v>
      </c>
      <c r="B10" s="200">
        <v>10.5</v>
      </c>
      <c r="C10" s="200"/>
      <c r="D10" s="200"/>
      <c r="E10" s="200">
        <v>23</v>
      </c>
      <c r="F10" s="199" t="s">
        <v>587</v>
      </c>
      <c r="G10" s="268"/>
      <c r="H10" s="407"/>
      <c r="I10" s="407"/>
      <c r="J10" s="250">
        <v>1</v>
      </c>
      <c r="K10" s="264" t="s">
        <v>588</v>
      </c>
      <c r="L10" s="250">
        <v>140</v>
      </c>
      <c r="M10" s="250">
        <v>140</v>
      </c>
      <c r="N10" s="407"/>
      <c r="O10" s="268">
        <f t="shared" si="0"/>
        <v>1.3725490196078431</v>
      </c>
    </row>
    <row r="11" spans="1:15" ht="15.75">
      <c r="A11" s="199" t="s">
        <v>589</v>
      </c>
      <c r="B11" s="200">
        <v>10.5</v>
      </c>
      <c r="C11" s="200"/>
      <c r="D11" s="200"/>
      <c r="E11" s="200">
        <v>23</v>
      </c>
      <c r="F11" s="199" t="s">
        <v>590</v>
      </c>
      <c r="G11" s="268"/>
      <c r="H11" s="407"/>
      <c r="I11" s="407"/>
      <c r="J11" s="250">
        <v>1</v>
      </c>
      <c r="K11" s="264" t="s">
        <v>591</v>
      </c>
      <c r="L11" s="250">
        <v>157</v>
      </c>
      <c r="M11" s="250">
        <v>157</v>
      </c>
      <c r="N11" s="407"/>
      <c r="O11" s="268">
        <f t="shared" si="0"/>
        <v>1.5392156862745099</v>
      </c>
    </row>
    <row r="12" spans="1:15" ht="15.75">
      <c r="A12" s="199" t="s">
        <v>592</v>
      </c>
      <c r="B12" s="200">
        <v>2</v>
      </c>
      <c r="C12" s="200"/>
      <c r="D12" s="200"/>
      <c r="E12" s="200">
        <v>25</v>
      </c>
      <c r="F12" s="199" t="s">
        <v>593</v>
      </c>
      <c r="G12" s="268"/>
      <c r="H12" s="407"/>
      <c r="I12" s="407"/>
      <c r="J12" s="250">
        <v>1</v>
      </c>
      <c r="K12" s="264" t="s">
        <v>594</v>
      </c>
      <c r="L12" s="250">
        <v>140</v>
      </c>
      <c r="M12" s="250">
        <v>140</v>
      </c>
      <c r="N12" s="407"/>
      <c r="O12" s="268">
        <f t="shared" si="0"/>
        <v>1.3725490196078431</v>
      </c>
    </row>
    <row r="13" spans="1:15" ht="15.75">
      <c r="A13" s="199" t="s">
        <v>595</v>
      </c>
      <c r="B13" s="200">
        <v>2</v>
      </c>
      <c r="C13" s="200"/>
      <c r="D13" s="200"/>
      <c r="E13" s="200">
        <v>25</v>
      </c>
      <c r="F13" s="199" t="s">
        <v>596</v>
      </c>
      <c r="G13" s="268"/>
      <c r="H13" s="407"/>
      <c r="I13" s="407"/>
      <c r="J13" s="250">
        <v>1</v>
      </c>
      <c r="K13" s="264" t="s">
        <v>597</v>
      </c>
      <c r="L13" s="250">
        <v>985</v>
      </c>
      <c r="M13" s="250">
        <v>985</v>
      </c>
      <c r="N13" s="407"/>
      <c r="O13" s="268">
        <f t="shared" si="0"/>
        <v>9.6568627450980387</v>
      </c>
    </row>
    <row r="14" spans="1:15" ht="16.5" thickBot="1">
      <c r="A14" s="201" t="s">
        <v>598</v>
      </c>
      <c r="B14" s="202"/>
      <c r="C14" s="202"/>
      <c r="D14" s="202"/>
      <c r="E14" s="202"/>
      <c r="F14" s="203"/>
      <c r="G14" s="268"/>
      <c r="H14" s="407"/>
      <c r="I14" s="407"/>
      <c r="J14" s="250">
        <v>1</v>
      </c>
      <c r="K14" s="264" t="s">
        <v>599</v>
      </c>
      <c r="L14" s="250">
        <v>140</v>
      </c>
      <c r="M14" s="250">
        <v>140</v>
      </c>
      <c r="N14" s="407"/>
      <c r="O14" s="268">
        <f t="shared" si="0"/>
        <v>1.3725490196078431</v>
      </c>
    </row>
    <row r="15" spans="1:15" ht="15.75">
      <c r="A15" s="199" t="s">
        <v>600</v>
      </c>
      <c r="B15" s="200"/>
      <c r="C15" s="200"/>
      <c r="D15" s="200"/>
      <c r="E15" s="200">
        <v>2.2999999999999998</v>
      </c>
      <c r="F15" s="199"/>
      <c r="G15" s="268"/>
      <c r="H15" s="407"/>
      <c r="I15" s="407"/>
      <c r="J15" s="250">
        <v>1</v>
      </c>
      <c r="K15" s="264" t="s">
        <v>601</v>
      </c>
      <c r="L15" s="250">
        <v>157</v>
      </c>
      <c r="M15" s="250">
        <v>157</v>
      </c>
      <c r="N15" s="407"/>
      <c r="O15" s="268">
        <f t="shared" si="0"/>
        <v>1.5392156862745099</v>
      </c>
    </row>
    <row r="16" spans="1:15" ht="15.75">
      <c r="A16" s="199" t="s">
        <v>602</v>
      </c>
      <c r="B16" s="200">
        <v>12.6</v>
      </c>
      <c r="C16" s="200"/>
      <c r="D16" s="200"/>
      <c r="E16" s="200"/>
      <c r="F16" s="199"/>
      <c r="G16" s="268"/>
      <c r="H16" s="407"/>
      <c r="I16" s="407"/>
      <c r="J16" s="250">
        <v>2</v>
      </c>
      <c r="K16" s="264" t="s">
        <v>603</v>
      </c>
      <c r="L16" s="250">
        <v>140</v>
      </c>
      <c r="M16" s="250">
        <v>280</v>
      </c>
      <c r="N16" s="407"/>
      <c r="O16" s="268">
        <f t="shared" si="0"/>
        <v>1.3725490196078431</v>
      </c>
    </row>
    <row r="17" spans="1:15" ht="15.75">
      <c r="A17" s="199" t="s">
        <v>604</v>
      </c>
      <c r="B17" s="200"/>
      <c r="C17" s="200"/>
      <c r="D17" s="200"/>
      <c r="E17" s="200"/>
      <c r="F17" s="199" t="s">
        <v>605</v>
      </c>
      <c r="G17" s="268"/>
      <c r="H17" s="407"/>
      <c r="I17" s="407"/>
      <c r="J17" s="250">
        <v>2</v>
      </c>
      <c r="K17" s="264" t="s">
        <v>606</v>
      </c>
      <c r="L17" s="250">
        <v>157</v>
      </c>
      <c r="M17" s="250">
        <v>314</v>
      </c>
      <c r="N17" s="407"/>
      <c r="O17" s="268">
        <f t="shared" si="0"/>
        <v>1.5392156862745099</v>
      </c>
    </row>
    <row r="18" spans="1:15" ht="15.75">
      <c r="A18" s="199" t="s">
        <v>607</v>
      </c>
      <c r="B18" s="200">
        <v>12.6</v>
      </c>
      <c r="C18" s="200"/>
      <c r="D18" s="200"/>
      <c r="E18" s="200">
        <v>2.2999999999999998</v>
      </c>
      <c r="F18" s="199"/>
      <c r="G18" s="268"/>
      <c r="H18" s="407"/>
      <c r="I18" s="407"/>
      <c r="J18" s="250">
        <v>1</v>
      </c>
      <c r="K18" s="264" t="s">
        <v>608</v>
      </c>
      <c r="L18" s="250">
        <v>140</v>
      </c>
      <c r="M18" s="250">
        <v>140</v>
      </c>
      <c r="N18" s="407"/>
      <c r="O18" s="268">
        <f t="shared" si="0"/>
        <v>1.3725490196078431</v>
      </c>
    </row>
    <row r="19" spans="1:15" ht="15.75">
      <c r="A19" s="199" t="s">
        <v>609</v>
      </c>
      <c r="B19" s="200"/>
      <c r="C19" s="200"/>
      <c r="D19" s="200"/>
      <c r="E19" s="200"/>
      <c r="F19" s="199"/>
      <c r="G19" s="268"/>
      <c r="H19" s="407"/>
      <c r="I19" s="407"/>
      <c r="J19" s="250">
        <v>1</v>
      </c>
      <c r="K19" s="264" t="s">
        <v>610</v>
      </c>
      <c r="L19" s="250">
        <v>293</v>
      </c>
      <c r="M19" s="250">
        <v>293</v>
      </c>
      <c r="N19" s="407"/>
      <c r="O19" s="268">
        <f t="shared" si="0"/>
        <v>2.8725490196078431</v>
      </c>
    </row>
    <row r="20" spans="1:15" ht="15.75">
      <c r="A20" s="199" t="s">
        <v>611</v>
      </c>
      <c r="B20" s="200"/>
      <c r="C20" s="200"/>
      <c r="D20" s="200"/>
      <c r="E20" s="200"/>
      <c r="F20" s="199" t="str">
        <f>F17</f>
        <v>assuming motor engages after a close command - Valley shows AC motor</v>
      </c>
      <c r="G20" s="268"/>
      <c r="H20" s="407"/>
      <c r="I20" s="407"/>
      <c r="J20" s="250">
        <v>1</v>
      </c>
      <c r="K20" s="264" t="s">
        <v>612</v>
      </c>
      <c r="L20" s="250">
        <v>830</v>
      </c>
      <c r="M20" s="250">
        <v>830</v>
      </c>
      <c r="N20" s="407"/>
      <c r="O20" s="268">
        <f t="shared" si="0"/>
        <v>8.1372549019607838</v>
      </c>
    </row>
    <row r="21" spans="1:15" ht="15.75">
      <c r="A21" s="199" t="s">
        <v>613</v>
      </c>
      <c r="B21" s="200"/>
      <c r="C21" s="200"/>
      <c r="D21" s="200"/>
      <c r="E21" s="200">
        <v>2.2999999999999998</v>
      </c>
      <c r="F21" s="199"/>
      <c r="G21" s="268"/>
      <c r="H21" s="407"/>
      <c r="I21" s="407"/>
      <c r="J21" s="250">
        <v>1</v>
      </c>
      <c r="K21" s="264" t="s">
        <v>204</v>
      </c>
      <c r="L21" s="250">
        <v>360</v>
      </c>
      <c r="M21" s="250">
        <v>360</v>
      </c>
      <c r="N21" s="407"/>
      <c r="O21" s="268">
        <f t="shared" si="0"/>
        <v>3.5294117647058827</v>
      </c>
    </row>
    <row r="22" spans="1:15" ht="15.75">
      <c r="A22" s="199" t="s">
        <v>614</v>
      </c>
      <c r="B22" s="200">
        <v>12.6</v>
      </c>
      <c r="C22" s="200"/>
      <c r="D22" s="200"/>
      <c r="E22" s="200"/>
      <c r="F22" s="199"/>
      <c r="G22" s="268"/>
      <c r="H22" s="407"/>
      <c r="I22" s="407"/>
      <c r="J22" s="250">
        <v>4</v>
      </c>
      <c r="K22" s="264" t="s">
        <v>205</v>
      </c>
      <c r="L22" s="250">
        <v>120</v>
      </c>
      <c r="M22" s="250">
        <v>480</v>
      </c>
      <c r="N22" s="407"/>
      <c r="O22" s="268">
        <f t="shared" si="0"/>
        <v>1.1764705882352942</v>
      </c>
    </row>
    <row r="23" spans="1:15" ht="15.75">
      <c r="A23" s="199" t="s">
        <v>615</v>
      </c>
      <c r="B23" s="200"/>
      <c r="C23" s="200"/>
      <c r="D23" s="200"/>
      <c r="E23" s="200"/>
      <c r="F23" s="199" t="str">
        <f>F17</f>
        <v>assuming motor engages after a close command - Valley shows AC motor</v>
      </c>
      <c r="G23" s="268"/>
      <c r="H23" s="407"/>
      <c r="I23" s="407"/>
      <c r="J23" s="250">
        <v>1</v>
      </c>
      <c r="K23" s="264" t="s">
        <v>616</v>
      </c>
      <c r="L23" s="250">
        <v>200</v>
      </c>
      <c r="M23" s="250">
        <v>200</v>
      </c>
      <c r="N23" s="407"/>
      <c r="O23" s="268">
        <f t="shared" si="0"/>
        <v>1.9607843137254903</v>
      </c>
    </row>
    <row r="24" spans="1:15" ht="13.5" thickBot="1">
      <c r="A24" s="201" t="s">
        <v>617</v>
      </c>
      <c r="B24" s="202"/>
      <c r="C24" s="202"/>
      <c r="D24" s="202"/>
      <c r="E24" s="202"/>
      <c r="F24" s="203"/>
      <c r="G24" s="268"/>
      <c r="H24" s="407"/>
      <c r="I24" s="407"/>
      <c r="J24" s="407"/>
      <c r="K24" s="135"/>
      <c r="L24" s="410"/>
      <c r="M24" s="410"/>
      <c r="N24" s="407"/>
      <c r="O24" s="268"/>
    </row>
    <row r="25" spans="1:15" ht="15.75">
      <c r="A25" s="199" t="s">
        <v>618</v>
      </c>
      <c r="B25" s="200">
        <v>8</v>
      </c>
      <c r="C25" s="200">
        <v>8</v>
      </c>
      <c r="D25" s="200">
        <v>8</v>
      </c>
      <c r="E25" s="200">
        <v>8</v>
      </c>
      <c r="F25" s="199"/>
      <c r="G25" s="268"/>
      <c r="H25" s="407"/>
      <c r="I25" s="407"/>
      <c r="J25" s="407"/>
      <c r="K25" s="265" t="s">
        <v>548</v>
      </c>
      <c r="L25" s="410"/>
      <c r="M25" s="252">
        <v>6364</v>
      </c>
      <c r="N25" s="413" t="s">
        <v>511</v>
      </c>
      <c r="O25" s="268"/>
    </row>
    <row r="26" spans="1:15">
      <c r="A26" s="199" t="s">
        <v>619</v>
      </c>
      <c r="B26" s="200"/>
      <c r="C26" s="200"/>
      <c r="D26" s="200"/>
      <c r="E26" s="200"/>
      <c r="F26" s="199"/>
      <c r="G26" s="268"/>
      <c r="H26" s="407"/>
      <c r="I26" s="407"/>
      <c r="J26" s="407"/>
      <c r="K26" s="135"/>
      <c r="L26" s="410"/>
      <c r="M26" s="410"/>
      <c r="N26" s="407"/>
      <c r="O26" s="268"/>
    </row>
    <row r="27" spans="1:15" ht="15.75">
      <c r="A27" s="199" t="s">
        <v>620</v>
      </c>
      <c r="B27" s="200">
        <v>3</v>
      </c>
      <c r="C27" s="200">
        <v>3</v>
      </c>
      <c r="D27" s="200">
        <v>3</v>
      </c>
      <c r="E27" s="200">
        <v>3</v>
      </c>
      <c r="F27" s="199"/>
      <c r="G27" s="268"/>
      <c r="H27" s="407"/>
      <c r="I27" s="542" t="s">
        <v>621</v>
      </c>
      <c r="J27" s="542"/>
      <c r="K27" s="542"/>
      <c r="L27" s="410"/>
      <c r="M27" s="410"/>
      <c r="N27" s="407"/>
      <c r="O27" s="268"/>
    </row>
    <row r="28" spans="1:15" ht="15.75">
      <c r="A28" s="199" t="s">
        <v>622</v>
      </c>
      <c r="B28" s="200">
        <v>3</v>
      </c>
      <c r="C28" s="200">
        <v>3</v>
      </c>
      <c r="D28" s="200">
        <v>3</v>
      </c>
      <c r="E28" s="200">
        <v>3</v>
      </c>
      <c r="F28" s="199"/>
      <c r="G28" s="268"/>
      <c r="H28" s="407"/>
      <c r="I28" s="407"/>
      <c r="J28" s="250" t="s">
        <v>246</v>
      </c>
      <c r="K28" s="264" t="s">
        <v>495</v>
      </c>
      <c r="L28" s="250" t="s">
        <v>496</v>
      </c>
      <c r="M28" s="250" t="s">
        <v>497</v>
      </c>
      <c r="N28" s="407"/>
      <c r="O28" s="268"/>
    </row>
    <row r="29" spans="1:15" ht="15.75">
      <c r="A29" s="199" t="s">
        <v>623</v>
      </c>
      <c r="B29" s="200">
        <v>3</v>
      </c>
      <c r="C29" s="200">
        <v>3</v>
      </c>
      <c r="D29" s="200">
        <v>3</v>
      </c>
      <c r="E29" s="200">
        <v>3</v>
      </c>
      <c r="F29" s="199"/>
      <c r="G29" s="268"/>
      <c r="H29" s="407"/>
      <c r="I29" s="407"/>
      <c r="J29" s="250">
        <v>1</v>
      </c>
      <c r="K29" s="264" t="s">
        <v>624</v>
      </c>
      <c r="L29" s="250">
        <v>5000</v>
      </c>
      <c r="M29" s="250">
        <v>5000</v>
      </c>
      <c r="N29" s="407"/>
      <c r="O29" s="268">
        <f>L29/0.85/120</f>
        <v>49.019607843137258</v>
      </c>
    </row>
    <row r="30" spans="1:15" ht="15.75">
      <c r="A30" s="199" t="s">
        <v>625</v>
      </c>
      <c r="B30" s="200">
        <v>3</v>
      </c>
      <c r="C30" s="200">
        <v>3</v>
      </c>
      <c r="D30" s="200">
        <v>3</v>
      </c>
      <c r="E30" s="200">
        <v>3</v>
      </c>
      <c r="F30" s="199"/>
      <c r="G30" s="268"/>
      <c r="H30" s="407"/>
      <c r="I30" s="407"/>
      <c r="J30" s="250">
        <v>3</v>
      </c>
      <c r="K30" s="264" t="s">
        <v>626</v>
      </c>
      <c r="L30" s="250">
        <v>216</v>
      </c>
      <c r="M30" s="250">
        <v>648</v>
      </c>
      <c r="N30" s="407"/>
      <c r="O30" s="268">
        <f>L30/0.85/120</f>
        <v>2.1176470588235294</v>
      </c>
    </row>
    <row r="31" spans="1:15" ht="15.75">
      <c r="A31" s="199" t="s">
        <v>627</v>
      </c>
      <c r="B31" s="200">
        <v>3</v>
      </c>
      <c r="C31" s="200">
        <v>3</v>
      </c>
      <c r="D31" s="200">
        <v>3</v>
      </c>
      <c r="E31" s="200">
        <v>3</v>
      </c>
      <c r="F31" s="199"/>
      <c r="G31" s="268"/>
      <c r="H31" s="407"/>
      <c r="I31" s="407"/>
      <c r="J31" s="250">
        <v>1</v>
      </c>
      <c r="K31" s="264" t="s">
        <v>628</v>
      </c>
      <c r="L31" s="250">
        <v>745</v>
      </c>
      <c r="M31" s="250">
        <v>745</v>
      </c>
      <c r="N31" s="407"/>
      <c r="O31" s="268">
        <f>L31/0.85/120</f>
        <v>7.3039215686274508</v>
      </c>
    </row>
    <row r="32" spans="1:15">
      <c r="A32" s="199" t="s">
        <v>180</v>
      </c>
      <c r="B32" s="200">
        <v>825</v>
      </c>
      <c r="C32" s="200">
        <v>275</v>
      </c>
      <c r="D32" s="200">
        <v>0</v>
      </c>
      <c r="E32" s="200">
        <v>0</v>
      </c>
      <c r="F32" s="199" t="s">
        <v>629</v>
      </c>
      <c r="G32" s="268"/>
      <c r="H32" s="407"/>
      <c r="I32" s="407"/>
      <c r="J32" s="410"/>
      <c r="K32" s="135"/>
      <c r="L32" s="410"/>
      <c r="M32" s="410"/>
      <c r="N32" s="407"/>
      <c r="O32" s="268"/>
    </row>
    <row r="33" spans="1:15" ht="15.75">
      <c r="A33" s="199" t="s">
        <v>181</v>
      </c>
      <c r="B33" s="200">
        <v>20</v>
      </c>
      <c r="C33" s="200">
        <v>2</v>
      </c>
      <c r="D33" s="200">
        <v>2</v>
      </c>
      <c r="E33" s="200">
        <v>2</v>
      </c>
      <c r="F33" s="199" t="s">
        <v>630</v>
      </c>
      <c r="G33" s="268"/>
      <c r="H33" s="407"/>
      <c r="I33" s="407"/>
      <c r="J33" s="407"/>
      <c r="K33" s="543" t="s">
        <v>631</v>
      </c>
      <c r="L33" s="543"/>
      <c r="M33" s="252">
        <v>6393</v>
      </c>
      <c r="N33" s="413" t="s">
        <v>511</v>
      </c>
      <c r="O33" s="268"/>
    </row>
    <row r="34" spans="1:15">
      <c r="A34" s="199" t="s">
        <v>182</v>
      </c>
      <c r="B34" s="200">
        <v>3</v>
      </c>
      <c r="C34" s="200">
        <v>3</v>
      </c>
      <c r="D34" s="200">
        <v>3</v>
      </c>
      <c r="E34" s="200">
        <v>3</v>
      </c>
      <c r="F34" s="199" t="s">
        <v>632</v>
      </c>
      <c r="G34" s="268"/>
      <c r="H34" s="407"/>
      <c r="I34" s="407"/>
      <c r="J34" s="407"/>
      <c r="K34" s="135"/>
      <c r="L34" s="410"/>
      <c r="M34" s="410"/>
      <c r="N34" s="407"/>
      <c r="O34" s="268"/>
    </row>
    <row r="35" spans="1:15" ht="15.75">
      <c r="A35" s="199" t="s">
        <v>183</v>
      </c>
      <c r="B35" s="200">
        <v>3</v>
      </c>
      <c r="C35" s="200">
        <v>3</v>
      </c>
      <c r="D35" s="200">
        <v>3</v>
      </c>
      <c r="E35" s="200">
        <v>3</v>
      </c>
      <c r="F35" s="199" t="s">
        <v>632</v>
      </c>
      <c r="G35" s="268"/>
      <c r="H35" s="407"/>
      <c r="I35" s="542" t="s">
        <v>633</v>
      </c>
      <c r="J35" s="542"/>
      <c r="K35" s="542"/>
      <c r="L35" s="410"/>
      <c r="M35" s="410"/>
      <c r="N35" s="407"/>
      <c r="O35" s="268"/>
    </row>
    <row r="36" spans="1:15" ht="15.75">
      <c r="A36" s="199" t="s">
        <v>184</v>
      </c>
      <c r="B36" s="200">
        <v>1</v>
      </c>
      <c r="C36" s="200">
        <v>1</v>
      </c>
      <c r="D36" s="200">
        <v>1</v>
      </c>
      <c r="E36" s="200">
        <v>1</v>
      </c>
      <c r="F36" s="199" t="s">
        <v>634</v>
      </c>
      <c r="G36" s="268"/>
      <c r="H36" s="407"/>
      <c r="I36" s="407"/>
      <c r="J36" s="250" t="s">
        <v>246</v>
      </c>
      <c r="K36" s="264" t="s">
        <v>495</v>
      </c>
      <c r="L36" s="250" t="s">
        <v>496</v>
      </c>
      <c r="M36" s="250" t="s">
        <v>497</v>
      </c>
      <c r="N36" s="407"/>
      <c r="O36" s="268"/>
    </row>
    <row r="37" spans="1:15" ht="15.75">
      <c r="A37" s="199" t="s">
        <v>185</v>
      </c>
      <c r="B37" s="200">
        <v>1</v>
      </c>
      <c r="C37" s="200">
        <v>1</v>
      </c>
      <c r="D37" s="200">
        <v>1</v>
      </c>
      <c r="E37" s="200">
        <v>1</v>
      </c>
      <c r="F37" s="199" t="s">
        <v>634</v>
      </c>
      <c r="G37" s="268"/>
      <c r="H37" s="407"/>
      <c r="I37" s="407"/>
      <c r="J37" s="250">
        <v>1</v>
      </c>
      <c r="K37" s="264" t="s">
        <v>624</v>
      </c>
      <c r="L37" s="250">
        <v>5000</v>
      </c>
      <c r="M37" s="250">
        <v>5000</v>
      </c>
      <c r="N37" s="407"/>
      <c r="O37" s="268">
        <f>L37/0.85/120</f>
        <v>49.019607843137258</v>
      </c>
    </row>
    <row r="38" spans="1:15" ht="15.75">
      <c r="A38" s="199" t="s">
        <v>186</v>
      </c>
      <c r="B38" s="200">
        <v>1</v>
      </c>
      <c r="C38" s="200">
        <v>1</v>
      </c>
      <c r="D38" s="200">
        <v>1</v>
      </c>
      <c r="E38" s="200">
        <v>1</v>
      </c>
      <c r="F38" s="199" t="s">
        <v>634</v>
      </c>
      <c r="G38" s="268"/>
      <c r="H38" s="407"/>
      <c r="I38" s="407"/>
      <c r="J38" s="250">
        <v>3</v>
      </c>
      <c r="K38" s="264" t="s">
        <v>626</v>
      </c>
      <c r="L38" s="250">
        <v>216</v>
      </c>
      <c r="M38" s="250">
        <v>648</v>
      </c>
      <c r="N38" s="407"/>
      <c r="O38" s="268">
        <f>L38/0.85/120</f>
        <v>2.1176470588235294</v>
      </c>
    </row>
    <row r="39" spans="1:15" ht="15.75">
      <c r="A39" s="199" t="s">
        <v>91</v>
      </c>
      <c r="B39" s="200">
        <v>39</v>
      </c>
      <c r="C39" s="200">
        <v>39</v>
      </c>
      <c r="D39" s="200">
        <v>39</v>
      </c>
      <c r="E39" s="200">
        <v>39</v>
      </c>
      <c r="F39" s="199"/>
      <c r="G39" s="268"/>
      <c r="H39" s="407"/>
      <c r="I39" s="407"/>
      <c r="J39" s="250">
        <v>1</v>
      </c>
      <c r="K39" s="264" t="s">
        <v>628</v>
      </c>
      <c r="L39" s="250">
        <v>745</v>
      </c>
      <c r="M39" s="250">
        <v>745</v>
      </c>
      <c r="N39" s="407"/>
      <c r="O39" s="268">
        <f>L39/0.85/120</f>
        <v>7.3039215686274508</v>
      </c>
    </row>
    <row r="40" spans="1:15">
      <c r="A40" s="199" t="s">
        <v>635</v>
      </c>
      <c r="B40" s="200">
        <v>100</v>
      </c>
      <c r="C40" s="200">
        <v>10</v>
      </c>
      <c r="D40" s="200">
        <v>10</v>
      </c>
      <c r="E40" s="200">
        <v>100</v>
      </c>
      <c r="F40" s="199"/>
      <c r="G40" s="268"/>
      <c r="H40" s="407"/>
      <c r="I40" s="407"/>
      <c r="J40" s="410"/>
      <c r="K40" s="135"/>
      <c r="L40" s="410"/>
      <c r="M40" s="410"/>
      <c r="N40" s="407"/>
      <c r="O40" s="268"/>
    </row>
    <row r="41" spans="1:15" ht="16.5" thickBot="1">
      <c r="A41" s="199" t="s">
        <v>636</v>
      </c>
      <c r="B41" s="204">
        <f>(($B$56*0.95)/$B$57)/120</f>
        <v>351.85185185185185</v>
      </c>
      <c r="C41" s="204">
        <f>(($B$56*0.95)/$B$57)/120</f>
        <v>351.85185185185185</v>
      </c>
      <c r="D41" s="204">
        <f>(($B$56*0.95)/$B$57)/120</f>
        <v>351.85185185185185</v>
      </c>
      <c r="E41" s="204">
        <f>(($B$56*0.95)/$B$57)/120</f>
        <v>351.85185185185185</v>
      </c>
      <c r="F41" s="199" t="s">
        <v>637</v>
      </c>
      <c r="G41" s="268"/>
      <c r="H41" s="407"/>
      <c r="I41" s="407"/>
      <c r="J41" s="407"/>
      <c r="K41" s="543" t="s">
        <v>638</v>
      </c>
      <c r="L41" s="543"/>
      <c r="M41" s="252">
        <v>6393</v>
      </c>
      <c r="N41" s="413" t="s">
        <v>511</v>
      </c>
      <c r="O41" s="268"/>
    </row>
    <row r="42" spans="1:15">
      <c r="A42" s="205" t="s">
        <v>639</v>
      </c>
      <c r="B42" s="206">
        <f>SUM(B4:B41)</f>
        <v>1465.5418518518518</v>
      </c>
      <c r="C42" s="206">
        <f>SUM(C4:C41)</f>
        <v>709.85185185185185</v>
      </c>
      <c r="D42" s="206">
        <f>SUM(D5:D41)</f>
        <v>434.85185185185185</v>
      </c>
      <c r="E42" s="206">
        <f>SUM(E5:E41)</f>
        <v>673.75185185185182</v>
      </c>
      <c r="F42" s="205"/>
      <c r="G42" s="268"/>
      <c r="H42" s="407"/>
      <c r="I42" s="407"/>
      <c r="J42" s="407"/>
      <c r="K42" s="135"/>
      <c r="L42" s="410"/>
      <c r="M42" s="410"/>
      <c r="N42" s="407"/>
      <c r="O42" s="268"/>
    </row>
    <row r="43" spans="1:15" ht="15.75">
      <c r="A43" s="272" t="s">
        <v>640</v>
      </c>
      <c r="B43" s="207">
        <v>1</v>
      </c>
      <c r="C43" s="207">
        <v>119</v>
      </c>
      <c r="D43" s="207">
        <v>119</v>
      </c>
      <c r="E43" s="207">
        <v>1</v>
      </c>
      <c r="F43" s="269"/>
      <c r="G43" s="268"/>
      <c r="H43" s="407"/>
      <c r="I43" s="542" t="s">
        <v>641</v>
      </c>
      <c r="J43" s="542"/>
      <c r="K43" s="135"/>
      <c r="L43" s="410"/>
      <c r="M43" s="410"/>
      <c r="N43" s="407"/>
      <c r="O43" s="268"/>
    </row>
    <row r="44" spans="1:15" ht="15.75">
      <c r="A44" s="80" t="s">
        <v>642</v>
      </c>
      <c r="B44" s="208">
        <f>B42*(B43/60)</f>
        <v>24.425697530864195</v>
      </c>
      <c r="C44" s="208">
        <f>C42*(C43/60)</f>
        <v>1407.8728395061728</v>
      </c>
      <c r="D44" s="208">
        <f>D42*(D43/60)</f>
        <v>862.45617283950617</v>
      </c>
      <c r="E44" s="208">
        <f>E42*(E43/60)</f>
        <v>11.229197530864196</v>
      </c>
      <c r="F44" s="269"/>
      <c r="G44" s="268"/>
      <c r="H44" s="407"/>
      <c r="I44" s="407"/>
      <c r="J44" s="250" t="s">
        <v>246</v>
      </c>
      <c r="K44" s="264" t="s">
        <v>495</v>
      </c>
      <c r="L44" s="250" t="s">
        <v>496</v>
      </c>
      <c r="M44" s="250" t="s">
        <v>497</v>
      </c>
      <c r="N44" s="407"/>
      <c r="O44" s="268"/>
    </row>
    <row r="45" spans="1:15" ht="15.75">
      <c r="A45" s="269"/>
      <c r="B45" s="269"/>
      <c r="C45" s="269"/>
      <c r="D45" s="269"/>
      <c r="E45" s="269"/>
      <c r="F45" s="269"/>
      <c r="G45" s="268"/>
      <c r="H45" s="407"/>
      <c r="I45" s="407"/>
      <c r="J45" s="250">
        <v>1</v>
      </c>
      <c r="K45" s="264" t="s">
        <v>541</v>
      </c>
      <c r="L45" s="250">
        <v>2000</v>
      </c>
      <c r="M45" s="250">
        <v>2000</v>
      </c>
      <c r="N45" s="407"/>
      <c r="O45" s="268">
        <f>L45/0.85/120</f>
        <v>19.607843137254903</v>
      </c>
    </row>
    <row r="46" spans="1:15" ht="15.75">
      <c r="A46" s="269"/>
      <c r="B46" s="269"/>
      <c r="C46" s="269"/>
      <c r="D46" s="269"/>
      <c r="E46" s="269"/>
      <c r="F46" s="269"/>
      <c r="G46" s="268"/>
      <c r="H46" s="407"/>
      <c r="I46" s="407"/>
      <c r="J46" s="250">
        <v>4</v>
      </c>
      <c r="K46" s="264" t="s">
        <v>205</v>
      </c>
      <c r="L46" s="250">
        <v>120</v>
      </c>
      <c r="M46" s="250">
        <v>480</v>
      </c>
      <c r="N46" s="407"/>
      <c r="O46" s="268">
        <f>L46/0.85/120</f>
        <v>1.1764705882352942</v>
      </c>
    </row>
    <row r="47" spans="1:15">
      <c r="A47" s="269"/>
      <c r="B47" s="269"/>
      <c r="C47" s="269" t="s">
        <v>643</v>
      </c>
      <c r="D47" s="269"/>
      <c r="E47" s="269"/>
      <c r="F47" s="269"/>
      <c r="G47" s="268"/>
      <c r="H47" s="407"/>
      <c r="I47" s="407"/>
      <c r="J47" s="410"/>
      <c r="K47" s="135"/>
      <c r="L47" s="410"/>
      <c r="M47" s="410"/>
      <c r="N47" s="407"/>
      <c r="O47" s="268"/>
    </row>
    <row r="48" spans="1:15" ht="15.75">
      <c r="A48" s="269"/>
      <c r="B48" s="269"/>
      <c r="C48" s="269" t="s">
        <v>644</v>
      </c>
      <c r="D48" s="269"/>
      <c r="E48" s="269"/>
      <c r="F48" s="269"/>
      <c r="G48" s="268"/>
      <c r="H48" s="407"/>
      <c r="I48" s="407"/>
      <c r="J48" s="407"/>
      <c r="K48" s="265" t="s">
        <v>645</v>
      </c>
      <c r="L48" s="410"/>
      <c r="M48" s="253">
        <v>2480</v>
      </c>
      <c r="N48" s="413" t="s">
        <v>511</v>
      </c>
      <c r="O48" s="268"/>
    </row>
    <row r="49" spans="1:15">
      <c r="A49" s="269"/>
      <c r="B49" s="269"/>
      <c r="C49" s="269" t="s">
        <v>69</v>
      </c>
      <c r="D49" s="269"/>
      <c r="E49" s="269"/>
      <c r="F49" s="269"/>
      <c r="G49" s="268"/>
      <c r="H49" s="407"/>
      <c r="I49" s="407"/>
      <c r="J49" s="407"/>
      <c r="K49" s="135"/>
      <c r="L49" s="410"/>
      <c r="M49" s="410"/>
      <c r="N49" s="407"/>
      <c r="O49" s="268"/>
    </row>
    <row r="50" spans="1:15">
      <c r="A50" s="269"/>
      <c r="B50" s="269"/>
      <c r="C50" s="269"/>
      <c r="D50" s="269"/>
      <c r="E50" s="269"/>
      <c r="F50" s="269"/>
      <c r="G50" s="268"/>
      <c r="H50" s="407"/>
      <c r="I50" s="407"/>
      <c r="J50" s="407"/>
      <c r="K50" s="135"/>
      <c r="L50" s="410"/>
      <c r="M50" s="410"/>
      <c r="N50" s="407"/>
      <c r="O50" s="268"/>
    </row>
    <row r="51" spans="1:15" ht="15.75">
      <c r="A51" s="269"/>
      <c r="B51" s="269"/>
      <c r="C51" s="272" t="s">
        <v>646</v>
      </c>
      <c r="D51" s="209">
        <f>SUM(B44:E44)</f>
        <v>2305.9839074074071</v>
      </c>
      <c r="E51" s="269"/>
      <c r="F51" s="269"/>
      <c r="G51" s="268"/>
      <c r="H51" s="407"/>
      <c r="I51" s="542" t="s">
        <v>647</v>
      </c>
      <c r="J51" s="542"/>
      <c r="K51" s="542"/>
      <c r="L51" s="410"/>
      <c r="M51" s="410"/>
      <c r="N51" s="407"/>
      <c r="O51" s="268"/>
    </row>
    <row r="52" spans="1:15" ht="15.75">
      <c r="A52" s="269"/>
      <c r="B52" s="269"/>
      <c r="C52" s="272" t="s">
        <v>648</v>
      </c>
      <c r="D52" s="210">
        <f>B41</f>
        <v>351.85185185185185</v>
      </c>
      <c r="E52" s="269"/>
      <c r="F52" s="269"/>
      <c r="G52" s="268"/>
      <c r="H52" s="407"/>
      <c r="I52" s="407"/>
      <c r="J52" s="250" t="s">
        <v>246</v>
      </c>
      <c r="K52" s="264" t="s">
        <v>495</v>
      </c>
      <c r="L52" s="250" t="s">
        <v>496</v>
      </c>
      <c r="M52" s="250" t="s">
        <v>497</v>
      </c>
      <c r="N52" s="407"/>
      <c r="O52" s="268"/>
    </row>
    <row r="53" spans="1:15" ht="15.75">
      <c r="A53" s="269"/>
      <c r="B53" s="269"/>
      <c r="C53" s="272" t="s">
        <v>649</v>
      </c>
      <c r="D53" s="211">
        <v>24</v>
      </c>
      <c r="E53" s="269"/>
      <c r="F53" s="269"/>
      <c r="G53" s="268"/>
      <c r="H53" s="407"/>
      <c r="I53" s="407"/>
      <c r="J53" s="250">
        <v>2</v>
      </c>
      <c r="K53" s="264" t="s">
        <v>650</v>
      </c>
      <c r="L53" s="250">
        <v>840</v>
      </c>
      <c r="M53" s="250">
        <v>1680</v>
      </c>
      <c r="N53" s="407"/>
      <c r="O53" s="268">
        <f>L53/0.85/120</f>
        <v>8.2352941176470598</v>
      </c>
    </row>
    <row r="54" spans="1:15" ht="15.75">
      <c r="A54" s="212" t="s">
        <v>651</v>
      </c>
      <c r="B54" s="207">
        <f>D52+(1.1*D51)/D53</f>
        <v>457.54278094135799</v>
      </c>
      <c r="C54" s="211" t="s">
        <v>652</v>
      </c>
      <c r="D54" s="210"/>
      <c r="E54" s="269"/>
      <c r="F54" s="269"/>
      <c r="G54" s="268"/>
      <c r="H54" s="407"/>
      <c r="I54" s="407"/>
      <c r="J54" s="250">
        <v>10</v>
      </c>
      <c r="K54" s="264" t="s">
        <v>653</v>
      </c>
      <c r="L54" s="250">
        <v>120</v>
      </c>
      <c r="M54" s="250">
        <v>1200</v>
      </c>
      <c r="N54" s="407"/>
      <c r="O54" s="268">
        <f>L54/0.85/120</f>
        <v>1.1764705882352942</v>
      </c>
    </row>
    <row r="55" spans="1:15" ht="15.75">
      <c r="A55" s="269"/>
      <c r="B55" s="269"/>
      <c r="C55" s="269"/>
      <c r="D55" s="269"/>
      <c r="E55" s="269"/>
      <c r="F55" s="269"/>
      <c r="G55" s="268"/>
      <c r="H55" s="407"/>
      <c r="I55" s="407"/>
      <c r="J55" s="250">
        <v>2</v>
      </c>
      <c r="K55" s="264" t="s">
        <v>654</v>
      </c>
      <c r="L55" s="250">
        <v>200</v>
      </c>
      <c r="M55" s="250">
        <v>400</v>
      </c>
      <c r="N55" s="407"/>
      <c r="O55" s="268">
        <f>L55/0.85/120</f>
        <v>1.9607843137254903</v>
      </c>
    </row>
    <row r="56" spans="1:15">
      <c r="A56" s="268" t="s">
        <v>655</v>
      </c>
      <c r="B56" s="268">
        <v>40000</v>
      </c>
      <c r="C56" s="268"/>
      <c r="D56" s="268"/>
      <c r="E56" s="268"/>
      <c r="F56" s="268"/>
      <c r="G56" s="268"/>
      <c r="H56" s="407"/>
      <c r="I56" s="407"/>
      <c r="J56" s="407"/>
      <c r="K56" s="135"/>
      <c r="L56" s="410"/>
      <c r="M56" s="410"/>
      <c r="N56" s="407"/>
      <c r="O56" s="268"/>
    </row>
    <row r="57" spans="1:15" ht="15.75">
      <c r="A57" s="213" t="s">
        <v>656</v>
      </c>
      <c r="B57" s="214">
        <v>0.9</v>
      </c>
      <c r="C57" s="213"/>
      <c r="D57" s="213"/>
      <c r="E57" s="213"/>
      <c r="F57" s="213"/>
      <c r="G57" s="268"/>
      <c r="H57" s="407"/>
      <c r="I57" s="407"/>
      <c r="J57" s="407"/>
      <c r="K57" s="543" t="s">
        <v>564</v>
      </c>
      <c r="L57" s="543"/>
      <c r="M57" s="252">
        <v>3280</v>
      </c>
      <c r="N57" s="413" t="s">
        <v>511</v>
      </c>
      <c r="O57" s="268"/>
    </row>
    <row r="58" spans="1:15">
      <c r="A58" s="268"/>
      <c r="B58" s="268"/>
      <c r="C58" s="268"/>
      <c r="D58" s="268"/>
      <c r="E58" s="268"/>
      <c r="F58" s="268"/>
      <c r="G58" s="268"/>
      <c r="H58" s="407"/>
      <c r="I58" s="407"/>
      <c r="J58" s="407"/>
      <c r="K58" s="135"/>
      <c r="L58" s="410"/>
      <c r="M58" s="410"/>
      <c r="N58" s="407"/>
      <c r="O58" s="268"/>
    </row>
    <row r="59" spans="1:15" ht="15.75">
      <c r="A59" s="268"/>
      <c r="B59" s="268"/>
      <c r="C59" s="268"/>
      <c r="D59" s="268"/>
      <c r="E59" s="268"/>
      <c r="F59" s="268"/>
      <c r="G59" s="268"/>
      <c r="H59" s="407"/>
      <c r="I59" s="407"/>
      <c r="J59" s="414" t="s">
        <v>565</v>
      </c>
      <c r="K59" s="135"/>
      <c r="L59" s="410"/>
      <c r="M59" s="410"/>
      <c r="N59" s="407"/>
      <c r="O59" s="268"/>
    </row>
    <row r="60" spans="1:15" ht="15.75">
      <c r="A60" s="268"/>
      <c r="B60" s="268"/>
      <c r="C60" s="268"/>
      <c r="D60" s="268"/>
      <c r="E60" s="268"/>
      <c r="F60" s="268"/>
      <c r="G60" s="268"/>
      <c r="H60" s="407"/>
      <c r="I60" s="407"/>
      <c r="J60" s="250" t="s">
        <v>246</v>
      </c>
      <c r="K60" s="264" t="s">
        <v>495</v>
      </c>
      <c r="L60" s="250" t="s">
        <v>496</v>
      </c>
      <c r="M60" s="250" t="s">
        <v>497</v>
      </c>
      <c r="N60" s="407"/>
      <c r="O60" s="268"/>
    </row>
    <row r="61" spans="1:15" ht="15.75">
      <c r="A61" s="268"/>
      <c r="B61" s="268"/>
      <c r="C61" s="268"/>
      <c r="D61" s="268"/>
      <c r="E61" s="268"/>
      <c r="F61" s="268"/>
      <c r="G61" s="268"/>
      <c r="H61" s="407"/>
      <c r="I61" s="407"/>
      <c r="J61" s="250">
        <v>1</v>
      </c>
      <c r="K61" s="264" t="s">
        <v>657</v>
      </c>
      <c r="L61" s="250">
        <v>2400</v>
      </c>
      <c r="M61" s="250">
        <v>2400</v>
      </c>
      <c r="N61" s="407"/>
      <c r="O61" s="268">
        <f>L61/0.85/120</f>
        <v>23.52941176470588</v>
      </c>
    </row>
    <row r="62" spans="1:15" ht="15.75">
      <c r="A62" s="268"/>
      <c r="B62" s="268"/>
      <c r="C62" s="268"/>
      <c r="D62" s="268"/>
      <c r="E62" s="268"/>
      <c r="F62" s="268"/>
      <c r="G62" s="268"/>
      <c r="H62" s="407"/>
      <c r="I62" s="407"/>
      <c r="J62" s="407"/>
      <c r="K62" s="265" t="s">
        <v>567</v>
      </c>
      <c r="L62" s="410"/>
      <c r="M62" s="252">
        <v>2400</v>
      </c>
      <c r="N62" s="413" t="s">
        <v>511</v>
      </c>
      <c r="O62" s="268"/>
    </row>
    <row r="63" spans="1:15" ht="13.5" thickBot="1">
      <c r="A63" s="268"/>
      <c r="B63" s="268"/>
      <c r="C63" s="268"/>
      <c r="D63" s="268"/>
      <c r="E63" s="268"/>
      <c r="F63" s="268"/>
      <c r="G63" s="268"/>
      <c r="H63" s="407"/>
      <c r="I63" s="407"/>
      <c r="J63" s="407"/>
      <c r="K63" s="135"/>
      <c r="L63" s="410"/>
      <c r="M63" s="410"/>
      <c r="N63" s="407"/>
      <c r="O63" s="268"/>
    </row>
    <row r="64" spans="1:15" ht="15.75">
      <c r="A64" s="268"/>
      <c r="B64" s="268"/>
      <c r="C64" s="268"/>
      <c r="D64" s="268"/>
      <c r="E64" s="268"/>
      <c r="F64" s="268"/>
      <c r="G64" s="268"/>
      <c r="H64" s="254"/>
      <c r="I64" s="544" t="s">
        <v>568</v>
      </c>
      <c r="J64" s="544"/>
      <c r="K64" s="544"/>
      <c r="L64" s="255"/>
      <c r="M64" s="256">
        <v>27310</v>
      </c>
      <c r="N64" s="257" t="s">
        <v>511</v>
      </c>
      <c r="O64" s="268"/>
    </row>
    <row r="65" spans="8:14" ht="15.75">
      <c r="H65" s="258"/>
      <c r="I65" s="543" t="s">
        <v>658</v>
      </c>
      <c r="J65" s="543"/>
      <c r="K65" s="135"/>
      <c r="L65" s="410"/>
      <c r="M65" s="259">
        <v>6827</v>
      </c>
      <c r="N65" s="260" t="s">
        <v>511</v>
      </c>
    </row>
    <row r="66" spans="8:14" ht="16.5" thickBot="1">
      <c r="H66" s="545" t="s">
        <v>544</v>
      </c>
      <c r="I66" s="546"/>
      <c r="J66" s="546"/>
      <c r="K66" s="546"/>
      <c r="L66" s="261"/>
      <c r="M66" s="262">
        <v>34137.5</v>
      </c>
      <c r="N66" s="263" t="s">
        <v>511</v>
      </c>
    </row>
  </sheetData>
  <mergeCells count="12">
    <mergeCell ref="I64:K64"/>
    <mergeCell ref="I65:J65"/>
    <mergeCell ref="H66:K66"/>
    <mergeCell ref="I35:K35"/>
    <mergeCell ref="K41:L41"/>
    <mergeCell ref="I43:J43"/>
    <mergeCell ref="I51:K51"/>
    <mergeCell ref="H4:L4"/>
    <mergeCell ref="I6:K6"/>
    <mergeCell ref="I27:K27"/>
    <mergeCell ref="K33:L33"/>
    <mergeCell ref="K57:L57"/>
  </mergeCells>
  <phoneticPr fontId="0" type="noConversion"/>
  <pageMargins left="0.75" right="0.75" top="1" bottom="1" header="0.5" footer="0.5"/>
  <pageSetup orientation="portrait"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90"/>
  <sheetViews>
    <sheetView zoomScale="85" zoomScaleNormal="85" workbookViewId="0">
      <selection activeCell="G46" sqref="G46"/>
    </sheetView>
  </sheetViews>
  <sheetFormatPr defaultRowHeight="12.75"/>
  <cols>
    <col min="1" max="1" width="29.5703125" customWidth="1"/>
    <col min="2" max="2" width="4.42578125" customWidth="1"/>
    <col min="3" max="6" width="7.42578125" customWidth="1"/>
    <col min="7" max="7" width="7.5703125" customWidth="1"/>
    <col min="8" max="8" width="46.140625" customWidth="1"/>
    <col min="9" max="9" width="23" customWidth="1"/>
    <col min="10" max="10" width="28.140625" customWidth="1"/>
    <col min="11" max="11" width="8.7109375" customWidth="1"/>
    <col min="12" max="12" width="34.5703125" customWidth="1"/>
    <col min="13" max="13" width="9" style="72" customWidth="1"/>
    <col min="14" max="14" width="9.5703125" style="72" customWidth="1"/>
    <col min="15" max="15" width="10.28515625" style="72" customWidth="1"/>
    <col min="16" max="16" width="12.5703125" style="72" customWidth="1"/>
    <col min="17" max="17" width="12.5703125" customWidth="1"/>
    <col min="18" max="18" width="12.5703125" style="72" customWidth="1"/>
    <col min="19" max="19" width="12.140625" style="72" customWidth="1"/>
    <col min="20" max="20" width="12.5703125" customWidth="1"/>
  </cols>
  <sheetData>
    <row r="1" spans="1:20" s="81" customFormat="1" ht="18" customHeight="1" thickBot="1">
      <c r="A1" s="191" t="s">
        <v>570</v>
      </c>
      <c r="B1" s="269"/>
      <c r="C1" s="191"/>
      <c r="D1" s="191"/>
      <c r="E1" s="191"/>
      <c r="F1" s="191"/>
      <c r="G1" s="191"/>
      <c r="H1" s="191"/>
      <c r="I1" s="191"/>
      <c r="J1" s="191"/>
      <c r="K1" s="191"/>
      <c r="L1" s="191"/>
      <c r="M1" s="403"/>
      <c r="N1" s="403"/>
      <c r="O1" s="403"/>
      <c r="P1" s="403"/>
      <c r="Q1" s="268"/>
      <c r="R1" s="403"/>
      <c r="S1" s="403"/>
      <c r="T1" s="268"/>
    </row>
    <row r="2" spans="1:20" s="81" customFormat="1" ht="72.75" customHeight="1">
      <c r="A2" s="269"/>
      <c r="B2" s="269"/>
      <c r="C2" s="192" t="s">
        <v>571</v>
      </c>
      <c r="D2" s="192" t="s">
        <v>659</v>
      </c>
      <c r="E2" s="192" t="s">
        <v>660</v>
      </c>
      <c r="F2" s="192" t="s">
        <v>661</v>
      </c>
      <c r="G2" s="192" t="s">
        <v>121</v>
      </c>
      <c r="H2" s="193"/>
      <c r="I2" s="193"/>
      <c r="J2" s="193"/>
      <c r="K2" s="193"/>
      <c r="L2" s="193"/>
      <c r="M2" s="268"/>
      <c r="N2" s="268"/>
      <c r="O2" s="268"/>
      <c r="P2" s="268"/>
      <c r="Q2" s="268"/>
      <c r="R2" s="403"/>
      <c r="S2" s="270"/>
      <c r="T2" s="268"/>
    </row>
    <row r="3" spans="1:20" s="81" customFormat="1" ht="11.25" customHeight="1">
      <c r="A3" s="269"/>
      <c r="B3" s="269"/>
      <c r="C3" s="215"/>
      <c r="D3" s="215"/>
      <c r="E3" s="215"/>
      <c r="F3" s="215"/>
      <c r="G3" s="215"/>
      <c r="H3" s="195"/>
      <c r="I3" s="195"/>
      <c r="J3" s="195"/>
      <c r="K3" s="195"/>
      <c r="L3" s="195"/>
      <c r="M3" s="268"/>
      <c r="N3" s="268"/>
      <c r="O3" s="268"/>
      <c r="P3" s="268"/>
      <c r="Q3" s="268"/>
      <c r="R3" s="403"/>
      <c r="S3" s="270"/>
      <c r="T3" s="268"/>
    </row>
    <row r="4" spans="1:20" s="81" customFormat="1" ht="11.25" customHeight="1" thickBot="1">
      <c r="A4" s="216" t="s">
        <v>662</v>
      </c>
      <c r="B4" s="4"/>
      <c r="C4" s="194">
        <v>10</v>
      </c>
      <c r="D4" s="194">
        <v>10</v>
      </c>
      <c r="E4" s="194">
        <v>10</v>
      </c>
      <c r="F4" s="194">
        <v>10</v>
      </c>
      <c r="G4" s="194">
        <v>10</v>
      </c>
      <c r="H4" s="193"/>
      <c r="I4" s="193"/>
      <c r="J4" s="193"/>
      <c r="K4" s="193"/>
      <c r="L4" s="193"/>
      <c r="M4" s="268"/>
      <c r="N4" s="268"/>
      <c r="O4" s="268"/>
      <c r="P4" s="268"/>
      <c r="Q4" s="268"/>
      <c r="R4" s="403"/>
      <c r="S4" s="270"/>
      <c r="T4" s="268"/>
    </row>
    <row r="5" spans="1:20" s="81" customFormat="1" ht="11.25" customHeight="1">
      <c r="A5" s="211"/>
      <c r="B5" s="269"/>
      <c r="C5" s="194"/>
      <c r="D5" s="194"/>
      <c r="E5" s="194"/>
      <c r="F5" s="194"/>
      <c r="G5" s="194"/>
      <c r="H5" s="193"/>
      <c r="I5" s="193"/>
      <c r="J5" s="193"/>
      <c r="K5" s="193"/>
      <c r="L5" s="193"/>
      <c r="M5" s="268"/>
      <c r="N5" s="268"/>
      <c r="O5" s="268"/>
      <c r="P5" s="268"/>
      <c r="Q5" s="268"/>
      <c r="R5" s="403"/>
      <c r="S5" s="270"/>
      <c r="T5" s="268"/>
    </row>
    <row r="6" spans="1:20" s="81" customFormat="1" ht="11.25" customHeight="1" thickBot="1">
      <c r="A6" s="216" t="s">
        <v>28</v>
      </c>
      <c r="B6" s="4"/>
      <c r="C6" s="197"/>
      <c r="D6" s="197"/>
      <c r="E6" s="197"/>
      <c r="F6" s="197"/>
      <c r="G6" s="197"/>
      <c r="H6" s="199"/>
      <c r="I6" s="198"/>
      <c r="J6" s="198"/>
      <c r="K6" s="198"/>
      <c r="L6" s="198"/>
      <c r="M6" s="268"/>
      <c r="N6" s="268"/>
      <c r="O6" s="268"/>
      <c r="P6" s="268"/>
      <c r="Q6" s="268"/>
      <c r="R6" s="403"/>
      <c r="S6" s="270"/>
      <c r="T6" s="268"/>
    </row>
    <row r="7" spans="1:20" s="81" customFormat="1">
      <c r="A7" s="217" t="s">
        <v>663</v>
      </c>
      <c r="B7" s="269"/>
      <c r="C7" s="200">
        <v>10.5</v>
      </c>
      <c r="D7" s="200">
        <v>1</v>
      </c>
      <c r="E7" s="200">
        <v>1</v>
      </c>
      <c r="F7" s="200">
        <v>23</v>
      </c>
      <c r="G7" s="215">
        <v>1</v>
      </c>
      <c r="H7" s="199" t="s">
        <v>664</v>
      </c>
      <c r="I7" s="199"/>
      <c r="J7" s="199"/>
      <c r="K7" s="199"/>
      <c r="L7" s="199"/>
      <c r="M7" s="268"/>
      <c r="N7" s="268"/>
      <c r="O7" s="268"/>
      <c r="P7" s="268"/>
      <c r="Q7" s="268"/>
      <c r="R7" s="403"/>
      <c r="S7" s="403"/>
      <c r="T7" s="268"/>
    </row>
    <row r="8" spans="1:20" s="81" customFormat="1">
      <c r="A8" s="217" t="s">
        <v>665</v>
      </c>
      <c r="B8" s="269"/>
      <c r="C8" s="200">
        <v>10.5</v>
      </c>
      <c r="D8" s="200">
        <v>1</v>
      </c>
      <c r="E8" s="200">
        <v>1</v>
      </c>
      <c r="F8" s="200">
        <v>23</v>
      </c>
      <c r="G8" s="215">
        <v>1</v>
      </c>
      <c r="H8" s="199" t="s">
        <v>666</v>
      </c>
      <c r="I8" s="199"/>
      <c r="J8" s="199"/>
      <c r="K8" s="199"/>
      <c r="L8" s="199"/>
      <c r="M8" s="268"/>
      <c r="N8" s="268"/>
      <c r="O8" s="268"/>
      <c r="P8" s="268"/>
      <c r="Q8" s="268"/>
      <c r="R8" s="403"/>
      <c r="S8" s="403"/>
      <c r="T8" s="268"/>
    </row>
    <row r="9" spans="1:20" s="81" customFormat="1" ht="11.25" customHeight="1">
      <c r="A9" s="217" t="s">
        <v>667</v>
      </c>
      <c r="B9" s="269"/>
      <c r="C9" s="200">
        <v>2</v>
      </c>
      <c r="D9" s="200">
        <v>1</v>
      </c>
      <c r="E9" s="200">
        <v>1</v>
      </c>
      <c r="F9" s="200">
        <v>25</v>
      </c>
      <c r="G9" s="215">
        <v>1</v>
      </c>
      <c r="H9" s="199" t="s">
        <v>590</v>
      </c>
      <c r="I9" s="199"/>
      <c r="J9" s="199"/>
      <c r="K9" s="199"/>
      <c r="L9" s="199"/>
      <c r="M9" s="268"/>
      <c r="N9" s="268"/>
      <c r="O9" s="268"/>
      <c r="P9" s="268"/>
      <c r="Q9" s="268"/>
      <c r="R9" s="403"/>
      <c r="S9" s="403"/>
      <c r="T9" s="268"/>
    </row>
    <row r="10" spans="1:20" s="81" customFormat="1">
      <c r="A10" s="217" t="s">
        <v>668</v>
      </c>
      <c r="B10" s="269"/>
      <c r="C10" s="200">
        <v>2</v>
      </c>
      <c r="D10" s="200">
        <v>1</v>
      </c>
      <c r="E10" s="200">
        <v>1</v>
      </c>
      <c r="F10" s="200">
        <v>25</v>
      </c>
      <c r="G10" s="215">
        <v>1</v>
      </c>
      <c r="H10" s="269"/>
      <c r="I10" s="199"/>
      <c r="J10" s="199"/>
      <c r="K10" s="199"/>
      <c r="L10" s="199"/>
      <c r="M10" s="268"/>
      <c r="N10" s="268"/>
      <c r="O10" s="268"/>
      <c r="P10" s="268"/>
      <c r="Q10" s="268"/>
      <c r="R10" s="403"/>
      <c r="S10" s="403"/>
      <c r="T10" s="268"/>
    </row>
    <row r="11" spans="1:20" s="81" customFormat="1">
      <c r="A11" s="217"/>
      <c r="B11" s="269"/>
      <c r="C11" s="200"/>
      <c r="D11" s="269"/>
      <c r="E11" s="200" t="s">
        <v>669</v>
      </c>
      <c r="F11" s="200"/>
      <c r="G11" s="200"/>
      <c r="H11" s="199"/>
      <c r="I11" s="199"/>
      <c r="J11" s="199"/>
      <c r="K11" s="199"/>
      <c r="L11" s="199"/>
      <c r="M11" s="268"/>
      <c r="N11" s="268"/>
      <c r="O11" s="268"/>
      <c r="P11" s="268"/>
      <c r="Q11" s="268"/>
      <c r="R11" s="403"/>
      <c r="S11" s="403"/>
      <c r="T11" s="268"/>
    </row>
    <row r="12" spans="1:20" s="81" customFormat="1" ht="13.5" thickBot="1">
      <c r="A12" s="216" t="s">
        <v>42</v>
      </c>
      <c r="B12" s="4"/>
      <c r="C12" s="215"/>
      <c r="D12" s="200"/>
      <c r="E12" s="200"/>
      <c r="F12" s="200"/>
      <c r="G12" s="215"/>
      <c r="H12" s="199"/>
      <c r="I12" s="199"/>
      <c r="J12" s="199"/>
      <c r="K12" s="199"/>
      <c r="L12" s="199"/>
      <c r="M12" s="268"/>
      <c r="N12" s="268"/>
      <c r="O12" s="268"/>
      <c r="P12" s="268"/>
      <c r="Q12" s="268"/>
      <c r="R12" s="403"/>
      <c r="S12" s="403"/>
      <c r="T12" s="268"/>
    </row>
    <row r="13" spans="1:20" s="81" customFormat="1">
      <c r="A13" s="211" t="s">
        <v>670</v>
      </c>
      <c r="B13" s="269"/>
      <c r="C13" s="215">
        <v>1</v>
      </c>
      <c r="D13" s="200">
        <v>5</v>
      </c>
      <c r="E13" s="200">
        <v>5</v>
      </c>
      <c r="F13" s="200">
        <v>5</v>
      </c>
      <c r="G13" s="215">
        <v>1</v>
      </c>
      <c r="H13" s="269"/>
      <c r="I13" s="199"/>
      <c r="J13" s="199"/>
      <c r="K13" s="199"/>
      <c r="L13" s="199"/>
      <c r="M13" s="268"/>
      <c r="N13" s="268"/>
      <c r="O13" s="268"/>
      <c r="P13" s="268"/>
      <c r="Q13" s="268"/>
      <c r="R13" s="403"/>
      <c r="S13" s="403"/>
      <c r="T13" s="268"/>
    </row>
    <row r="14" spans="1:20" s="81" customFormat="1">
      <c r="A14" s="211"/>
      <c r="B14" s="269"/>
      <c r="C14" s="215"/>
      <c r="D14" s="200"/>
      <c r="E14" s="200"/>
      <c r="F14" s="200"/>
      <c r="G14" s="215"/>
      <c r="H14" s="269"/>
      <c r="I14" s="199"/>
      <c r="J14" s="199"/>
      <c r="K14" s="199"/>
      <c r="L14" s="199"/>
      <c r="M14" s="268"/>
      <c r="N14" s="268"/>
      <c r="O14" s="268"/>
      <c r="P14" s="268"/>
      <c r="Q14" s="268"/>
      <c r="R14" s="403"/>
      <c r="S14" s="403"/>
      <c r="T14" s="268"/>
    </row>
    <row r="15" spans="1:20" s="81" customFormat="1" ht="13.5" thickBot="1">
      <c r="A15" s="218" t="s">
        <v>671</v>
      </c>
      <c r="B15" s="4"/>
      <c r="C15" s="202"/>
      <c r="D15" s="202"/>
      <c r="E15" s="202"/>
      <c r="F15" s="202"/>
      <c r="G15" s="202"/>
      <c r="H15" s="203"/>
      <c r="I15" s="203"/>
      <c r="J15" s="203"/>
      <c r="K15" s="203"/>
      <c r="L15" s="203"/>
      <c r="M15" s="268"/>
      <c r="N15" s="268"/>
      <c r="O15" s="268"/>
      <c r="P15" s="268"/>
      <c r="Q15" s="268"/>
      <c r="R15" s="403"/>
      <c r="S15" s="403"/>
      <c r="T15" s="268"/>
    </row>
    <row r="16" spans="1:20" s="81" customFormat="1">
      <c r="A16" s="217" t="s">
        <v>672</v>
      </c>
      <c r="B16" s="269"/>
      <c r="C16" s="200">
        <v>13.2</v>
      </c>
      <c r="D16" s="200">
        <v>1</v>
      </c>
      <c r="E16" s="200">
        <v>1</v>
      </c>
      <c r="F16" s="200">
        <v>19.8</v>
      </c>
      <c r="G16" s="200">
        <v>1</v>
      </c>
      <c r="H16" s="199" t="s">
        <v>673</v>
      </c>
      <c r="I16" s="199"/>
      <c r="J16" s="199"/>
      <c r="K16" s="199"/>
      <c r="L16" s="199"/>
      <c r="M16" s="268"/>
      <c r="N16" s="268"/>
      <c r="O16" s="268"/>
      <c r="P16" s="268"/>
      <c r="Q16" s="268"/>
      <c r="R16" s="403"/>
      <c r="S16" s="403"/>
      <c r="T16" s="268"/>
    </row>
    <row r="17" spans="1:20" s="81" customFormat="1">
      <c r="A17" s="217" t="s">
        <v>674</v>
      </c>
      <c r="B17" s="269"/>
      <c r="C17" s="200">
        <v>13.2</v>
      </c>
      <c r="D17" s="200">
        <v>1</v>
      </c>
      <c r="E17" s="200">
        <v>1</v>
      </c>
      <c r="F17" s="200">
        <v>19.8</v>
      </c>
      <c r="G17" s="200">
        <v>1</v>
      </c>
      <c r="H17" s="199"/>
      <c r="I17" s="199"/>
      <c r="J17" s="199"/>
      <c r="K17" s="199"/>
      <c r="L17" s="199"/>
      <c r="M17" s="268"/>
      <c r="N17" s="268"/>
      <c r="O17" s="268"/>
      <c r="P17" s="268"/>
      <c r="Q17" s="268"/>
      <c r="R17" s="403"/>
      <c r="S17" s="403"/>
      <c r="T17" s="268"/>
    </row>
    <row r="18" spans="1:20" s="81" customFormat="1">
      <c r="A18" s="217" t="s">
        <v>675</v>
      </c>
      <c r="B18" s="269"/>
      <c r="C18" s="200">
        <v>13.2</v>
      </c>
      <c r="D18" s="200">
        <v>1</v>
      </c>
      <c r="E18" s="200">
        <v>1</v>
      </c>
      <c r="F18" s="200">
        <v>19.8</v>
      </c>
      <c r="G18" s="200">
        <v>1</v>
      </c>
      <c r="H18" s="199"/>
      <c r="I18" s="199"/>
      <c r="J18" s="199"/>
      <c r="K18" s="199"/>
      <c r="L18" s="199"/>
      <c r="M18" s="403"/>
      <c r="N18" s="403"/>
      <c r="O18" s="403"/>
      <c r="P18" s="403"/>
      <c r="Q18" s="268"/>
      <c r="R18" s="403"/>
      <c r="S18" s="403"/>
      <c r="T18" s="268"/>
    </row>
    <row r="19" spans="1:20" s="81" customFormat="1">
      <c r="A19" s="217" t="s">
        <v>676</v>
      </c>
      <c r="B19" s="269"/>
      <c r="C19" s="200">
        <v>13.2</v>
      </c>
      <c r="D19" s="200">
        <v>1</v>
      </c>
      <c r="E19" s="200">
        <v>1</v>
      </c>
      <c r="F19" s="200">
        <v>19.8</v>
      </c>
      <c r="G19" s="200">
        <v>1</v>
      </c>
      <c r="H19" s="199"/>
      <c r="I19" s="199"/>
      <c r="J19" s="199"/>
      <c r="K19" s="199"/>
      <c r="L19" s="199"/>
      <c r="M19" s="403"/>
      <c r="N19" s="403"/>
      <c r="O19" s="403"/>
      <c r="P19" s="403"/>
      <c r="Q19" s="268"/>
      <c r="R19" s="403"/>
      <c r="S19" s="403"/>
      <c r="T19" s="268"/>
    </row>
    <row r="20" spans="1:20" s="81" customFormat="1">
      <c r="A20" s="217" t="s">
        <v>677</v>
      </c>
      <c r="B20" s="269"/>
      <c r="C20" s="200">
        <v>13.2</v>
      </c>
      <c r="D20" s="200">
        <v>1</v>
      </c>
      <c r="E20" s="200">
        <v>1</v>
      </c>
      <c r="F20" s="200">
        <v>19.8</v>
      </c>
      <c r="G20" s="200">
        <v>1</v>
      </c>
      <c r="H20" s="199"/>
      <c r="I20" s="199"/>
      <c r="J20" s="199"/>
      <c r="K20" s="199"/>
      <c r="L20" s="199"/>
      <c r="M20" s="403"/>
      <c r="N20" s="403"/>
      <c r="O20" s="403"/>
      <c r="P20" s="403"/>
      <c r="Q20" s="268"/>
      <c r="R20" s="403"/>
      <c r="S20" s="403"/>
      <c r="T20" s="268"/>
    </row>
    <row r="21" spans="1:20" s="81" customFormat="1">
      <c r="A21" s="217"/>
      <c r="B21" s="269"/>
      <c r="C21" s="200"/>
      <c r="D21" s="200"/>
      <c r="E21" s="200"/>
      <c r="F21" s="200"/>
      <c r="G21" s="200"/>
      <c r="H21" s="199"/>
      <c r="I21" s="199"/>
      <c r="J21" s="199"/>
      <c r="K21" s="199"/>
      <c r="L21" s="199"/>
      <c r="M21" s="403"/>
      <c r="N21" s="403"/>
      <c r="O21" s="403"/>
      <c r="P21" s="403"/>
      <c r="Q21" s="268"/>
      <c r="R21" s="403"/>
      <c r="S21" s="403"/>
      <c r="T21" s="268"/>
    </row>
    <row r="22" spans="1:20" s="81" customFormat="1" ht="13.5" thickBot="1">
      <c r="A22" s="218" t="s">
        <v>38</v>
      </c>
      <c r="B22" s="4"/>
      <c r="C22" s="200"/>
      <c r="D22" s="200"/>
      <c r="E22" s="200"/>
      <c r="F22" s="200"/>
      <c r="G22" s="200"/>
      <c r="H22" s="199"/>
      <c r="I22" s="199"/>
      <c r="J22" s="199"/>
      <c r="K22" s="199"/>
      <c r="L22" s="199"/>
      <c r="M22" s="403"/>
      <c r="N22" s="403"/>
      <c r="O22" s="403"/>
      <c r="P22" s="403"/>
      <c r="Q22" s="268"/>
      <c r="R22" s="403"/>
      <c r="S22" s="403"/>
      <c r="T22" s="268"/>
    </row>
    <row r="23" spans="1:20" s="81" customFormat="1">
      <c r="A23" s="217" t="s">
        <v>678</v>
      </c>
      <c r="B23" s="269"/>
      <c r="C23" s="200">
        <v>2</v>
      </c>
      <c r="D23" s="200">
        <v>2</v>
      </c>
      <c r="E23" s="200">
        <v>2</v>
      </c>
      <c r="F23" s="200">
        <v>2</v>
      </c>
      <c r="G23" s="200">
        <v>2</v>
      </c>
      <c r="H23" s="199"/>
      <c r="I23" s="199"/>
      <c r="J23" s="199"/>
      <c r="K23" s="199"/>
      <c r="L23" s="199"/>
      <c r="M23" s="403"/>
      <c r="N23" s="403"/>
      <c r="O23" s="403"/>
      <c r="P23" s="403"/>
      <c r="Q23" s="268"/>
      <c r="R23" s="403"/>
      <c r="S23" s="403"/>
      <c r="T23" s="268"/>
    </row>
    <row r="24" spans="1:20" s="81" customFormat="1">
      <c r="A24" s="217" t="s">
        <v>679</v>
      </c>
      <c r="B24" s="269"/>
      <c r="C24" s="200">
        <v>2</v>
      </c>
      <c r="D24" s="200">
        <v>2</v>
      </c>
      <c r="E24" s="200">
        <v>2</v>
      </c>
      <c r="F24" s="200">
        <v>2</v>
      </c>
      <c r="G24" s="200">
        <v>2</v>
      </c>
      <c r="H24" s="199"/>
      <c r="I24" s="199"/>
      <c r="J24" s="199"/>
      <c r="K24" s="199"/>
      <c r="L24" s="199"/>
      <c r="M24" s="403"/>
      <c r="N24" s="403"/>
      <c r="O24" s="403"/>
      <c r="P24" s="403"/>
      <c r="Q24" s="268"/>
      <c r="R24" s="403"/>
      <c r="S24" s="403"/>
      <c r="T24" s="268"/>
    </row>
    <row r="25" spans="1:20" s="81" customFormat="1">
      <c r="A25" s="217" t="s">
        <v>680</v>
      </c>
      <c r="B25" s="269"/>
      <c r="C25" s="200">
        <v>2</v>
      </c>
      <c r="D25" s="200">
        <v>2</v>
      </c>
      <c r="E25" s="200">
        <v>2</v>
      </c>
      <c r="F25" s="200">
        <v>2</v>
      </c>
      <c r="G25" s="200">
        <v>2</v>
      </c>
      <c r="H25" s="199"/>
      <c r="I25" s="199"/>
      <c r="J25" s="199"/>
      <c r="K25" s="199"/>
      <c r="L25" s="199"/>
      <c r="M25" s="403"/>
      <c r="N25" s="403"/>
      <c r="O25" s="403"/>
      <c r="P25" s="403"/>
      <c r="Q25" s="268"/>
      <c r="R25" s="403"/>
      <c r="S25" s="403"/>
      <c r="T25" s="268"/>
    </row>
    <row r="26" spans="1:20" s="81" customFormat="1">
      <c r="A26" s="217" t="s">
        <v>681</v>
      </c>
      <c r="B26" s="269"/>
      <c r="C26" s="200">
        <v>2</v>
      </c>
      <c r="D26" s="200">
        <v>2</v>
      </c>
      <c r="E26" s="200">
        <v>2</v>
      </c>
      <c r="F26" s="200">
        <v>2</v>
      </c>
      <c r="G26" s="200">
        <v>2</v>
      </c>
      <c r="H26" s="199"/>
      <c r="I26" s="199"/>
      <c r="J26" s="199"/>
      <c r="K26" s="199"/>
      <c r="L26" s="199"/>
      <c r="M26" s="403"/>
      <c r="N26" s="403"/>
      <c r="O26" s="403"/>
      <c r="P26" s="403"/>
      <c r="Q26" s="268"/>
      <c r="R26" s="403"/>
      <c r="S26" s="403"/>
      <c r="T26" s="268"/>
    </row>
    <row r="27" spans="1:20" s="81" customFormat="1">
      <c r="A27" s="217" t="s">
        <v>682</v>
      </c>
      <c r="B27" s="269"/>
      <c r="C27" s="200">
        <v>2</v>
      </c>
      <c r="D27" s="200">
        <v>2</v>
      </c>
      <c r="E27" s="200">
        <v>2</v>
      </c>
      <c r="F27" s="200">
        <v>2</v>
      </c>
      <c r="G27" s="200">
        <v>2</v>
      </c>
      <c r="H27" s="199"/>
      <c r="I27" s="199"/>
      <c r="J27" s="199"/>
      <c r="K27" s="199"/>
      <c r="L27" s="199"/>
      <c r="M27" s="403"/>
      <c r="N27" s="403"/>
      <c r="O27" s="403"/>
      <c r="P27" s="403"/>
      <c r="Q27" s="268"/>
      <c r="R27" s="403"/>
      <c r="S27" s="403"/>
      <c r="T27" s="268"/>
    </row>
    <row r="28" spans="1:20" s="81" customFormat="1">
      <c r="A28" s="217"/>
      <c r="B28" s="269"/>
      <c r="C28" s="200"/>
      <c r="D28" s="200"/>
      <c r="E28" s="200"/>
      <c r="F28" s="200"/>
      <c r="G28" s="200"/>
      <c r="H28" s="199"/>
      <c r="I28" s="199"/>
      <c r="J28" s="199"/>
      <c r="K28" s="199"/>
      <c r="L28" s="199"/>
      <c r="M28" s="403"/>
      <c r="N28" s="403"/>
      <c r="O28" s="403"/>
      <c r="P28" s="403"/>
      <c r="Q28" s="268"/>
      <c r="R28" s="403"/>
      <c r="S28" s="403"/>
      <c r="T28" s="268"/>
    </row>
    <row r="29" spans="1:20" s="81" customFormat="1" ht="13.5" thickBot="1">
      <c r="A29" s="218" t="s">
        <v>91</v>
      </c>
      <c r="B29" s="4"/>
      <c r="C29" s="200"/>
      <c r="D29" s="200"/>
      <c r="E29" s="200"/>
      <c r="F29" s="200"/>
      <c r="G29" s="200"/>
      <c r="H29" s="199"/>
      <c r="I29" s="199"/>
      <c r="J29" s="199"/>
      <c r="K29" s="199"/>
      <c r="L29" s="199"/>
      <c r="M29" s="403"/>
      <c r="N29" s="403"/>
      <c r="O29" s="403"/>
      <c r="P29" s="403"/>
      <c r="Q29" s="268"/>
      <c r="R29" s="403"/>
      <c r="S29" s="403"/>
      <c r="T29" s="268"/>
    </row>
    <row r="30" spans="1:20" s="81" customFormat="1">
      <c r="A30" s="217" t="s">
        <v>25</v>
      </c>
      <c r="B30" s="269"/>
      <c r="C30" s="200">
        <v>10</v>
      </c>
      <c r="D30" s="200">
        <v>10</v>
      </c>
      <c r="E30" s="200">
        <v>10</v>
      </c>
      <c r="F30" s="200">
        <v>10</v>
      </c>
      <c r="G30" s="200">
        <v>10</v>
      </c>
      <c r="H30" s="199"/>
      <c r="I30" s="199"/>
      <c r="J30" s="199"/>
      <c r="K30" s="199"/>
      <c r="L30" s="199"/>
      <c r="M30" s="403"/>
      <c r="N30" s="403"/>
      <c r="O30" s="403"/>
      <c r="P30" s="403"/>
      <c r="Q30" s="268"/>
      <c r="R30" s="403"/>
      <c r="S30" s="403"/>
      <c r="T30" s="268"/>
    </row>
    <row r="31" spans="1:20" s="81" customFormat="1">
      <c r="A31" s="217" t="s">
        <v>683</v>
      </c>
      <c r="B31" s="269"/>
      <c r="C31" s="200">
        <v>10</v>
      </c>
      <c r="D31" s="200">
        <v>10</v>
      </c>
      <c r="E31" s="200">
        <v>10</v>
      </c>
      <c r="F31" s="200">
        <v>10</v>
      </c>
      <c r="G31" s="200">
        <v>10</v>
      </c>
      <c r="H31" s="199"/>
      <c r="I31" s="199"/>
      <c r="J31" s="199"/>
      <c r="K31" s="199"/>
      <c r="L31" s="199"/>
      <c r="M31" s="403"/>
      <c r="N31" s="403"/>
      <c r="O31" s="403"/>
      <c r="P31" s="403"/>
      <c r="Q31" s="268"/>
      <c r="R31" s="403"/>
      <c r="S31" s="403"/>
      <c r="T31" s="268"/>
    </row>
    <row r="32" spans="1:20" s="81" customFormat="1">
      <c r="A32" s="217" t="s">
        <v>684</v>
      </c>
      <c r="B32" s="269"/>
      <c r="C32" s="200">
        <v>10</v>
      </c>
      <c r="D32" s="200">
        <v>10</v>
      </c>
      <c r="E32" s="200">
        <v>10</v>
      </c>
      <c r="F32" s="200">
        <v>10</v>
      </c>
      <c r="G32" s="200">
        <v>10</v>
      </c>
      <c r="H32" s="199"/>
      <c r="I32" s="199"/>
      <c r="J32" s="199"/>
      <c r="K32" s="199"/>
      <c r="L32" s="199"/>
      <c r="M32" s="403"/>
      <c r="N32" s="403"/>
      <c r="O32" s="403"/>
      <c r="P32" s="403"/>
      <c r="Q32" s="268"/>
      <c r="R32" s="403"/>
      <c r="S32" s="403"/>
      <c r="T32" s="268"/>
    </row>
    <row r="33" spans="1:20" s="81" customFormat="1">
      <c r="A33" s="217" t="s">
        <v>685</v>
      </c>
      <c r="B33" s="269"/>
      <c r="C33" s="200">
        <v>10</v>
      </c>
      <c r="D33" s="200">
        <v>10</v>
      </c>
      <c r="E33" s="200">
        <v>10</v>
      </c>
      <c r="F33" s="200">
        <v>10</v>
      </c>
      <c r="G33" s="200">
        <v>10</v>
      </c>
      <c r="H33" s="199"/>
      <c r="I33" s="199"/>
      <c r="J33" s="199"/>
      <c r="K33" s="199"/>
      <c r="L33" s="199"/>
      <c r="M33" s="403"/>
      <c r="N33" s="403"/>
      <c r="O33" s="403"/>
      <c r="P33" s="403"/>
      <c r="Q33" s="268"/>
      <c r="R33" s="403"/>
      <c r="S33" s="403"/>
      <c r="T33" s="268"/>
    </row>
    <row r="34" spans="1:20" s="81" customFormat="1">
      <c r="A34" s="217" t="s">
        <v>686</v>
      </c>
      <c r="B34" s="269"/>
      <c r="C34" s="200">
        <v>10</v>
      </c>
      <c r="D34" s="200">
        <v>10</v>
      </c>
      <c r="E34" s="200">
        <v>10</v>
      </c>
      <c r="F34" s="200">
        <v>10</v>
      </c>
      <c r="G34" s="200">
        <v>10</v>
      </c>
      <c r="H34" s="199"/>
      <c r="I34" s="199"/>
      <c r="J34" s="199"/>
      <c r="K34" s="199"/>
      <c r="L34" s="199"/>
      <c r="M34" s="403"/>
      <c r="N34" s="403"/>
      <c r="O34" s="403"/>
      <c r="P34" s="403"/>
      <c r="Q34" s="268"/>
      <c r="R34" s="403"/>
      <c r="S34" s="403"/>
      <c r="T34" s="268"/>
    </row>
    <row r="35" spans="1:20" s="81" customFormat="1">
      <c r="A35" s="217"/>
      <c r="B35" s="269"/>
      <c r="C35" s="200"/>
      <c r="D35" s="200"/>
      <c r="E35" s="200"/>
      <c r="F35" s="200"/>
      <c r="G35" s="200"/>
      <c r="H35" s="199"/>
      <c r="I35" s="199"/>
      <c r="J35" s="199"/>
      <c r="K35" s="199"/>
      <c r="L35" s="199"/>
      <c r="M35" s="403"/>
      <c r="N35" s="403"/>
      <c r="O35" s="403"/>
      <c r="P35" s="403"/>
      <c r="Q35" s="268"/>
      <c r="R35" s="403"/>
      <c r="S35" s="403"/>
      <c r="T35" s="268"/>
    </row>
    <row r="36" spans="1:20" s="81" customFormat="1">
      <c r="A36" s="217"/>
      <c r="B36" s="269"/>
      <c r="C36" s="200"/>
      <c r="D36" s="200"/>
      <c r="E36" s="200"/>
      <c r="F36" s="200"/>
      <c r="G36" s="200"/>
      <c r="H36" s="199"/>
      <c r="I36" s="199"/>
      <c r="J36" s="199"/>
      <c r="K36" s="199"/>
      <c r="L36" s="199"/>
      <c r="M36" s="403"/>
      <c r="N36" s="403"/>
      <c r="O36" s="403"/>
      <c r="P36" s="403"/>
      <c r="Q36" s="268"/>
      <c r="R36" s="403"/>
      <c r="S36" s="403"/>
      <c r="T36" s="268"/>
    </row>
    <row r="37" spans="1:20" s="81" customFormat="1" ht="13.5" thickBot="1">
      <c r="A37" s="218" t="s">
        <v>687</v>
      </c>
      <c r="B37" s="4"/>
      <c r="C37" s="202"/>
      <c r="D37" s="202"/>
      <c r="E37" s="202"/>
      <c r="F37" s="202"/>
      <c r="G37" s="202"/>
      <c r="H37" s="219" t="s">
        <v>688</v>
      </c>
      <c r="I37" s="203"/>
      <c r="J37" s="203"/>
      <c r="K37" s="203"/>
      <c r="L37" s="203"/>
      <c r="M37" s="403"/>
      <c r="N37" s="403"/>
      <c r="O37" s="403"/>
      <c r="P37" s="403"/>
      <c r="Q37" s="268"/>
      <c r="R37" s="403"/>
      <c r="S37" s="403"/>
      <c r="T37" s="268"/>
    </row>
    <row r="38" spans="1:20" s="81" customFormat="1">
      <c r="A38" s="217" t="s">
        <v>188</v>
      </c>
      <c r="B38" s="269"/>
      <c r="C38" s="200">
        <v>10</v>
      </c>
      <c r="D38" s="200">
        <v>10</v>
      </c>
      <c r="E38" s="200">
        <v>10</v>
      </c>
      <c r="F38" s="200">
        <v>10</v>
      </c>
      <c r="G38" s="200">
        <v>10</v>
      </c>
      <c r="H38" s="199" t="s">
        <v>689</v>
      </c>
      <c r="I38" s="199"/>
      <c r="J38" s="199"/>
      <c r="K38" s="199"/>
      <c r="L38" s="199"/>
      <c r="M38" s="403"/>
      <c r="N38" s="403"/>
      <c r="O38" s="403"/>
      <c r="P38" s="403"/>
      <c r="Q38" s="268"/>
      <c r="R38" s="403"/>
      <c r="S38" s="403"/>
      <c r="T38" s="268"/>
    </row>
    <row r="39" spans="1:20" s="81" customFormat="1">
      <c r="A39" s="217" t="s">
        <v>189</v>
      </c>
      <c r="B39" s="269"/>
      <c r="C39" s="200">
        <v>0</v>
      </c>
      <c r="D39" s="200">
        <v>0</v>
      </c>
      <c r="E39" s="200">
        <v>0</v>
      </c>
      <c r="F39" s="200">
        <v>0</v>
      </c>
      <c r="G39" s="200">
        <v>0</v>
      </c>
      <c r="H39" s="199" t="s">
        <v>690</v>
      </c>
      <c r="I39" s="199"/>
      <c r="J39" s="199"/>
      <c r="K39" s="199"/>
      <c r="L39" s="199"/>
      <c r="M39" s="403"/>
      <c r="N39" s="403"/>
      <c r="O39" s="403"/>
      <c r="P39" s="403"/>
      <c r="Q39" s="268"/>
      <c r="R39" s="403"/>
      <c r="S39" s="403"/>
      <c r="T39" s="268"/>
    </row>
    <row r="40" spans="1:20" s="81" customFormat="1">
      <c r="A40" s="217"/>
      <c r="B40" s="269"/>
      <c r="C40" s="200">
        <v>15</v>
      </c>
      <c r="D40" s="200">
        <v>15</v>
      </c>
      <c r="E40" s="200">
        <v>15</v>
      </c>
      <c r="F40" s="200">
        <v>15</v>
      </c>
      <c r="G40" s="200">
        <v>15</v>
      </c>
      <c r="H40" s="199" t="s">
        <v>691</v>
      </c>
      <c r="I40" s="199"/>
      <c r="J40" s="199"/>
      <c r="K40" s="199"/>
      <c r="L40" s="199"/>
      <c r="M40" s="403"/>
      <c r="N40" s="403"/>
      <c r="O40" s="403"/>
      <c r="P40" s="403"/>
      <c r="Q40" s="268"/>
      <c r="R40" s="403"/>
      <c r="S40" s="403"/>
      <c r="T40" s="268"/>
    </row>
    <row r="41" spans="1:20" s="81" customFormat="1">
      <c r="A41" s="217" t="s">
        <v>148</v>
      </c>
      <c r="B41" s="269"/>
      <c r="C41" s="200">
        <v>30</v>
      </c>
      <c r="D41" s="200">
        <v>30</v>
      </c>
      <c r="E41" s="200">
        <v>30</v>
      </c>
      <c r="F41" s="200">
        <v>30</v>
      </c>
      <c r="G41" s="200">
        <v>30</v>
      </c>
      <c r="H41" s="199" t="s">
        <v>692</v>
      </c>
      <c r="I41" s="199"/>
      <c r="J41" s="199"/>
      <c r="K41" s="199"/>
      <c r="L41" s="199"/>
      <c r="M41" s="403"/>
      <c r="N41" s="403"/>
      <c r="O41" s="403"/>
      <c r="P41" s="403"/>
      <c r="Q41" s="268"/>
      <c r="R41" s="403"/>
      <c r="S41" s="403"/>
      <c r="T41" s="268"/>
    </row>
    <row r="42" spans="1:20" s="81" customFormat="1">
      <c r="A42" s="217" t="s">
        <v>149</v>
      </c>
      <c r="B42" s="269"/>
      <c r="C42" s="200">
        <v>15</v>
      </c>
      <c r="D42" s="200">
        <v>15</v>
      </c>
      <c r="E42" s="200">
        <v>15</v>
      </c>
      <c r="F42" s="200">
        <v>15</v>
      </c>
      <c r="G42" s="200">
        <v>15</v>
      </c>
      <c r="H42" s="199" t="s">
        <v>691</v>
      </c>
      <c r="I42" s="199"/>
      <c r="J42" s="199"/>
      <c r="K42" s="199"/>
      <c r="L42" s="199"/>
      <c r="M42" s="403"/>
      <c r="N42" s="403"/>
      <c r="O42" s="403"/>
      <c r="P42" s="403"/>
      <c r="Q42" s="268"/>
      <c r="R42" s="403"/>
      <c r="S42" s="403"/>
      <c r="T42" s="268"/>
    </row>
    <row r="43" spans="1:20" s="81" customFormat="1">
      <c r="A43" s="217" t="s">
        <v>150</v>
      </c>
      <c r="B43" s="269"/>
      <c r="C43" s="200">
        <v>35</v>
      </c>
      <c r="D43" s="200">
        <v>35</v>
      </c>
      <c r="E43" s="200">
        <v>35</v>
      </c>
      <c r="F43" s="200">
        <v>35</v>
      </c>
      <c r="G43" s="200">
        <v>35</v>
      </c>
      <c r="H43" s="199" t="s">
        <v>693</v>
      </c>
      <c r="I43" s="199"/>
      <c r="J43" s="199"/>
      <c r="K43" s="199"/>
      <c r="L43" s="199"/>
      <c r="M43" s="403"/>
      <c r="N43" s="403"/>
      <c r="O43" s="403"/>
      <c r="P43" s="403"/>
      <c r="Q43" s="268"/>
      <c r="R43" s="403"/>
      <c r="S43" s="403"/>
      <c r="T43" s="268"/>
    </row>
    <row r="44" spans="1:20" s="81" customFormat="1">
      <c r="A44" s="217" t="s">
        <v>151</v>
      </c>
      <c r="B44" s="269"/>
      <c r="C44" s="200">
        <v>204</v>
      </c>
      <c r="D44" s="200">
        <v>80</v>
      </c>
      <c r="E44" s="200">
        <v>0</v>
      </c>
      <c r="F44" s="200">
        <v>0</v>
      </c>
      <c r="G44" s="200">
        <v>0</v>
      </c>
      <c r="H44" s="199" t="s">
        <v>694</v>
      </c>
      <c r="I44" s="199"/>
      <c r="J44" s="199"/>
      <c r="K44" s="199"/>
      <c r="L44" s="199"/>
      <c r="M44" s="403"/>
      <c r="N44" s="403"/>
      <c r="O44" s="403"/>
      <c r="P44" s="403"/>
      <c r="Q44" s="268"/>
      <c r="R44" s="403"/>
      <c r="S44" s="403"/>
      <c r="T44" s="268"/>
    </row>
    <row r="45" spans="1:20" s="81" customFormat="1">
      <c r="A45" s="217"/>
      <c r="B45" s="269"/>
      <c r="C45" s="200">
        <v>2</v>
      </c>
      <c r="D45" s="200">
        <v>2</v>
      </c>
      <c r="E45" s="200">
        <v>2</v>
      </c>
      <c r="F45" s="200">
        <v>2</v>
      </c>
      <c r="G45" s="200">
        <v>2</v>
      </c>
      <c r="H45" s="199" t="s">
        <v>695</v>
      </c>
      <c r="I45" s="199"/>
      <c r="J45" s="199"/>
      <c r="K45" s="199"/>
      <c r="L45" s="199"/>
      <c r="M45" s="403"/>
      <c r="N45" s="403"/>
      <c r="O45" s="403"/>
      <c r="P45" s="403"/>
      <c r="Q45" s="268"/>
      <c r="R45" s="403"/>
      <c r="S45" s="403"/>
      <c r="T45" s="268"/>
    </row>
    <row r="46" spans="1:20" s="81" customFormat="1">
      <c r="A46" s="217" t="s">
        <v>696</v>
      </c>
      <c r="B46" s="269"/>
      <c r="C46" s="200">
        <v>0</v>
      </c>
      <c r="D46" s="200">
        <v>0</v>
      </c>
      <c r="E46" s="200">
        <v>0</v>
      </c>
      <c r="F46" s="200">
        <v>0</v>
      </c>
      <c r="G46" s="200">
        <v>0</v>
      </c>
      <c r="H46" s="199" t="s">
        <v>697</v>
      </c>
      <c r="I46" s="199"/>
      <c r="J46" s="199"/>
      <c r="K46" s="199"/>
      <c r="L46" s="199"/>
      <c r="M46" s="403"/>
      <c r="N46" s="403"/>
      <c r="O46" s="403"/>
      <c r="P46" s="403"/>
      <c r="Q46" s="268"/>
      <c r="R46" s="403"/>
      <c r="S46" s="403"/>
      <c r="T46" s="268"/>
    </row>
    <row r="47" spans="1:20" s="81" customFormat="1">
      <c r="A47" s="217"/>
      <c r="B47" s="269"/>
      <c r="C47" s="200"/>
      <c r="D47" s="200"/>
      <c r="E47" s="200"/>
      <c r="F47" s="200"/>
      <c r="G47" s="200"/>
      <c r="H47" s="199"/>
      <c r="I47" s="199"/>
      <c r="J47" s="199"/>
      <c r="K47" s="199"/>
      <c r="L47" s="199"/>
      <c r="M47" s="403"/>
      <c r="N47" s="403"/>
      <c r="O47" s="403"/>
      <c r="P47" s="403"/>
      <c r="Q47" s="268"/>
      <c r="R47" s="403"/>
      <c r="S47" s="403"/>
      <c r="T47" s="268"/>
    </row>
    <row r="48" spans="1:20" s="81" customFormat="1" ht="13.5" thickBot="1">
      <c r="A48" s="218" t="s">
        <v>698</v>
      </c>
      <c r="B48" s="4"/>
      <c r="C48" s="200"/>
      <c r="D48" s="200"/>
      <c r="E48" s="200"/>
      <c r="F48" s="200"/>
      <c r="G48" s="200"/>
      <c r="H48" s="199"/>
      <c r="I48" s="199"/>
      <c r="J48" s="199"/>
      <c r="K48" s="199"/>
      <c r="L48" s="199"/>
      <c r="M48" s="403"/>
      <c r="N48" s="403"/>
      <c r="O48" s="403"/>
      <c r="P48" s="403"/>
      <c r="Q48" s="268"/>
      <c r="R48" s="403"/>
      <c r="S48" s="403"/>
      <c r="T48" s="268"/>
    </row>
    <row r="49" spans="1:20" s="81" customFormat="1">
      <c r="A49" s="217" t="s">
        <v>699</v>
      </c>
      <c r="B49" s="269"/>
      <c r="C49" s="200">
        <v>2</v>
      </c>
      <c r="D49" s="200">
        <v>2</v>
      </c>
      <c r="E49" s="200">
        <v>2</v>
      </c>
      <c r="F49" s="200">
        <v>2</v>
      </c>
      <c r="G49" s="200">
        <v>2</v>
      </c>
      <c r="H49" s="199"/>
      <c r="I49" s="199"/>
      <c r="J49" s="199"/>
      <c r="K49" s="199"/>
      <c r="L49" s="199"/>
      <c r="M49" s="403"/>
      <c r="N49" s="403"/>
      <c r="O49" s="403"/>
      <c r="P49" s="403"/>
      <c r="Q49" s="268"/>
      <c r="R49" s="403"/>
      <c r="S49" s="403"/>
      <c r="T49" s="268"/>
    </row>
    <row r="50" spans="1:20" s="81" customFormat="1">
      <c r="A50" s="217" t="s">
        <v>700</v>
      </c>
      <c r="B50" s="269"/>
      <c r="C50" s="200">
        <v>2</v>
      </c>
      <c r="D50" s="200">
        <v>2</v>
      </c>
      <c r="E50" s="200">
        <v>2</v>
      </c>
      <c r="F50" s="200">
        <v>2</v>
      </c>
      <c r="G50" s="200">
        <v>2</v>
      </c>
      <c r="H50" s="199"/>
      <c r="I50" s="199"/>
      <c r="J50" s="199"/>
      <c r="K50" s="199"/>
      <c r="L50" s="199"/>
      <c r="M50" s="403"/>
      <c r="N50" s="403"/>
      <c r="O50" s="403"/>
      <c r="P50" s="403"/>
      <c r="Q50" s="268"/>
      <c r="R50" s="403"/>
      <c r="S50" s="403"/>
      <c r="T50" s="268"/>
    </row>
    <row r="51" spans="1:20" s="81" customFormat="1">
      <c r="A51" s="217" t="s">
        <v>701</v>
      </c>
      <c r="B51" s="269"/>
      <c r="C51" s="200">
        <v>2</v>
      </c>
      <c r="D51" s="200">
        <v>2</v>
      </c>
      <c r="E51" s="200">
        <v>2</v>
      </c>
      <c r="F51" s="200">
        <v>2</v>
      </c>
      <c r="G51" s="200">
        <v>2</v>
      </c>
      <c r="H51" s="199"/>
      <c r="I51" s="408" t="s">
        <v>702</v>
      </c>
      <c r="J51" s="199"/>
      <c r="K51" s="199"/>
      <c r="L51" s="199"/>
      <c r="M51" s="403"/>
      <c r="N51" s="403"/>
      <c r="O51" s="403"/>
      <c r="P51" s="403"/>
      <c r="Q51" s="268"/>
      <c r="R51" s="403"/>
      <c r="S51" s="403"/>
      <c r="T51" s="268"/>
    </row>
    <row r="52" spans="1:20" s="81" customFormat="1">
      <c r="A52" s="217" t="s">
        <v>703</v>
      </c>
      <c r="B52" s="269"/>
      <c r="C52" s="200">
        <v>2</v>
      </c>
      <c r="D52" s="200">
        <v>2</v>
      </c>
      <c r="E52" s="200">
        <v>2</v>
      </c>
      <c r="F52" s="200">
        <v>2</v>
      </c>
      <c r="G52" s="200">
        <v>2</v>
      </c>
      <c r="H52" s="199"/>
      <c r="I52" s="268" t="s">
        <v>704</v>
      </c>
      <c r="J52" s="199"/>
      <c r="K52" s="199"/>
      <c r="L52" s="199"/>
      <c r="M52" s="403"/>
      <c r="N52" s="403"/>
      <c r="O52" s="403"/>
      <c r="P52" s="403"/>
      <c r="Q52" s="268"/>
      <c r="R52" s="403"/>
      <c r="S52" s="403"/>
      <c r="T52" s="268"/>
    </row>
    <row r="53" spans="1:20" s="81" customFormat="1">
      <c r="A53" s="217"/>
      <c r="B53" s="269"/>
      <c r="C53" s="200"/>
      <c r="D53" s="200"/>
      <c r="E53" s="200"/>
      <c r="F53" s="200"/>
      <c r="G53" s="200"/>
      <c r="H53" s="199"/>
      <c r="I53" s="268" t="s">
        <v>705</v>
      </c>
      <c r="J53" s="199"/>
      <c r="K53" s="199"/>
      <c r="L53" s="199"/>
      <c r="M53" s="403"/>
      <c r="N53" s="403"/>
      <c r="O53" s="403"/>
      <c r="P53" s="403"/>
      <c r="Q53" s="268"/>
      <c r="R53" s="403"/>
      <c r="S53" s="403"/>
      <c r="T53" s="268"/>
    </row>
    <row r="54" spans="1:20" s="81" customFormat="1">
      <c r="A54" s="217"/>
      <c r="B54" s="269"/>
      <c r="C54" s="200"/>
      <c r="D54" s="200"/>
      <c r="E54" s="200"/>
      <c r="F54" s="200"/>
      <c r="G54" s="200"/>
      <c r="H54" s="199"/>
      <c r="I54" s="268" t="s">
        <v>706</v>
      </c>
      <c r="J54" s="199"/>
      <c r="K54" s="199"/>
      <c r="L54" s="199"/>
      <c r="M54" s="403"/>
      <c r="N54" s="403"/>
      <c r="O54" s="403"/>
      <c r="P54" s="269"/>
      <c r="Q54" s="269"/>
      <c r="R54" s="403"/>
      <c r="S54" s="269"/>
      <c r="T54" s="269"/>
    </row>
    <row r="55" spans="1:20" s="81" customFormat="1" ht="13.5" thickBot="1">
      <c r="A55" s="217" t="s">
        <v>707</v>
      </c>
      <c r="B55" s="269"/>
      <c r="C55" s="204">
        <v>150</v>
      </c>
      <c r="D55" s="204">
        <v>150</v>
      </c>
      <c r="E55" s="204">
        <v>150</v>
      </c>
      <c r="F55" s="204">
        <v>150</v>
      </c>
      <c r="G55" s="204">
        <v>150</v>
      </c>
      <c r="H55" s="199" t="s">
        <v>708</v>
      </c>
      <c r="I55" s="268" t="s">
        <v>709</v>
      </c>
      <c r="J55" s="199"/>
      <c r="K55" s="199"/>
      <c r="L55" s="199"/>
      <c r="M55" s="403"/>
      <c r="N55" s="403"/>
      <c r="O55" s="403"/>
      <c r="P55" s="403"/>
      <c r="Q55" s="268"/>
      <c r="R55" s="403"/>
      <c r="S55" s="403"/>
      <c r="T55" s="268"/>
    </row>
    <row r="56" spans="1:20" s="81" customFormat="1">
      <c r="A56" s="269"/>
      <c r="B56" s="220" t="s">
        <v>639</v>
      </c>
      <c r="C56" s="221">
        <f>SUM(C4:C55)</f>
        <v>631</v>
      </c>
      <c r="D56" s="222">
        <f>SUM(D4:D55)</f>
        <v>429</v>
      </c>
      <c r="E56" s="222">
        <f>SUM(E4:E55)</f>
        <v>349</v>
      </c>
      <c r="F56" s="222">
        <f>SUM(F4:F55)</f>
        <v>535</v>
      </c>
      <c r="G56" s="223">
        <f>SUM(G4:G55)</f>
        <v>345</v>
      </c>
      <c r="H56" s="269"/>
      <c r="I56" s="268" t="s">
        <v>710</v>
      </c>
      <c r="J56" s="205"/>
      <c r="K56" s="205"/>
      <c r="L56" s="205"/>
      <c r="M56" s="403"/>
      <c r="N56" s="403"/>
      <c r="O56" s="403"/>
      <c r="P56" s="403"/>
      <c r="Q56" s="268"/>
      <c r="R56" s="403"/>
      <c r="S56" s="403"/>
      <c r="T56" s="268"/>
    </row>
    <row r="57" spans="1:20" s="81" customFormat="1" ht="13.5" thickBot="1">
      <c r="A57" s="269" t="s">
        <v>711</v>
      </c>
      <c r="B57" s="224">
        <v>4</v>
      </c>
      <c r="C57" s="225">
        <f>C56*(1+$B$57/100)</f>
        <v>656.24</v>
      </c>
      <c r="D57" s="226">
        <f>D56*(1+$B$57/100)</f>
        <v>446.16</v>
      </c>
      <c r="E57" s="226">
        <f>E56*(1+$B$57/100)</f>
        <v>362.96000000000004</v>
      </c>
      <c r="F57" s="226">
        <f>F56*(1+$B$57/100)</f>
        <v>556.4</v>
      </c>
      <c r="G57" s="227">
        <f>G56*(1+$B$57/100)</f>
        <v>358.8</v>
      </c>
      <c r="H57" s="205"/>
      <c r="I57" s="268" t="s">
        <v>712</v>
      </c>
      <c r="J57" s="205"/>
      <c r="K57" s="205"/>
      <c r="L57" s="205"/>
      <c r="M57" s="403"/>
      <c r="N57" s="403"/>
      <c r="O57" s="403"/>
      <c r="P57" s="403"/>
      <c r="Q57" s="268"/>
      <c r="R57" s="403"/>
      <c r="S57" s="403"/>
      <c r="T57" s="268"/>
    </row>
    <row r="58" spans="1:20" s="81" customFormat="1">
      <c r="A58" s="269"/>
      <c r="B58" s="272" t="s">
        <v>640</v>
      </c>
      <c r="C58" s="228">
        <v>1</v>
      </c>
      <c r="D58" s="229">
        <v>59</v>
      </c>
      <c r="E58" s="229">
        <v>179</v>
      </c>
      <c r="F58" s="230">
        <v>1</v>
      </c>
      <c r="G58" s="207"/>
      <c r="H58" s="269"/>
      <c r="I58" s="268"/>
      <c r="J58" s="269"/>
      <c r="K58" s="269"/>
      <c r="L58" s="269"/>
      <c r="M58" s="403"/>
      <c r="N58" s="403"/>
      <c r="O58" s="403"/>
      <c r="P58" s="403"/>
      <c r="Q58" s="268"/>
      <c r="R58" s="403"/>
      <c r="S58" s="403"/>
      <c r="T58" s="268"/>
    </row>
    <row r="59" spans="1:20" s="81" customFormat="1" ht="13.5" thickBot="1">
      <c r="A59" s="269"/>
      <c r="B59" s="82" t="s">
        <v>642</v>
      </c>
      <c r="C59" s="231">
        <f>C57*(C58/60)</f>
        <v>10.937333333333333</v>
      </c>
      <c r="D59" s="232">
        <f>D57*(D58/60)</f>
        <v>438.72399999999999</v>
      </c>
      <c r="E59" s="232">
        <f>E57*(E58/60)</f>
        <v>1082.8306666666667</v>
      </c>
      <c r="F59" s="233">
        <f>F57*(F58/60)</f>
        <v>9.2733333333333334</v>
      </c>
      <c r="G59" s="208"/>
      <c r="H59" s="205" t="s">
        <v>713</v>
      </c>
      <c r="I59" s="408" t="s">
        <v>714</v>
      </c>
      <c r="J59" s="269"/>
      <c r="K59" s="269"/>
      <c r="L59" s="269"/>
      <c r="M59" s="403"/>
      <c r="N59" s="403"/>
      <c r="O59" s="403"/>
      <c r="P59" s="403"/>
      <c r="Q59" s="268"/>
      <c r="R59" s="403"/>
      <c r="S59" s="403"/>
      <c r="T59" s="268"/>
    </row>
    <row r="60" spans="1:20" s="81" customFormat="1">
      <c r="A60" s="269"/>
      <c r="B60" s="269"/>
      <c r="C60" s="269"/>
      <c r="D60" s="269"/>
      <c r="E60" s="269"/>
      <c r="F60" s="269"/>
      <c r="G60" s="269"/>
      <c r="H60" s="269"/>
      <c r="I60" s="268" t="s">
        <v>715</v>
      </c>
      <c r="J60" s="269"/>
      <c r="K60" s="269"/>
      <c r="L60" s="269"/>
      <c r="M60" s="403"/>
      <c r="N60" s="403"/>
      <c r="O60" s="403"/>
      <c r="P60" s="403"/>
      <c r="Q60" s="268"/>
      <c r="R60" s="403"/>
      <c r="S60" s="403"/>
      <c r="T60" s="268"/>
    </row>
    <row r="61" spans="1:20" s="81" customFormat="1">
      <c r="A61" s="269"/>
      <c r="B61" s="269"/>
      <c r="C61" s="269"/>
      <c r="D61" s="269"/>
      <c r="E61" s="269"/>
      <c r="F61" s="269"/>
      <c r="G61" s="269"/>
      <c r="H61" s="269"/>
      <c r="I61" s="268" t="s">
        <v>716</v>
      </c>
      <c r="J61" s="269"/>
      <c r="K61" s="269"/>
      <c r="L61" s="269"/>
      <c r="M61" s="403"/>
      <c r="N61" s="403"/>
      <c r="O61" s="403"/>
      <c r="P61" s="403"/>
      <c r="Q61" s="268"/>
      <c r="R61" s="403"/>
      <c r="S61" s="403"/>
      <c r="T61" s="268"/>
    </row>
    <row r="62" spans="1:20" s="81" customFormat="1">
      <c r="A62" s="269"/>
      <c r="B62" s="269"/>
      <c r="C62" s="269"/>
      <c r="D62" s="269"/>
      <c r="E62" s="269"/>
      <c r="F62" s="269" t="s">
        <v>717</v>
      </c>
      <c r="G62" s="269"/>
      <c r="H62" s="269"/>
      <c r="I62" s="268" t="s">
        <v>718</v>
      </c>
      <c r="J62" s="269"/>
      <c r="K62" s="269"/>
      <c r="L62" s="269"/>
      <c r="M62" s="403"/>
      <c r="N62" s="403"/>
      <c r="O62" s="403"/>
      <c r="P62" s="403"/>
      <c r="Q62" s="268"/>
      <c r="R62" s="403"/>
      <c r="S62" s="403"/>
      <c r="T62" s="268"/>
    </row>
    <row r="63" spans="1:20" s="81" customFormat="1">
      <c r="A63" s="269"/>
      <c r="B63" s="269"/>
      <c r="C63" s="269"/>
      <c r="D63" s="269"/>
      <c r="E63" s="269"/>
      <c r="F63" s="269" t="s">
        <v>644</v>
      </c>
      <c r="G63" s="269"/>
      <c r="H63" s="269"/>
      <c r="I63" s="268" t="s">
        <v>719</v>
      </c>
      <c r="J63" s="269"/>
      <c r="K63" s="269"/>
      <c r="L63" s="269"/>
      <c r="M63" s="403"/>
      <c r="N63" s="403"/>
      <c r="O63" s="403"/>
      <c r="P63" s="403"/>
      <c r="Q63" s="268"/>
      <c r="R63" s="403"/>
      <c r="S63" s="403"/>
      <c r="T63" s="268"/>
    </row>
    <row r="64" spans="1:20" s="81" customFormat="1">
      <c r="A64" s="269"/>
      <c r="B64" s="269"/>
      <c r="C64" s="269"/>
      <c r="D64" s="269"/>
      <c r="E64" s="269"/>
      <c r="F64" s="269" t="s">
        <v>69</v>
      </c>
      <c r="G64" s="269"/>
      <c r="H64" s="269"/>
      <c r="I64" s="269"/>
      <c r="J64" s="269"/>
      <c r="K64" s="269"/>
      <c r="L64" s="269"/>
      <c r="M64" s="403"/>
      <c r="N64" s="403"/>
      <c r="O64" s="403"/>
      <c r="P64" s="403"/>
      <c r="Q64" s="268"/>
      <c r="R64" s="403"/>
      <c r="S64" s="403"/>
      <c r="T64" s="268"/>
    </row>
    <row r="65" spans="1:20" s="81" customFormat="1">
      <c r="A65" s="269"/>
      <c r="B65" s="269"/>
      <c r="C65" s="269"/>
      <c r="D65" s="269"/>
      <c r="E65" s="269"/>
      <c r="F65" s="269"/>
      <c r="G65" s="269"/>
      <c r="H65" s="269"/>
      <c r="I65" s="269"/>
      <c r="J65" s="269"/>
      <c r="K65" s="269"/>
      <c r="L65" s="269"/>
      <c r="M65" s="403"/>
      <c r="N65" s="403"/>
      <c r="O65" s="403"/>
      <c r="P65" s="403"/>
      <c r="Q65" s="268"/>
      <c r="R65" s="403"/>
      <c r="S65" s="403"/>
      <c r="T65" s="268"/>
    </row>
    <row r="66" spans="1:20" s="81" customFormat="1">
      <c r="A66" s="269"/>
      <c r="B66" s="269"/>
      <c r="C66" s="269"/>
      <c r="D66" s="272" t="s">
        <v>646</v>
      </c>
      <c r="E66" s="234">
        <f>SUM(C59:G59)</f>
        <v>1541.7653333333335</v>
      </c>
      <c r="F66" s="209"/>
      <c r="G66" s="269"/>
      <c r="H66" s="269"/>
      <c r="I66" s="269"/>
      <c r="J66" s="269"/>
      <c r="K66" s="269"/>
      <c r="L66" s="269"/>
      <c r="M66" s="403"/>
      <c r="N66" s="403"/>
      <c r="O66" s="403"/>
      <c r="P66" s="403"/>
      <c r="Q66" s="268"/>
      <c r="R66" s="403"/>
      <c r="S66" s="403"/>
      <c r="T66" s="268"/>
    </row>
    <row r="67" spans="1:20" s="81" customFormat="1">
      <c r="A67" s="269"/>
      <c r="B67" s="269"/>
      <c r="C67" s="269"/>
      <c r="D67" s="272" t="s">
        <v>648</v>
      </c>
      <c r="E67" s="235">
        <f>G57</f>
        <v>358.8</v>
      </c>
      <c r="F67" s="210"/>
      <c r="G67" s="269"/>
      <c r="H67" s="269"/>
      <c r="I67" s="269"/>
      <c r="J67" s="269"/>
      <c r="K67" s="269"/>
      <c r="L67" s="269"/>
      <c r="M67" s="403"/>
      <c r="N67" s="403"/>
      <c r="O67" s="403"/>
      <c r="P67" s="403"/>
      <c r="Q67" s="268"/>
      <c r="R67" s="403"/>
      <c r="S67" s="403"/>
      <c r="T67" s="268"/>
    </row>
    <row r="68" spans="1:20" s="81" customFormat="1">
      <c r="A68" s="269"/>
      <c r="B68" s="269"/>
      <c r="C68" s="269"/>
      <c r="D68" s="272" t="s">
        <v>649</v>
      </c>
      <c r="E68" s="236">
        <v>12</v>
      </c>
      <c r="F68" s="211"/>
      <c r="G68" s="269"/>
      <c r="H68" s="269"/>
      <c r="I68" s="269"/>
      <c r="J68" s="269"/>
      <c r="K68" s="269"/>
      <c r="L68" s="269"/>
      <c r="M68" s="403"/>
      <c r="N68" s="403"/>
      <c r="O68" s="403"/>
      <c r="P68" s="403"/>
      <c r="Q68" s="268"/>
      <c r="R68" s="403"/>
      <c r="S68" s="403"/>
      <c r="T68" s="268"/>
    </row>
    <row r="69" spans="1:20" s="81" customFormat="1">
      <c r="A69" s="269"/>
      <c r="B69" s="212" t="s">
        <v>651</v>
      </c>
      <c r="C69" s="237">
        <f>E67+(1.1*E66)/E68</f>
        <v>500.12848888888891</v>
      </c>
      <c r="D69" s="211" t="s">
        <v>652</v>
      </c>
      <c r="E69" s="210"/>
      <c r="F69" s="210"/>
      <c r="G69" s="269"/>
      <c r="H69" s="269"/>
      <c r="I69" s="269"/>
      <c r="J69" s="269"/>
      <c r="K69" s="269"/>
      <c r="L69" s="269"/>
      <c r="M69" s="403"/>
      <c r="N69" s="403"/>
      <c r="O69" s="403"/>
      <c r="P69" s="403"/>
      <c r="Q69" s="268"/>
      <c r="R69" s="403"/>
      <c r="S69" s="403"/>
      <c r="T69" s="268"/>
    </row>
    <row r="70" spans="1:20" s="81" customFormat="1">
      <c r="A70" s="269"/>
      <c r="B70" s="269"/>
      <c r="C70" s="269"/>
      <c r="D70" s="272"/>
      <c r="E70" s="210"/>
      <c r="F70" s="210"/>
      <c r="G70" s="269"/>
      <c r="H70" s="269"/>
      <c r="I70" s="269"/>
      <c r="J70" s="269"/>
      <c r="K70" s="269"/>
      <c r="L70" s="269"/>
      <c r="M70" s="403"/>
      <c r="N70" s="403"/>
      <c r="O70" s="403"/>
      <c r="P70" s="403"/>
      <c r="Q70" s="268"/>
      <c r="R70" s="403"/>
      <c r="S70" s="403"/>
      <c r="T70" s="268"/>
    </row>
    <row r="71" spans="1:20" s="81" customFormat="1">
      <c r="A71" s="269"/>
      <c r="B71" s="269"/>
      <c r="C71" s="269"/>
      <c r="D71" s="269"/>
      <c r="E71" s="269"/>
      <c r="F71" s="269"/>
      <c r="G71" s="269"/>
      <c r="H71" s="269"/>
      <c r="I71" s="269"/>
      <c r="J71" s="269"/>
      <c r="K71" s="269"/>
      <c r="L71" s="269"/>
      <c r="M71" s="403"/>
      <c r="N71" s="403"/>
      <c r="O71" s="403"/>
      <c r="P71" s="403"/>
      <c r="Q71" s="268"/>
      <c r="R71" s="403"/>
      <c r="S71" s="403"/>
      <c r="T71" s="268"/>
    </row>
    <row r="72" spans="1:20" s="81" customFormat="1">
      <c r="A72" s="147" t="s">
        <v>720</v>
      </c>
      <c r="B72" s="268"/>
      <c r="C72" s="268"/>
      <c r="D72" s="268"/>
      <c r="E72" s="268"/>
      <c r="F72" s="268"/>
      <c r="G72" s="268"/>
      <c r="H72" s="268"/>
      <c r="I72" s="268"/>
      <c r="J72" s="268"/>
      <c r="K72" s="268"/>
      <c r="L72" s="268"/>
      <c r="M72" s="403"/>
      <c r="N72" s="403"/>
      <c r="O72" s="403"/>
      <c r="P72" s="403"/>
      <c r="Q72" s="268"/>
      <c r="R72" s="403"/>
      <c r="S72" s="403"/>
      <c r="T72" s="268"/>
    </row>
    <row r="73" spans="1:20" s="81" customFormat="1">
      <c r="A73" s="147"/>
      <c r="B73" s="213" t="s">
        <v>721</v>
      </c>
      <c r="C73" s="238">
        <f>SUM(G30:G34)</f>
        <v>50</v>
      </c>
      <c r="D73" s="268" t="s">
        <v>315</v>
      </c>
      <c r="E73" s="268"/>
      <c r="F73" s="268"/>
      <c r="G73" s="268"/>
      <c r="H73" s="268"/>
      <c r="I73" s="268"/>
      <c r="J73" s="268"/>
      <c r="K73" s="268"/>
      <c r="L73" s="268"/>
      <c r="M73" s="403"/>
      <c r="N73" s="403"/>
      <c r="O73" s="403"/>
      <c r="P73" s="403"/>
      <c r="Q73" s="268"/>
      <c r="R73" s="403"/>
      <c r="S73" s="403"/>
      <c r="T73" s="268"/>
    </row>
    <row r="74" spans="1:20" s="81" customFormat="1">
      <c r="A74" s="147"/>
      <c r="B74" s="213" t="s">
        <v>722</v>
      </c>
      <c r="C74" s="239">
        <f>G55</f>
        <v>150</v>
      </c>
      <c r="D74" s="268" t="s">
        <v>315</v>
      </c>
      <c r="E74" s="268"/>
      <c r="F74" s="268"/>
      <c r="G74" s="268"/>
      <c r="H74" s="268"/>
      <c r="I74" s="268"/>
      <c r="J74" s="268"/>
      <c r="K74" s="268"/>
      <c r="L74" s="268"/>
      <c r="M74" s="403"/>
      <c r="N74" s="403"/>
      <c r="O74" s="403"/>
      <c r="P74" s="403"/>
      <c r="Q74" s="268"/>
      <c r="R74" s="403"/>
      <c r="S74" s="403"/>
      <c r="T74" s="268"/>
    </row>
    <row r="75" spans="1:20" s="81" customFormat="1">
      <c r="A75" s="147"/>
      <c r="B75" s="213" t="s">
        <v>723</v>
      </c>
      <c r="C75" s="239">
        <f>G57</f>
        <v>358.8</v>
      </c>
      <c r="D75" s="268" t="s">
        <v>315</v>
      </c>
      <c r="E75" s="268"/>
      <c r="F75" s="268"/>
      <c r="G75" s="268"/>
      <c r="H75" s="268"/>
      <c r="I75" s="268"/>
      <c r="J75" s="268"/>
      <c r="K75" s="268"/>
      <c r="L75" s="268"/>
      <c r="M75" s="403"/>
      <c r="N75" s="403"/>
      <c r="O75" s="403"/>
      <c r="P75" s="403"/>
      <c r="Q75" s="268"/>
      <c r="R75" s="403"/>
      <c r="S75" s="403"/>
      <c r="T75" s="268"/>
    </row>
    <row r="76" spans="1:20" s="81" customFormat="1">
      <c r="A76" s="369"/>
      <c r="B76" s="369" t="s">
        <v>724</v>
      </c>
      <c r="C76" s="240">
        <v>0.9</v>
      </c>
      <c r="D76" s="268"/>
      <c r="E76" s="268"/>
      <c r="F76" s="268"/>
      <c r="G76" s="268"/>
      <c r="H76" s="268"/>
      <c r="I76" s="268"/>
      <c r="J76" s="268"/>
      <c r="K76" s="268"/>
      <c r="L76" s="268"/>
      <c r="M76" s="403"/>
      <c r="N76" s="403"/>
      <c r="O76" s="403"/>
      <c r="P76" s="403"/>
      <c r="Q76" s="268"/>
      <c r="R76" s="403"/>
      <c r="S76" s="403"/>
      <c r="T76" s="268"/>
    </row>
    <row r="77" spans="1:20" s="81" customFormat="1">
      <c r="A77" s="369"/>
      <c r="B77" s="369" t="s">
        <v>725</v>
      </c>
      <c r="C77" s="241">
        <f>(C69*125)/(C76*480*SQRT(3))</f>
        <v>83.550149794386812</v>
      </c>
      <c r="D77" s="373" t="s">
        <v>315</v>
      </c>
      <c r="E77" s="213"/>
      <c r="F77" s="213"/>
      <c r="G77" s="213"/>
      <c r="H77" s="213"/>
      <c r="I77" s="213"/>
      <c r="J77" s="213"/>
      <c r="K77" s="213"/>
      <c r="L77" s="213"/>
      <c r="M77" s="403"/>
      <c r="N77" s="403"/>
      <c r="O77" s="403"/>
      <c r="P77" s="403"/>
      <c r="Q77" s="268"/>
      <c r="R77" s="403"/>
      <c r="S77" s="403"/>
      <c r="T77" s="268"/>
    </row>
    <row r="78" spans="1:20">
      <c r="A78" s="369"/>
      <c r="B78" s="369" t="s">
        <v>726</v>
      </c>
      <c r="C78" s="242">
        <f>(C75*125)/(1000)</f>
        <v>44.85</v>
      </c>
      <c r="D78" s="373" t="s">
        <v>310</v>
      </c>
      <c r="E78" s="268"/>
      <c r="F78" s="268"/>
      <c r="G78" s="268"/>
      <c r="H78" s="268"/>
      <c r="I78" s="268"/>
      <c r="J78" s="268"/>
      <c r="K78" s="268"/>
      <c r="L78" s="268"/>
      <c r="M78" s="403"/>
      <c r="N78" s="403"/>
      <c r="O78" s="403"/>
      <c r="P78" s="403"/>
      <c r="Q78" s="268"/>
      <c r="R78" s="403"/>
      <c r="S78" s="403"/>
      <c r="T78" s="268"/>
    </row>
    <row r="79" spans="1:20">
      <c r="A79" s="369"/>
      <c r="B79" s="369" t="s">
        <v>727</v>
      </c>
      <c r="C79" s="547">
        <f>C74*125/(1000)</f>
        <v>18.75</v>
      </c>
      <c r="D79" s="373" t="s">
        <v>310</v>
      </c>
      <c r="E79" s="408"/>
      <c r="F79" s="408"/>
      <c r="G79" s="408"/>
      <c r="H79" s="408"/>
      <c r="I79" s="408"/>
      <c r="J79" s="408"/>
      <c r="K79" s="408"/>
      <c r="L79" s="408"/>
      <c r="M79" s="403"/>
      <c r="N79" s="403"/>
      <c r="O79" s="403"/>
      <c r="P79" s="403"/>
      <c r="Q79" s="268"/>
      <c r="R79" s="403"/>
      <c r="S79" s="403"/>
      <c r="T79" s="268"/>
    </row>
    <row r="80" spans="1:20">
      <c r="A80" s="369"/>
      <c r="B80" s="369" t="s">
        <v>728</v>
      </c>
      <c r="C80" s="242">
        <f>(C73*125)/1000</f>
        <v>6.25</v>
      </c>
      <c r="D80" s="373" t="s">
        <v>310</v>
      </c>
      <c r="E80" s="268"/>
      <c r="F80" s="268"/>
      <c r="G80" s="268"/>
      <c r="H80" s="268"/>
      <c r="I80" s="268"/>
      <c r="J80" s="268"/>
      <c r="K80" s="268"/>
      <c r="L80" s="268"/>
      <c r="M80" s="403"/>
      <c r="N80" s="403"/>
      <c r="O80" s="403"/>
      <c r="P80" s="403"/>
      <c r="Q80" s="268"/>
      <c r="R80" s="403"/>
      <c r="S80" s="403"/>
      <c r="T80" s="268"/>
    </row>
    <row r="81" spans="2:12">
      <c r="B81" s="369" t="s">
        <v>729</v>
      </c>
      <c r="C81" s="242">
        <f>(C75-C74-C73)*125/1000</f>
        <v>19.850000000000001</v>
      </c>
      <c r="D81" s="373" t="s">
        <v>310</v>
      </c>
      <c r="E81" s="268"/>
      <c r="F81" s="268"/>
      <c r="G81" s="268"/>
      <c r="H81" s="268"/>
      <c r="I81" s="268"/>
      <c r="J81" s="268"/>
      <c r="K81" s="268"/>
      <c r="L81" s="268"/>
    </row>
    <row r="82" spans="2:12">
      <c r="B82" s="268"/>
      <c r="C82" s="243"/>
      <c r="D82" s="408"/>
      <c r="E82" s="408"/>
      <c r="F82" s="408"/>
      <c r="G82" s="408"/>
      <c r="H82" s="408"/>
      <c r="I82" s="408"/>
      <c r="J82" s="408"/>
      <c r="K82" s="408"/>
      <c r="L82" s="408"/>
    </row>
    <row r="90" spans="2:12">
      <c r="B90" s="268"/>
      <c r="C90" s="408"/>
      <c r="D90" s="408"/>
      <c r="E90" s="408"/>
      <c r="F90" s="408"/>
      <c r="G90" s="408"/>
      <c r="H90" s="408"/>
      <c r="I90" s="408"/>
      <c r="J90" s="408"/>
      <c r="K90" s="408"/>
      <c r="L90" s="408"/>
    </row>
  </sheetData>
  <phoneticPr fontId="0" type="noConversion"/>
  <pageMargins left="0.5" right="0.5" top="0.86" bottom="0.62" header="0.5" footer="0.5"/>
  <pageSetup paperSize="17" scale="65" orientation="landscape" r:id="rId1"/>
  <headerFooter alignWithMargins="0">
    <oddHeader>&amp;CDuke Point Power Project
Project No. 2005-005
&amp;"Arial,Bold"&amp;16Battery &amp; Battery Charger Sizing Information</oddHeader>
    <oddFooter>&amp;LBibb &amp;&amp; Assoc. Inc.&amp;R&amp;D</oddFooter>
  </headerFooter>
  <rowBreaks count="2" manualBreakCount="2">
    <brk id="36" max="11" man="1"/>
    <brk id="96" max="16383" man="1"/>
  </rowBreak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Normal="100" workbookViewId="0">
      <selection activeCell="D28" sqref="D28"/>
    </sheetView>
  </sheetViews>
  <sheetFormatPr defaultRowHeight="12.75"/>
  <cols>
    <col min="1" max="1" width="19.42578125" style="268" customWidth="1"/>
    <col min="2" max="2" width="22.42578125" style="268" bestFit="1" customWidth="1"/>
    <col min="3" max="16384" width="9.140625" style="268"/>
  </cols>
  <sheetData>
    <row r="1" spans="1:8">
      <c r="A1" s="356" t="s">
        <v>730</v>
      </c>
    </row>
    <row r="2" spans="1:8">
      <c r="A2" s="356" t="s">
        <v>731</v>
      </c>
    </row>
    <row r="3" spans="1:8">
      <c r="A3" s="356"/>
    </row>
    <row r="4" spans="1:8">
      <c r="A4" s="367" t="s">
        <v>732</v>
      </c>
      <c r="B4" s="366" t="s">
        <v>733</v>
      </c>
      <c r="C4" s="365"/>
      <c r="D4" s="365"/>
      <c r="E4" s="365"/>
      <c r="F4" s="365"/>
      <c r="G4" s="365"/>
      <c r="H4" s="364"/>
    </row>
    <row r="5" spans="1:8">
      <c r="A5" s="361"/>
      <c r="B5" s="91"/>
      <c r="C5" s="91"/>
      <c r="D5" s="91"/>
      <c r="E5" s="91"/>
      <c r="F5" s="91"/>
      <c r="G5" s="91"/>
      <c r="H5" s="360"/>
    </row>
    <row r="6" spans="1:8">
      <c r="A6" s="362" t="s">
        <v>734</v>
      </c>
      <c r="B6" s="91"/>
      <c r="C6" s="91"/>
      <c r="D6" s="91"/>
      <c r="E6" s="91"/>
      <c r="F6" s="91"/>
      <c r="G6" s="91"/>
      <c r="H6" s="360"/>
    </row>
    <row r="7" spans="1:8">
      <c r="A7" s="361" t="s">
        <v>735</v>
      </c>
      <c r="B7" s="91"/>
      <c r="C7" s="91"/>
      <c r="D7" s="91"/>
      <c r="E7" s="91"/>
      <c r="F7" s="91"/>
      <c r="G7" s="91"/>
      <c r="H7" s="360"/>
    </row>
    <row r="8" spans="1:8">
      <c r="A8" s="363" t="s">
        <v>736</v>
      </c>
      <c r="B8" s="91"/>
      <c r="C8" s="91"/>
      <c r="D8" s="91"/>
      <c r="E8" s="91"/>
      <c r="F8" s="91"/>
      <c r="G8" s="91"/>
      <c r="H8" s="360"/>
    </row>
    <row r="9" spans="1:8">
      <c r="A9" s="362" t="s">
        <v>737</v>
      </c>
      <c r="B9" s="91"/>
      <c r="C9" s="91"/>
      <c r="D9" s="91"/>
      <c r="E9" s="91"/>
      <c r="F9" s="91"/>
      <c r="G9" s="91"/>
      <c r="H9" s="360"/>
    </row>
    <row r="10" spans="1:8">
      <c r="A10" s="361" t="s">
        <v>738</v>
      </c>
      <c r="B10" s="91"/>
      <c r="C10" s="91"/>
      <c r="D10" s="91"/>
      <c r="E10" s="91"/>
      <c r="F10" s="91"/>
      <c r="G10" s="91"/>
      <c r="H10" s="360"/>
    </row>
    <row r="11" spans="1:8">
      <c r="A11" s="361" t="s">
        <v>739</v>
      </c>
      <c r="B11" s="91"/>
      <c r="C11" s="91"/>
      <c r="D11" s="91"/>
      <c r="E11" s="91"/>
      <c r="F11" s="91"/>
      <c r="G11" s="91"/>
      <c r="H11" s="360"/>
    </row>
    <row r="12" spans="1:8">
      <c r="A12" s="361" t="s">
        <v>740</v>
      </c>
      <c r="B12" s="91"/>
      <c r="C12" s="91"/>
      <c r="D12" s="91"/>
      <c r="E12" s="91"/>
      <c r="F12" s="91"/>
      <c r="G12" s="91"/>
      <c r="H12" s="360"/>
    </row>
    <row r="13" spans="1:8">
      <c r="A13" s="359" t="s">
        <v>741</v>
      </c>
      <c r="B13" s="358"/>
      <c r="C13" s="358"/>
      <c r="D13" s="358"/>
      <c r="E13" s="358"/>
      <c r="F13" s="358"/>
      <c r="G13" s="358"/>
      <c r="H13" s="357"/>
    </row>
    <row r="14" spans="1:8">
      <c r="A14" s="356"/>
    </row>
    <row r="15" spans="1:8">
      <c r="A15" s="356"/>
    </row>
    <row r="16" spans="1:8">
      <c r="A16" s="356"/>
    </row>
    <row r="17" spans="1:2">
      <c r="A17" s="355" t="s">
        <v>742</v>
      </c>
    </row>
    <row r="18" spans="1:2">
      <c r="A18" s="354" t="s">
        <v>743</v>
      </c>
      <c r="B18" s="354" t="s">
        <v>744</v>
      </c>
    </row>
    <row r="19" spans="1:2">
      <c r="A19" s="110">
        <v>25</v>
      </c>
      <c r="B19" s="353">
        <v>1.52</v>
      </c>
    </row>
    <row r="20" spans="1:2">
      <c r="A20" s="110">
        <v>30</v>
      </c>
      <c r="B20" s="353">
        <v>1.43</v>
      </c>
    </row>
    <row r="21" spans="1:2">
      <c r="A21" s="110">
        <v>35</v>
      </c>
      <c r="B21" s="353">
        <v>1.35</v>
      </c>
    </row>
    <row r="22" spans="1:2">
      <c r="A22" s="110">
        <v>40</v>
      </c>
      <c r="B22" s="353">
        <v>1.3</v>
      </c>
    </row>
    <row r="23" spans="1:2">
      <c r="A23" s="110">
        <v>45</v>
      </c>
      <c r="B23" s="353">
        <v>1.25</v>
      </c>
    </row>
    <row r="24" spans="1:2">
      <c r="A24" s="110">
        <v>50</v>
      </c>
      <c r="B24" s="353">
        <v>1.19</v>
      </c>
    </row>
    <row r="25" spans="1:2">
      <c r="A25" s="110">
        <v>55</v>
      </c>
      <c r="B25" s="353">
        <v>1.1499999999999999</v>
      </c>
    </row>
    <row r="26" spans="1:2">
      <c r="A26" s="110">
        <v>60</v>
      </c>
      <c r="B26" s="353">
        <v>1.1100000000000001</v>
      </c>
    </row>
    <row r="27" spans="1:2">
      <c r="A27" s="110">
        <v>65</v>
      </c>
      <c r="B27" s="353">
        <v>1.08</v>
      </c>
    </row>
    <row r="28" spans="1:2">
      <c r="A28" s="110">
        <v>66</v>
      </c>
      <c r="B28" s="353">
        <v>1.0720000000000001</v>
      </c>
    </row>
    <row r="29" spans="1:2">
      <c r="A29" s="110">
        <v>67</v>
      </c>
      <c r="B29" s="353">
        <v>1.0640000000000001</v>
      </c>
    </row>
    <row r="30" spans="1:2">
      <c r="A30" s="110">
        <v>68</v>
      </c>
      <c r="B30" s="353">
        <v>1.056</v>
      </c>
    </row>
    <row r="31" spans="1:2">
      <c r="A31" s="110">
        <v>69</v>
      </c>
      <c r="B31" s="353">
        <v>1.048</v>
      </c>
    </row>
    <row r="32" spans="1:2">
      <c r="A32" s="110">
        <v>70</v>
      </c>
      <c r="B32" s="353">
        <v>1.04</v>
      </c>
    </row>
    <row r="33" spans="1:2">
      <c r="A33" s="110">
        <v>71</v>
      </c>
      <c r="B33" s="353">
        <v>1.0349999999999999</v>
      </c>
    </row>
    <row r="34" spans="1:2">
      <c r="A34" s="110">
        <v>72</v>
      </c>
      <c r="B34" s="353">
        <v>1.0289999999999999</v>
      </c>
    </row>
    <row r="35" spans="1:2">
      <c r="A35" s="110">
        <v>73</v>
      </c>
      <c r="B35" s="353">
        <v>1.0229999999999999</v>
      </c>
    </row>
    <row r="36" spans="1:2">
      <c r="A36" s="110">
        <v>74</v>
      </c>
      <c r="B36" s="353">
        <v>1.0169999999999999</v>
      </c>
    </row>
    <row r="37" spans="1:2">
      <c r="A37" s="110">
        <v>75</v>
      </c>
      <c r="B37" s="353">
        <v>1.0109999999999999</v>
      </c>
    </row>
    <row r="38" spans="1:2" ht="13.5" thickBot="1">
      <c r="A38" s="116">
        <v>76</v>
      </c>
      <c r="B38" s="352">
        <v>1.006</v>
      </c>
    </row>
    <row r="39" spans="1:2" ht="13.5" thickBot="1">
      <c r="A39" s="351">
        <v>77</v>
      </c>
      <c r="B39" s="350">
        <v>1</v>
      </c>
    </row>
    <row r="40" spans="1:2">
      <c r="A40" s="106">
        <v>78</v>
      </c>
      <c r="B40" s="349">
        <v>0.99399999999999999</v>
      </c>
    </row>
    <row r="41" spans="1:2">
      <c r="A41" s="110">
        <v>79</v>
      </c>
      <c r="B41" s="348">
        <v>0.98699999999999999</v>
      </c>
    </row>
    <row r="42" spans="1:2">
      <c r="A42" s="110">
        <v>80</v>
      </c>
      <c r="B42" s="348">
        <v>0.98</v>
      </c>
    </row>
    <row r="43" spans="1:2">
      <c r="A43" s="110">
        <v>81</v>
      </c>
      <c r="B43" s="348">
        <v>0.97599999999999998</v>
      </c>
    </row>
    <row r="44" spans="1:2">
      <c r="A44" s="110">
        <v>82</v>
      </c>
      <c r="B44" s="348">
        <v>0.97199999999999998</v>
      </c>
    </row>
    <row r="45" spans="1:2">
      <c r="A45" s="110">
        <v>83</v>
      </c>
      <c r="B45" s="348">
        <v>0.96799999999999997</v>
      </c>
    </row>
    <row r="46" spans="1:2">
      <c r="A46" s="110">
        <v>84</v>
      </c>
      <c r="B46" s="348">
        <v>0.96399999999999997</v>
      </c>
    </row>
    <row r="47" spans="1:2">
      <c r="A47" s="110">
        <v>85</v>
      </c>
      <c r="B47" s="348">
        <v>0.96</v>
      </c>
    </row>
    <row r="48" spans="1:2">
      <c r="A48" s="110">
        <v>86</v>
      </c>
      <c r="B48" s="348">
        <v>0.95599999999999996</v>
      </c>
    </row>
    <row r="49" spans="1:2">
      <c r="A49" s="110">
        <v>87</v>
      </c>
      <c r="B49" s="348">
        <v>0.95199999999999996</v>
      </c>
    </row>
    <row r="50" spans="1:2">
      <c r="A50" s="110">
        <v>88</v>
      </c>
      <c r="B50" s="348">
        <v>0.94799999999999995</v>
      </c>
    </row>
    <row r="51" spans="1:2">
      <c r="A51" s="110">
        <v>89</v>
      </c>
      <c r="B51" s="348">
        <v>0.94399999999999995</v>
      </c>
    </row>
    <row r="52" spans="1:2">
      <c r="A52" s="110">
        <v>90</v>
      </c>
      <c r="B52" s="348">
        <v>0.94</v>
      </c>
    </row>
    <row r="53" spans="1:2">
      <c r="A53" s="110">
        <v>95</v>
      </c>
      <c r="B53" s="348">
        <v>0.93</v>
      </c>
    </row>
    <row r="54" spans="1:2">
      <c r="A54" s="110">
        <v>100</v>
      </c>
      <c r="B54" s="348">
        <v>0.91</v>
      </c>
    </row>
    <row r="55" spans="1:2">
      <c r="A55" s="110">
        <v>105</v>
      </c>
      <c r="B55" s="348">
        <v>0.89</v>
      </c>
    </row>
    <row r="56" spans="1:2">
      <c r="A56" s="110">
        <v>110</v>
      </c>
      <c r="B56" s="348">
        <v>0.88</v>
      </c>
    </row>
    <row r="57" spans="1:2">
      <c r="A57" s="110">
        <v>115</v>
      </c>
      <c r="B57" s="348">
        <v>0.87</v>
      </c>
    </row>
    <row r="58" spans="1:2">
      <c r="A58" s="110">
        <v>120</v>
      </c>
      <c r="B58" s="348">
        <v>0.86</v>
      </c>
    </row>
    <row r="59" spans="1:2">
      <c r="A59" s="110">
        <v>125</v>
      </c>
      <c r="B59" s="348">
        <v>0.85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view="pageBreakPreview" zoomScale="115" zoomScaleNormal="100" zoomScaleSheetLayoutView="115" workbookViewId="0">
      <selection activeCell="H20" sqref="H20"/>
    </sheetView>
  </sheetViews>
  <sheetFormatPr defaultRowHeight="12.75"/>
  <cols>
    <col min="1" max="1" width="10.28515625" style="268" customWidth="1"/>
    <col min="2" max="2" width="11.140625" style="268" customWidth="1"/>
    <col min="3" max="3" width="2" style="268" customWidth="1"/>
    <col min="4" max="16384" width="9.140625" style="268"/>
  </cols>
  <sheetData>
    <row r="1" spans="1:13">
      <c r="A1" s="467" t="s">
        <v>745</v>
      </c>
      <c r="B1" s="467"/>
      <c r="C1" s="467"/>
      <c r="D1" s="467"/>
      <c r="E1" s="467"/>
      <c r="F1" s="467"/>
      <c r="G1" s="467"/>
      <c r="H1" s="467"/>
      <c r="I1" s="467"/>
      <c r="J1" s="467"/>
      <c r="K1" s="467"/>
      <c r="L1" s="467"/>
      <c r="M1" s="467"/>
    </row>
    <row r="2" spans="1:13">
      <c r="A2" s="467"/>
      <c r="B2" s="467"/>
      <c r="C2" s="467"/>
      <c r="D2" s="467"/>
      <c r="E2" s="467"/>
      <c r="F2" s="467"/>
      <c r="G2" s="467"/>
      <c r="H2" s="467"/>
      <c r="I2" s="467"/>
      <c r="J2" s="467"/>
      <c r="K2" s="467"/>
      <c r="L2" s="467"/>
      <c r="M2" s="467"/>
    </row>
    <row r="3" spans="1:13" ht="18">
      <c r="A3" s="377" t="s">
        <v>746</v>
      </c>
    </row>
    <row r="4" spans="1:13">
      <c r="A4" s="356"/>
      <c r="B4" s="356"/>
    </row>
    <row r="5" spans="1:13">
      <c r="A5" s="356" t="s">
        <v>747</v>
      </c>
      <c r="B5" s="356"/>
    </row>
    <row r="6" spans="1:13">
      <c r="A6" s="356" t="s">
        <v>748</v>
      </c>
      <c r="B6" s="356"/>
    </row>
    <row r="8" spans="1:13" ht="18">
      <c r="A8" s="377" t="s">
        <v>749</v>
      </c>
    </row>
    <row r="10" spans="1:13">
      <c r="A10" s="356" t="s">
        <v>750</v>
      </c>
    </row>
    <row r="11" spans="1:13">
      <c r="A11" s="369" t="s">
        <v>751</v>
      </c>
      <c r="B11" s="356" t="s">
        <v>752</v>
      </c>
    </row>
    <row r="12" spans="1:13">
      <c r="A12" s="369" t="s">
        <v>753</v>
      </c>
      <c r="B12" s="356" t="s">
        <v>754</v>
      </c>
    </row>
    <row r="13" spans="1:13">
      <c r="A13" s="369" t="s">
        <v>755</v>
      </c>
      <c r="B13" s="356" t="s">
        <v>756</v>
      </c>
    </row>
    <row r="14" spans="1:13">
      <c r="A14" s="369"/>
      <c r="B14" s="356"/>
    </row>
    <row r="15" spans="1:13">
      <c r="A15" s="369"/>
      <c r="B15" s="356"/>
    </row>
    <row r="16" spans="1:13">
      <c r="A16" s="369"/>
      <c r="B16" s="356"/>
    </row>
    <row r="17" spans="1:13">
      <c r="A17" s="369" t="s">
        <v>757</v>
      </c>
      <c r="B17" s="356" t="s">
        <v>758</v>
      </c>
    </row>
    <row r="18" spans="1:13">
      <c r="A18" s="369" t="s">
        <v>759</v>
      </c>
      <c r="B18" s="356" t="s">
        <v>760</v>
      </c>
    </row>
    <row r="19" spans="1:13">
      <c r="A19" s="213"/>
      <c r="B19" s="376" t="s">
        <v>761</v>
      </c>
    </row>
    <row r="20" spans="1:13">
      <c r="A20" s="369" t="s">
        <v>753</v>
      </c>
      <c r="B20" s="322" t="s">
        <v>762</v>
      </c>
    </row>
    <row r="23" spans="1:13">
      <c r="B23" s="375"/>
      <c r="C23" s="374"/>
      <c r="D23" s="356"/>
    </row>
    <row r="24" spans="1:13">
      <c r="A24" s="356"/>
    </row>
    <row r="25" spans="1:13" ht="18">
      <c r="A25" s="377" t="s">
        <v>763</v>
      </c>
      <c r="B25" s="403"/>
      <c r="C25" s="403"/>
      <c r="D25" s="403"/>
    </row>
    <row r="26" spans="1:13">
      <c r="A26" s="406"/>
      <c r="B26" s="403"/>
      <c r="C26" s="403"/>
      <c r="D26" s="403"/>
    </row>
    <row r="27" spans="1:13">
      <c r="A27" s="406" t="s">
        <v>764</v>
      </c>
      <c r="B27" s="403"/>
      <c r="C27" s="403"/>
      <c r="D27" s="403"/>
    </row>
    <row r="28" spans="1:13">
      <c r="A28" s="406"/>
      <c r="B28" s="403"/>
      <c r="C28" s="403"/>
      <c r="D28" s="403"/>
    </row>
    <row r="29" spans="1:13" ht="24.75">
      <c r="A29" s="373" t="s">
        <v>765</v>
      </c>
      <c r="B29" s="371" t="s">
        <v>766</v>
      </c>
      <c r="C29" s="403"/>
      <c r="H29" s="403"/>
    </row>
    <row r="30" spans="1:13" ht="24.75">
      <c r="A30" s="372" t="s">
        <v>767</v>
      </c>
      <c r="B30" s="371" t="s">
        <v>768</v>
      </c>
      <c r="C30" s="403"/>
      <c r="D30" s="403"/>
    </row>
    <row r="31" spans="1:13">
      <c r="A31" s="406"/>
      <c r="B31" s="403"/>
      <c r="C31" s="403"/>
      <c r="D31" s="403"/>
    </row>
    <row r="32" spans="1:13" ht="19.5">
      <c r="A32" s="370" t="s">
        <v>769</v>
      </c>
      <c r="B32" s="468" t="s">
        <v>770</v>
      </c>
      <c r="C32" s="468"/>
      <c r="D32" s="468"/>
      <c r="E32" s="468"/>
      <c r="F32" s="468"/>
      <c r="G32" s="468"/>
      <c r="H32" s="468"/>
      <c r="I32" s="468"/>
      <c r="J32" s="468"/>
      <c r="K32" s="468"/>
      <c r="L32" s="468"/>
      <c r="M32" s="468"/>
    </row>
    <row r="33" spans="1:13" ht="15">
      <c r="A33" s="370"/>
      <c r="B33" s="468"/>
      <c r="C33" s="468"/>
      <c r="D33" s="468"/>
      <c r="E33" s="468"/>
      <c r="F33" s="468"/>
      <c r="G33" s="468"/>
      <c r="H33" s="468"/>
      <c r="I33" s="468"/>
      <c r="J33" s="468"/>
      <c r="K33" s="468"/>
      <c r="L33" s="468"/>
      <c r="M33" s="468"/>
    </row>
    <row r="34" spans="1:13" ht="19.5">
      <c r="A34" s="370" t="s">
        <v>771</v>
      </c>
      <c r="B34" s="469" t="s">
        <v>772</v>
      </c>
      <c r="C34" s="470"/>
      <c r="D34" s="470"/>
      <c r="E34" s="470"/>
      <c r="F34" s="470"/>
      <c r="G34" s="470"/>
      <c r="H34" s="470"/>
      <c r="I34" s="470"/>
      <c r="J34" s="470"/>
      <c r="K34" s="470"/>
      <c r="L34" s="470"/>
      <c r="M34" s="470"/>
    </row>
    <row r="35" spans="1:13" ht="15.75" customHeight="1">
      <c r="A35" s="370" t="s">
        <v>773</v>
      </c>
      <c r="B35" s="471" t="s">
        <v>774</v>
      </c>
      <c r="C35" s="471"/>
      <c r="D35" s="471"/>
      <c r="E35" s="471"/>
      <c r="F35" s="471"/>
      <c r="G35" s="471"/>
      <c r="H35" s="471"/>
      <c r="I35" s="471"/>
      <c r="J35" s="471"/>
      <c r="K35" s="471"/>
      <c r="L35" s="471"/>
      <c r="M35" s="471"/>
    </row>
    <row r="36" spans="1:13" ht="15">
      <c r="A36" s="370"/>
      <c r="B36" s="471"/>
      <c r="C36" s="471"/>
      <c r="D36" s="471"/>
      <c r="E36" s="471"/>
      <c r="F36" s="471"/>
      <c r="G36" s="471"/>
      <c r="H36" s="471"/>
      <c r="I36" s="471"/>
      <c r="J36" s="471"/>
      <c r="K36" s="471"/>
      <c r="L36" s="471"/>
      <c r="M36" s="471"/>
    </row>
    <row r="37" spans="1:13" ht="15">
      <c r="A37" s="370"/>
      <c r="B37" s="471"/>
      <c r="C37" s="471"/>
      <c r="D37" s="471"/>
      <c r="E37" s="471"/>
      <c r="F37" s="471"/>
      <c r="G37" s="471"/>
      <c r="H37" s="471"/>
      <c r="I37" s="471"/>
      <c r="J37" s="471"/>
      <c r="K37" s="471"/>
      <c r="L37" s="471"/>
      <c r="M37" s="471"/>
    </row>
    <row r="38" spans="1:13" ht="15.75" customHeight="1">
      <c r="A38" s="370"/>
      <c r="B38" s="471"/>
      <c r="C38" s="471"/>
      <c r="D38" s="471"/>
      <c r="E38" s="471"/>
      <c r="F38" s="471"/>
      <c r="G38" s="471"/>
      <c r="H38" s="471"/>
      <c r="I38" s="471"/>
      <c r="J38" s="471"/>
      <c r="K38" s="471"/>
      <c r="L38" s="471"/>
      <c r="M38" s="471"/>
    </row>
    <row r="39" spans="1:13" ht="15">
      <c r="A39" s="370"/>
      <c r="B39" s="471"/>
      <c r="C39" s="471"/>
      <c r="D39" s="471"/>
      <c r="E39" s="471"/>
      <c r="F39" s="471"/>
      <c r="G39" s="471"/>
      <c r="H39" s="471"/>
      <c r="I39" s="471"/>
      <c r="J39" s="471"/>
      <c r="K39" s="471"/>
      <c r="L39" s="471"/>
      <c r="M39" s="471"/>
    </row>
    <row r="40" spans="1:13" ht="19.5">
      <c r="A40" s="370" t="s">
        <v>775</v>
      </c>
      <c r="B40" s="471" t="s">
        <v>776</v>
      </c>
      <c r="C40" s="471"/>
      <c r="D40" s="471"/>
      <c r="E40" s="471"/>
      <c r="F40" s="471"/>
      <c r="G40" s="471"/>
      <c r="H40" s="471"/>
      <c r="I40" s="471"/>
      <c r="J40" s="471"/>
      <c r="K40" s="471"/>
      <c r="L40" s="471"/>
      <c r="M40" s="471"/>
    </row>
    <row r="41" spans="1:13" ht="15">
      <c r="A41" s="370" t="s">
        <v>777</v>
      </c>
      <c r="B41" s="471" t="s">
        <v>778</v>
      </c>
      <c r="C41" s="471"/>
      <c r="D41" s="471"/>
      <c r="E41" s="471"/>
      <c r="F41" s="471"/>
      <c r="G41" s="471"/>
      <c r="H41" s="471"/>
      <c r="I41" s="471"/>
      <c r="J41" s="471"/>
      <c r="K41" s="471"/>
      <c r="L41" s="471"/>
      <c r="M41" s="471"/>
    </row>
    <row r="42" spans="1:13">
      <c r="A42" s="369"/>
      <c r="B42" s="471"/>
      <c r="C42" s="471"/>
      <c r="D42" s="471"/>
      <c r="E42" s="471"/>
      <c r="F42" s="471"/>
      <c r="G42" s="471"/>
      <c r="H42" s="471"/>
      <c r="I42" s="471"/>
      <c r="J42" s="471"/>
      <c r="K42" s="471"/>
      <c r="L42" s="471"/>
      <c r="M42" s="471"/>
    </row>
    <row r="43" spans="1:13">
      <c r="A43" s="369"/>
      <c r="B43" s="471"/>
      <c r="C43" s="471"/>
      <c r="D43" s="471"/>
      <c r="E43" s="471"/>
      <c r="F43" s="471"/>
      <c r="G43" s="471"/>
      <c r="H43" s="471"/>
      <c r="I43" s="471"/>
      <c r="J43" s="471"/>
      <c r="K43" s="471"/>
      <c r="L43" s="471"/>
      <c r="M43" s="471"/>
    </row>
    <row r="44" spans="1:13" ht="15.75" customHeight="1">
      <c r="A44" s="369" t="s">
        <v>779</v>
      </c>
      <c r="B44" s="471" t="s">
        <v>780</v>
      </c>
      <c r="C44" s="471"/>
      <c r="D44" s="471"/>
      <c r="E44" s="471"/>
      <c r="F44" s="471"/>
      <c r="G44" s="471"/>
      <c r="H44" s="471"/>
      <c r="I44" s="471"/>
      <c r="J44" s="471"/>
      <c r="K44" s="471"/>
      <c r="L44" s="471"/>
      <c r="M44" s="471"/>
    </row>
    <row r="45" spans="1:13">
      <c r="A45" s="369" t="s">
        <v>781</v>
      </c>
      <c r="B45" s="471" t="s">
        <v>782</v>
      </c>
      <c r="C45" s="471"/>
      <c r="D45" s="471"/>
      <c r="E45" s="471"/>
      <c r="F45" s="471"/>
      <c r="G45" s="471"/>
      <c r="H45" s="471"/>
      <c r="I45" s="471"/>
      <c r="J45" s="471"/>
      <c r="K45" s="471"/>
      <c r="L45" s="471"/>
      <c r="M45" s="471"/>
    </row>
    <row r="46" spans="1:13">
      <c r="A46" s="369"/>
      <c r="B46" s="471"/>
      <c r="C46" s="471"/>
      <c r="D46" s="471"/>
      <c r="E46" s="471"/>
      <c r="F46" s="471"/>
      <c r="G46" s="471"/>
      <c r="H46" s="471"/>
      <c r="I46" s="471"/>
      <c r="J46" s="471"/>
      <c r="K46" s="471"/>
      <c r="L46" s="471"/>
      <c r="M46" s="471"/>
    </row>
    <row r="47" spans="1:13">
      <c r="A47" s="369"/>
      <c r="B47" s="471"/>
      <c r="C47" s="471"/>
      <c r="D47" s="471"/>
      <c r="E47" s="471"/>
      <c r="F47" s="471"/>
      <c r="G47" s="471"/>
      <c r="H47" s="471"/>
      <c r="I47" s="471"/>
      <c r="J47" s="471"/>
      <c r="K47" s="471"/>
      <c r="L47" s="471"/>
      <c r="M47" s="471"/>
    </row>
    <row r="48" spans="1:13">
      <c r="A48" s="369" t="s">
        <v>783</v>
      </c>
      <c r="B48" s="471" t="s">
        <v>784</v>
      </c>
      <c r="C48" s="471"/>
      <c r="D48" s="471"/>
      <c r="E48" s="471"/>
      <c r="F48" s="471"/>
      <c r="G48" s="471"/>
      <c r="H48" s="471"/>
      <c r="I48" s="471"/>
      <c r="J48" s="471"/>
      <c r="K48" s="471"/>
      <c r="L48" s="471"/>
      <c r="M48" s="471"/>
    </row>
    <row r="49" spans="1:13">
      <c r="A49" s="369"/>
      <c r="B49" s="471"/>
      <c r="C49" s="471"/>
      <c r="D49" s="471"/>
      <c r="E49" s="471"/>
      <c r="F49" s="471"/>
      <c r="G49" s="471"/>
      <c r="H49" s="471"/>
      <c r="I49" s="471"/>
      <c r="J49" s="471"/>
      <c r="K49" s="471"/>
      <c r="L49" s="471"/>
      <c r="M49" s="471"/>
    </row>
    <row r="50" spans="1:13">
      <c r="A50" s="369"/>
      <c r="B50" s="471"/>
      <c r="C50" s="471"/>
      <c r="D50" s="471"/>
      <c r="E50" s="471"/>
      <c r="F50" s="471"/>
      <c r="G50" s="471"/>
      <c r="H50" s="471"/>
      <c r="I50" s="471"/>
      <c r="J50" s="471"/>
      <c r="K50" s="471"/>
      <c r="L50" s="471"/>
      <c r="M50" s="471"/>
    </row>
    <row r="51" spans="1:13">
      <c r="A51" s="369"/>
      <c r="B51" s="415"/>
      <c r="C51" s="415"/>
      <c r="D51" s="415"/>
      <c r="E51" s="415"/>
      <c r="F51" s="415"/>
      <c r="G51" s="415"/>
      <c r="H51" s="415"/>
      <c r="I51" s="415"/>
      <c r="J51" s="415"/>
      <c r="K51" s="415"/>
      <c r="L51" s="415"/>
      <c r="M51" s="415"/>
    </row>
    <row r="52" spans="1:13">
      <c r="A52" s="472"/>
      <c r="B52" s="472"/>
      <c r="C52" s="472"/>
      <c r="D52" s="472"/>
      <c r="E52" s="472"/>
      <c r="F52" s="472"/>
      <c r="G52" s="472"/>
      <c r="H52" s="472"/>
      <c r="I52" s="472"/>
      <c r="J52" s="472"/>
      <c r="K52" s="472"/>
      <c r="L52" s="472"/>
      <c r="M52" s="472"/>
    </row>
    <row r="53" spans="1:13">
      <c r="A53" s="472"/>
      <c r="B53" s="472"/>
      <c r="C53" s="472"/>
      <c r="D53" s="472"/>
      <c r="E53" s="472"/>
      <c r="F53" s="472"/>
      <c r="G53" s="472"/>
      <c r="H53" s="472"/>
      <c r="I53" s="472"/>
      <c r="J53" s="472"/>
      <c r="K53" s="472"/>
      <c r="L53" s="472"/>
      <c r="M53" s="472"/>
    </row>
    <row r="54" spans="1:13">
      <c r="A54" s="406"/>
      <c r="B54" s="403"/>
      <c r="C54" s="403"/>
      <c r="D54" s="403"/>
    </row>
    <row r="55" spans="1:13">
      <c r="A55" s="406"/>
      <c r="B55" s="403"/>
      <c r="C55" s="403"/>
      <c r="D55" s="403"/>
    </row>
    <row r="56" spans="1:13">
      <c r="A56" s="368"/>
    </row>
  </sheetData>
  <mergeCells count="10">
    <mergeCell ref="A1:M2"/>
    <mergeCell ref="B32:M33"/>
    <mergeCell ref="B34:M34"/>
    <mergeCell ref="B35:M39"/>
    <mergeCell ref="A52:M53"/>
    <mergeCell ref="B48:M50"/>
    <mergeCell ref="B41:M43"/>
    <mergeCell ref="B44:M44"/>
    <mergeCell ref="B45:M47"/>
    <mergeCell ref="B40:M40"/>
  </mergeCells>
  <hyperlinks>
    <hyperlink ref="B19" location="'Temperature Correction'!A1" display="If another temp is desired, see Temperature Correction Tab"/>
  </hyperlinks>
  <pageMargins left="0.7" right="0.7" top="0.75" bottom="0.75" header="0.3" footer="0.3"/>
  <pageSetup scale="74"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O53"/>
  <sheetViews>
    <sheetView topLeftCell="A13" zoomScale="115" zoomScaleNormal="115" workbookViewId="0">
      <selection activeCell="E44" sqref="E44"/>
    </sheetView>
  </sheetViews>
  <sheetFormatPr defaultRowHeight="12.75"/>
  <cols>
    <col min="1" max="1" width="36.85546875" bestFit="1" customWidth="1"/>
    <col min="2" max="6" width="8.5703125" customWidth="1"/>
    <col min="7" max="7" width="5.7109375" style="81" customWidth="1"/>
    <col min="8" max="13" width="5.7109375" style="81" hidden="1" customWidth="1"/>
    <col min="14" max="15" width="5.7109375" hidden="1" customWidth="1"/>
  </cols>
  <sheetData>
    <row r="1" spans="1:6" ht="15.75">
      <c r="A1" s="418" t="s">
        <v>74</v>
      </c>
      <c r="B1" s="418"/>
      <c r="C1" s="418"/>
      <c r="D1" s="418"/>
      <c r="E1" s="418"/>
      <c r="F1" s="418"/>
    </row>
    <row r="2" spans="1:6">
      <c r="A2" s="441" t="str">
        <f>'Battery Calc Sheet'!A2:J2</f>
        <v xml:space="preserve">Project Name </v>
      </c>
      <c r="B2" s="441"/>
      <c r="C2" s="441"/>
      <c r="D2" s="441"/>
      <c r="E2" s="441"/>
      <c r="F2" s="441"/>
    </row>
    <row r="3" spans="1:6">
      <c r="A3" s="441" t="str">
        <f>'Battery Calc Sheet'!A3:J3</f>
        <v>Project Number</v>
      </c>
      <c r="B3" s="441"/>
      <c r="C3" s="441"/>
      <c r="D3" s="441"/>
      <c r="E3" s="441"/>
      <c r="F3" s="441"/>
    </row>
    <row r="4" spans="1:6" ht="13.5" thickBot="1">
      <c r="A4" s="268"/>
      <c r="B4" s="268"/>
      <c r="C4" s="268"/>
      <c r="D4" s="268"/>
      <c r="E4" s="268"/>
      <c r="F4" s="268"/>
    </row>
    <row r="5" spans="1:6" ht="13.5" thickBot="1">
      <c r="A5" s="400" t="s">
        <v>75</v>
      </c>
      <c r="B5" s="47">
        <v>120</v>
      </c>
      <c r="C5" s="442" t="s">
        <v>76</v>
      </c>
      <c r="D5" s="434"/>
      <c r="E5" s="435"/>
      <c r="F5" s="101">
        <v>0.88</v>
      </c>
    </row>
    <row r="6" spans="1:6" ht="13.5" thickBot="1">
      <c r="A6" s="401" t="s">
        <v>9</v>
      </c>
      <c r="B6" s="48">
        <v>0.2</v>
      </c>
      <c r="C6" s="443" t="s">
        <v>77</v>
      </c>
      <c r="D6" s="444"/>
      <c r="E6" s="444"/>
      <c r="F6" s="102"/>
    </row>
    <row r="7" spans="1:6" ht="25.5" customHeight="1" thickBot="1">
      <c r="A7" s="63" t="s">
        <v>11</v>
      </c>
      <c r="B7" s="100" t="s">
        <v>12</v>
      </c>
      <c r="C7" s="100" t="s">
        <v>78</v>
      </c>
      <c r="D7" s="100" t="s">
        <v>79</v>
      </c>
      <c r="E7" s="100" t="s">
        <v>80</v>
      </c>
      <c r="F7" s="100" t="s">
        <v>81</v>
      </c>
    </row>
    <row r="8" spans="1:6">
      <c r="A8" s="445" t="s">
        <v>16</v>
      </c>
      <c r="B8" s="445"/>
      <c r="C8" s="445"/>
      <c r="D8" s="445"/>
      <c r="E8" s="445"/>
      <c r="F8" s="445"/>
    </row>
    <row r="9" spans="1:6">
      <c r="A9" s="46" t="s">
        <v>82</v>
      </c>
      <c r="B9" s="92">
        <v>0</v>
      </c>
      <c r="C9" s="93">
        <v>5</v>
      </c>
      <c r="D9" s="94">
        <f>$B$5*B9*C9/1000</f>
        <v>0</v>
      </c>
      <c r="E9" s="78">
        <v>0.95</v>
      </c>
      <c r="F9" s="94">
        <f>D9*E9</f>
        <v>0</v>
      </c>
    </row>
    <row r="10" spans="1:6">
      <c r="A10" s="46" t="s">
        <v>83</v>
      </c>
      <c r="B10" s="92">
        <v>1</v>
      </c>
      <c r="C10" s="93">
        <v>16</v>
      </c>
      <c r="D10" s="94">
        <f>$B$5*B10*C10/1000</f>
        <v>1.92</v>
      </c>
      <c r="E10" s="78">
        <v>0.95</v>
      </c>
      <c r="F10" s="94">
        <f t="shared" ref="F10:F35" si="0">D10*E10</f>
        <v>1.8239999999999998</v>
      </c>
    </row>
    <row r="11" spans="1:6">
      <c r="A11" s="46" t="s">
        <v>84</v>
      </c>
      <c r="B11" s="92">
        <v>1</v>
      </c>
      <c r="C11" s="93">
        <v>6</v>
      </c>
      <c r="D11" s="94">
        <f>$B$5*B11*C11/1000</f>
        <v>0.72</v>
      </c>
      <c r="E11" s="78">
        <v>0.7</v>
      </c>
      <c r="F11" s="94">
        <f t="shared" si="0"/>
        <v>0.504</v>
      </c>
    </row>
    <row r="12" spans="1:6">
      <c r="A12" s="46"/>
      <c r="B12" s="92"/>
      <c r="C12" s="93"/>
      <c r="D12" s="94"/>
      <c r="E12" s="78"/>
      <c r="F12" s="94"/>
    </row>
    <row r="13" spans="1:6">
      <c r="A13" s="440" t="s">
        <v>85</v>
      </c>
      <c r="B13" s="440"/>
      <c r="C13" s="440"/>
      <c r="D13" s="440"/>
      <c r="E13" s="440"/>
      <c r="F13" s="440"/>
    </row>
    <row r="14" spans="1:6">
      <c r="A14" s="46" t="s">
        <v>84</v>
      </c>
      <c r="B14" s="92">
        <v>1</v>
      </c>
      <c r="C14" s="95">
        <v>10</v>
      </c>
      <c r="D14" s="94">
        <f>$B$5*B14*C14/1000</f>
        <v>1.2</v>
      </c>
      <c r="E14" s="78">
        <v>0.7</v>
      </c>
      <c r="F14" s="94">
        <f t="shared" si="0"/>
        <v>0.84</v>
      </c>
    </row>
    <row r="15" spans="1:6">
      <c r="A15" s="46"/>
      <c r="B15" s="92"/>
      <c r="C15" s="93"/>
      <c r="D15" s="94"/>
      <c r="E15" s="78"/>
      <c r="F15" s="94"/>
    </row>
    <row r="16" spans="1:6">
      <c r="A16" s="440" t="s">
        <v>86</v>
      </c>
      <c r="B16" s="440"/>
      <c r="C16" s="440"/>
      <c r="D16" s="440"/>
      <c r="E16" s="440"/>
      <c r="F16" s="440"/>
    </row>
    <row r="17" spans="1:6">
      <c r="A17" s="46" t="s">
        <v>87</v>
      </c>
      <c r="B17" s="327">
        <v>2</v>
      </c>
      <c r="C17" s="95">
        <v>0.5</v>
      </c>
      <c r="D17" s="94">
        <f>$B$5*B17*C17/1000</f>
        <v>0.12</v>
      </c>
      <c r="E17" s="78">
        <v>0.95</v>
      </c>
      <c r="F17" s="94">
        <f t="shared" si="0"/>
        <v>0.11399999999999999</v>
      </c>
    </row>
    <row r="18" spans="1:6">
      <c r="A18" s="46" t="s">
        <v>88</v>
      </c>
      <c r="B18" s="34">
        <f>B17</f>
        <v>2</v>
      </c>
      <c r="C18" s="95">
        <v>0.5</v>
      </c>
      <c r="D18" s="94">
        <f>$B$5*B18*C18/1000</f>
        <v>0.12</v>
      </c>
      <c r="E18" s="78">
        <v>0.95</v>
      </c>
      <c r="F18" s="94">
        <f t="shared" si="0"/>
        <v>0.11399999999999999</v>
      </c>
    </row>
    <row r="19" spans="1:6">
      <c r="A19" s="46" t="s">
        <v>89</v>
      </c>
      <c r="B19" s="299">
        <f>B17</f>
        <v>2</v>
      </c>
      <c r="C19" s="95">
        <v>0.5</v>
      </c>
      <c r="D19" s="94">
        <f>$B$5*B19*C19/1000</f>
        <v>0.12</v>
      </c>
      <c r="E19" s="78">
        <v>0.95</v>
      </c>
      <c r="F19" s="94">
        <f t="shared" si="0"/>
        <v>0.11399999999999999</v>
      </c>
    </row>
    <row r="20" spans="1:6">
      <c r="A20" s="46" t="s">
        <v>90</v>
      </c>
      <c r="B20" s="327">
        <v>1</v>
      </c>
      <c r="C20" s="95">
        <v>8</v>
      </c>
      <c r="D20" s="94">
        <f>$B$5*B20*C20/1000</f>
        <v>0.96</v>
      </c>
      <c r="E20" s="78">
        <v>0.95</v>
      </c>
      <c r="F20" s="94">
        <f t="shared" si="0"/>
        <v>0.91199999999999992</v>
      </c>
    </row>
    <row r="21" spans="1:6">
      <c r="A21" s="46"/>
      <c r="B21" s="92"/>
      <c r="C21" s="93"/>
      <c r="D21" s="94"/>
      <c r="E21" s="78"/>
      <c r="F21" s="94"/>
    </row>
    <row r="22" spans="1:6">
      <c r="A22" s="440" t="s">
        <v>23</v>
      </c>
      <c r="B22" s="440"/>
      <c r="C22" s="440"/>
      <c r="D22" s="440"/>
      <c r="E22" s="440"/>
      <c r="F22" s="440"/>
    </row>
    <row r="23" spans="1:6">
      <c r="A23" s="46" t="s">
        <v>91</v>
      </c>
      <c r="B23" s="92">
        <v>15</v>
      </c>
      <c r="C23" s="95">
        <v>10</v>
      </c>
      <c r="D23" s="94">
        <f t="shared" ref="D23:D28" si="1">$B$5*B23*C23/1000</f>
        <v>18</v>
      </c>
      <c r="E23" s="78">
        <v>0.95</v>
      </c>
      <c r="F23" s="94">
        <f t="shared" si="0"/>
        <v>17.099999999999998</v>
      </c>
    </row>
    <row r="24" spans="1:6">
      <c r="A24" s="46" t="s">
        <v>92</v>
      </c>
      <c r="B24" s="92">
        <v>1</v>
      </c>
      <c r="C24" s="95">
        <v>5</v>
      </c>
      <c r="D24" s="94">
        <f t="shared" si="1"/>
        <v>0.6</v>
      </c>
      <c r="E24" s="78">
        <v>0.4</v>
      </c>
      <c r="F24" s="94">
        <f t="shared" si="0"/>
        <v>0.24</v>
      </c>
    </row>
    <row r="25" spans="1:6">
      <c r="A25" s="46" t="s">
        <v>93</v>
      </c>
      <c r="B25" s="92">
        <v>1</v>
      </c>
      <c r="C25" s="95">
        <v>5</v>
      </c>
      <c r="D25" s="94">
        <f t="shared" si="1"/>
        <v>0.6</v>
      </c>
      <c r="E25" s="78">
        <v>0.4</v>
      </c>
      <c r="F25" s="94">
        <f t="shared" si="0"/>
        <v>0.24</v>
      </c>
    </row>
    <row r="26" spans="1:6">
      <c r="A26" s="46" t="s">
        <v>94</v>
      </c>
      <c r="B26" s="92">
        <v>3</v>
      </c>
      <c r="C26" s="95">
        <v>5</v>
      </c>
      <c r="D26" s="94">
        <f t="shared" si="1"/>
        <v>1.8</v>
      </c>
      <c r="E26" s="78">
        <v>0.7</v>
      </c>
      <c r="F26" s="94">
        <f t="shared" si="0"/>
        <v>1.26</v>
      </c>
    </row>
    <row r="27" spans="1:6">
      <c r="A27" s="46" t="s">
        <v>95</v>
      </c>
      <c r="B27" s="92">
        <v>2</v>
      </c>
      <c r="C27" s="95">
        <v>4</v>
      </c>
      <c r="D27" s="94">
        <f t="shared" si="1"/>
        <v>0.96</v>
      </c>
      <c r="E27" s="78">
        <v>0.25</v>
      </c>
      <c r="F27" s="94">
        <f t="shared" si="0"/>
        <v>0.24</v>
      </c>
    </row>
    <row r="28" spans="1:6">
      <c r="A28" s="46" t="s">
        <v>96</v>
      </c>
      <c r="B28" s="327">
        <v>1</v>
      </c>
      <c r="C28" s="95">
        <v>3</v>
      </c>
      <c r="D28" s="94">
        <f t="shared" si="1"/>
        <v>0.36</v>
      </c>
      <c r="E28" s="78">
        <v>0.95</v>
      </c>
      <c r="F28" s="94">
        <f t="shared" si="0"/>
        <v>0.34199999999999997</v>
      </c>
    </row>
    <row r="29" spans="1:6">
      <c r="A29" s="46" t="s">
        <v>97</v>
      </c>
      <c r="B29" s="92">
        <v>5</v>
      </c>
      <c r="C29" s="95">
        <v>10</v>
      </c>
      <c r="D29" s="94">
        <f>$B$5*B29*C29/1000</f>
        <v>6</v>
      </c>
      <c r="E29" s="78">
        <v>0.95</v>
      </c>
      <c r="F29" s="94">
        <f t="shared" si="0"/>
        <v>5.6999999999999993</v>
      </c>
    </row>
    <row r="30" spans="1:6">
      <c r="A30" s="46"/>
      <c r="B30" s="92"/>
      <c r="C30" s="93"/>
      <c r="D30" s="94"/>
      <c r="E30" s="78"/>
      <c r="F30" s="94"/>
    </row>
    <row r="31" spans="1:6">
      <c r="A31" s="440" t="s">
        <v>51</v>
      </c>
      <c r="B31" s="440"/>
      <c r="C31" s="440"/>
      <c r="D31" s="440"/>
      <c r="E31" s="440"/>
      <c r="F31" s="440"/>
    </row>
    <row r="32" spans="1:6">
      <c r="A32" s="46" t="s">
        <v>98</v>
      </c>
      <c r="B32" s="92">
        <v>200</v>
      </c>
      <c r="C32" s="95">
        <v>6.6</v>
      </c>
      <c r="D32" s="94">
        <f t="shared" ref="D32:D35" si="2">$B$5*B32*C32/1000</f>
        <v>158.4</v>
      </c>
      <c r="E32" s="78">
        <v>0.05</v>
      </c>
      <c r="F32" s="94">
        <f t="shared" si="0"/>
        <v>7.9200000000000008</v>
      </c>
    </row>
    <row r="33" spans="1:15">
      <c r="A33" s="46" t="s">
        <v>99</v>
      </c>
      <c r="B33" s="92">
        <v>1</v>
      </c>
      <c r="C33" s="95">
        <v>18</v>
      </c>
      <c r="D33" s="94">
        <f t="shared" si="2"/>
        <v>2.16</v>
      </c>
      <c r="E33" s="78">
        <v>0.95</v>
      </c>
      <c r="F33" s="94">
        <f t="shared" si="0"/>
        <v>2.052</v>
      </c>
      <c r="G33" s="269"/>
      <c r="H33" s="269"/>
      <c r="I33" s="269"/>
      <c r="J33" s="269"/>
      <c r="K33" s="269"/>
      <c r="L33" s="269"/>
      <c r="M33" s="269"/>
      <c r="N33" s="268"/>
      <c r="O33" s="268"/>
    </row>
    <row r="34" spans="1:15">
      <c r="A34" s="46" t="s">
        <v>100</v>
      </c>
      <c r="B34" s="92">
        <v>1</v>
      </c>
      <c r="C34" s="95">
        <v>3.5</v>
      </c>
      <c r="D34" s="94">
        <f t="shared" si="2"/>
        <v>0.42</v>
      </c>
      <c r="E34" s="78">
        <v>0.25</v>
      </c>
      <c r="F34" s="94">
        <f t="shared" si="0"/>
        <v>0.105</v>
      </c>
      <c r="G34" s="269"/>
      <c r="H34" s="269"/>
      <c r="I34" s="269"/>
      <c r="J34" s="269"/>
      <c r="K34" s="269"/>
      <c r="L34" s="269"/>
      <c r="M34" s="269"/>
      <c r="N34" s="268"/>
      <c r="O34" s="268"/>
    </row>
    <row r="35" spans="1:15">
      <c r="A35" s="46" t="s">
        <v>101</v>
      </c>
      <c r="B35" s="92">
        <v>1</v>
      </c>
      <c r="C35" s="95">
        <v>7</v>
      </c>
      <c r="D35" s="94">
        <f t="shared" si="2"/>
        <v>0.84</v>
      </c>
      <c r="E35" s="78">
        <v>0.4</v>
      </c>
      <c r="F35" s="94">
        <f t="shared" si="0"/>
        <v>0.33600000000000002</v>
      </c>
      <c r="G35" s="269"/>
      <c r="H35" s="269"/>
      <c r="I35" s="269"/>
      <c r="J35" s="269"/>
      <c r="K35" s="269"/>
      <c r="L35" s="269"/>
      <c r="M35" s="269"/>
      <c r="N35" s="268"/>
      <c r="O35" s="268"/>
    </row>
    <row r="36" spans="1:15">
      <c r="A36" s="46" t="s">
        <v>102</v>
      </c>
      <c r="B36" s="327">
        <v>1</v>
      </c>
      <c r="C36" s="95">
        <v>10</v>
      </c>
      <c r="D36" s="94">
        <f>$B$5*B36*C36/1000</f>
        <v>1.2</v>
      </c>
      <c r="E36" s="78">
        <v>0.5</v>
      </c>
      <c r="F36" s="94">
        <f>D36*E36</f>
        <v>0.6</v>
      </c>
      <c r="G36" s="269"/>
      <c r="H36" s="269"/>
      <c r="I36" s="269"/>
      <c r="J36" s="269"/>
      <c r="K36" s="269"/>
      <c r="L36" s="269"/>
      <c r="M36" s="269"/>
      <c r="N36" s="268"/>
      <c r="O36" s="268"/>
    </row>
    <row r="37" spans="1:15" ht="13.5" thickBot="1">
      <c r="A37" s="55"/>
      <c r="B37" s="96"/>
      <c r="C37" s="97"/>
      <c r="D37" s="98"/>
      <c r="E37" s="99"/>
      <c r="F37" s="98"/>
      <c r="G37" s="269"/>
      <c r="H37" s="269"/>
      <c r="I37" s="269"/>
      <c r="J37" s="269"/>
      <c r="K37" s="269"/>
      <c r="L37" s="269"/>
      <c r="M37" s="269"/>
      <c r="N37" s="268"/>
      <c r="O37" s="268"/>
    </row>
    <row r="38" spans="1:15" s="268" customFormat="1">
      <c r="A38" s="440" t="s">
        <v>103</v>
      </c>
      <c r="B38" s="440"/>
      <c r="C38" s="440"/>
      <c r="D38" s="440"/>
      <c r="E38" s="440"/>
      <c r="F38" s="440"/>
      <c r="G38" s="269"/>
      <c r="H38" s="269"/>
      <c r="I38" s="269"/>
      <c r="J38" s="269"/>
      <c r="K38" s="269"/>
      <c r="L38" s="269"/>
      <c r="M38" s="269"/>
    </row>
    <row r="39" spans="1:15" s="268" customFormat="1" ht="13.5" thickBot="1">
      <c r="A39" s="55" t="s">
        <v>104</v>
      </c>
      <c r="B39" s="96"/>
      <c r="C39" s="97"/>
      <c r="D39" s="98">
        <f>SUM(D9:D37)</f>
        <v>196.49999999999997</v>
      </c>
      <c r="E39" s="99"/>
      <c r="F39" s="98">
        <f>SUM(F9:F37)</f>
        <v>40.556999999999988</v>
      </c>
      <c r="G39" s="269"/>
      <c r="H39" s="269"/>
      <c r="I39" s="269"/>
      <c r="J39" s="269"/>
      <c r="K39" s="269"/>
      <c r="L39" s="269"/>
      <c r="M39" s="269"/>
    </row>
    <row r="40" spans="1:15">
      <c r="A40" s="268"/>
      <c r="B40" s="268"/>
      <c r="C40" s="268"/>
      <c r="D40" s="268"/>
      <c r="E40" s="268"/>
      <c r="F40" s="268"/>
      <c r="G40" s="268"/>
      <c r="H40" s="268"/>
      <c r="I40" s="268"/>
      <c r="J40" s="268"/>
      <c r="K40" s="268"/>
      <c r="L40" s="268"/>
      <c r="M40" s="268"/>
      <c r="N40" s="268"/>
      <c r="O40" s="268"/>
    </row>
    <row r="41" spans="1:15" ht="23.25" thickBot="1">
      <c r="A41" s="407"/>
      <c r="B41" s="83" t="s">
        <v>105</v>
      </c>
      <c r="C41" s="83" t="s">
        <v>106</v>
      </c>
      <c r="D41" s="83"/>
      <c r="E41" s="268"/>
      <c r="F41" s="268"/>
      <c r="G41" s="269"/>
      <c r="H41" s="269"/>
      <c r="I41" s="269"/>
      <c r="J41" s="269"/>
      <c r="K41" s="269"/>
      <c r="L41" s="269"/>
      <c r="M41" s="269"/>
      <c r="N41" s="268"/>
      <c r="O41" s="268"/>
    </row>
    <row r="42" spans="1:15">
      <c r="A42" s="396" t="s">
        <v>107</v>
      </c>
      <c r="B42" s="79">
        <f>F39</f>
        <v>40.556999999999988</v>
      </c>
      <c r="C42" s="84">
        <f>F39</f>
        <v>40.556999999999988</v>
      </c>
      <c r="D42" s="268"/>
      <c r="E42" s="268"/>
      <c r="F42" s="268"/>
      <c r="G42" s="269"/>
      <c r="H42" s="269"/>
      <c r="I42" s="269"/>
      <c r="J42" s="269"/>
      <c r="K42" s="269"/>
      <c r="L42" s="269"/>
      <c r="M42" s="269"/>
      <c r="N42" s="268"/>
      <c r="O42" s="268"/>
    </row>
    <row r="43" spans="1:15">
      <c r="A43" s="396" t="str">
        <f>"Efficiency "&amp;F5*100&amp;"%"</f>
        <v>Efficiency 88%</v>
      </c>
      <c r="B43" s="385"/>
      <c r="C43" s="86">
        <f>C42/$F$5</f>
        <v>46.087499999999984</v>
      </c>
      <c r="D43" s="245"/>
      <c r="E43" s="268"/>
      <c r="F43" s="268"/>
      <c r="G43" s="269"/>
      <c r="H43" s="269"/>
      <c r="I43" s="269"/>
      <c r="J43" s="269"/>
      <c r="K43" s="269"/>
      <c r="L43" s="269"/>
      <c r="M43" s="269"/>
      <c r="N43" s="268"/>
      <c r="O43" s="268"/>
    </row>
    <row r="44" spans="1:15">
      <c r="A44" s="396" t="str">
        <f>"Plus "&amp;B6*100&amp;"% Margin"</f>
        <v>Plus 20% Margin</v>
      </c>
      <c r="B44" s="85">
        <f>B42*$B$6</f>
        <v>8.1113999999999979</v>
      </c>
      <c r="C44" s="86">
        <f>C43*$B$6</f>
        <v>9.2174999999999976</v>
      </c>
      <c r="D44" s="404"/>
      <c r="E44" s="22"/>
      <c r="F44" s="23"/>
      <c r="G44" s="269"/>
      <c r="H44" s="269"/>
      <c r="I44" s="269"/>
      <c r="J44" s="269"/>
      <c r="K44" s="269"/>
      <c r="L44" s="269"/>
      <c r="M44" s="269"/>
      <c r="N44" s="268"/>
      <c r="O44" s="268"/>
    </row>
    <row r="45" spans="1:15" ht="13.5" thickBot="1">
      <c r="A45" s="396" t="s">
        <v>103</v>
      </c>
      <c r="B45" s="87">
        <f>SUM(B42:B44)</f>
        <v>48.668399999999984</v>
      </c>
      <c r="C45" s="88">
        <f>SUM(C43:C44)</f>
        <v>55.304999999999978</v>
      </c>
      <c r="D45" s="22"/>
      <c r="E45" s="22"/>
      <c r="F45" s="23"/>
      <c r="G45" s="269"/>
      <c r="H45" s="269"/>
      <c r="I45" s="269"/>
      <c r="J45" s="269"/>
      <c r="K45" s="269"/>
      <c r="L45" s="269"/>
      <c r="M45" s="269"/>
      <c r="N45" s="268"/>
      <c r="O45" s="268"/>
    </row>
    <row r="46" spans="1:15" ht="13.5" thickBot="1">
      <c r="A46" s="396" t="s">
        <v>108</v>
      </c>
      <c r="B46" s="90">
        <v>50</v>
      </c>
      <c r="C46" s="89" t="s">
        <v>79</v>
      </c>
      <c r="D46" s="268"/>
      <c r="E46" s="268"/>
      <c r="F46" s="23"/>
      <c r="G46" s="199"/>
      <c r="H46" s="269">
        <v>10</v>
      </c>
      <c r="I46" s="269">
        <v>15</v>
      </c>
      <c r="J46" s="269">
        <v>20</v>
      </c>
      <c r="K46" s="269">
        <v>25</v>
      </c>
      <c r="L46" s="269">
        <v>30</v>
      </c>
      <c r="M46" s="269">
        <v>40</v>
      </c>
      <c r="N46" s="269">
        <v>50</v>
      </c>
      <c r="O46" s="269">
        <v>60</v>
      </c>
    </row>
    <row r="47" spans="1:15">
      <c r="A47" s="268"/>
      <c r="B47" s="268"/>
      <c r="C47" s="268"/>
      <c r="D47" s="268"/>
      <c r="E47" s="268"/>
      <c r="F47" s="23"/>
      <c r="G47" s="269"/>
      <c r="H47" s="269"/>
      <c r="I47" s="269"/>
      <c r="J47" s="269"/>
      <c r="K47" s="269"/>
      <c r="L47" s="269"/>
      <c r="M47" s="269"/>
      <c r="N47" s="268"/>
      <c r="O47" s="268"/>
    </row>
    <row r="48" spans="1:15">
      <c r="A48" s="26"/>
      <c r="B48" s="268"/>
      <c r="C48" s="268"/>
      <c r="D48" s="268"/>
      <c r="E48" s="268"/>
      <c r="F48" s="23"/>
      <c r="G48" s="269"/>
      <c r="H48" s="269"/>
      <c r="I48" s="269"/>
      <c r="J48" s="269"/>
      <c r="K48" s="269"/>
      <c r="L48" s="269"/>
      <c r="M48" s="269"/>
      <c r="N48" s="268"/>
      <c r="O48" s="268"/>
    </row>
    <row r="49" spans="1:4">
      <c r="A49" s="26"/>
      <c r="B49" s="268"/>
      <c r="C49" s="268"/>
      <c r="D49" s="268"/>
    </row>
    <row r="50" spans="1:4">
      <c r="A50" s="272"/>
      <c r="B50" s="268"/>
      <c r="C50" s="268"/>
      <c r="D50" s="268"/>
    </row>
    <row r="51" spans="1:4">
      <c r="A51" s="272"/>
      <c r="B51" s="268"/>
      <c r="C51" s="22"/>
      <c r="D51" s="22"/>
    </row>
    <row r="52" spans="1:4">
      <c r="A52" s="272"/>
      <c r="B52" s="268"/>
      <c r="C52" s="22"/>
      <c r="D52" s="22"/>
    </row>
    <row r="53" spans="1:4">
      <c r="A53" s="272"/>
      <c r="B53" s="268"/>
      <c r="C53" s="268"/>
      <c r="D53" s="268"/>
    </row>
  </sheetData>
  <mergeCells count="11">
    <mergeCell ref="A38:F38"/>
    <mergeCell ref="A1:F1"/>
    <mergeCell ref="A2:F2"/>
    <mergeCell ref="A3:F3"/>
    <mergeCell ref="C5:E5"/>
    <mergeCell ref="C6:E6"/>
    <mergeCell ref="A31:F31"/>
    <mergeCell ref="A22:F22"/>
    <mergeCell ref="A16:F16"/>
    <mergeCell ref="A13:F13"/>
    <mergeCell ref="A8:F8"/>
  </mergeCells>
  <phoneticPr fontId="0" type="noConversion"/>
  <printOptions horizontalCentered="1"/>
  <pageMargins left="0.75" right="0.75" top="1" bottom="1" header="0.5" footer="0.5"/>
  <pageSetup orientation="portrait" r:id="rId1"/>
  <headerFooter alignWithMargins="0">
    <oddFooter>&amp;L&amp;F&amp;CPage &amp;P of &amp;N&amp;RTemplate Dated: 8/15/05</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L89"/>
  <sheetViews>
    <sheetView zoomScale="75" workbookViewId="0">
      <pane xSplit="1" ySplit="2" topLeftCell="B3" activePane="bottomRight" state="frozen"/>
      <selection activeCell="G46" sqref="G46"/>
      <selection pane="bottomLeft" activeCell="G46" sqref="G46"/>
      <selection pane="topRight" activeCell="G46" sqref="G46"/>
      <selection pane="bottomRight" activeCell="G46" sqref="G46"/>
    </sheetView>
  </sheetViews>
  <sheetFormatPr defaultRowHeight="12.75"/>
  <cols>
    <col min="1" max="1" width="48.140625" bestFit="1" customWidth="1"/>
    <col min="2" max="2" width="6.140625" style="245" customWidth="1"/>
    <col min="3" max="5" width="6.140625" style="268" customWidth="1"/>
    <col min="6" max="6" width="6.140625" style="245" customWidth="1"/>
    <col min="7" max="9" width="6.140625" style="268" customWidth="1"/>
    <col min="10" max="10" width="6.140625" style="245" customWidth="1"/>
    <col min="11" max="13" width="6.140625" style="268" customWidth="1"/>
    <col min="14" max="14" width="6.140625" style="245" customWidth="1"/>
    <col min="15" max="17" width="6.140625" customWidth="1"/>
    <col min="18" max="18" width="6.140625" style="245" customWidth="1"/>
    <col min="19" max="19" width="6.140625" style="91" customWidth="1"/>
    <col min="20" max="20" width="6.140625" style="104" customWidth="1"/>
    <col min="21" max="21" width="6.140625" style="246" customWidth="1"/>
    <col min="22" max="25" width="6.140625" customWidth="1"/>
    <col min="26" max="26" width="6.140625" style="245" customWidth="1"/>
    <col min="27" max="28" width="6.140625" style="91" customWidth="1"/>
    <col min="29" max="29" width="6.140625" style="246" customWidth="1"/>
    <col min="30" max="32" width="6.140625" customWidth="1"/>
    <col min="33" max="33" width="6.140625" style="246" customWidth="1"/>
    <col min="34" max="34" width="6.140625" style="245" customWidth="1"/>
    <col min="35" max="36" width="6.140625" customWidth="1"/>
    <col min="37" max="37" width="6.140625" style="246" customWidth="1"/>
    <col min="38" max="38" width="9.140625" style="245"/>
  </cols>
  <sheetData>
    <row r="1" spans="1:37">
      <c r="A1" s="268"/>
      <c r="B1" s="446" t="s">
        <v>109</v>
      </c>
      <c r="C1" s="447"/>
      <c r="D1" s="447"/>
      <c r="E1" s="448"/>
      <c r="F1" s="446" t="s">
        <v>110</v>
      </c>
      <c r="G1" s="447"/>
      <c r="H1" s="447"/>
      <c r="I1" s="448"/>
      <c r="J1" s="446" t="s">
        <v>111</v>
      </c>
      <c r="K1" s="447"/>
      <c r="L1" s="447"/>
      <c r="M1" s="448"/>
      <c r="N1" s="449" t="s">
        <v>112</v>
      </c>
      <c r="O1" s="447"/>
      <c r="P1" s="447"/>
      <c r="Q1" s="448"/>
      <c r="R1" s="449" t="s">
        <v>113</v>
      </c>
      <c r="S1" s="447"/>
      <c r="T1" s="447"/>
      <c r="U1" s="448"/>
      <c r="V1" s="450" t="s">
        <v>114</v>
      </c>
      <c r="W1" s="450"/>
      <c r="X1" s="450"/>
      <c r="Y1" s="450"/>
      <c r="Z1" s="449" t="s">
        <v>115</v>
      </c>
      <c r="AA1" s="447"/>
      <c r="AB1" s="447"/>
      <c r="AC1" s="448"/>
      <c r="AD1" s="449" t="s">
        <v>116</v>
      </c>
      <c r="AE1" s="447"/>
      <c r="AF1" s="447"/>
      <c r="AG1" s="448"/>
      <c r="AH1" s="450" t="s">
        <v>117</v>
      </c>
      <c r="AI1" s="450"/>
      <c r="AJ1" s="450"/>
      <c r="AK1" s="450"/>
    </row>
    <row r="2" spans="1:37">
      <c r="A2" s="268"/>
      <c r="B2" s="245" t="s">
        <v>118</v>
      </c>
      <c r="C2" s="268" t="s">
        <v>119</v>
      </c>
      <c r="D2" s="268" t="s">
        <v>120</v>
      </c>
      <c r="E2" s="268" t="s">
        <v>121</v>
      </c>
      <c r="F2" s="245" t="s">
        <v>118</v>
      </c>
      <c r="G2" s="268" t="s">
        <v>119</v>
      </c>
      <c r="H2" s="268" t="s">
        <v>120</v>
      </c>
      <c r="I2" s="268" t="s">
        <v>121</v>
      </c>
      <c r="J2" s="245" t="s">
        <v>118</v>
      </c>
      <c r="K2" s="268" t="s">
        <v>119</v>
      </c>
      <c r="L2" s="268" t="s">
        <v>120</v>
      </c>
      <c r="M2" s="268" t="s">
        <v>121</v>
      </c>
      <c r="N2" s="245" t="s">
        <v>118</v>
      </c>
      <c r="O2" s="268" t="s">
        <v>119</v>
      </c>
      <c r="P2" s="268" t="s">
        <v>120</v>
      </c>
      <c r="Q2" s="268" t="s">
        <v>121</v>
      </c>
      <c r="R2" s="245" t="s">
        <v>118</v>
      </c>
      <c r="S2" s="91" t="s">
        <v>119</v>
      </c>
      <c r="T2" s="473" t="s">
        <v>120</v>
      </c>
      <c r="U2" s="246" t="s">
        <v>121</v>
      </c>
      <c r="V2" s="268" t="s">
        <v>118</v>
      </c>
      <c r="W2" s="268" t="s">
        <v>119</v>
      </c>
      <c r="X2" s="268" t="s">
        <v>120</v>
      </c>
      <c r="Y2" s="268" t="s">
        <v>121</v>
      </c>
      <c r="Z2" s="245" t="s">
        <v>118</v>
      </c>
      <c r="AA2" s="91" t="s">
        <v>119</v>
      </c>
      <c r="AB2" s="91" t="s">
        <v>120</v>
      </c>
      <c r="AC2" s="246" t="s">
        <v>121</v>
      </c>
      <c r="AD2" s="268" t="s">
        <v>118</v>
      </c>
      <c r="AE2" s="268" t="s">
        <v>119</v>
      </c>
      <c r="AF2" s="268" t="s">
        <v>120</v>
      </c>
      <c r="AG2" s="246" t="s">
        <v>121</v>
      </c>
      <c r="AH2" s="245" t="s">
        <v>118</v>
      </c>
      <c r="AI2" s="268" t="s">
        <v>119</v>
      </c>
      <c r="AJ2" s="268" t="s">
        <v>120</v>
      </c>
      <c r="AK2" s="246" t="s">
        <v>121</v>
      </c>
    </row>
    <row r="3" spans="1:37">
      <c r="A3" s="268" t="s">
        <v>122</v>
      </c>
      <c r="E3" s="247"/>
      <c r="J3" s="245">
        <v>10.5</v>
      </c>
      <c r="K3" s="268">
        <v>1</v>
      </c>
      <c r="L3" s="268">
        <v>23</v>
      </c>
      <c r="M3" s="247">
        <v>1</v>
      </c>
      <c r="N3" s="245">
        <v>14.4</v>
      </c>
      <c r="O3" s="268"/>
      <c r="P3" s="268"/>
      <c r="Q3" s="268"/>
      <c r="R3" s="245">
        <v>14.4</v>
      </c>
      <c r="T3" s="322"/>
      <c r="V3" s="268"/>
      <c r="W3" s="268"/>
      <c r="X3" s="268"/>
      <c r="Y3" s="268"/>
      <c r="AD3" s="268"/>
      <c r="AE3" s="268"/>
      <c r="AF3" s="268"/>
      <c r="AH3" s="245">
        <v>13.2</v>
      </c>
      <c r="AI3" s="268">
        <v>1</v>
      </c>
      <c r="AJ3" s="268">
        <v>0</v>
      </c>
      <c r="AK3" s="246">
        <v>1</v>
      </c>
    </row>
    <row r="4" spans="1:37">
      <c r="A4" s="268" t="s">
        <v>123</v>
      </c>
      <c r="E4" s="247"/>
      <c r="J4" s="245">
        <v>10.5</v>
      </c>
      <c r="K4" s="268">
        <v>1</v>
      </c>
      <c r="L4" s="268">
        <v>23</v>
      </c>
      <c r="M4" s="247">
        <v>1</v>
      </c>
      <c r="N4" s="245">
        <v>14.4</v>
      </c>
      <c r="O4" s="268"/>
      <c r="P4" s="268"/>
      <c r="Q4" s="268"/>
      <c r="R4" s="245">
        <v>14.4</v>
      </c>
      <c r="T4" s="322"/>
      <c r="V4" s="268"/>
      <c r="W4" s="268"/>
      <c r="X4" s="268"/>
      <c r="Y4" s="268"/>
      <c r="AD4" s="268"/>
      <c r="AE4" s="268"/>
      <c r="AF4" s="268"/>
      <c r="AI4" s="268"/>
      <c r="AJ4" s="268"/>
    </row>
    <row r="5" spans="1:37">
      <c r="A5" s="268" t="s">
        <v>124</v>
      </c>
      <c r="O5" s="268"/>
      <c r="P5" s="268">
        <v>3.8</v>
      </c>
      <c r="Q5" s="268"/>
      <c r="T5" s="322">
        <v>3.8</v>
      </c>
      <c r="V5" s="268"/>
      <c r="W5" s="268"/>
      <c r="X5" s="268"/>
      <c r="Y5" s="268"/>
      <c r="AD5" s="268"/>
      <c r="AE5" s="268"/>
      <c r="AF5" s="268"/>
      <c r="AH5" s="245">
        <v>0</v>
      </c>
      <c r="AI5" s="268">
        <v>0</v>
      </c>
      <c r="AJ5" s="268">
        <v>19.8</v>
      </c>
      <c r="AK5" s="246">
        <v>0</v>
      </c>
    </row>
    <row r="6" spans="1:37">
      <c r="A6" s="268" t="s">
        <v>125</v>
      </c>
      <c r="E6" s="247"/>
      <c r="F6" s="245">
        <v>8</v>
      </c>
      <c r="G6" s="268">
        <v>8</v>
      </c>
      <c r="H6" s="268">
        <v>8</v>
      </c>
      <c r="I6" s="247">
        <v>8</v>
      </c>
      <c r="J6" s="245">
        <v>5</v>
      </c>
      <c r="K6" s="268">
        <v>5</v>
      </c>
      <c r="L6" s="268">
        <v>5</v>
      </c>
      <c r="M6" s="247">
        <v>5</v>
      </c>
      <c r="N6" s="245">
        <v>10</v>
      </c>
      <c r="O6" s="268">
        <v>10</v>
      </c>
      <c r="P6" s="268">
        <v>10</v>
      </c>
      <c r="Q6" s="268">
        <v>10</v>
      </c>
      <c r="R6" s="245">
        <v>4</v>
      </c>
      <c r="S6" s="91">
        <v>4</v>
      </c>
      <c r="T6" s="322">
        <v>4</v>
      </c>
      <c r="U6" s="246">
        <v>4</v>
      </c>
      <c r="V6" s="247">
        <v>3</v>
      </c>
      <c r="W6" s="247">
        <v>3</v>
      </c>
      <c r="X6" s="247">
        <v>3</v>
      </c>
      <c r="Y6" s="247">
        <v>3</v>
      </c>
      <c r="AD6" s="268">
        <v>3</v>
      </c>
      <c r="AE6" s="268">
        <v>3</v>
      </c>
      <c r="AF6" s="268">
        <v>3</v>
      </c>
      <c r="AG6" s="246">
        <v>3</v>
      </c>
      <c r="AH6" s="245">
        <v>2</v>
      </c>
      <c r="AI6" s="247">
        <v>2</v>
      </c>
      <c r="AJ6" s="247">
        <v>2</v>
      </c>
      <c r="AK6" s="246">
        <v>2</v>
      </c>
    </row>
    <row r="7" spans="1:37">
      <c r="A7" s="268" t="s">
        <v>126</v>
      </c>
      <c r="E7" s="247"/>
      <c r="F7" s="245">
        <v>4</v>
      </c>
      <c r="G7" s="268">
        <v>4</v>
      </c>
      <c r="H7" s="268">
        <v>4</v>
      </c>
      <c r="I7" s="247">
        <v>4</v>
      </c>
      <c r="J7" s="245">
        <v>4</v>
      </c>
      <c r="K7" s="268">
        <v>4</v>
      </c>
      <c r="L7" s="268">
        <v>4</v>
      </c>
      <c r="M7" s="247">
        <v>4</v>
      </c>
      <c r="N7" s="245">
        <v>10</v>
      </c>
      <c r="O7" s="268">
        <v>10</v>
      </c>
      <c r="P7" s="268">
        <v>10</v>
      </c>
      <c r="Q7" s="268">
        <v>10</v>
      </c>
      <c r="R7" s="245">
        <v>4</v>
      </c>
      <c r="S7" s="91">
        <v>4</v>
      </c>
      <c r="T7" s="322">
        <v>4</v>
      </c>
      <c r="U7" s="246">
        <v>4</v>
      </c>
      <c r="V7" s="247">
        <v>3</v>
      </c>
      <c r="W7" s="247">
        <v>3</v>
      </c>
      <c r="X7" s="247">
        <v>3</v>
      </c>
      <c r="Y7" s="247">
        <v>3</v>
      </c>
      <c r="AD7" s="268">
        <v>3</v>
      </c>
      <c r="AE7" s="268">
        <v>3</v>
      </c>
      <c r="AF7" s="268">
        <v>3</v>
      </c>
      <c r="AG7" s="246">
        <v>3</v>
      </c>
      <c r="AH7" s="245">
        <v>2</v>
      </c>
      <c r="AI7" s="247">
        <v>2</v>
      </c>
      <c r="AJ7" s="247">
        <v>2</v>
      </c>
      <c r="AK7" s="246">
        <v>2</v>
      </c>
    </row>
    <row r="8" spans="1:37">
      <c r="A8" s="268" t="s">
        <v>127</v>
      </c>
      <c r="B8" s="245">
        <v>60</v>
      </c>
      <c r="C8" s="268">
        <v>0</v>
      </c>
      <c r="D8" s="268">
        <v>0</v>
      </c>
      <c r="E8" s="247">
        <v>0</v>
      </c>
      <c r="F8" s="245">
        <v>20</v>
      </c>
      <c r="G8" s="268">
        <v>0</v>
      </c>
      <c r="H8" s="268">
        <v>0</v>
      </c>
      <c r="I8" s="247">
        <v>0</v>
      </c>
      <c r="J8" s="245">
        <v>9</v>
      </c>
      <c r="K8" s="268">
        <v>0</v>
      </c>
      <c r="L8" s="268">
        <v>0</v>
      </c>
      <c r="M8" s="247">
        <v>0</v>
      </c>
      <c r="N8" s="245">
        <v>7</v>
      </c>
      <c r="O8" s="268">
        <v>0</v>
      </c>
      <c r="P8" s="268">
        <v>0</v>
      </c>
      <c r="Q8" s="268">
        <v>0</v>
      </c>
      <c r="R8" s="245">
        <v>7</v>
      </c>
      <c r="S8" s="91">
        <v>0</v>
      </c>
      <c r="T8" s="322">
        <v>0</v>
      </c>
      <c r="U8" s="474">
        <v>0</v>
      </c>
      <c r="V8" s="322">
        <v>7</v>
      </c>
      <c r="W8" s="322">
        <v>0</v>
      </c>
      <c r="X8" s="322">
        <v>0</v>
      </c>
      <c r="Y8" s="322">
        <v>0</v>
      </c>
      <c r="Z8" s="245">
        <v>7</v>
      </c>
      <c r="AA8" s="247">
        <v>0</v>
      </c>
      <c r="AB8" s="247">
        <v>0</v>
      </c>
      <c r="AC8" s="246">
        <v>0</v>
      </c>
      <c r="AD8" s="247">
        <v>10.5</v>
      </c>
      <c r="AE8" s="247">
        <v>0</v>
      </c>
      <c r="AF8" s="247">
        <v>0</v>
      </c>
      <c r="AG8" s="246">
        <v>0</v>
      </c>
      <c r="AH8" s="245">
        <v>10.5</v>
      </c>
      <c r="AI8" s="247">
        <v>1</v>
      </c>
      <c r="AJ8" s="247">
        <v>0</v>
      </c>
      <c r="AK8" s="246">
        <v>1</v>
      </c>
    </row>
    <row r="9" spans="1:37">
      <c r="A9" s="268" t="s">
        <v>128</v>
      </c>
      <c r="B9" s="245">
        <v>0</v>
      </c>
      <c r="C9" s="268">
        <v>0</v>
      </c>
      <c r="D9" s="268">
        <v>72</v>
      </c>
      <c r="E9" s="247">
        <v>0</v>
      </c>
      <c r="F9" s="245">
        <v>0</v>
      </c>
      <c r="G9" s="268">
        <v>0</v>
      </c>
      <c r="H9" s="268">
        <v>24</v>
      </c>
      <c r="I9" s="247">
        <v>0</v>
      </c>
      <c r="J9" s="245">
        <v>0</v>
      </c>
      <c r="K9" s="268">
        <v>0</v>
      </c>
      <c r="L9" s="268">
        <v>9</v>
      </c>
      <c r="M9" s="247">
        <v>0</v>
      </c>
      <c r="N9" s="245">
        <v>0</v>
      </c>
      <c r="O9" s="268">
        <v>0</v>
      </c>
      <c r="P9" s="268">
        <v>7</v>
      </c>
      <c r="Q9" s="268">
        <v>0</v>
      </c>
      <c r="R9" s="245">
        <v>0</v>
      </c>
      <c r="S9" s="91">
        <v>0</v>
      </c>
      <c r="T9" s="322">
        <v>2</v>
      </c>
      <c r="U9" s="474">
        <v>0</v>
      </c>
      <c r="V9" s="322">
        <v>0</v>
      </c>
      <c r="W9" s="322">
        <v>0</v>
      </c>
      <c r="X9" s="322">
        <v>14</v>
      </c>
      <c r="Y9" s="322">
        <v>0</v>
      </c>
      <c r="Z9" s="245">
        <v>0</v>
      </c>
      <c r="AA9" s="247">
        <v>0</v>
      </c>
      <c r="AB9" s="247">
        <v>5</v>
      </c>
      <c r="AC9" s="246">
        <v>0</v>
      </c>
      <c r="AD9" s="247">
        <v>0</v>
      </c>
      <c r="AE9" s="268">
        <v>0</v>
      </c>
      <c r="AF9" s="268">
        <v>23</v>
      </c>
      <c r="AG9" s="246">
        <v>0</v>
      </c>
      <c r="AH9" s="245">
        <v>0</v>
      </c>
      <c r="AI9" s="247">
        <v>0</v>
      </c>
      <c r="AJ9" s="247">
        <v>23</v>
      </c>
      <c r="AK9" s="246">
        <v>0</v>
      </c>
    </row>
    <row r="10" spans="1:37">
      <c r="A10" s="268" t="s">
        <v>129</v>
      </c>
      <c r="B10" s="245">
        <v>10</v>
      </c>
      <c r="C10" s="268">
        <v>10</v>
      </c>
      <c r="D10" s="268">
        <v>10</v>
      </c>
      <c r="E10" s="247">
        <v>10</v>
      </c>
      <c r="F10" s="245">
        <v>15</v>
      </c>
      <c r="G10" s="268">
        <v>15</v>
      </c>
      <c r="H10" s="268">
        <v>15</v>
      </c>
      <c r="I10" s="247">
        <v>15</v>
      </c>
      <c r="J10" s="245">
        <v>10</v>
      </c>
      <c r="K10" s="268">
        <v>10</v>
      </c>
      <c r="L10" s="268">
        <v>10</v>
      </c>
      <c r="M10" s="247">
        <v>10</v>
      </c>
      <c r="N10" s="245">
        <v>10</v>
      </c>
      <c r="O10" s="268">
        <v>10</v>
      </c>
      <c r="P10" s="268">
        <v>10</v>
      </c>
      <c r="Q10" s="268">
        <v>10</v>
      </c>
      <c r="R10" s="245">
        <v>10</v>
      </c>
      <c r="S10" s="247">
        <v>10</v>
      </c>
      <c r="T10" s="248">
        <v>10</v>
      </c>
      <c r="U10" s="246">
        <v>10</v>
      </c>
      <c r="V10" s="248">
        <v>5</v>
      </c>
      <c r="W10" s="248">
        <v>5</v>
      </c>
      <c r="X10" s="248">
        <v>5</v>
      </c>
      <c r="Y10" s="248">
        <v>5</v>
      </c>
      <c r="AD10" s="268"/>
      <c r="AE10" s="268"/>
      <c r="AF10" s="268"/>
      <c r="AI10" s="268"/>
      <c r="AJ10" s="268"/>
    </row>
    <row r="11" spans="1:37">
      <c r="A11" s="268" t="s">
        <v>130</v>
      </c>
      <c r="B11" s="245">
        <v>12</v>
      </c>
      <c r="C11" s="268">
        <v>0</v>
      </c>
      <c r="D11" s="268">
        <v>0</v>
      </c>
      <c r="E11" s="247">
        <v>0</v>
      </c>
      <c r="F11" s="245">
        <v>6</v>
      </c>
      <c r="G11" s="268">
        <v>0</v>
      </c>
      <c r="H11" s="268">
        <v>0</v>
      </c>
      <c r="I11" s="247">
        <v>0</v>
      </c>
      <c r="J11" s="245">
        <v>4</v>
      </c>
      <c r="K11" s="268">
        <v>0</v>
      </c>
      <c r="L11" s="268">
        <v>0</v>
      </c>
      <c r="M11" s="247">
        <v>0</v>
      </c>
      <c r="N11" s="245">
        <v>2.76</v>
      </c>
      <c r="O11" s="268">
        <v>0</v>
      </c>
      <c r="P11" s="268">
        <v>0</v>
      </c>
      <c r="Q11" s="268">
        <v>0</v>
      </c>
      <c r="R11" s="245">
        <v>2.76</v>
      </c>
      <c r="S11" s="91">
        <v>0</v>
      </c>
      <c r="T11" s="91">
        <v>0</v>
      </c>
      <c r="U11" s="246">
        <v>0</v>
      </c>
      <c r="V11" s="248">
        <v>2</v>
      </c>
      <c r="W11" s="248">
        <v>0</v>
      </c>
      <c r="X11" s="248">
        <v>0</v>
      </c>
      <c r="Y11" s="248">
        <v>0</v>
      </c>
      <c r="Z11" s="245">
        <v>3</v>
      </c>
      <c r="AA11" s="247">
        <v>0</v>
      </c>
      <c r="AB11" s="247">
        <v>0</v>
      </c>
      <c r="AC11" s="246">
        <v>0</v>
      </c>
      <c r="AD11" s="247">
        <v>2</v>
      </c>
      <c r="AE11" s="247">
        <v>0</v>
      </c>
      <c r="AF11" s="247">
        <v>0</v>
      </c>
      <c r="AG11" s="246">
        <v>0</v>
      </c>
      <c r="AH11" s="245">
        <v>2</v>
      </c>
      <c r="AI11" s="247">
        <v>1</v>
      </c>
      <c r="AJ11" s="247">
        <v>0</v>
      </c>
      <c r="AK11" s="246">
        <v>1</v>
      </c>
    </row>
    <row r="12" spans="1:37">
      <c r="A12" s="268" t="s">
        <v>131</v>
      </c>
      <c r="B12" s="245">
        <v>0</v>
      </c>
      <c r="C12" s="268">
        <v>0</v>
      </c>
      <c r="D12" s="268">
        <v>40</v>
      </c>
      <c r="E12" s="247">
        <v>0</v>
      </c>
      <c r="F12" s="245">
        <v>0</v>
      </c>
      <c r="G12" s="268">
        <v>0</v>
      </c>
      <c r="H12" s="268">
        <v>20</v>
      </c>
      <c r="I12" s="247">
        <v>0</v>
      </c>
      <c r="J12" s="245">
        <v>0</v>
      </c>
      <c r="K12" s="268">
        <v>0</v>
      </c>
      <c r="L12" s="268">
        <v>4</v>
      </c>
      <c r="M12" s="247">
        <v>0</v>
      </c>
      <c r="N12" s="245">
        <v>0</v>
      </c>
      <c r="O12" s="268">
        <v>0</v>
      </c>
      <c r="P12" s="268">
        <v>2.76</v>
      </c>
      <c r="Q12" s="268">
        <v>0</v>
      </c>
      <c r="R12" s="245">
        <v>0</v>
      </c>
      <c r="S12" s="91">
        <v>0</v>
      </c>
      <c r="T12" s="91">
        <v>2.76</v>
      </c>
      <c r="U12" s="246">
        <v>0</v>
      </c>
      <c r="V12" s="248">
        <v>0</v>
      </c>
      <c r="W12" s="248">
        <v>0</v>
      </c>
      <c r="X12" s="248">
        <v>8</v>
      </c>
      <c r="Y12" s="248">
        <v>0</v>
      </c>
      <c r="Z12" s="245">
        <v>0</v>
      </c>
      <c r="AA12" s="247">
        <v>0</v>
      </c>
      <c r="AB12" s="247">
        <v>3</v>
      </c>
      <c r="AC12" s="246">
        <v>0</v>
      </c>
      <c r="AD12" s="247">
        <v>0</v>
      </c>
      <c r="AE12" s="247">
        <v>0</v>
      </c>
      <c r="AF12" s="247">
        <v>25</v>
      </c>
      <c r="AG12" s="246">
        <v>0</v>
      </c>
      <c r="AH12" s="245">
        <v>0</v>
      </c>
      <c r="AI12" s="247">
        <v>0</v>
      </c>
      <c r="AJ12" s="247">
        <v>25</v>
      </c>
      <c r="AK12" s="246">
        <v>0</v>
      </c>
    </row>
    <row r="13" spans="1:37">
      <c r="A13" s="268" t="s">
        <v>132</v>
      </c>
      <c r="B13" s="245">
        <v>6</v>
      </c>
      <c r="C13" s="268">
        <v>6</v>
      </c>
      <c r="D13" s="268">
        <v>6</v>
      </c>
      <c r="E13" s="247">
        <v>6</v>
      </c>
      <c r="F13" s="245">
        <v>6</v>
      </c>
      <c r="G13" s="268">
        <v>6</v>
      </c>
      <c r="H13" s="268">
        <v>6</v>
      </c>
      <c r="I13" s="247">
        <v>6</v>
      </c>
      <c r="J13" s="245">
        <v>10</v>
      </c>
      <c r="K13" s="268">
        <v>10</v>
      </c>
      <c r="L13" s="268">
        <v>10</v>
      </c>
      <c r="M13" s="247">
        <v>10</v>
      </c>
      <c r="O13" s="268"/>
      <c r="P13" s="268"/>
      <c r="Q13" s="268"/>
      <c r="T13" s="91"/>
      <c r="V13" s="248">
        <v>3</v>
      </c>
      <c r="W13" s="248">
        <v>3</v>
      </c>
      <c r="X13" s="248">
        <v>3</v>
      </c>
      <c r="Y13" s="248">
        <v>3</v>
      </c>
      <c r="AD13" s="268"/>
      <c r="AE13" s="268"/>
      <c r="AF13" s="268"/>
      <c r="AI13" s="268"/>
      <c r="AJ13" s="268"/>
    </row>
    <row r="14" spans="1:37">
      <c r="A14" s="268" t="s">
        <v>52</v>
      </c>
      <c r="B14" s="245">
        <v>334</v>
      </c>
      <c r="C14" s="268">
        <v>334</v>
      </c>
      <c r="D14" s="268">
        <v>250</v>
      </c>
      <c r="E14" s="247">
        <v>400</v>
      </c>
      <c r="F14" s="245">
        <v>320</v>
      </c>
      <c r="G14" s="268">
        <v>320</v>
      </c>
      <c r="H14" s="268">
        <v>0</v>
      </c>
      <c r="I14" s="247">
        <v>320</v>
      </c>
      <c r="N14" s="245">
        <v>383.18</v>
      </c>
      <c r="O14" s="268">
        <v>383.18</v>
      </c>
      <c r="P14" s="268">
        <v>383.18</v>
      </c>
      <c r="Q14" s="268">
        <v>383.18</v>
      </c>
      <c r="R14" s="245">
        <v>363.6</v>
      </c>
      <c r="S14" s="91">
        <v>363.6</v>
      </c>
      <c r="T14" s="91">
        <v>363.6</v>
      </c>
      <c r="U14" s="246">
        <v>363.6</v>
      </c>
      <c r="V14" s="248">
        <v>256</v>
      </c>
      <c r="W14" s="248">
        <v>256</v>
      </c>
      <c r="X14" s="248">
        <v>256</v>
      </c>
      <c r="Y14" s="248">
        <v>256</v>
      </c>
      <c r="Z14" s="245">
        <v>321</v>
      </c>
      <c r="AA14" s="247">
        <v>321</v>
      </c>
      <c r="AB14" s="247">
        <v>321</v>
      </c>
      <c r="AC14" s="246">
        <v>321</v>
      </c>
      <c r="AD14" s="247">
        <v>352</v>
      </c>
      <c r="AE14" s="247">
        <v>352</v>
      </c>
      <c r="AF14" s="247">
        <v>352</v>
      </c>
      <c r="AG14" s="246">
        <v>352</v>
      </c>
      <c r="AH14" s="245">
        <v>150</v>
      </c>
      <c r="AI14" s="247">
        <v>150</v>
      </c>
      <c r="AJ14" s="247">
        <v>150</v>
      </c>
      <c r="AK14" s="246">
        <v>150</v>
      </c>
    </row>
    <row r="15" spans="1:37">
      <c r="A15" s="268" t="s">
        <v>133</v>
      </c>
      <c r="B15" s="245">
        <v>25</v>
      </c>
      <c r="C15" s="268">
        <v>25</v>
      </c>
      <c r="D15" s="268">
        <v>25</v>
      </c>
      <c r="E15" s="247">
        <v>25</v>
      </c>
      <c r="F15" s="245">
        <v>28</v>
      </c>
      <c r="G15" s="268">
        <v>28</v>
      </c>
      <c r="H15" s="268">
        <v>28</v>
      </c>
      <c r="I15" s="247">
        <v>28</v>
      </c>
      <c r="N15" s="245">
        <v>10</v>
      </c>
      <c r="O15" s="268">
        <v>10</v>
      </c>
      <c r="P15" s="268">
        <v>10</v>
      </c>
      <c r="Q15" s="268">
        <v>10</v>
      </c>
      <c r="R15" s="245">
        <v>10</v>
      </c>
      <c r="S15" s="247">
        <v>10</v>
      </c>
      <c r="T15" s="248">
        <v>10</v>
      </c>
      <c r="U15" s="246">
        <v>10</v>
      </c>
      <c r="V15" s="268"/>
      <c r="W15" s="268"/>
      <c r="X15" s="268"/>
      <c r="Y15" s="268"/>
      <c r="AD15" s="268">
        <v>2</v>
      </c>
      <c r="AE15" s="268">
        <v>2</v>
      </c>
      <c r="AF15" s="268">
        <v>2</v>
      </c>
      <c r="AG15" s="246">
        <v>2</v>
      </c>
      <c r="AH15" s="245">
        <v>2</v>
      </c>
      <c r="AI15" s="247">
        <v>2</v>
      </c>
      <c r="AJ15" s="247">
        <v>2</v>
      </c>
      <c r="AK15" s="246">
        <v>2</v>
      </c>
    </row>
    <row r="16" spans="1:37">
      <c r="A16" s="268" t="s">
        <v>49</v>
      </c>
      <c r="E16" s="247"/>
      <c r="J16" s="245">
        <v>150</v>
      </c>
      <c r="K16" s="268">
        <v>25</v>
      </c>
      <c r="L16" s="268">
        <v>100</v>
      </c>
      <c r="M16" s="247">
        <v>25</v>
      </c>
      <c r="N16" s="245">
        <v>10</v>
      </c>
      <c r="O16" s="268">
        <v>10</v>
      </c>
      <c r="P16" s="268">
        <v>10</v>
      </c>
      <c r="Q16" s="268">
        <v>10</v>
      </c>
      <c r="R16" s="245">
        <v>5</v>
      </c>
      <c r="S16" s="247">
        <v>5</v>
      </c>
      <c r="T16" s="248">
        <v>5</v>
      </c>
      <c r="U16" s="246">
        <v>5</v>
      </c>
      <c r="V16" s="268"/>
      <c r="W16" s="268"/>
      <c r="X16" s="268"/>
      <c r="Y16" s="268"/>
      <c r="AD16" s="268"/>
      <c r="AE16" s="268"/>
      <c r="AF16" s="268"/>
      <c r="AI16" s="268"/>
      <c r="AJ16" s="268"/>
    </row>
    <row r="17" spans="1:38">
      <c r="A17" s="268" t="s">
        <v>134</v>
      </c>
      <c r="O17" s="268"/>
      <c r="P17" s="268"/>
      <c r="Q17" s="268"/>
      <c r="S17" s="247"/>
      <c r="T17" s="248"/>
      <c r="V17" s="268"/>
      <c r="W17" s="268"/>
      <c r="X17" s="268"/>
      <c r="Y17" s="268"/>
      <c r="AD17" s="268">
        <v>100</v>
      </c>
      <c r="AE17" s="268">
        <v>10</v>
      </c>
      <c r="AF17" s="268">
        <v>100</v>
      </c>
      <c r="AG17" s="246">
        <v>10</v>
      </c>
      <c r="AI17" s="268"/>
      <c r="AJ17" s="268"/>
    </row>
    <row r="18" spans="1:38">
      <c r="A18" s="268" t="s">
        <v>135</v>
      </c>
      <c r="O18" s="268"/>
      <c r="P18" s="268"/>
      <c r="Q18" s="268"/>
      <c r="R18" s="245">
        <v>5</v>
      </c>
      <c r="S18" s="91">
        <v>0</v>
      </c>
      <c r="T18" s="322">
        <v>0</v>
      </c>
      <c r="U18" s="246">
        <v>0</v>
      </c>
      <c r="V18" s="247">
        <v>4.5999999999999996</v>
      </c>
      <c r="W18" s="247">
        <v>0</v>
      </c>
      <c r="X18" s="268">
        <v>0</v>
      </c>
      <c r="Y18" s="268">
        <v>0</v>
      </c>
      <c r="AD18" s="268">
        <v>4.63</v>
      </c>
      <c r="AE18" s="268">
        <v>0</v>
      </c>
      <c r="AF18" s="268">
        <v>0</v>
      </c>
      <c r="AG18" s="246">
        <v>0</v>
      </c>
      <c r="AI18" s="268"/>
      <c r="AJ18" s="268"/>
    </row>
    <row r="19" spans="1:38">
      <c r="A19" s="268" t="s">
        <v>136</v>
      </c>
      <c r="F19" s="245">
        <v>25.2</v>
      </c>
      <c r="G19" s="268">
        <v>0</v>
      </c>
      <c r="H19" s="268">
        <v>0</v>
      </c>
      <c r="I19" s="247">
        <v>0</v>
      </c>
      <c r="O19" s="268"/>
      <c r="P19" s="268"/>
      <c r="Q19" s="268"/>
      <c r="T19" s="322"/>
      <c r="V19" s="268">
        <v>6.1</v>
      </c>
      <c r="W19" s="268">
        <v>0</v>
      </c>
      <c r="X19" s="268">
        <v>0</v>
      </c>
      <c r="Y19" s="268">
        <v>0</v>
      </c>
      <c r="Z19" s="245">
        <v>7</v>
      </c>
      <c r="AA19" s="247">
        <v>0</v>
      </c>
      <c r="AB19" s="247">
        <v>0</v>
      </c>
      <c r="AC19" s="246">
        <v>0</v>
      </c>
      <c r="AD19" s="247">
        <v>12.6</v>
      </c>
      <c r="AE19" s="247">
        <v>0</v>
      </c>
      <c r="AF19" s="247">
        <v>0</v>
      </c>
      <c r="AG19" s="246">
        <v>0</v>
      </c>
      <c r="AI19" s="268"/>
      <c r="AJ19" s="268"/>
    </row>
    <row r="20" spans="1:38">
      <c r="A20" s="268" t="s">
        <v>137</v>
      </c>
      <c r="F20" s="245">
        <v>0</v>
      </c>
      <c r="G20" s="268">
        <v>0</v>
      </c>
      <c r="H20" s="268">
        <v>5</v>
      </c>
      <c r="I20" s="247">
        <v>0</v>
      </c>
      <c r="O20" s="268"/>
      <c r="P20" s="268"/>
      <c r="Q20" s="268"/>
      <c r="T20" s="322"/>
      <c r="V20" s="268">
        <v>0</v>
      </c>
      <c r="W20" s="268">
        <v>0</v>
      </c>
      <c r="X20" s="268">
        <v>2.2999999999999998</v>
      </c>
      <c r="Y20" s="268">
        <v>0</v>
      </c>
      <c r="AD20" s="268">
        <v>0</v>
      </c>
      <c r="AE20" s="268">
        <v>0</v>
      </c>
      <c r="AF20" s="268">
        <v>2.2999999999999998</v>
      </c>
      <c r="AG20" s="246">
        <v>0</v>
      </c>
      <c r="AI20" s="268"/>
      <c r="AJ20" s="268"/>
    </row>
    <row r="21" spans="1:38">
      <c r="A21" s="268" t="s">
        <v>138</v>
      </c>
      <c r="F21" s="245">
        <v>0</v>
      </c>
      <c r="G21" s="268">
        <v>0</v>
      </c>
      <c r="H21" s="268">
        <v>8</v>
      </c>
      <c r="I21" s="247">
        <v>0</v>
      </c>
      <c r="O21" s="268"/>
      <c r="P21" s="268"/>
      <c r="Q21" s="268"/>
      <c r="T21" s="322"/>
      <c r="V21" s="268">
        <v>0</v>
      </c>
      <c r="W21" s="268">
        <v>0</v>
      </c>
      <c r="X21" s="268">
        <v>4</v>
      </c>
      <c r="Y21" s="268">
        <v>0</v>
      </c>
      <c r="AD21" s="268" t="s">
        <v>139</v>
      </c>
      <c r="AE21" s="268"/>
      <c r="AF21" s="268"/>
      <c r="AI21" s="268"/>
      <c r="AJ21" s="268"/>
    </row>
    <row r="22" spans="1:38">
      <c r="A22" s="268" t="s">
        <v>140</v>
      </c>
      <c r="E22" s="247"/>
      <c r="F22" s="245">
        <v>6</v>
      </c>
      <c r="G22" s="268">
        <v>6</v>
      </c>
      <c r="H22" s="268">
        <v>6</v>
      </c>
      <c r="I22" s="247">
        <v>6</v>
      </c>
      <c r="J22" s="245">
        <v>10</v>
      </c>
      <c r="K22" s="268">
        <v>10</v>
      </c>
      <c r="L22" s="268">
        <v>10</v>
      </c>
      <c r="M22" s="247">
        <v>10</v>
      </c>
      <c r="O22" s="268"/>
      <c r="P22" s="268"/>
      <c r="Q22" s="268"/>
      <c r="T22" s="322"/>
      <c r="V22" s="268">
        <v>2</v>
      </c>
      <c r="W22" s="268">
        <v>2</v>
      </c>
      <c r="X22" s="268">
        <v>2</v>
      </c>
      <c r="Y22" s="268">
        <v>2</v>
      </c>
      <c r="AD22" s="268"/>
      <c r="AE22" s="268"/>
      <c r="AF22" s="268"/>
      <c r="AH22" s="245">
        <v>10</v>
      </c>
      <c r="AI22" s="268">
        <v>10</v>
      </c>
      <c r="AJ22" s="268">
        <v>10</v>
      </c>
      <c r="AK22" s="246">
        <v>10</v>
      </c>
    </row>
    <row r="23" spans="1:38">
      <c r="A23" s="268" t="s">
        <v>26</v>
      </c>
      <c r="E23" s="247"/>
      <c r="F23" s="245">
        <v>20</v>
      </c>
      <c r="G23" s="268">
        <v>20</v>
      </c>
      <c r="H23" s="268">
        <v>0</v>
      </c>
      <c r="I23" s="247">
        <v>20</v>
      </c>
      <c r="J23" s="245">
        <v>10</v>
      </c>
      <c r="K23" s="268">
        <v>10</v>
      </c>
      <c r="L23" s="268">
        <v>10</v>
      </c>
      <c r="M23" s="247">
        <v>10</v>
      </c>
      <c r="O23" s="268"/>
      <c r="P23" s="268"/>
      <c r="Q23" s="268"/>
      <c r="T23" s="322"/>
      <c r="V23" s="268"/>
      <c r="W23" s="268"/>
      <c r="X23" s="268"/>
      <c r="Y23" s="268"/>
      <c r="AD23" s="268">
        <v>39</v>
      </c>
      <c r="AE23" s="268">
        <v>39</v>
      </c>
      <c r="AF23" s="268">
        <v>39</v>
      </c>
      <c r="AG23" s="246">
        <v>39</v>
      </c>
      <c r="AH23" s="245">
        <v>10</v>
      </c>
      <c r="AI23" s="247">
        <v>10</v>
      </c>
      <c r="AJ23" s="247">
        <v>10</v>
      </c>
      <c r="AK23" s="246">
        <v>10</v>
      </c>
    </row>
    <row r="24" spans="1:38">
      <c r="A24" s="268" t="s">
        <v>27</v>
      </c>
      <c r="F24" s="245">
        <v>0</v>
      </c>
      <c r="G24" s="268">
        <v>0</v>
      </c>
      <c r="H24" s="268">
        <v>0</v>
      </c>
      <c r="I24" s="247">
        <v>0</v>
      </c>
      <c r="O24" s="268"/>
      <c r="P24" s="268"/>
      <c r="Q24" s="268"/>
      <c r="T24" s="322"/>
      <c r="V24" s="268"/>
      <c r="W24" s="268"/>
      <c r="X24" s="268"/>
      <c r="Y24" s="268"/>
      <c r="AD24" s="268"/>
      <c r="AE24" s="268"/>
      <c r="AF24" s="268"/>
      <c r="AH24" s="245">
        <v>2</v>
      </c>
      <c r="AI24" s="247">
        <v>2</v>
      </c>
      <c r="AJ24" s="247">
        <v>2</v>
      </c>
      <c r="AK24" s="246">
        <v>2</v>
      </c>
    </row>
    <row r="25" spans="1:38">
      <c r="A25" s="268" t="s">
        <v>141</v>
      </c>
      <c r="O25" s="268"/>
      <c r="P25" s="268"/>
      <c r="Q25" s="268"/>
      <c r="T25" s="322"/>
      <c r="V25" s="268"/>
      <c r="W25" s="268"/>
      <c r="X25" s="268"/>
      <c r="Y25" s="268"/>
      <c r="AD25" s="268"/>
      <c r="AE25" s="268"/>
      <c r="AF25" s="268"/>
      <c r="AH25" s="245">
        <v>1</v>
      </c>
      <c r="AI25" s="268">
        <v>5</v>
      </c>
      <c r="AJ25" s="268">
        <v>5</v>
      </c>
      <c r="AK25" s="246">
        <v>1</v>
      </c>
    </row>
    <row r="26" spans="1:38">
      <c r="A26" s="268"/>
      <c r="O26" s="268"/>
      <c r="P26" s="268"/>
      <c r="Q26" s="268"/>
      <c r="T26" s="322"/>
      <c r="V26" s="268"/>
      <c r="W26" s="268"/>
      <c r="X26" s="268"/>
      <c r="Y26" s="268"/>
      <c r="AD26" s="268"/>
      <c r="AE26" s="268"/>
      <c r="AF26" s="268"/>
      <c r="AI26" s="268"/>
      <c r="AJ26" s="268"/>
    </row>
    <row r="27" spans="1:38" s="268" customFormat="1">
      <c r="A27" s="408" t="s">
        <v>142</v>
      </c>
      <c r="B27" s="245"/>
      <c r="F27" s="245"/>
      <c r="J27" s="245"/>
      <c r="N27" s="245"/>
      <c r="R27" s="245"/>
      <c r="S27" s="91"/>
      <c r="T27" s="322"/>
      <c r="U27" s="246"/>
      <c r="Z27" s="245"/>
      <c r="AA27" s="91"/>
      <c r="AB27" s="91"/>
      <c r="AC27" s="246"/>
      <c r="AG27" s="246"/>
      <c r="AH27" s="245"/>
      <c r="AK27" s="246"/>
      <c r="AL27" s="245"/>
    </row>
    <row r="28" spans="1:38" s="268" customFormat="1">
      <c r="A28" s="323" t="s">
        <v>17</v>
      </c>
      <c r="B28" s="245">
        <v>440</v>
      </c>
      <c r="C28" s="268">
        <v>88</v>
      </c>
      <c r="D28" s="268">
        <v>0</v>
      </c>
      <c r="E28" s="247">
        <v>0</v>
      </c>
      <c r="F28" s="245"/>
      <c r="J28" s="245"/>
      <c r="M28" s="247"/>
      <c r="N28" s="245"/>
      <c r="R28" s="245"/>
      <c r="S28" s="91"/>
      <c r="T28" s="322"/>
      <c r="U28" s="246"/>
      <c r="Z28" s="245"/>
      <c r="AA28" s="91"/>
      <c r="AB28" s="91"/>
      <c r="AC28" s="246"/>
      <c r="AG28" s="246"/>
      <c r="AH28" s="245"/>
      <c r="AK28" s="246"/>
      <c r="AL28" s="245"/>
    </row>
    <row r="29" spans="1:38" s="268" customFormat="1">
      <c r="A29" s="323" t="s">
        <v>143</v>
      </c>
      <c r="B29" s="245">
        <v>16</v>
      </c>
      <c r="C29" s="268">
        <v>16</v>
      </c>
      <c r="D29" s="268">
        <v>16</v>
      </c>
      <c r="E29" s="247">
        <v>16</v>
      </c>
      <c r="F29" s="245"/>
      <c r="J29" s="245"/>
      <c r="M29" s="247"/>
      <c r="N29" s="245"/>
      <c r="R29" s="245"/>
      <c r="S29" s="91"/>
      <c r="T29" s="322"/>
      <c r="U29" s="246"/>
      <c r="Z29" s="245"/>
      <c r="AA29" s="91"/>
      <c r="AB29" s="91"/>
      <c r="AC29" s="246"/>
      <c r="AG29" s="246"/>
      <c r="AH29" s="245"/>
      <c r="AK29" s="246"/>
      <c r="AL29" s="245"/>
    </row>
    <row r="30" spans="1:38" s="268" customFormat="1">
      <c r="A30" s="323" t="s">
        <v>144</v>
      </c>
      <c r="B30" s="245">
        <v>8</v>
      </c>
      <c r="C30" s="268">
        <v>8</v>
      </c>
      <c r="D30" s="268">
        <v>8</v>
      </c>
      <c r="E30" s="247">
        <v>8</v>
      </c>
      <c r="F30" s="245"/>
      <c r="J30" s="245"/>
      <c r="M30" s="247"/>
      <c r="N30" s="245"/>
      <c r="R30" s="245"/>
      <c r="S30" s="91"/>
      <c r="T30" s="322"/>
      <c r="U30" s="246"/>
      <c r="Z30" s="245"/>
      <c r="AA30" s="91"/>
      <c r="AB30" s="91"/>
      <c r="AC30" s="246"/>
      <c r="AG30" s="246"/>
      <c r="AH30" s="245"/>
      <c r="AK30" s="246"/>
      <c r="AL30" s="245"/>
    </row>
    <row r="31" spans="1:38" s="268" customFormat="1">
      <c r="A31" s="323"/>
      <c r="B31" s="245"/>
      <c r="E31" s="247"/>
      <c r="F31" s="245"/>
      <c r="J31" s="245"/>
      <c r="M31" s="247"/>
      <c r="N31" s="245"/>
      <c r="R31" s="245"/>
      <c r="S31" s="91"/>
      <c r="T31" s="322"/>
      <c r="U31" s="246"/>
      <c r="Z31" s="245"/>
      <c r="AA31" s="91"/>
      <c r="AB31" s="91"/>
      <c r="AC31" s="246"/>
      <c r="AG31" s="246"/>
      <c r="AH31" s="245"/>
      <c r="AK31" s="246"/>
      <c r="AL31" s="245"/>
    </row>
    <row r="32" spans="1:38" s="268" customFormat="1">
      <c r="A32" s="408" t="s">
        <v>145</v>
      </c>
      <c r="B32" s="245"/>
      <c r="F32" s="245"/>
      <c r="J32" s="245"/>
      <c r="N32" s="245"/>
      <c r="R32" s="245"/>
      <c r="S32" s="91"/>
      <c r="T32" s="322"/>
      <c r="U32" s="246"/>
      <c r="Z32" s="245"/>
      <c r="AA32" s="91"/>
      <c r="AB32" s="91"/>
      <c r="AC32" s="246"/>
      <c r="AG32" s="246"/>
      <c r="AH32" s="245"/>
      <c r="AK32" s="246"/>
      <c r="AL32" s="245"/>
    </row>
    <row r="33" spans="1:38" s="268" customFormat="1">
      <c r="A33" s="323" t="s">
        <v>146</v>
      </c>
      <c r="B33" s="245"/>
      <c r="E33" s="247"/>
      <c r="F33" s="245"/>
      <c r="J33" s="245">
        <v>10</v>
      </c>
      <c r="K33" s="268">
        <v>10</v>
      </c>
      <c r="L33" s="268">
        <v>10</v>
      </c>
      <c r="M33" s="247">
        <v>10</v>
      </c>
      <c r="N33" s="245"/>
      <c r="R33" s="245"/>
      <c r="S33" s="91"/>
      <c r="T33" s="322"/>
      <c r="U33" s="246"/>
      <c r="Z33" s="245"/>
      <c r="AA33" s="91"/>
      <c r="AB33" s="91"/>
      <c r="AC33" s="246"/>
      <c r="AG33" s="246"/>
      <c r="AH33" s="245"/>
      <c r="AK33" s="246"/>
      <c r="AL33" s="245"/>
    </row>
    <row r="34" spans="1:38" s="268" customFormat="1">
      <c r="A34" s="323" t="s">
        <v>147</v>
      </c>
      <c r="B34" s="245"/>
      <c r="E34" s="247"/>
      <c r="F34" s="245"/>
      <c r="J34" s="245">
        <v>15</v>
      </c>
      <c r="K34" s="268">
        <v>15</v>
      </c>
      <c r="L34" s="268">
        <v>15</v>
      </c>
      <c r="M34" s="247">
        <v>15</v>
      </c>
      <c r="N34" s="245"/>
      <c r="R34" s="245"/>
      <c r="S34" s="91"/>
      <c r="T34" s="322"/>
      <c r="U34" s="246"/>
      <c r="Z34" s="245"/>
      <c r="AA34" s="91"/>
      <c r="AB34" s="91"/>
      <c r="AC34" s="246"/>
      <c r="AG34" s="246"/>
      <c r="AH34" s="245"/>
      <c r="AK34" s="246"/>
      <c r="AL34" s="245"/>
    </row>
    <row r="35" spans="1:38" s="268" customFormat="1">
      <c r="A35" s="323" t="s">
        <v>148</v>
      </c>
      <c r="B35" s="245"/>
      <c r="E35" s="247"/>
      <c r="F35" s="245"/>
      <c r="J35" s="245">
        <v>30</v>
      </c>
      <c r="K35" s="268">
        <v>30</v>
      </c>
      <c r="L35" s="268">
        <v>30</v>
      </c>
      <c r="M35" s="247">
        <v>30</v>
      </c>
      <c r="N35" s="245"/>
      <c r="R35" s="245"/>
      <c r="S35" s="91"/>
      <c r="T35" s="322"/>
      <c r="U35" s="246"/>
      <c r="Z35" s="245"/>
      <c r="AA35" s="91"/>
      <c r="AB35" s="91"/>
      <c r="AC35" s="246"/>
      <c r="AG35" s="246"/>
      <c r="AH35" s="245"/>
      <c r="AK35" s="246"/>
      <c r="AL35" s="245"/>
    </row>
    <row r="36" spans="1:38" s="268" customFormat="1">
      <c r="A36" s="323" t="s">
        <v>149</v>
      </c>
      <c r="B36" s="245"/>
      <c r="E36" s="247"/>
      <c r="F36" s="245"/>
      <c r="J36" s="245">
        <v>15</v>
      </c>
      <c r="K36" s="268">
        <v>15</v>
      </c>
      <c r="L36" s="268">
        <v>15</v>
      </c>
      <c r="M36" s="247">
        <v>15</v>
      </c>
      <c r="N36" s="245"/>
      <c r="R36" s="245"/>
      <c r="S36" s="91"/>
      <c r="T36" s="322"/>
      <c r="U36" s="246"/>
      <c r="Z36" s="245"/>
      <c r="AA36" s="91"/>
      <c r="AB36" s="91"/>
      <c r="AC36" s="246"/>
      <c r="AG36" s="246"/>
      <c r="AH36" s="245"/>
      <c r="AK36" s="246"/>
      <c r="AL36" s="245"/>
    </row>
    <row r="37" spans="1:38" s="268" customFormat="1">
      <c r="A37" s="323" t="s">
        <v>150</v>
      </c>
      <c r="B37" s="245"/>
      <c r="E37" s="247"/>
      <c r="F37" s="245"/>
      <c r="J37" s="245">
        <v>35</v>
      </c>
      <c r="K37" s="268">
        <v>35</v>
      </c>
      <c r="L37" s="268">
        <v>35</v>
      </c>
      <c r="M37" s="247">
        <v>35</v>
      </c>
      <c r="N37" s="245"/>
      <c r="R37" s="245"/>
      <c r="S37" s="91"/>
      <c r="T37" s="322"/>
      <c r="U37" s="246"/>
      <c r="Z37" s="245"/>
      <c r="AA37" s="91"/>
      <c r="AB37" s="91"/>
      <c r="AC37" s="246"/>
      <c r="AG37" s="246"/>
      <c r="AH37" s="245"/>
      <c r="AK37" s="246"/>
      <c r="AL37" s="245"/>
    </row>
    <row r="38" spans="1:38" s="268" customFormat="1">
      <c r="A38" s="323" t="s">
        <v>151</v>
      </c>
      <c r="B38" s="245"/>
      <c r="E38" s="247"/>
      <c r="F38" s="245"/>
      <c r="J38" s="245">
        <v>296</v>
      </c>
      <c r="K38" s="268">
        <v>296</v>
      </c>
      <c r="L38" s="268">
        <v>0</v>
      </c>
      <c r="M38" s="247">
        <v>0</v>
      </c>
      <c r="N38" s="245"/>
      <c r="R38" s="245"/>
      <c r="S38" s="91"/>
      <c r="T38" s="322"/>
      <c r="U38" s="246"/>
      <c r="Z38" s="245"/>
      <c r="AA38" s="91"/>
      <c r="AB38" s="91"/>
      <c r="AC38" s="246"/>
      <c r="AG38" s="246"/>
      <c r="AH38" s="245"/>
      <c r="AK38" s="246"/>
      <c r="AL38" s="245"/>
    </row>
    <row r="39" spans="1:38" s="268" customFormat="1">
      <c r="A39" s="323" t="s">
        <v>152</v>
      </c>
      <c r="B39" s="245"/>
      <c r="E39" s="247"/>
      <c r="F39" s="245"/>
      <c r="J39" s="245">
        <v>62</v>
      </c>
      <c r="L39" s="268">
        <v>62</v>
      </c>
      <c r="M39" s="247">
        <v>0</v>
      </c>
      <c r="N39" s="245"/>
      <c r="R39" s="245"/>
      <c r="S39" s="91"/>
      <c r="T39" s="322"/>
      <c r="U39" s="246"/>
      <c r="Z39" s="245"/>
      <c r="AA39" s="91"/>
      <c r="AB39" s="91"/>
      <c r="AC39" s="246"/>
      <c r="AG39" s="246"/>
      <c r="AH39" s="245"/>
      <c r="AK39" s="246"/>
      <c r="AL39" s="245"/>
    </row>
    <row r="40" spans="1:38" s="268" customFormat="1">
      <c r="A40" s="298"/>
      <c r="B40" s="245"/>
      <c r="F40" s="245"/>
      <c r="J40" s="245"/>
      <c r="N40" s="245"/>
      <c r="R40" s="245"/>
      <c r="S40" s="91"/>
      <c r="T40" s="322"/>
      <c r="U40" s="246"/>
      <c r="Z40" s="245"/>
      <c r="AA40" s="91"/>
      <c r="AB40" s="91"/>
      <c r="AC40" s="246"/>
      <c r="AG40" s="246"/>
      <c r="AH40" s="245"/>
      <c r="AK40" s="246"/>
      <c r="AL40" s="245"/>
    </row>
    <row r="41" spans="1:38">
      <c r="A41" s="408" t="s">
        <v>153</v>
      </c>
      <c r="O41" s="268"/>
      <c r="P41" s="268"/>
      <c r="Q41" s="268"/>
      <c r="T41" s="473"/>
      <c r="V41" s="268"/>
      <c r="W41" s="268"/>
      <c r="X41" s="268"/>
      <c r="Y41" s="268"/>
      <c r="AD41" s="268"/>
      <c r="AE41" s="268"/>
      <c r="AF41" s="268"/>
      <c r="AI41" s="268"/>
      <c r="AJ41" s="268"/>
    </row>
    <row r="42" spans="1:38">
      <c r="A42" s="268" t="s">
        <v>154</v>
      </c>
      <c r="N42" s="245">
        <v>10</v>
      </c>
      <c r="O42" s="268">
        <v>10</v>
      </c>
      <c r="P42" s="268">
        <v>10</v>
      </c>
      <c r="Q42" s="268">
        <v>10</v>
      </c>
      <c r="T42" s="473"/>
      <c r="V42" s="268"/>
      <c r="W42" s="268"/>
      <c r="X42" s="268"/>
      <c r="Y42" s="268"/>
      <c r="AD42" s="268"/>
      <c r="AE42" s="268"/>
      <c r="AF42" s="268"/>
      <c r="AI42" s="268"/>
      <c r="AJ42" s="268"/>
    </row>
    <row r="43" spans="1:38">
      <c r="A43" s="268" t="s">
        <v>155</v>
      </c>
      <c r="N43" s="245">
        <v>10</v>
      </c>
      <c r="O43" s="268">
        <v>10</v>
      </c>
      <c r="P43" s="268">
        <v>10</v>
      </c>
      <c r="Q43" s="268">
        <v>10</v>
      </c>
      <c r="T43" s="473"/>
      <c r="V43" s="268"/>
      <c r="W43" s="268"/>
      <c r="X43" s="268"/>
      <c r="Y43" s="268"/>
      <c r="AD43" s="268"/>
      <c r="AE43" s="268"/>
      <c r="AF43" s="268"/>
      <c r="AI43" s="268"/>
      <c r="AJ43" s="268"/>
    </row>
    <row r="44" spans="1:38">
      <c r="A44" s="268" t="s">
        <v>156</v>
      </c>
      <c r="N44" s="245">
        <v>8</v>
      </c>
      <c r="O44" s="268">
        <v>8</v>
      </c>
      <c r="P44" s="268">
        <v>8</v>
      </c>
      <c r="Q44" s="268">
        <v>8</v>
      </c>
      <c r="T44" s="473"/>
      <c r="V44" s="268"/>
      <c r="W44" s="268"/>
      <c r="X44" s="268"/>
      <c r="Y44" s="268"/>
      <c r="AD44" s="268"/>
      <c r="AE44" s="268"/>
      <c r="AF44" s="268"/>
      <c r="AI44" s="268"/>
      <c r="AJ44" s="268"/>
    </row>
    <row r="45" spans="1:38">
      <c r="A45" s="268" t="s">
        <v>157</v>
      </c>
      <c r="N45" s="245">
        <v>8</v>
      </c>
      <c r="O45" s="268">
        <v>8</v>
      </c>
      <c r="P45" s="268">
        <v>8</v>
      </c>
      <c r="Q45" s="268">
        <v>8</v>
      </c>
      <c r="T45" s="473"/>
      <c r="V45" s="268"/>
      <c r="W45" s="268"/>
      <c r="X45" s="268"/>
      <c r="Y45" s="268"/>
      <c r="AD45" s="268"/>
      <c r="AE45" s="268"/>
      <c r="AF45" s="268"/>
      <c r="AI45" s="268"/>
      <c r="AJ45" s="268"/>
    </row>
    <row r="46" spans="1:38">
      <c r="A46" s="268" t="s">
        <v>158</v>
      </c>
      <c r="N46" s="245">
        <v>10</v>
      </c>
      <c r="O46" s="268">
        <v>10</v>
      </c>
      <c r="P46" s="268">
        <v>10</v>
      </c>
      <c r="Q46" s="268">
        <v>10</v>
      </c>
      <c r="T46" s="473"/>
      <c r="V46" s="268"/>
      <c r="W46" s="268"/>
      <c r="X46" s="268"/>
      <c r="Y46" s="268"/>
      <c r="AD46" s="268"/>
      <c r="AE46" s="268"/>
      <c r="AF46" s="268"/>
      <c r="AI46" s="268"/>
      <c r="AJ46" s="268"/>
    </row>
    <row r="47" spans="1:38">
      <c r="A47" s="268" t="s">
        <v>159</v>
      </c>
      <c r="N47" s="245">
        <v>10</v>
      </c>
      <c r="O47" s="268">
        <v>10</v>
      </c>
      <c r="P47" s="268">
        <v>10</v>
      </c>
      <c r="Q47" s="268">
        <v>10</v>
      </c>
      <c r="T47" s="473"/>
      <c r="V47" s="268"/>
      <c r="W47" s="268"/>
      <c r="X47" s="268"/>
      <c r="Y47" s="268"/>
      <c r="AD47" s="268"/>
      <c r="AE47" s="268"/>
      <c r="AF47" s="268"/>
      <c r="AI47" s="268"/>
      <c r="AJ47" s="268"/>
    </row>
    <row r="48" spans="1:38">
      <c r="A48" s="268" t="s">
        <v>160</v>
      </c>
      <c r="N48" s="245">
        <v>10</v>
      </c>
      <c r="O48" s="268">
        <v>10</v>
      </c>
      <c r="P48" s="268">
        <v>10</v>
      </c>
      <c r="Q48" s="268">
        <v>10</v>
      </c>
      <c r="T48" s="473"/>
      <c r="V48" s="268"/>
      <c r="W48" s="268"/>
      <c r="X48" s="268"/>
      <c r="Y48" s="268"/>
      <c r="AD48" s="268"/>
      <c r="AE48" s="268"/>
      <c r="AF48" s="268"/>
      <c r="AI48" s="268"/>
      <c r="AJ48" s="268"/>
    </row>
    <row r="49" spans="1:30">
      <c r="A49" s="268" t="s">
        <v>161</v>
      </c>
      <c r="N49" s="245">
        <v>10</v>
      </c>
      <c r="O49" s="268">
        <v>10</v>
      </c>
      <c r="P49" s="268">
        <v>10</v>
      </c>
      <c r="Q49" s="268">
        <v>10</v>
      </c>
      <c r="T49" s="473"/>
      <c r="V49" s="268"/>
      <c r="W49" s="268"/>
      <c r="X49" s="268"/>
      <c r="Y49" s="268"/>
      <c r="AD49" s="268"/>
    </row>
    <row r="50" spans="1:30">
      <c r="A50" s="268" t="s">
        <v>162</v>
      </c>
      <c r="N50" s="245">
        <v>615</v>
      </c>
      <c r="O50" s="268">
        <v>128</v>
      </c>
      <c r="P50" s="268">
        <v>0</v>
      </c>
      <c r="Q50" s="268">
        <v>0</v>
      </c>
      <c r="T50" s="473"/>
      <c r="V50" s="268"/>
      <c r="W50" s="268"/>
      <c r="X50" s="268"/>
      <c r="Y50" s="268"/>
      <c r="AD50" s="268"/>
    </row>
    <row r="52" spans="1:30">
      <c r="A52" s="408" t="s">
        <v>163</v>
      </c>
      <c r="O52" s="268"/>
      <c r="P52" s="268"/>
      <c r="Q52" s="268"/>
      <c r="T52" s="473"/>
      <c r="V52" s="268"/>
      <c r="W52" s="268"/>
      <c r="X52" s="268"/>
      <c r="Y52" s="268"/>
      <c r="AD52" s="268"/>
    </row>
    <row r="53" spans="1:30">
      <c r="A53" s="268" t="s">
        <v>164</v>
      </c>
      <c r="O53" s="268"/>
      <c r="P53" s="268"/>
      <c r="Q53" s="268"/>
      <c r="R53" s="245">
        <v>875</v>
      </c>
      <c r="S53" s="268">
        <v>275</v>
      </c>
      <c r="T53" s="268">
        <v>0</v>
      </c>
      <c r="U53" s="268">
        <v>0</v>
      </c>
      <c r="V53" s="245"/>
      <c r="W53" s="268"/>
      <c r="X53" s="268"/>
      <c r="Y53" s="268"/>
      <c r="AD53" s="268"/>
    </row>
    <row r="54" spans="1:30">
      <c r="A54" s="268" t="s">
        <v>165</v>
      </c>
      <c r="O54" s="268"/>
      <c r="P54" s="268"/>
      <c r="Q54" s="268"/>
      <c r="R54" s="245">
        <v>7</v>
      </c>
      <c r="S54" s="268">
        <v>7</v>
      </c>
      <c r="T54" s="268">
        <v>7</v>
      </c>
      <c r="U54" s="268">
        <v>7</v>
      </c>
      <c r="V54" s="245"/>
      <c r="W54" s="268"/>
      <c r="X54" s="268"/>
      <c r="Y54" s="268"/>
      <c r="AD54" s="268"/>
    </row>
    <row r="55" spans="1:30">
      <c r="A55" s="268" t="s">
        <v>166</v>
      </c>
      <c r="O55" s="268"/>
      <c r="P55" s="268"/>
      <c r="Q55" s="268"/>
      <c r="R55" s="245">
        <v>10</v>
      </c>
      <c r="S55" s="268">
        <v>10</v>
      </c>
      <c r="T55" s="268">
        <v>10</v>
      </c>
      <c r="U55" s="268">
        <v>10</v>
      </c>
      <c r="V55" s="245"/>
      <c r="W55" s="268"/>
      <c r="X55" s="268"/>
      <c r="Y55" s="268"/>
      <c r="AD55" s="268"/>
    </row>
    <row r="57" spans="1:30">
      <c r="A57" s="408" t="s">
        <v>167</v>
      </c>
      <c r="O57" s="268"/>
      <c r="P57" s="268"/>
      <c r="Q57" s="268"/>
      <c r="T57" s="473"/>
      <c r="V57" s="268"/>
      <c r="W57" s="268"/>
      <c r="X57" s="268"/>
      <c r="Y57" s="268"/>
      <c r="AD57" s="268"/>
    </row>
    <row r="58" spans="1:30">
      <c r="A58" s="268" t="s">
        <v>168</v>
      </c>
      <c r="O58" s="268"/>
      <c r="P58" s="268"/>
      <c r="Q58" s="268"/>
      <c r="T58" s="473"/>
      <c r="V58" s="245">
        <v>880</v>
      </c>
      <c r="W58" s="268">
        <v>176</v>
      </c>
      <c r="X58" s="268">
        <v>0</v>
      </c>
      <c r="Y58" s="268">
        <v>0</v>
      </c>
      <c r="AD58" s="268"/>
    </row>
    <row r="59" spans="1:30">
      <c r="A59" s="268" t="s">
        <v>169</v>
      </c>
      <c r="O59" s="268"/>
      <c r="P59" s="268"/>
      <c r="Q59" s="268"/>
      <c r="T59" s="473"/>
      <c r="V59" s="245">
        <v>710</v>
      </c>
      <c r="W59" s="268">
        <v>142</v>
      </c>
      <c r="X59" s="268">
        <v>0</v>
      </c>
      <c r="Y59" s="268">
        <v>0</v>
      </c>
      <c r="AD59" s="268"/>
    </row>
    <row r="60" spans="1:30">
      <c r="A60" s="268" t="s">
        <v>170</v>
      </c>
      <c r="O60" s="268"/>
      <c r="P60" s="268"/>
      <c r="Q60" s="268"/>
      <c r="T60" s="473"/>
      <c r="V60" s="245">
        <v>24</v>
      </c>
      <c r="W60" s="268">
        <v>24</v>
      </c>
      <c r="X60" s="268">
        <v>24</v>
      </c>
      <c r="Y60" s="268">
        <v>24</v>
      </c>
      <c r="AD60" s="268"/>
    </row>
    <row r="61" spans="1:30">
      <c r="A61" s="268" t="s">
        <v>171</v>
      </c>
      <c r="O61" s="268"/>
      <c r="P61" s="268"/>
      <c r="Q61" s="268"/>
      <c r="T61" s="473"/>
      <c r="V61" s="245">
        <v>7</v>
      </c>
      <c r="W61" s="268">
        <v>7</v>
      </c>
      <c r="X61" s="268">
        <v>7</v>
      </c>
      <c r="Y61" s="268">
        <v>7</v>
      </c>
      <c r="AD61" s="268"/>
    </row>
    <row r="63" spans="1:30">
      <c r="A63" s="408" t="s">
        <v>172</v>
      </c>
      <c r="O63" s="268"/>
      <c r="P63" s="268"/>
      <c r="Q63" s="268"/>
      <c r="T63" s="473"/>
      <c r="V63" s="268"/>
      <c r="W63" s="268"/>
      <c r="X63" s="268"/>
      <c r="Y63" s="268"/>
      <c r="AD63" s="268"/>
    </row>
    <row r="64" spans="1:30">
      <c r="A64" s="268" t="s">
        <v>168</v>
      </c>
      <c r="O64" s="268"/>
      <c r="P64" s="268"/>
      <c r="Q64" s="268"/>
      <c r="T64" s="473"/>
      <c r="V64" s="268"/>
      <c r="W64" s="268"/>
      <c r="X64" s="268"/>
      <c r="Y64" s="268"/>
      <c r="Z64" s="245">
        <v>820</v>
      </c>
      <c r="AA64" s="268">
        <v>230</v>
      </c>
      <c r="AB64" s="268">
        <v>0</v>
      </c>
      <c r="AC64" s="268">
        <v>0</v>
      </c>
      <c r="AD64" s="245"/>
    </row>
    <row r="65" spans="1:33">
      <c r="A65" s="268" t="s">
        <v>169</v>
      </c>
      <c r="O65" s="268"/>
      <c r="P65" s="268"/>
      <c r="Q65" s="268"/>
      <c r="T65" s="473"/>
      <c r="V65" s="268"/>
      <c r="W65" s="268"/>
      <c r="X65" s="268"/>
      <c r="Y65" s="268"/>
      <c r="Z65" s="245">
        <v>130</v>
      </c>
      <c r="AA65" s="268">
        <v>37</v>
      </c>
      <c r="AB65" s="268">
        <v>0</v>
      </c>
      <c r="AC65" s="268">
        <v>0</v>
      </c>
      <c r="AD65" s="245"/>
      <c r="AE65" s="268"/>
      <c r="AF65" s="268"/>
    </row>
    <row r="66" spans="1:33">
      <c r="A66" s="268" t="s">
        <v>173</v>
      </c>
      <c r="O66" s="268"/>
      <c r="P66" s="268"/>
      <c r="Q66" s="268"/>
      <c r="T66" s="473"/>
      <c r="V66" s="268"/>
      <c r="W66" s="268"/>
      <c r="X66" s="268"/>
      <c r="Y66" s="268"/>
      <c r="Z66" s="245">
        <v>10</v>
      </c>
      <c r="AA66" s="268">
        <v>10</v>
      </c>
      <c r="AB66" s="268">
        <v>10</v>
      </c>
      <c r="AC66" s="268">
        <v>10</v>
      </c>
      <c r="AD66" s="245"/>
      <c r="AE66" s="268"/>
      <c r="AF66" s="268"/>
    </row>
    <row r="67" spans="1:33">
      <c r="A67" s="268" t="s">
        <v>174</v>
      </c>
      <c r="O67" s="268"/>
      <c r="P67" s="268"/>
      <c r="Q67" s="268"/>
      <c r="T67" s="473"/>
      <c r="V67" s="268"/>
      <c r="W67" s="268"/>
      <c r="X67" s="268"/>
      <c r="Y67" s="268"/>
      <c r="Z67" s="245">
        <v>10</v>
      </c>
      <c r="AA67" s="268">
        <v>10</v>
      </c>
      <c r="AB67" s="268">
        <v>10</v>
      </c>
      <c r="AC67" s="268">
        <v>10</v>
      </c>
      <c r="AD67" s="245"/>
      <c r="AE67" s="268"/>
      <c r="AF67" s="268"/>
    </row>
    <row r="68" spans="1:33">
      <c r="A68" s="268" t="s">
        <v>175</v>
      </c>
      <c r="O68" s="268"/>
      <c r="P68" s="268"/>
      <c r="Q68" s="268"/>
      <c r="T68" s="473"/>
      <c r="V68" s="268"/>
      <c r="W68" s="268"/>
      <c r="X68" s="268"/>
      <c r="Y68" s="268"/>
      <c r="Z68" s="245">
        <v>24</v>
      </c>
      <c r="AA68" s="268">
        <v>24</v>
      </c>
      <c r="AB68" s="268">
        <v>24</v>
      </c>
      <c r="AC68" s="268">
        <v>24</v>
      </c>
      <c r="AD68" s="245"/>
      <c r="AE68" s="268"/>
      <c r="AF68" s="268"/>
    </row>
    <row r="69" spans="1:33">
      <c r="A69" s="268" t="s">
        <v>176</v>
      </c>
      <c r="O69" s="268"/>
      <c r="P69" s="268"/>
      <c r="Q69" s="268"/>
      <c r="T69" s="473"/>
      <c r="V69" s="268"/>
      <c r="W69" s="268"/>
      <c r="X69" s="268"/>
      <c r="Y69" s="268"/>
      <c r="Z69" s="245">
        <v>8</v>
      </c>
      <c r="AA69" s="268">
        <v>8</v>
      </c>
      <c r="AB69" s="268">
        <v>8</v>
      </c>
      <c r="AC69" s="268">
        <v>8</v>
      </c>
      <c r="AD69" s="245"/>
      <c r="AE69" s="268"/>
      <c r="AF69" s="268"/>
    </row>
    <row r="70" spans="1:33">
      <c r="A70" s="268" t="s">
        <v>19</v>
      </c>
      <c r="O70" s="268"/>
      <c r="P70" s="268"/>
      <c r="Q70" s="268"/>
      <c r="T70" s="473"/>
      <c r="V70" s="268"/>
      <c r="W70" s="268"/>
      <c r="X70" s="268"/>
      <c r="Y70" s="268"/>
      <c r="Z70" s="245">
        <v>10</v>
      </c>
      <c r="AA70" s="268">
        <v>10</v>
      </c>
      <c r="AB70" s="268">
        <v>10</v>
      </c>
      <c r="AC70" s="268">
        <v>10</v>
      </c>
      <c r="AD70" s="245"/>
      <c r="AE70" s="268"/>
      <c r="AF70" s="268"/>
    </row>
    <row r="71" spans="1:33">
      <c r="A71" s="268" t="s">
        <v>177</v>
      </c>
      <c r="O71" s="268"/>
      <c r="P71" s="268"/>
      <c r="Q71" s="268"/>
      <c r="T71" s="473"/>
      <c r="V71" s="268"/>
      <c r="W71" s="268"/>
      <c r="X71" s="268"/>
      <c r="Y71" s="268"/>
      <c r="Z71" s="245">
        <v>4</v>
      </c>
      <c r="AA71" s="268">
        <v>4</v>
      </c>
      <c r="AB71" s="268">
        <v>4</v>
      </c>
      <c r="AC71" s="268">
        <v>4</v>
      </c>
      <c r="AD71" s="245"/>
      <c r="AE71" s="268"/>
      <c r="AF71" s="268"/>
    </row>
    <row r="72" spans="1:33">
      <c r="A72" s="268" t="s">
        <v>178</v>
      </c>
      <c r="O72" s="268"/>
      <c r="P72" s="268"/>
      <c r="Q72" s="268"/>
      <c r="T72" s="473"/>
      <c r="V72" s="268"/>
      <c r="W72" s="268"/>
      <c r="X72" s="268"/>
      <c r="Y72" s="268"/>
      <c r="Z72" s="245">
        <v>8</v>
      </c>
      <c r="AA72" s="268">
        <v>8</v>
      </c>
      <c r="AB72" s="268">
        <v>8</v>
      </c>
      <c r="AC72" s="268">
        <v>8</v>
      </c>
      <c r="AD72" s="245"/>
      <c r="AE72" s="268"/>
      <c r="AF72" s="268"/>
    </row>
    <row r="74" spans="1:33">
      <c r="A74" s="408" t="s">
        <v>179</v>
      </c>
      <c r="O74" s="268"/>
      <c r="P74" s="268"/>
      <c r="Q74" s="268"/>
      <c r="T74" s="473"/>
      <c r="V74" s="268"/>
      <c r="W74" s="268"/>
      <c r="X74" s="268"/>
      <c r="Y74" s="268"/>
      <c r="AD74" s="268"/>
      <c r="AE74" s="268"/>
      <c r="AF74" s="268"/>
    </row>
    <row r="75" spans="1:33">
      <c r="A75" s="268" t="s">
        <v>180</v>
      </c>
      <c r="O75" s="268"/>
      <c r="P75" s="268"/>
      <c r="Q75" s="268"/>
      <c r="T75" s="473"/>
      <c r="V75" s="268"/>
      <c r="W75" s="268"/>
      <c r="X75" s="268"/>
      <c r="Y75" s="268"/>
      <c r="AD75" s="245">
        <v>825</v>
      </c>
      <c r="AE75" s="268">
        <v>275</v>
      </c>
      <c r="AF75" s="268">
        <v>0</v>
      </c>
      <c r="AG75" s="268">
        <v>0</v>
      </c>
    </row>
    <row r="76" spans="1:33">
      <c r="A76" s="268" t="s">
        <v>181</v>
      </c>
      <c r="O76" s="268"/>
      <c r="P76" s="268"/>
      <c r="Q76" s="268"/>
      <c r="T76" s="473"/>
      <c r="V76" s="268"/>
      <c r="W76" s="268"/>
      <c r="X76" s="268"/>
      <c r="Y76" s="268"/>
      <c r="AD76" s="245">
        <v>20</v>
      </c>
      <c r="AE76" s="268">
        <v>2</v>
      </c>
      <c r="AF76" s="268">
        <v>2</v>
      </c>
      <c r="AG76" s="268">
        <v>2</v>
      </c>
    </row>
    <row r="77" spans="1:33">
      <c r="A77" s="268" t="s">
        <v>182</v>
      </c>
      <c r="O77" s="268"/>
      <c r="P77" s="268"/>
      <c r="Q77" s="268"/>
      <c r="T77" s="473"/>
      <c r="V77" s="268"/>
      <c r="W77" s="268"/>
      <c r="X77" s="268"/>
      <c r="Y77" s="268"/>
      <c r="AD77" s="245">
        <v>3</v>
      </c>
      <c r="AE77" s="268">
        <v>3</v>
      </c>
      <c r="AF77" s="268">
        <v>3</v>
      </c>
      <c r="AG77" s="268">
        <v>3</v>
      </c>
    </row>
    <row r="78" spans="1:33">
      <c r="A78" s="268" t="s">
        <v>183</v>
      </c>
      <c r="O78" s="268"/>
      <c r="P78" s="268"/>
      <c r="Q78" s="268"/>
      <c r="T78" s="473"/>
      <c r="V78" s="268"/>
      <c r="W78" s="268"/>
      <c r="X78" s="268"/>
      <c r="Y78" s="268"/>
      <c r="AD78" s="245">
        <v>3</v>
      </c>
      <c r="AE78" s="268">
        <v>3</v>
      </c>
      <c r="AF78" s="268">
        <v>3</v>
      </c>
      <c r="AG78" s="268">
        <v>3</v>
      </c>
    </row>
    <row r="79" spans="1:33">
      <c r="A79" s="268" t="s">
        <v>184</v>
      </c>
      <c r="O79" s="268"/>
      <c r="P79" s="268"/>
      <c r="Q79" s="268"/>
      <c r="T79" s="473"/>
      <c r="V79" s="268"/>
      <c r="W79" s="268"/>
      <c r="X79" s="268"/>
      <c r="Y79" s="268"/>
      <c r="AD79" s="245">
        <v>1</v>
      </c>
      <c r="AE79" s="268">
        <v>1</v>
      </c>
      <c r="AF79" s="268">
        <v>1</v>
      </c>
      <c r="AG79" s="268">
        <v>1</v>
      </c>
    </row>
    <row r="80" spans="1:33">
      <c r="A80" s="268" t="s">
        <v>185</v>
      </c>
      <c r="O80" s="268"/>
      <c r="P80" s="268"/>
      <c r="Q80" s="268"/>
      <c r="T80" s="473"/>
      <c r="V80" s="268"/>
      <c r="W80" s="268"/>
      <c r="X80" s="268"/>
      <c r="Y80" s="268"/>
      <c r="AD80" s="245">
        <v>1</v>
      </c>
      <c r="AE80" s="268">
        <v>1</v>
      </c>
      <c r="AF80" s="268">
        <v>1</v>
      </c>
      <c r="AG80" s="268">
        <v>1</v>
      </c>
    </row>
    <row r="81" spans="1:37">
      <c r="A81" s="268" t="s">
        <v>186</v>
      </c>
      <c r="O81" s="268"/>
      <c r="P81" s="268"/>
      <c r="Q81" s="268"/>
      <c r="T81" s="473"/>
      <c r="V81" s="268"/>
      <c r="W81" s="268"/>
      <c r="X81" s="268"/>
      <c r="Y81" s="268"/>
      <c r="AD81" s="245">
        <v>1</v>
      </c>
      <c r="AE81" s="268">
        <v>1</v>
      </c>
      <c r="AF81" s="268">
        <v>1</v>
      </c>
      <c r="AG81" s="268">
        <v>1</v>
      </c>
      <c r="AI81" s="268"/>
      <c r="AJ81" s="268"/>
    </row>
    <row r="83" spans="1:37">
      <c r="A83" s="408" t="s">
        <v>187</v>
      </c>
      <c r="O83" s="268"/>
      <c r="P83" s="268"/>
      <c r="Q83" s="268"/>
      <c r="T83" s="473"/>
      <c r="V83" s="268"/>
      <c r="W83" s="268"/>
      <c r="X83" s="268"/>
      <c r="Y83" s="268"/>
      <c r="AD83" s="268"/>
      <c r="AE83" s="268"/>
      <c r="AF83" s="268"/>
      <c r="AI83" s="268"/>
      <c r="AJ83" s="268"/>
    </row>
    <row r="84" spans="1:37">
      <c r="A84" s="268" t="s">
        <v>188</v>
      </c>
      <c r="O84" s="268"/>
      <c r="P84" s="268"/>
      <c r="Q84" s="268"/>
      <c r="T84" s="473"/>
      <c r="V84" s="268"/>
      <c r="W84" s="268"/>
      <c r="X84" s="268"/>
      <c r="Y84" s="268"/>
      <c r="AD84" s="268"/>
      <c r="AE84" s="268"/>
      <c r="AF84" s="268"/>
      <c r="AH84" s="245">
        <v>10</v>
      </c>
      <c r="AI84" s="268">
        <v>10</v>
      </c>
      <c r="AJ84" s="268">
        <v>10</v>
      </c>
      <c r="AK84" s="268">
        <v>10</v>
      </c>
    </row>
    <row r="85" spans="1:37">
      <c r="A85" s="268" t="s">
        <v>189</v>
      </c>
      <c r="O85" s="268"/>
      <c r="P85" s="268"/>
      <c r="Q85" s="268"/>
      <c r="T85" s="473"/>
      <c r="V85" s="268"/>
      <c r="W85" s="268"/>
      <c r="X85" s="268"/>
      <c r="Y85" s="268"/>
      <c r="AD85" s="268"/>
      <c r="AE85" s="268"/>
      <c r="AF85" s="268"/>
      <c r="AH85" s="245">
        <v>15</v>
      </c>
      <c r="AI85" s="268">
        <v>15</v>
      </c>
      <c r="AJ85" s="268">
        <v>15</v>
      </c>
      <c r="AK85" s="268">
        <v>15</v>
      </c>
    </row>
    <row r="86" spans="1:37">
      <c r="A86" s="268" t="s">
        <v>148</v>
      </c>
      <c r="O86" s="268"/>
      <c r="P86" s="268"/>
      <c r="Q86" s="268"/>
      <c r="T86" s="473"/>
      <c r="V86" s="268"/>
      <c r="W86" s="268"/>
      <c r="X86" s="268"/>
      <c r="Y86" s="268"/>
      <c r="AD86" s="268"/>
      <c r="AE86" s="268"/>
      <c r="AF86" s="268"/>
      <c r="AH86" s="245">
        <v>30</v>
      </c>
      <c r="AI86" s="268">
        <v>30</v>
      </c>
      <c r="AJ86" s="268">
        <v>30</v>
      </c>
      <c r="AK86" s="268">
        <v>30</v>
      </c>
    </row>
    <row r="87" spans="1:37">
      <c r="A87" s="268" t="s">
        <v>149</v>
      </c>
      <c r="O87" s="268"/>
      <c r="P87" s="268"/>
      <c r="Q87" s="268"/>
      <c r="T87" s="473"/>
      <c r="V87" s="268"/>
      <c r="W87" s="268"/>
      <c r="X87" s="268"/>
      <c r="Y87" s="268"/>
      <c r="AD87" s="268"/>
      <c r="AE87" s="268"/>
      <c r="AF87" s="268"/>
      <c r="AH87" s="245">
        <v>15</v>
      </c>
      <c r="AI87" s="268">
        <v>15</v>
      </c>
      <c r="AJ87" s="268">
        <v>15</v>
      </c>
      <c r="AK87" s="268">
        <v>15</v>
      </c>
    </row>
    <row r="88" spans="1:37">
      <c r="A88" s="268" t="s">
        <v>150</v>
      </c>
      <c r="O88" s="268"/>
      <c r="P88" s="268"/>
      <c r="Q88" s="268"/>
      <c r="T88" s="473"/>
      <c r="V88" s="268"/>
      <c r="W88" s="268"/>
      <c r="X88" s="268"/>
      <c r="Y88" s="268"/>
      <c r="AD88" s="268"/>
      <c r="AE88" s="268"/>
      <c r="AF88" s="268"/>
      <c r="AH88" s="245">
        <v>35</v>
      </c>
      <c r="AI88" s="268">
        <v>35</v>
      </c>
      <c r="AJ88" s="268">
        <v>35</v>
      </c>
      <c r="AK88" s="268">
        <v>35</v>
      </c>
    </row>
    <row r="89" spans="1:37">
      <c r="A89" s="268" t="s">
        <v>151</v>
      </c>
      <c r="O89" s="268"/>
      <c r="P89" s="268"/>
      <c r="Q89" s="268"/>
      <c r="T89" s="473"/>
      <c r="V89" s="268"/>
      <c r="W89" s="268"/>
      <c r="X89" s="268"/>
      <c r="Y89" s="268"/>
      <c r="AD89" s="268"/>
      <c r="AE89" s="268"/>
      <c r="AF89" s="268"/>
      <c r="AH89" s="245">
        <v>206</v>
      </c>
      <c r="AI89" s="268">
        <v>82</v>
      </c>
      <c r="AJ89" s="268">
        <v>2</v>
      </c>
      <c r="AK89" s="268">
        <v>2</v>
      </c>
    </row>
  </sheetData>
  <mergeCells count="9">
    <mergeCell ref="B1:E1"/>
    <mergeCell ref="F1:I1"/>
    <mergeCell ref="J1:M1"/>
    <mergeCell ref="AD1:AG1"/>
    <mergeCell ref="AH1:AK1"/>
    <mergeCell ref="N1:Q1"/>
    <mergeCell ref="R1:U1"/>
    <mergeCell ref="V1:Y1"/>
    <mergeCell ref="Z1:AC1"/>
  </mergeCells>
  <phoneticPr fontId="0" type="noConversion"/>
  <pageMargins left="0.75" right="0.75" top="1" bottom="1" header="0.5" footer="0.5"/>
  <pageSetup scale="63" fitToHeight="0"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zoomScale="75" workbookViewId="0">
      <selection activeCell="G46" sqref="G46"/>
    </sheetView>
  </sheetViews>
  <sheetFormatPr defaultRowHeight="12.75"/>
  <cols>
    <col min="1" max="1" width="35.85546875" bestFit="1" customWidth="1"/>
    <col min="2" max="3" width="10.7109375" style="268" customWidth="1"/>
    <col min="4" max="8" width="10.7109375" customWidth="1"/>
  </cols>
  <sheetData>
    <row r="1" spans="1:9">
      <c r="A1" s="408"/>
      <c r="B1" s="441" t="s">
        <v>190</v>
      </c>
      <c r="C1" s="451"/>
      <c r="D1" s="451"/>
      <c r="E1" s="451"/>
      <c r="F1" s="451"/>
      <c r="G1" s="451"/>
      <c r="H1" s="451"/>
      <c r="I1" s="451"/>
    </row>
    <row r="2" spans="1:9">
      <c r="A2" s="408" t="s">
        <v>191</v>
      </c>
      <c r="B2" s="408" t="s">
        <v>109</v>
      </c>
      <c r="C2" s="408" t="s">
        <v>110</v>
      </c>
      <c r="D2" s="408" t="s">
        <v>192</v>
      </c>
      <c r="E2" s="408" t="s">
        <v>112</v>
      </c>
      <c r="F2" s="408" t="s">
        <v>113</v>
      </c>
      <c r="G2" s="408" t="s">
        <v>114</v>
      </c>
      <c r="H2" s="408" t="s">
        <v>115</v>
      </c>
      <c r="I2" s="408" t="s">
        <v>116</v>
      </c>
    </row>
    <row r="3" spans="1:9">
      <c r="A3" s="249" t="s">
        <v>26</v>
      </c>
      <c r="B3" s="249">
        <v>7.5</v>
      </c>
      <c r="C3" s="249">
        <v>10</v>
      </c>
      <c r="D3" s="249"/>
      <c r="E3" s="268">
        <v>7.6</v>
      </c>
      <c r="F3" s="268">
        <v>5.7</v>
      </c>
      <c r="G3" s="268">
        <v>7.83</v>
      </c>
      <c r="H3" s="268">
        <v>55.4</v>
      </c>
      <c r="I3" s="268"/>
    </row>
    <row r="4" spans="1:9">
      <c r="A4" s="249" t="s">
        <v>193</v>
      </c>
      <c r="B4" s="249">
        <v>1</v>
      </c>
      <c r="C4" s="249">
        <v>10</v>
      </c>
      <c r="D4" s="249"/>
      <c r="E4" s="268">
        <v>5</v>
      </c>
      <c r="F4" s="268">
        <v>5</v>
      </c>
      <c r="G4" s="268">
        <v>14.71</v>
      </c>
      <c r="H4" s="268">
        <v>14.71</v>
      </c>
      <c r="I4" s="268"/>
    </row>
    <row r="5" spans="1:9">
      <c r="A5" s="322" t="s">
        <v>98</v>
      </c>
      <c r="B5" s="322">
        <v>2</v>
      </c>
      <c r="C5" s="322">
        <v>6.6</v>
      </c>
      <c r="D5" s="322"/>
      <c r="E5" s="268">
        <v>6.6</v>
      </c>
      <c r="F5" s="268">
        <v>6.6</v>
      </c>
      <c r="G5" s="268"/>
      <c r="H5" s="268"/>
      <c r="I5" s="268">
        <v>20</v>
      </c>
    </row>
    <row r="6" spans="1:9">
      <c r="A6" s="322" t="s">
        <v>194</v>
      </c>
      <c r="B6" s="322"/>
      <c r="C6" s="322"/>
      <c r="D6" s="322"/>
      <c r="E6" s="268">
        <v>7.24</v>
      </c>
      <c r="F6" s="268"/>
      <c r="G6" s="268"/>
      <c r="H6" s="268"/>
      <c r="I6" s="268"/>
    </row>
    <row r="7" spans="1:9">
      <c r="A7" s="322" t="s">
        <v>195</v>
      </c>
      <c r="B7" s="322">
        <v>6</v>
      </c>
      <c r="C7" s="322">
        <v>5</v>
      </c>
      <c r="D7" s="322"/>
      <c r="E7" s="268">
        <v>5.6</v>
      </c>
      <c r="F7" s="268">
        <v>3</v>
      </c>
      <c r="G7" s="268">
        <v>6.37</v>
      </c>
      <c r="H7" s="268">
        <v>12.82</v>
      </c>
      <c r="I7" s="268">
        <v>4.28</v>
      </c>
    </row>
    <row r="8" spans="1:9">
      <c r="A8" s="322" t="s">
        <v>196</v>
      </c>
      <c r="B8" s="322"/>
      <c r="C8" s="322"/>
      <c r="D8" s="322"/>
      <c r="E8" s="268">
        <v>4.5999999999999996</v>
      </c>
      <c r="F8" s="268">
        <v>12</v>
      </c>
      <c r="G8" s="268"/>
      <c r="H8" s="268"/>
      <c r="I8" s="268"/>
    </row>
    <row r="9" spans="1:9">
      <c r="A9" s="322" t="s">
        <v>197</v>
      </c>
      <c r="B9" s="322">
        <v>6</v>
      </c>
      <c r="C9" s="322">
        <v>5</v>
      </c>
      <c r="D9" s="322"/>
      <c r="E9" s="268">
        <v>4.5999999999999996</v>
      </c>
      <c r="F9" s="268">
        <v>3</v>
      </c>
      <c r="G9" s="268">
        <v>3.43</v>
      </c>
      <c r="H9" s="268"/>
      <c r="I9" s="268">
        <v>2.91</v>
      </c>
    </row>
    <row r="10" spans="1:9">
      <c r="A10" s="322" t="s">
        <v>198</v>
      </c>
      <c r="B10" s="322">
        <v>2</v>
      </c>
      <c r="C10" s="322">
        <v>5</v>
      </c>
      <c r="D10" s="322"/>
      <c r="E10" s="268">
        <v>6</v>
      </c>
      <c r="F10" s="268">
        <v>6</v>
      </c>
      <c r="G10" s="268">
        <v>9.8000000000000007</v>
      </c>
      <c r="H10" s="268"/>
      <c r="I10" s="268">
        <v>11.03</v>
      </c>
    </row>
    <row r="11" spans="1:9">
      <c r="A11" s="322" t="s">
        <v>199</v>
      </c>
      <c r="B11" s="322"/>
      <c r="C11" s="322"/>
      <c r="D11" s="322"/>
      <c r="E11" s="268">
        <v>7.24</v>
      </c>
      <c r="F11" s="268">
        <v>3</v>
      </c>
      <c r="G11" s="268"/>
      <c r="H11" s="268"/>
      <c r="I11" s="268"/>
    </row>
    <row r="12" spans="1:9">
      <c r="A12" s="322" t="s">
        <v>95</v>
      </c>
      <c r="B12" s="322">
        <v>5</v>
      </c>
      <c r="C12" s="322">
        <v>4</v>
      </c>
      <c r="D12" s="322"/>
      <c r="E12" s="268">
        <v>3</v>
      </c>
      <c r="F12" s="268">
        <v>4</v>
      </c>
      <c r="G12" s="268">
        <v>3.92</v>
      </c>
      <c r="H12" s="268">
        <v>3.92</v>
      </c>
      <c r="I12" s="268"/>
    </row>
    <row r="13" spans="1:9">
      <c r="A13" s="322" t="s">
        <v>200</v>
      </c>
      <c r="B13" s="322"/>
      <c r="C13" s="322"/>
      <c r="D13" s="322"/>
      <c r="E13" s="268">
        <v>1</v>
      </c>
      <c r="F13" s="268">
        <v>0.6</v>
      </c>
      <c r="G13" s="268"/>
      <c r="H13" s="268"/>
      <c r="I13" s="268"/>
    </row>
    <row r="14" spans="1:9">
      <c r="A14" s="322" t="s">
        <v>96</v>
      </c>
      <c r="B14" s="322">
        <v>4</v>
      </c>
      <c r="C14" s="322">
        <v>3</v>
      </c>
      <c r="D14" s="322"/>
      <c r="E14" s="268">
        <v>3</v>
      </c>
      <c r="F14" s="268">
        <v>3</v>
      </c>
      <c r="G14" s="268"/>
      <c r="H14" s="268"/>
      <c r="I14" s="268">
        <v>3</v>
      </c>
    </row>
    <row r="15" spans="1:9">
      <c r="A15" s="249" t="s">
        <v>201</v>
      </c>
      <c r="B15" s="322">
        <v>0.5</v>
      </c>
      <c r="C15" s="249"/>
      <c r="D15" s="249"/>
      <c r="E15" s="268">
        <v>0.5</v>
      </c>
      <c r="F15" s="268">
        <v>0.5</v>
      </c>
      <c r="G15" s="268"/>
      <c r="H15" s="268"/>
      <c r="I15" s="268">
        <v>1.96</v>
      </c>
    </row>
    <row r="16" spans="1:9">
      <c r="A16" s="249" t="s">
        <v>202</v>
      </c>
      <c r="B16" s="322">
        <v>0.5</v>
      </c>
      <c r="C16" s="249"/>
      <c r="D16" s="249"/>
      <c r="E16" s="268">
        <v>0.5</v>
      </c>
      <c r="F16" s="268">
        <v>0.5</v>
      </c>
      <c r="G16" s="268"/>
      <c r="H16" s="268"/>
      <c r="I16" s="268"/>
    </row>
    <row r="17" spans="1:9">
      <c r="A17" s="249" t="s">
        <v>203</v>
      </c>
      <c r="B17" s="322">
        <v>0.5</v>
      </c>
      <c r="C17" s="249"/>
      <c r="D17" s="249"/>
      <c r="E17" s="268">
        <v>0.5</v>
      </c>
      <c r="F17" s="268">
        <v>0.5</v>
      </c>
      <c r="G17" s="268"/>
      <c r="H17" s="268"/>
      <c r="I17" s="268"/>
    </row>
    <row r="18" spans="1:9">
      <c r="A18" s="249" t="s">
        <v>90</v>
      </c>
      <c r="B18" s="322">
        <v>8</v>
      </c>
      <c r="C18" s="249"/>
      <c r="D18" s="249"/>
      <c r="E18" s="268"/>
      <c r="F18" s="268">
        <v>8.82</v>
      </c>
      <c r="G18" s="268">
        <v>6.71</v>
      </c>
      <c r="H18" s="268"/>
      <c r="I18" s="268">
        <v>2.12</v>
      </c>
    </row>
    <row r="19" spans="1:9">
      <c r="A19" s="249" t="s">
        <v>204</v>
      </c>
      <c r="B19" s="249"/>
      <c r="C19" s="249"/>
      <c r="D19" s="249"/>
      <c r="E19" s="268"/>
      <c r="F19" s="268"/>
      <c r="G19" s="268"/>
      <c r="H19" s="268"/>
      <c r="I19" s="268">
        <v>3.53</v>
      </c>
    </row>
    <row r="20" spans="1:9">
      <c r="A20" s="249" t="s">
        <v>205</v>
      </c>
      <c r="B20" s="249"/>
      <c r="C20" s="249"/>
      <c r="D20" s="249"/>
      <c r="E20" s="268"/>
      <c r="F20" s="268"/>
      <c r="G20" s="268"/>
      <c r="H20" s="268"/>
      <c r="I20" s="268">
        <v>1.18</v>
      </c>
    </row>
    <row r="21" spans="1:9">
      <c r="A21" s="249" t="s">
        <v>206</v>
      </c>
      <c r="B21" s="249"/>
      <c r="C21" s="249"/>
      <c r="D21" s="249"/>
      <c r="E21" s="268"/>
      <c r="F21" s="268"/>
      <c r="G21" s="268"/>
      <c r="H21" s="268"/>
      <c r="I21" s="268">
        <v>6.21</v>
      </c>
    </row>
    <row r="22" spans="1:9">
      <c r="A22" s="322" t="s">
        <v>207</v>
      </c>
      <c r="B22" s="322"/>
      <c r="C22" s="322"/>
      <c r="D22" s="322"/>
      <c r="E22" s="268">
        <v>10</v>
      </c>
      <c r="F22" s="268"/>
      <c r="G22" s="268"/>
      <c r="H22" s="268"/>
      <c r="I22" s="268"/>
    </row>
    <row r="23" spans="1:9">
      <c r="A23" s="249" t="s">
        <v>208</v>
      </c>
      <c r="B23" s="249"/>
      <c r="C23" s="249"/>
      <c r="D23" s="249"/>
      <c r="E23" s="268">
        <v>7.24</v>
      </c>
      <c r="F23" s="268"/>
      <c r="G23" s="268"/>
      <c r="H23" s="268"/>
      <c r="I23" s="268"/>
    </row>
    <row r="24" spans="1:9">
      <c r="A24" s="249" t="s">
        <v>209</v>
      </c>
      <c r="B24" s="249"/>
      <c r="C24" s="249"/>
      <c r="D24" s="249"/>
      <c r="E24" s="268">
        <v>7.24</v>
      </c>
      <c r="F24" s="268"/>
      <c r="G24" s="268"/>
      <c r="H24" s="268"/>
      <c r="I24" s="268"/>
    </row>
    <row r="25" spans="1:9">
      <c r="A25" s="249" t="s">
        <v>210</v>
      </c>
      <c r="B25" s="249"/>
      <c r="C25" s="249"/>
      <c r="D25" s="249"/>
      <c r="E25" s="268">
        <v>7.24</v>
      </c>
      <c r="F25" s="268"/>
      <c r="G25" s="268"/>
      <c r="H25" s="268"/>
      <c r="I25" s="268"/>
    </row>
    <row r="26" spans="1:9">
      <c r="A26" s="249" t="s">
        <v>211</v>
      </c>
      <c r="B26" s="249"/>
      <c r="C26" s="249"/>
      <c r="D26" s="249"/>
      <c r="E26" s="268">
        <v>10</v>
      </c>
      <c r="F26" s="268"/>
      <c r="G26" s="268"/>
      <c r="H26" s="268"/>
      <c r="I26" s="268"/>
    </row>
    <row r="27" spans="1:9">
      <c r="A27" s="249" t="s">
        <v>212</v>
      </c>
      <c r="B27" s="249"/>
      <c r="C27" s="249"/>
      <c r="D27" s="249"/>
      <c r="E27" s="268">
        <v>10</v>
      </c>
      <c r="F27" s="268"/>
      <c r="G27" s="268"/>
      <c r="H27" s="268"/>
      <c r="I27" s="268"/>
    </row>
    <row r="28" spans="1:9">
      <c r="A28" s="249" t="s">
        <v>213</v>
      </c>
      <c r="B28" s="249"/>
      <c r="C28" s="249"/>
      <c r="D28" s="249"/>
      <c r="E28" s="268">
        <v>10</v>
      </c>
      <c r="F28" s="268"/>
      <c r="G28" s="268"/>
      <c r="H28" s="268"/>
      <c r="I28" s="268"/>
    </row>
    <row r="29" spans="1:9">
      <c r="A29" s="249" t="s">
        <v>100</v>
      </c>
      <c r="B29" s="249">
        <v>3</v>
      </c>
      <c r="C29" s="249">
        <v>3</v>
      </c>
      <c r="D29" s="249"/>
      <c r="E29" s="268">
        <v>3</v>
      </c>
      <c r="F29" s="268">
        <v>4</v>
      </c>
      <c r="G29" s="268"/>
      <c r="H29" s="268"/>
      <c r="I29" s="268"/>
    </row>
    <row r="30" spans="1:9">
      <c r="A30" s="249" t="s">
        <v>101</v>
      </c>
      <c r="B30" s="249">
        <v>6</v>
      </c>
      <c r="C30" s="249"/>
      <c r="D30" s="249"/>
      <c r="E30" s="268">
        <v>7.24</v>
      </c>
      <c r="F30" s="268">
        <v>7</v>
      </c>
      <c r="G30" s="268"/>
      <c r="H30" s="268"/>
      <c r="I30" s="268">
        <v>4.25</v>
      </c>
    </row>
    <row r="31" spans="1:9">
      <c r="A31" s="249" t="s">
        <v>99</v>
      </c>
      <c r="B31" s="249">
        <v>18</v>
      </c>
      <c r="C31" s="249">
        <v>18</v>
      </c>
      <c r="D31" s="249">
        <v>20</v>
      </c>
      <c r="E31" s="268">
        <v>25</v>
      </c>
      <c r="F31" s="268">
        <v>18</v>
      </c>
      <c r="G31" s="268">
        <v>34.31</v>
      </c>
      <c r="H31" s="268"/>
      <c r="I31" s="268">
        <v>49.01</v>
      </c>
    </row>
    <row r="32" spans="1:9">
      <c r="A32" s="249" t="s">
        <v>214</v>
      </c>
      <c r="B32" s="249">
        <v>15</v>
      </c>
      <c r="C32" s="249"/>
      <c r="D32" s="249"/>
      <c r="E32" s="268"/>
      <c r="F32" s="268">
        <v>10</v>
      </c>
      <c r="G32" s="268">
        <v>20.7</v>
      </c>
      <c r="H32" s="268"/>
      <c r="I32" s="268">
        <v>16.670000000000002</v>
      </c>
    </row>
    <row r="33" spans="1:9">
      <c r="A33" s="249" t="s">
        <v>215</v>
      </c>
      <c r="B33" s="249"/>
      <c r="C33" s="249"/>
      <c r="D33" s="249"/>
      <c r="E33" s="268"/>
      <c r="F33" s="268">
        <v>3.92</v>
      </c>
      <c r="G33" s="268">
        <v>5.59</v>
      </c>
      <c r="H33" s="268"/>
      <c r="I33" s="268">
        <v>1.67</v>
      </c>
    </row>
    <row r="34" spans="1:9">
      <c r="A34" s="249" t="s">
        <v>216</v>
      </c>
      <c r="B34" s="249"/>
      <c r="C34" s="249"/>
      <c r="D34" s="249"/>
      <c r="E34" s="268"/>
      <c r="F34" s="268"/>
      <c r="G34" s="268"/>
      <c r="H34" s="268"/>
      <c r="I34" s="268">
        <v>7</v>
      </c>
    </row>
    <row r="35" spans="1:9">
      <c r="A35" s="249" t="s">
        <v>217</v>
      </c>
      <c r="B35" s="249"/>
      <c r="C35" s="249">
        <v>10</v>
      </c>
      <c r="D35" s="249"/>
      <c r="E35" s="268"/>
      <c r="F35" s="268">
        <v>7</v>
      </c>
      <c r="G35" s="268">
        <v>9.83</v>
      </c>
      <c r="H35" s="268"/>
      <c r="I35" s="268">
        <v>2.91</v>
      </c>
    </row>
    <row r="36" spans="1:9">
      <c r="A36" s="249" t="s">
        <v>218</v>
      </c>
      <c r="B36" s="249">
        <v>7</v>
      </c>
      <c r="C36" s="249"/>
      <c r="D36" s="249">
        <v>5</v>
      </c>
      <c r="E36" s="268"/>
      <c r="F36" s="268">
        <v>7</v>
      </c>
      <c r="G36" s="268">
        <v>2.0099999999999998</v>
      </c>
      <c r="H36" s="268"/>
      <c r="I36" s="268">
        <v>2.91</v>
      </c>
    </row>
    <row r="37" spans="1:9">
      <c r="A37" s="268" t="s">
        <v>219</v>
      </c>
      <c r="D37" s="268"/>
      <c r="E37" s="268"/>
      <c r="F37" s="268">
        <v>24</v>
      </c>
      <c r="G37" s="268"/>
      <c r="H37" s="268"/>
      <c r="I37" s="268"/>
    </row>
    <row r="38" spans="1:9">
      <c r="A38" s="268" t="s">
        <v>220</v>
      </c>
      <c r="D38" s="268"/>
      <c r="E38" s="268"/>
      <c r="F38" s="268"/>
      <c r="G38" s="268">
        <v>2</v>
      </c>
      <c r="H38" s="268"/>
      <c r="I38" s="268">
        <v>1</v>
      </c>
    </row>
    <row r="39" spans="1:9">
      <c r="A39" s="268" t="s">
        <v>221</v>
      </c>
      <c r="B39" s="268">
        <v>2</v>
      </c>
      <c r="C39" s="268">
        <v>10</v>
      </c>
      <c r="D39" s="268"/>
      <c r="E39" s="268"/>
      <c r="F39" s="268"/>
      <c r="G39" s="268">
        <v>9.8000000000000007</v>
      </c>
      <c r="H39" s="268">
        <v>9.8000000000000007</v>
      </c>
      <c r="I39" s="268"/>
    </row>
    <row r="40" spans="1:9">
      <c r="A40" s="268" t="s">
        <v>222</v>
      </c>
      <c r="D40" s="268"/>
      <c r="E40" s="268"/>
      <c r="F40" s="268"/>
      <c r="G40" s="268"/>
      <c r="H40" s="268"/>
      <c r="I40" s="268"/>
    </row>
    <row r="41" spans="1:9">
      <c r="A41" s="268" t="s">
        <v>223</v>
      </c>
      <c r="D41" s="268"/>
      <c r="E41" s="268"/>
      <c r="F41" s="268"/>
      <c r="G41" s="268"/>
      <c r="H41" s="268"/>
      <c r="I41" s="268"/>
    </row>
    <row r="42" spans="1:9">
      <c r="A42" s="268" t="s">
        <v>224</v>
      </c>
      <c r="D42" s="268"/>
      <c r="E42" s="268"/>
      <c r="F42" s="268"/>
      <c r="G42" s="268"/>
      <c r="H42" s="268">
        <v>29.41</v>
      </c>
      <c r="I42" s="268"/>
    </row>
    <row r="43" spans="1:9">
      <c r="A43" s="268" t="s">
        <v>225</v>
      </c>
      <c r="D43" s="268"/>
      <c r="E43" s="268"/>
      <c r="F43" s="268"/>
      <c r="G43" s="268"/>
      <c r="H43" s="268">
        <v>14.71</v>
      </c>
      <c r="I43" s="268"/>
    </row>
  </sheetData>
  <mergeCells count="1">
    <mergeCell ref="B1:I1"/>
  </mergeCells>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2"/>
  <sheetViews>
    <sheetView workbookViewId="0">
      <selection activeCell="G46" sqref="G46"/>
    </sheetView>
  </sheetViews>
  <sheetFormatPr defaultRowHeight="12.75"/>
  <cols>
    <col min="1" max="1" width="30.7109375" style="268" bestFit="1" customWidth="1"/>
    <col min="2" max="10" width="9.140625" style="268"/>
    <col min="11" max="11" width="31.85546875" style="268" bestFit="1" customWidth="1"/>
    <col min="12" max="16384" width="9.140625" style="268"/>
  </cols>
  <sheetData>
    <row r="1" spans="1:17" ht="15.75">
      <c r="A1" s="418" t="s">
        <v>226</v>
      </c>
      <c r="B1" s="418"/>
      <c r="C1" s="418"/>
      <c r="D1" s="418"/>
      <c r="E1" s="418"/>
      <c r="F1" s="418"/>
      <c r="G1" s="418"/>
      <c r="H1" s="418"/>
      <c r="K1" s="418" t="s">
        <v>227</v>
      </c>
      <c r="L1" s="418"/>
      <c r="M1" s="418"/>
      <c r="N1" s="418"/>
      <c r="O1" s="418"/>
      <c r="P1" s="418"/>
      <c r="Q1" s="269"/>
    </row>
    <row r="2" spans="1:17">
      <c r="A2" s="419" t="s">
        <v>228</v>
      </c>
      <c r="B2" s="419"/>
      <c r="C2" s="419"/>
      <c r="D2" s="419"/>
      <c r="E2" s="419"/>
      <c r="F2" s="419"/>
      <c r="G2" s="419"/>
      <c r="H2" s="419"/>
      <c r="K2" s="441" t="s">
        <v>228</v>
      </c>
      <c r="L2" s="441"/>
      <c r="M2" s="441"/>
      <c r="N2" s="441"/>
      <c r="O2" s="441"/>
      <c r="P2" s="441"/>
      <c r="Q2" s="269"/>
    </row>
    <row r="3" spans="1:17">
      <c r="A3" s="419" t="s">
        <v>229</v>
      </c>
      <c r="B3" s="419"/>
      <c r="C3" s="419"/>
      <c r="D3" s="419"/>
      <c r="E3" s="419"/>
      <c r="F3" s="419"/>
      <c r="G3" s="419"/>
      <c r="H3" s="419"/>
      <c r="K3" s="441" t="s">
        <v>229</v>
      </c>
      <c r="L3" s="441"/>
      <c r="M3" s="441"/>
      <c r="N3" s="441"/>
      <c r="O3" s="441"/>
      <c r="P3" s="441"/>
      <c r="Q3" s="269"/>
    </row>
    <row r="4" spans="1:17" ht="13.5" thickBot="1">
      <c r="Q4" s="269"/>
    </row>
    <row r="5" spans="1:17" ht="13.5" thickBot="1">
      <c r="A5" s="400" t="s">
        <v>7</v>
      </c>
      <c r="B5" s="47">
        <v>125</v>
      </c>
      <c r="C5" s="1"/>
      <c r="D5" s="1" t="s">
        <v>8</v>
      </c>
      <c r="E5" s="12">
        <v>1</v>
      </c>
      <c r="F5" s="13">
        <v>60</v>
      </c>
      <c r="G5" s="13">
        <f>H5-1</f>
        <v>239</v>
      </c>
      <c r="H5" s="14">
        <v>240</v>
      </c>
      <c r="K5" s="400" t="s">
        <v>75</v>
      </c>
      <c r="L5" s="47">
        <v>120</v>
      </c>
      <c r="M5" s="442" t="s">
        <v>76</v>
      </c>
      <c r="N5" s="434"/>
      <c r="O5" s="435"/>
      <c r="P5" s="101">
        <v>0.88</v>
      </c>
      <c r="Q5" s="269"/>
    </row>
    <row r="6" spans="1:17" ht="13.5" thickBot="1">
      <c r="A6" s="401" t="s">
        <v>9</v>
      </c>
      <c r="B6" s="48">
        <v>0.1</v>
      </c>
      <c r="C6" s="3"/>
      <c r="D6" s="3" t="s">
        <v>10</v>
      </c>
      <c r="E6" s="9">
        <v>1</v>
      </c>
      <c r="F6" s="10">
        <f>+F5-E5</f>
        <v>59</v>
      </c>
      <c r="G6" s="10">
        <f>+G5-F5</f>
        <v>179</v>
      </c>
      <c r="H6" s="11">
        <f>+H5-G5</f>
        <v>1</v>
      </c>
      <c r="K6" s="401" t="s">
        <v>9</v>
      </c>
      <c r="L6" s="48">
        <v>0.25</v>
      </c>
      <c r="M6" s="443" t="s">
        <v>77</v>
      </c>
      <c r="N6" s="444"/>
      <c r="O6" s="444"/>
      <c r="P6" s="102"/>
      <c r="Q6" s="269"/>
    </row>
    <row r="7" spans="1:17" ht="23.25" thickBot="1">
      <c r="A7" s="63" t="s">
        <v>11</v>
      </c>
      <c r="B7" s="64" t="s">
        <v>12</v>
      </c>
      <c r="C7" s="64" t="s">
        <v>13</v>
      </c>
      <c r="D7" s="64" t="s">
        <v>14</v>
      </c>
      <c r="E7" s="452" t="s">
        <v>15</v>
      </c>
      <c r="F7" s="453"/>
      <c r="G7" s="453"/>
      <c r="H7" s="454"/>
      <c r="I7" s="103"/>
      <c r="J7" s="103"/>
      <c r="K7" s="63" t="s">
        <v>11</v>
      </c>
      <c r="L7" s="100" t="s">
        <v>12</v>
      </c>
      <c r="M7" s="100" t="s">
        <v>78</v>
      </c>
      <c r="N7" s="100" t="s">
        <v>79</v>
      </c>
      <c r="O7" s="100" t="s">
        <v>80</v>
      </c>
      <c r="P7" s="100" t="s">
        <v>81</v>
      </c>
      <c r="Q7" s="269"/>
    </row>
    <row r="8" spans="1:17">
      <c r="A8" s="420" t="s">
        <v>16</v>
      </c>
      <c r="B8" s="421"/>
      <c r="C8" s="421"/>
      <c r="D8" s="421"/>
      <c r="E8" s="421"/>
      <c r="F8" s="421"/>
      <c r="G8" s="421"/>
      <c r="H8" s="422"/>
      <c r="K8" s="445" t="s">
        <v>16</v>
      </c>
      <c r="L8" s="445"/>
      <c r="M8" s="445"/>
      <c r="N8" s="445"/>
      <c r="O8" s="445"/>
      <c r="P8" s="445"/>
      <c r="Q8" s="269"/>
    </row>
    <row r="9" spans="1:17">
      <c r="A9" s="57" t="s">
        <v>17</v>
      </c>
      <c r="B9" s="15">
        <v>1</v>
      </c>
      <c r="C9" s="15">
        <v>88</v>
      </c>
      <c r="D9" s="35">
        <v>0</v>
      </c>
      <c r="E9" s="17">
        <f>C9*5*B9</f>
        <v>440</v>
      </c>
      <c r="F9" s="17">
        <f>B9*C9</f>
        <v>88</v>
      </c>
      <c r="G9" s="17">
        <v>0</v>
      </c>
      <c r="H9" s="31">
        <v>0</v>
      </c>
      <c r="K9" s="46" t="s">
        <v>83</v>
      </c>
      <c r="L9" s="92">
        <v>1</v>
      </c>
      <c r="M9" s="93">
        <v>15</v>
      </c>
      <c r="N9" s="94">
        <f>$L$5*L9*M9/1000</f>
        <v>1.8</v>
      </c>
      <c r="O9" s="78">
        <v>0.95</v>
      </c>
      <c r="P9" s="94">
        <f t="shared" ref="P9:P30" si="0">N9*O9</f>
        <v>1.71</v>
      </c>
      <c r="Q9" s="269"/>
    </row>
    <row r="10" spans="1:17">
      <c r="A10" s="46" t="s">
        <v>143</v>
      </c>
      <c r="B10" s="15">
        <v>1</v>
      </c>
      <c r="C10" s="15">
        <v>16</v>
      </c>
      <c r="D10" s="34">
        <f>B10*C10</f>
        <v>16</v>
      </c>
      <c r="E10" s="17">
        <f>B10*C10</f>
        <v>16</v>
      </c>
      <c r="F10" s="19">
        <f>B10*C10</f>
        <v>16</v>
      </c>
      <c r="G10" s="19">
        <f>B10*C10</f>
        <v>16</v>
      </c>
      <c r="H10" s="37">
        <f>B10*C10</f>
        <v>16</v>
      </c>
      <c r="K10" s="46" t="s">
        <v>84</v>
      </c>
      <c r="L10" s="92">
        <v>1</v>
      </c>
      <c r="M10" s="93">
        <v>7</v>
      </c>
      <c r="N10" s="94">
        <f>$L$5*L10*M10/1000</f>
        <v>0.84</v>
      </c>
      <c r="O10" s="78">
        <v>0.7</v>
      </c>
      <c r="P10" s="94">
        <f t="shared" si="0"/>
        <v>0.58799999999999997</v>
      </c>
      <c r="Q10" s="269"/>
    </row>
    <row r="11" spans="1:17">
      <c r="A11" s="46" t="s">
        <v>144</v>
      </c>
      <c r="B11" s="15">
        <v>1</v>
      </c>
      <c r="C11" s="15">
        <v>8</v>
      </c>
      <c r="D11" s="34">
        <f>B11*C11</f>
        <v>8</v>
      </c>
      <c r="E11" s="17">
        <f>B11*C11</f>
        <v>8</v>
      </c>
      <c r="F11" s="17">
        <f>B11*C11</f>
        <v>8</v>
      </c>
      <c r="G11" s="17">
        <f>B11*C11</f>
        <v>8</v>
      </c>
      <c r="H11" s="39">
        <f>B11*C11</f>
        <v>8</v>
      </c>
      <c r="K11" s="440" t="s">
        <v>86</v>
      </c>
      <c r="L11" s="440"/>
      <c r="M11" s="440"/>
      <c r="N11" s="440"/>
      <c r="O11" s="440"/>
      <c r="P11" s="440"/>
      <c r="Q11" s="269"/>
    </row>
    <row r="12" spans="1:17">
      <c r="A12" s="423" t="s">
        <v>23</v>
      </c>
      <c r="B12" s="424"/>
      <c r="C12" s="424"/>
      <c r="D12" s="424"/>
      <c r="E12" s="424"/>
      <c r="F12" s="424"/>
      <c r="G12" s="424"/>
      <c r="H12" s="425"/>
      <c r="K12" s="46" t="s">
        <v>87</v>
      </c>
      <c r="L12" s="92">
        <v>1</v>
      </c>
      <c r="M12" s="95">
        <v>0.5</v>
      </c>
      <c r="N12" s="94">
        <f>$L$5*L12*M12/1000</f>
        <v>0.06</v>
      </c>
      <c r="O12" s="78">
        <v>0.95</v>
      </c>
      <c r="P12" s="94">
        <f t="shared" si="0"/>
        <v>5.6999999999999995E-2</v>
      </c>
      <c r="Q12" s="269"/>
    </row>
    <row r="13" spans="1:17">
      <c r="A13" s="46" t="s">
        <v>24</v>
      </c>
      <c r="B13" s="31">
        <v>3</v>
      </c>
      <c r="C13" s="31">
        <v>5</v>
      </c>
      <c r="D13" s="34">
        <f>B13*C13</f>
        <v>15</v>
      </c>
      <c r="E13" s="17">
        <f>B13*C13</f>
        <v>15</v>
      </c>
      <c r="F13" s="19">
        <f>B13*C13</f>
        <v>15</v>
      </c>
      <c r="G13" s="19">
        <f>B13*C13</f>
        <v>15</v>
      </c>
      <c r="H13" s="37">
        <f>B13*C13</f>
        <v>15</v>
      </c>
      <c r="K13" s="46" t="s">
        <v>88</v>
      </c>
      <c r="L13" s="34">
        <f>L12</f>
        <v>1</v>
      </c>
      <c r="M13" s="95">
        <v>0.5</v>
      </c>
      <c r="N13" s="94">
        <f t="shared" ref="N13:N30" si="1">$L$5*L13*M13/1000</f>
        <v>0.06</v>
      </c>
      <c r="O13" s="78">
        <v>0.95</v>
      </c>
      <c r="P13" s="94">
        <f t="shared" si="0"/>
        <v>5.6999999999999995E-2</v>
      </c>
      <c r="Q13" s="269"/>
    </row>
    <row r="14" spans="1:17">
      <c r="A14" s="46" t="s">
        <v>25</v>
      </c>
      <c r="B14" s="31">
        <v>3</v>
      </c>
      <c r="C14" s="31">
        <v>10</v>
      </c>
      <c r="D14" s="34">
        <f>B14*C14</f>
        <v>30</v>
      </c>
      <c r="E14" s="17">
        <f>B14*C14</f>
        <v>30</v>
      </c>
      <c r="F14" s="19">
        <f>B14*C14</f>
        <v>30</v>
      </c>
      <c r="G14" s="19">
        <f>B14*C14</f>
        <v>30</v>
      </c>
      <c r="H14" s="37">
        <f>B14*C14</f>
        <v>30</v>
      </c>
      <c r="K14" s="46" t="s">
        <v>89</v>
      </c>
      <c r="L14" s="34">
        <f>L12</f>
        <v>1</v>
      </c>
      <c r="M14" s="95">
        <v>0.5</v>
      </c>
      <c r="N14" s="94">
        <f t="shared" si="1"/>
        <v>0.06</v>
      </c>
      <c r="O14" s="78">
        <v>0.95</v>
      </c>
      <c r="P14" s="94">
        <f t="shared" si="0"/>
        <v>5.6999999999999995E-2</v>
      </c>
      <c r="Q14" s="269"/>
    </row>
    <row r="15" spans="1:17">
      <c r="A15" s="423" t="s">
        <v>28</v>
      </c>
      <c r="B15" s="424"/>
      <c r="C15" s="424"/>
      <c r="D15" s="424"/>
      <c r="E15" s="424"/>
      <c r="F15" s="424"/>
      <c r="G15" s="424"/>
      <c r="H15" s="425"/>
      <c r="K15" s="46" t="s">
        <v>90</v>
      </c>
      <c r="L15" s="33">
        <v>3</v>
      </c>
      <c r="M15" s="95">
        <v>8</v>
      </c>
      <c r="N15" s="94">
        <f t="shared" si="1"/>
        <v>2.88</v>
      </c>
      <c r="O15" s="78">
        <v>0.95</v>
      </c>
      <c r="P15" s="94">
        <f t="shared" si="0"/>
        <v>2.7359999999999998</v>
      </c>
      <c r="Q15" s="269"/>
    </row>
    <row r="16" spans="1:17">
      <c r="A16" s="46" t="s">
        <v>230</v>
      </c>
      <c r="B16" s="15">
        <v>6</v>
      </c>
      <c r="C16" s="31">
        <v>10</v>
      </c>
      <c r="D16" s="33">
        <v>0</v>
      </c>
      <c r="E16" s="17">
        <f>B16*C16</f>
        <v>60</v>
      </c>
      <c r="F16" s="29">
        <v>0</v>
      </c>
      <c r="G16" s="29">
        <v>0</v>
      </c>
      <c r="H16" s="38">
        <v>0</v>
      </c>
      <c r="K16" s="440" t="s">
        <v>23</v>
      </c>
      <c r="L16" s="440"/>
      <c r="M16" s="440"/>
      <c r="N16" s="440"/>
      <c r="O16" s="440"/>
      <c r="P16" s="440"/>
      <c r="Q16" s="269"/>
    </row>
    <row r="17" spans="1:17">
      <c r="A17" s="46" t="s">
        <v>231</v>
      </c>
      <c r="B17" s="15">
        <v>6</v>
      </c>
      <c r="C17" s="31">
        <v>10</v>
      </c>
      <c r="D17" s="33">
        <v>0</v>
      </c>
      <c r="E17" s="17">
        <f>B17*C17</f>
        <v>60</v>
      </c>
      <c r="F17" s="29">
        <v>0</v>
      </c>
      <c r="G17" s="29">
        <v>0</v>
      </c>
      <c r="H17" s="38">
        <v>0</v>
      </c>
      <c r="K17" s="46" t="s">
        <v>91</v>
      </c>
      <c r="L17" s="92">
        <v>8</v>
      </c>
      <c r="M17" s="95">
        <v>7.5</v>
      </c>
      <c r="N17" s="94">
        <f t="shared" si="1"/>
        <v>7.2</v>
      </c>
      <c r="O17" s="78">
        <v>0.95</v>
      </c>
      <c r="P17" s="94">
        <f t="shared" si="0"/>
        <v>6.84</v>
      </c>
      <c r="Q17" s="269"/>
    </row>
    <row r="18" spans="1:17">
      <c r="A18" s="46" t="s">
        <v>30</v>
      </c>
      <c r="B18" s="18">
        <f>B16</f>
        <v>6</v>
      </c>
      <c r="C18" s="31">
        <v>12</v>
      </c>
      <c r="D18" s="33">
        <v>0</v>
      </c>
      <c r="E18" s="28">
        <v>0</v>
      </c>
      <c r="F18" s="29">
        <v>0</v>
      </c>
      <c r="G18" s="29">
        <v>0</v>
      </c>
      <c r="H18" s="20">
        <f>B18*C18</f>
        <v>72</v>
      </c>
      <c r="K18" s="46" t="s">
        <v>232</v>
      </c>
      <c r="L18" s="92">
        <v>10</v>
      </c>
      <c r="M18" s="95">
        <v>6</v>
      </c>
      <c r="N18" s="94">
        <f t="shared" si="1"/>
        <v>7.2</v>
      </c>
      <c r="O18" s="78">
        <v>0.4</v>
      </c>
      <c r="P18" s="94">
        <f t="shared" si="0"/>
        <v>2.8800000000000003</v>
      </c>
      <c r="Q18" s="269"/>
    </row>
    <row r="19" spans="1:17">
      <c r="A19" s="46" t="s">
        <v>31</v>
      </c>
      <c r="B19" s="15">
        <v>2</v>
      </c>
      <c r="C19" s="31">
        <v>5</v>
      </c>
      <c r="D19" s="34">
        <f>B19*C19</f>
        <v>10</v>
      </c>
      <c r="E19" s="17">
        <f>B19*C19</f>
        <v>10</v>
      </c>
      <c r="F19" s="19">
        <f>B19*C19</f>
        <v>10</v>
      </c>
      <c r="G19" s="19">
        <f>B19*C19</f>
        <v>10</v>
      </c>
      <c r="H19" s="37">
        <f>B19*C19</f>
        <v>10</v>
      </c>
      <c r="K19" s="46" t="s">
        <v>93</v>
      </c>
      <c r="L19" s="92">
        <v>1</v>
      </c>
      <c r="M19" s="95">
        <v>6</v>
      </c>
      <c r="N19" s="94">
        <f t="shared" si="1"/>
        <v>0.72</v>
      </c>
      <c r="O19" s="78">
        <v>0.4</v>
      </c>
      <c r="P19" s="94">
        <f t="shared" si="0"/>
        <v>0.28799999999999998</v>
      </c>
      <c r="Q19" s="269"/>
    </row>
    <row r="20" spans="1:17">
      <c r="A20" s="46" t="s">
        <v>32</v>
      </c>
      <c r="B20" s="16">
        <v>4</v>
      </c>
      <c r="C20" s="32">
        <v>3</v>
      </c>
      <c r="D20" s="33">
        <v>0</v>
      </c>
      <c r="E20" s="17">
        <f>B20*C20</f>
        <v>12</v>
      </c>
      <c r="F20" s="29">
        <v>0</v>
      </c>
      <c r="G20" s="29">
        <v>0</v>
      </c>
      <c r="H20" s="38">
        <v>0</v>
      </c>
      <c r="K20" s="46" t="s">
        <v>233</v>
      </c>
      <c r="L20" s="92">
        <v>14</v>
      </c>
      <c r="M20" s="95">
        <v>2</v>
      </c>
      <c r="N20" s="94">
        <f t="shared" si="1"/>
        <v>3.36</v>
      </c>
      <c r="O20" s="78">
        <v>0.4</v>
      </c>
      <c r="P20" s="94">
        <f t="shared" si="0"/>
        <v>1.3440000000000001</v>
      </c>
      <c r="Q20" s="269"/>
    </row>
    <row r="21" spans="1:17">
      <c r="A21" s="46" t="s">
        <v>33</v>
      </c>
      <c r="B21" s="30">
        <f>B20</f>
        <v>4</v>
      </c>
      <c r="C21" s="32">
        <v>10</v>
      </c>
      <c r="D21" s="33">
        <v>0</v>
      </c>
      <c r="E21" s="28">
        <v>0</v>
      </c>
      <c r="F21" s="29">
        <v>0</v>
      </c>
      <c r="G21" s="29">
        <v>0</v>
      </c>
      <c r="H21" s="20">
        <f>B21*C21</f>
        <v>40</v>
      </c>
      <c r="K21" s="46" t="s">
        <v>234</v>
      </c>
      <c r="L21" s="92">
        <v>6</v>
      </c>
      <c r="M21" s="95">
        <v>5</v>
      </c>
      <c r="N21" s="94">
        <f t="shared" si="1"/>
        <v>3.6</v>
      </c>
      <c r="O21" s="78">
        <v>0.25</v>
      </c>
      <c r="P21" s="94">
        <f t="shared" si="0"/>
        <v>0.9</v>
      </c>
      <c r="Q21" s="269"/>
    </row>
    <row r="22" spans="1:17">
      <c r="A22" s="46" t="s">
        <v>34</v>
      </c>
      <c r="B22" s="15">
        <v>2</v>
      </c>
      <c r="C22" s="31">
        <v>3</v>
      </c>
      <c r="D22" s="34">
        <f>B22*C22</f>
        <v>6</v>
      </c>
      <c r="E22" s="17">
        <f>B22*C22</f>
        <v>6</v>
      </c>
      <c r="F22" s="19">
        <f>B22*C22</f>
        <v>6</v>
      </c>
      <c r="G22" s="19">
        <f>B22*C22</f>
        <v>6</v>
      </c>
      <c r="H22" s="37">
        <f>B22*C22</f>
        <v>6</v>
      </c>
      <c r="K22" s="46" t="s">
        <v>96</v>
      </c>
      <c r="L22" s="33">
        <v>3</v>
      </c>
      <c r="M22" s="95">
        <v>4</v>
      </c>
      <c r="N22" s="94">
        <f t="shared" si="1"/>
        <v>1.44</v>
      </c>
      <c r="O22" s="78">
        <v>0.95</v>
      </c>
      <c r="P22" s="94">
        <f t="shared" si="0"/>
        <v>1.3679999999999999</v>
      </c>
      <c r="Q22" s="269"/>
    </row>
    <row r="23" spans="1:17">
      <c r="A23" s="423" t="s">
        <v>51</v>
      </c>
      <c r="B23" s="424"/>
      <c r="C23" s="424"/>
      <c r="D23" s="424"/>
      <c r="E23" s="424"/>
      <c r="F23" s="424"/>
      <c r="G23" s="424"/>
      <c r="H23" s="425"/>
      <c r="K23" s="46" t="s">
        <v>97</v>
      </c>
      <c r="L23" s="92">
        <v>6</v>
      </c>
      <c r="M23" s="95">
        <v>2</v>
      </c>
      <c r="N23" s="94">
        <f t="shared" si="1"/>
        <v>1.44</v>
      </c>
      <c r="O23" s="78">
        <v>0.95</v>
      </c>
      <c r="P23" s="94">
        <f t="shared" si="0"/>
        <v>1.3679999999999999</v>
      </c>
      <c r="Q23" s="269"/>
    </row>
    <row r="24" spans="1:17">
      <c r="A24" s="46" t="s">
        <v>52</v>
      </c>
      <c r="B24" s="16">
        <v>1</v>
      </c>
      <c r="C24" s="302">
        <f>M34*1000/B5*1.1</f>
        <v>333.68999999999994</v>
      </c>
      <c r="D24" s="40">
        <v>400</v>
      </c>
      <c r="E24" s="303">
        <f>B24*C24</f>
        <v>333.68999999999994</v>
      </c>
      <c r="F24" s="304">
        <f>B24*C24</f>
        <v>333.68999999999994</v>
      </c>
      <c r="G24" s="304">
        <f>B24*C24</f>
        <v>333.68999999999994</v>
      </c>
      <c r="H24" s="305">
        <f>B24*C24*0.75</f>
        <v>250.26749999999996</v>
      </c>
      <c r="K24" s="440" t="s">
        <v>51</v>
      </c>
      <c r="L24" s="440"/>
      <c r="M24" s="440"/>
      <c r="N24" s="440"/>
      <c r="O24" s="440"/>
      <c r="P24" s="440"/>
      <c r="Q24" s="269"/>
    </row>
    <row r="25" spans="1:17" ht="13.5" thickBot="1">
      <c r="A25" s="46" t="s">
        <v>53</v>
      </c>
      <c r="B25" s="15">
        <v>5</v>
      </c>
      <c r="C25" s="31">
        <v>5</v>
      </c>
      <c r="D25" s="34">
        <f>B25*C25</f>
        <v>25</v>
      </c>
      <c r="E25" s="54">
        <f>B25*C25</f>
        <v>25</v>
      </c>
      <c r="F25" s="27">
        <f>B25*C25</f>
        <v>25</v>
      </c>
      <c r="G25" s="19">
        <f>B25*C25</f>
        <v>25</v>
      </c>
      <c r="H25" s="37">
        <f>B25*C25</f>
        <v>25</v>
      </c>
      <c r="K25" s="46" t="s">
        <v>98</v>
      </c>
      <c r="L25" s="92">
        <v>45</v>
      </c>
      <c r="M25" s="95">
        <v>2</v>
      </c>
      <c r="N25" s="94">
        <f t="shared" si="1"/>
        <v>10.8</v>
      </c>
      <c r="O25" s="78">
        <v>0.05</v>
      </c>
      <c r="P25" s="94">
        <f t="shared" si="0"/>
        <v>0.54</v>
      </c>
      <c r="Q25" s="269"/>
    </row>
    <row r="26" spans="1:17">
      <c r="A26" s="407"/>
      <c r="B26" s="457" t="s">
        <v>107</v>
      </c>
      <c r="C26" s="458"/>
      <c r="D26" s="42">
        <f>SUM(D8:D25)</f>
        <v>510</v>
      </c>
      <c r="E26" s="306">
        <f>SUM(E8:E25)</f>
        <v>1015.6899999999999</v>
      </c>
      <c r="F26" s="307">
        <f>SUM(F8:F25)</f>
        <v>531.68999999999994</v>
      </c>
      <c r="G26" s="307">
        <f>SUM(G8:G25)</f>
        <v>443.68999999999994</v>
      </c>
      <c r="H26" s="308">
        <f>SUM(H8:H25)</f>
        <v>472.26749999999993</v>
      </c>
      <c r="K26" s="46" t="s">
        <v>99</v>
      </c>
      <c r="L26" s="92">
        <v>4</v>
      </c>
      <c r="M26" s="95">
        <v>18</v>
      </c>
      <c r="N26" s="94">
        <f t="shared" si="1"/>
        <v>8.64</v>
      </c>
      <c r="O26" s="78">
        <v>0.95</v>
      </c>
      <c r="P26" s="94">
        <f t="shared" si="0"/>
        <v>8.2080000000000002</v>
      </c>
      <c r="Q26" s="269"/>
    </row>
    <row r="27" spans="1:17" ht="13.5" thickBot="1">
      <c r="A27" s="407"/>
      <c r="B27" s="457" t="str">
        <f>"Plus "&amp;B6*100&amp;"% Margin"</f>
        <v>Plus 10% Margin</v>
      </c>
      <c r="C27" s="458"/>
      <c r="D27" s="41">
        <f>D26*$B$6</f>
        <v>51</v>
      </c>
      <c r="E27" s="309">
        <f>E26*$B$6</f>
        <v>101.569</v>
      </c>
      <c r="F27" s="310">
        <f>F26*$B$6</f>
        <v>53.168999999999997</v>
      </c>
      <c r="G27" s="310">
        <f>G26*$B$6</f>
        <v>44.369</v>
      </c>
      <c r="H27" s="311">
        <f>H26*$B$6</f>
        <v>47.226749999999996</v>
      </c>
      <c r="K27" s="46" t="s">
        <v>100</v>
      </c>
      <c r="L27" s="92">
        <v>1</v>
      </c>
      <c r="M27" s="95">
        <v>3</v>
      </c>
      <c r="N27" s="94">
        <f t="shared" si="1"/>
        <v>0.36</v>
      </c>
      <c r="O27" s="78">
        <v>0.25</v>
      </c>
      <c r="P27" s="94">
        <f t="shared" si="0"/>
        <v>0.09</v>
      </c>
      <c r="Q27" s="269"/>
    </row>
    <row r="28" spans="1:17" ht="13.5" thickBot="1">
      <c r="A28" s="407"/>
      <c r="B28" s="457" t="s">
        <v>235</v>
      </c>
      <c r="C28" s="458"/>
      <c r="D28" s="43">
        <f>SUM(D26:D27)</f>
        <v>561</v>
      </c>
      <c r="E28" s="312">
        <f>SUM(E26:E27)</f>
        <v>1117.259</v>
      </c>
      <c r="F28" s="313">
        <f>SUM(F26:F27)</f>
        <v>584.85899999999992</v>
      </c>
      <c r="G28" s="313">
        <f>SUM(G26:G27)</f>
        <v>488.05899999999997</v>
      </c>
      <c r="H28" s="314">
        <f>SUM(H26:H27)</f>
        <v>519.49424999999997</v>
      </c>
      <c r="K28" s="46" t="s">
        <v>101</v>
      </c>
      <c r="L28" s="92">
        <v>1</v>
      </c>
      <c r="M28" s="95">
        <v>6</v>
      </c>
      <c r="N28" s="94">
        <f t="shared" si="1"/>
        <v>0.72</v>
      </c>
      <c r="O28" s="78">
        <v>0.4</v>
      </c>
      <c r="P28" s="94">
        <f t="shared" si="0"/>
        <v>0.28799999999999998</v>
      </c>
      <c r="Q28" s="269"/>
    </row>
    <row r="29" spans="1:17" ht="13.5" thickBot="1">
      <c r="A29" s="428" t="s">
        <v>56</v>
      </c>
      <c r="B29" s="428"/>
      <c r="C29" s="22"/>
      <c r="D29" s="22"/>
      <c r="E29" s="25"/>
      <c r="F29" s="25"/>
      <c r="G29" s="25"/>
      <c r="H29" s="25"/>
      <c r="K29" s="46" t="s">
        <v>102</v>
      </c>
      <c r="L29" s="33">
        <v>15</v>
      </c>
      <c r="M29" s="95">
        <v>1</v>
      </c>
      <c r="N29" s="94">
        <f t="shared" si="1"/>
        <v>1.8</v>
      </c>
      <c r="O29" s="78">
        <v>0.25</v>
      </c>
      <c r="P29" s="94">
        <f>N29*O29</f>
        <v>0.45</v>
      </c>
      <c r="Q29" s="269"/>
    </row>
    <row r="30" spans="1:17" ht="13.5" thickBot="1">
      <c r="A30" s="65" t="s">
        <v>57</v>
      </c>
      <c r="B30" s="66">
        <v>12</v>
      </c>
      <c r="C30" s="22"/>
      <c r="D30" s="428" t="s">
        <v>58</v>
      </c>
      <c r="E30" s="428"/>
      <c r="F30" s="428"/>
      <c r="G30" s="428"/>
      <c r="H30" s="428"/>
      <c r="K30" s="55" t="s">
        <v>236</v>
      </c>
      <c r="L30" s="96">
        <v>1</v>
      </c>
      <c r="M30" s="97">
        <v>30</v>
      </c>
      <c r="N30" s="94">
        <f t="shared" si="1"/>
        <v>3.6</v>
      </c>
      <c r="O30" s="99">
        <v>1</v>
      </c>
      <c r="P30" s="98">
        <f t="shared" si="0"/>
        <v>3.6</v>
      </c>
      <c r="Q30" s="269"/>
    </row>
    <row r="31" spans="1:17" ht="13.5" thickBot="1">
      <c r="A31" s="315" t="s">
        <v>59</v>
      </c>
      <c r="B31" s="316">
        <f>D28+SUM(E31:H31)/B30</f>
        <v>732.53610451388886</v>
      </c>
      <c r="D31" s="73">
        <f>D28</f>
        <v>561</v>
      </c>
      <c r="E31" s="317">
        <f>E28*E6/60</f>
        <v>18.620983333333335</v>
      </c>
      <c r="F31" s="318">
        <f>F28*F6/60</f>
        <v>575.1113499999999</v>
      </c>
      <c r="G31" s="318">
        <f>G28*G6/60</f>
        <v>1456.0426833333333</v>
      </c>
      <c r="H31" s="319">
        <f>H28*H6/60</f>
        <v>8.6582375000000003</v>
      </c>
      <c r="K31" s="407"/>
      <c r="M31" s="404"/>
      <c r="N31" s="91"/>
      <c r="Q31" s="269"/>
    </row>
    <row r="32" spans="1:17" ht="23.25" thickBot="1">
      <c r="A32" s="165"/>
      <c r="B32" s="320"/>
      <c r="D32" s="455" t="s">
        <v>237</v>
      </c>
      <c r="E32" s="456"/>
      <c r="F32" s="456"/>
      <c r="G32" s="456"/>
      <c r="H32" s="321">
        <f>SUM(E31:H31)</f>
        <v>2058.4332541666663</v>
      </c>
      <c r="K32" s="407"/>
      <c r="L32" s="83" t="s">
        <v>79</v>
      </c>
      <c r="M32" s="83" t="s">
        <v>81</v>
      </c>
      <c r="Q32" s="269"/>
    </row>
    <row r="33" spans="1:17">
      <c r="E33" s="23"/>
      <c r="F33" s="23"/>
      <c r="G33" s="23"/>
      <c r="H33" s="23"/>
      <c r="K33" s="396" t="s">
        <v>107</v>
      </c>
      <c r="L33" s="79">
        <f>SUM(N9:N30)</f>
        <v>56.580000000000005</v>
      </c>
      <c r="M33" s="84">
        <f>SUM(P9:P30)</f>
        <v>33.368999999999993</v>
      </c>
      <c r="Q33" s="269"/>
    </row>
    <row r="34" spans="1:17">
      <c r="E34" s="23"/>
      <c r="F34" s="23"/>
      <c r="G34" s="23"/>
      <c r="H34" s="23"/>
      <c r="K34" s="396" t="str">
        <f>"Efficiency "&amp;P5*100&amp;"%"</f>
        <v>Efficiency 88%</v>
      </c>
      <c r="L34" s="85">
        <f>L33/$P$5</f>
        <v>64.295454545454547</v>
      </c>
      <c r="M34" s="85">
        <f>M33/$P$5</f>
        <v>37.91931818181817</v>
      </c>
      <c r="Q34" s="269"/>
    </row>
    <row r="35" spans="1:17">
      <c r="E35" s="23"/>
      <c r="F35" s="23"/>
      <c r="G35" s="23"/>
      <c r="H35" s="23"/>
      <c r="K35" s="396" t="str">
        <f>"Plus "&amp;L6*100&amp;"% Margin"</f>
        <v>Plus 25% Margin</v>
      </c>
      <c r="L35" s="85">
        <f>L34*$L$6</f>
        <v>16.073863636363637</v>
      </c>
      <c r="M35" s="85">
        <f>M34*$L$6</f>
        <v>9.4798295454545425</v>
      </c>
      <c r="N35" s="404"/>
      <c r="O35" s="22"/>
      <c r="P35" s="23"/>
      <c r="Q35" s="269"/>
    </row>
    <row r="36" spans="1:17" ht="13.5" thickBot="1">
      <c r="C36" s="22"/>
      <c r="D36" s="22"/>
      <c r="E36" s="23"/>
      <c r="F36" s="23"/>
      <c r="G36" s="23"/>
      <c r="H36" s="23"/>
      <c r="K36" s="396" t="s">
        <v>103</v>
      </c>
      <c r="L36" s="87">
        <f>SUM(L34:L35)</f>
        <v>80.369318181818187</v>
      </c>
      <c r="M36" s="88">
        <f>SUM(M34:M35)</f>
        <v>47.399147727272712</v>
      </c>
      <c r="N36" s="22"/>
      <c r="O36" s="22"/>
      <c r="P36" s="23"/>
      <c r="Q36" s="269"/>
    </row>
    <row r="37" spans="1:17" ht="13.5" thickBot="1">
      <c r="A37" s="26"/>
      <c r="C37" s="22"/>
      <c r="D37" s="22"/>
      <c r="E37" s="23"/>
      <c r="F37" s="23"/>
      <c r="G37" s="23"/>
      <c r="H37" s="23"/>
      <c r="K37" s="396" t="s">
        <v>108</v>
      </c>
      <c r="L37" s="90">
        <v>50</v>
      </c>
      <c r="M37" s="89" t="s">
        <v>79</v>
      </c>
      <c r="P37" s="23"/>
      <c r="Q37" s="244">
        <v>45</v>
      </c>
    </row>
    <row r="38" spans="1:17">
      <c r="A38" s="26"/>
    </row>
    <row r="39" spans="1:17">
      <c r="A39" s="272"/>
    </row>
    <row r="40" spans="1:17">
      <c r="A40" s="272"/>
    </row>
    <row r="41" spans="1:17">
      <c r="A41" s="272"/>
    </row>
    <row r="42" spans="1:17">
      <c r="A42" s="272"/>
    </row>
  </sheetData>
  <mergeCells count="23">
    <mergeCell ref="K24:P24"/>
    <mergeCell ref="D30:H30"/>
    <mergeCell ref="D32:G32"/>
    <mergeCell ref="K1:P1"/>
    <mergeCell ref="K2:P2"/>
    <mergeCell ref="K3:P3"/>
    <mergeCell ref="M5:O5"/>
    <mergeCell ref="M6:O6"/>
    <mergeCell ref="K8:P8"/>
    <mergeCell ref="K11:P11"/>
    <mergeCell ref="K16:P16"/>
    <mergeCell ref="A15:H15"/>
    <mergeCell ref="A23:H23"/>
    <mergeCell ref="B26:C26"/>
    <mergeCell ref="B27:C27"/>
    <mergeCell ref="B28:C28"/>
    <mergeCell ref="A29:B29"/>
    <mergeCell ref="A1:H1"/>
    <mergeCell ref="A2:H2"/>
    <mergeCell ref="A3:H3"/>
    <mergeCell ref="E7:H7"/>
    <mergeCell ref="A8:H8"/>
    <mergeCell ref="A12:H1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3"/>
  <sheetViews>
    <sheetView workbookViewId="0">
      <selection activeCell="G46" sqref="G46"/>
    </sheetView>
  </sheetViews>
  <sheetFormatPr defaultRowHeight="12.75"/>
  <cols>
    <col min="1" max="1" width="36.85546875" style="268" bestFit="1" customWidth="1"/>
    <col min="2" max="4" width="8.5703125" style="268" customWidth="1"/>
    <col min="5" max="9" width="7.85546875" style="268" customWidth="1"/>
    <col min="10" max="11" width="9.140625" style="268"/>
    <col min="12" max="12" width="31.85546875" style="268" bestFit="1" customWidth="1"/>
    <col min="13" max="16384" width="9.140625" style="268"/>
  </cols>
  <sheetData>
    <row r="1" spans="1:18" ht="15.75">
      <c r="A1" s="418" t="s">
        <v>0</v>
      </c>
      <c r="B1" s="418"/>
      <c r="C1" s="418"/>
      <c r="D1" s="418"/>
      <c r="E1" s="418"/>
      <c r="F1" s="418"/>
      <c r="G1" s="418"/>
      <c r="H1" s="418"/>
      <c r="I1" s="418"/>
      <c r="L1" s="418" t="s">
        <v>74</v>
      </c>
      <c r="M1" s="418"/>
      <c r="N1" s="418"/>
      <c r="O1" s="418"/>
      <c r="P1" s="418"/>
      <c r="Q1" s="418"/>
      <c r="R1" s="269"/>
    </row>
    <row r="2" spans="1:18">
      <c r="A2" s="419" t="s">
        <v>238</v>
      </c>
      <c r="B2" s="419"/>
      <c r="C2" s="419"/>
      <c r="D2" s="419"/>
      <c r="E2" s="419"/>
      <c r="F2" s="419"/>
      <c r="G2" s="419"/>
      <c r="H2" s="419"/>
      <c r="I2" s="419"/>
      <c r="L2" s="441" t="s">
        <v>239</v>
      </c>
      <c r="M2" s="441"/>
      <c r="N2" s="441"/>
      <c r="O2" s="441"/>
      <c r="P2" s="441"/>
      <c r="Q2" s="441"/>
      <c r="R2" s="269"/>
    </row>
    <row r="3" spans="1:18">
      <c r="A3" s="419" t="s">
        <v>240</v>
      </c>
      <c r="B3" s="419"/>
      <c r="C3" s="419"/>
      <c r="D3" s="419"/>
      <c r="E3" s="419"/>
      <c r="F3" s="419"/>
      <c r="G3" s="419"/>
      <c r="H3" s="419"/>
      <c r="I3" s="419"/>
      <c r="L3" s="441" t="s">
        <v>240</v>
      </c>
      <c r="M3" s="441"/>
      <c r="N3" s="441"/>
      <c r="O3" s="441"/>
      <c r="P3" s="441"/>
      <c r="Q3" s="441"/>
      <c r="R3" s="269"/>
    </row>
    <row r="4" spans="1:18" ht="13.5" thickBot="1">
      <c r="R4" s="269"/>
    </row>
    <row r="5" spans="1:18" ht="13.5" thickBot="1">
      <c r="A5" s="400" t="s">
        <v>7</v>
      </c>
      <c r="B5" s="47">
        <v>125</v>
      </c>
      <c r="C5" s="1"/>
      <c r="D5" s="1" t="s">
        <v>8</v>
      </c>
      <c r="E5" s="12">
        <v>1</v>
      </c>
      <c r="F5" s="13">
        <v>60</v>
      </c>
      <c r="G5" s="300">
        <v>120</v>
      </c>
      <c r="H5" s="13">
        <v>239</v>
      </c>
      <c r="I5" s="14">
        <v>240</v>
      </c>
      <c r="L5" s="400" t="s">
        <v>75</v>
      </c>
      <c r="M5" s="47">
        <v>120</v>
      </c>
      <c r="N5" s="442" t="s">
        <v>76</v>
      </c>
      <c r="O5" s="434"/>
      <c r="P5" s="435"/>
      <c r="Q5" s="101">
        <v>0.88</v>
      </c>
      <c r="R5" s="269"/>
    </row>
    <row r="6" spans="1:18" ht="13.5" thickBot="1">
      <c r="A6" s="401" t="s">
        <v>9</v>
      </c>
      <c r="B6" s="48">
        <v>0.1</v>
      </c>
      <c r="C6" s="3"/>
      <c r="D6" s="3" t="s">
        <v>10</v>
      </c>
      <c r="E6" s="9">
        <v>1</v>
      </c>
      <c r="F6" s="10">
        <f>+F5-E5</f>
        <v>59</v>
      </c>
      <c r="G6" s="10">
        <f>+G5-F5</f>
        <v>60</v>
      </c>
      <c r="H6" s="10">
        <f>+H5-G5</f>
        <v>119</v>
      </c>
      <c r="I6" s="11">
        <f>+I5-H5</f>
        <v>1</v>
      </c>
      <c r="L6" s="401" t="s">
        <v>9</v>
      </c>
      <c r="M6" s="48">
        <v>0.1</v>
      </c>
      <c r="N6" s="443" t="s">
        <v>77</v>
      </c>
      <c r="O6" s="444"/>
      <c r="P6" s="444"/>
      <c r="Q6" s="102"/>
      <c r="R6" s="269"/>
    </row>
    <row r="7" spans="1:18" ht="25.5" customHeight="1" thickBot="1">
      <c r="A7" s="63" t="s">
        <v>11</v>
      </c>
      <c r="B7" s="64" t="s">
        <v>12</v>
      </c>
      <c r="C7" s="64" t="s">
        <v>13</v>
      </c>
      <c r="D7" s="64" t="s">
        <v>14</v>
      </c>
      <c r="E7" s="452" t="s">
        <v>15</v>
      </c>
      <c r="F7" s="453"/>
      <c r="G7" s="453"/>
      <c r="H7" s="453"/>
      <c r="I7" s="454"/>
      <c r="J7" s="103"/>
      <c r="K7" s="103"/>
      <c r="L7" s="63" t="s">
        <v>11</v>
      </c>
      <c r="M7" s="100" t="s">
        <v>12</v>
      </c>
      <c r="N7" s="100" t="s">
        <v>78</v>
      </c>
      <c r="O7" s="100" t="s">
        <v>79</v>
      </c>
      <c r="P7" s="100" t="s">
        <v>80</v>
      </c>
      <c r="Q7" s="100" t="s">
        <v>81</v>
      </c>
      <c r="R7" s="269"/>
    </row>
    <row r="8" spans="1:18">
      <c r="A8" s="423" t="s">
        <v>20</v>
      </c>
      <c r="B8" s="424"/>
      <c r="C8" s="424"/>
      <c r="D8" s="424"/>
      <c r="E8" s="424"/>
      <c r="F8" s="424"/>
      <c r="G8" s="424"/>
      <c r="H8" s="424"/>
      <c r="I8" s="425"/>
      <c r="L8" s="440" t="s">
        <v>85</v>
      </c>
      <c r="M8" s="440"/>
      <c r="N8" s="440"/>
      <c r="O8" s="440"/>
      <c r="P8" s="440"/>
      <c r="Q8" s="440"/>
      <c r="R8" s="269"/>
    </row>
    <row r="9" spans="1:18">
      <c r="A9" s="46" t="s">
        <v>21</v>
      </c>
      <c r="B9" s="18">
        <v>4</v>
      </c>
      <c r="C9" s="31">
        <v>4.63</v>
      </c>
      <c r="D9" s="33">
        <v>0</v>
      </c>
      <c r="E9" s="17">
        <f>B9*C9</f>
        <v>18.52</v>
      </c>
      <c r="F9" s="29">
        <v>0</v>
      </c>
      <c r="G9" s="29">
        <v>0</v>
      </c>
      <c r="H9" s="29">
        <v>0</v>
      </c>
      <c r="I9" s="38">
        <v>0</v>
      </c>
      <c r="L9" s="46" t="s">
        <v>84</v>
      </c>
      <c r="M9" s="92">
        <v>4</v>
      </c>
      <c r="N9" s="301">
        <v>10</v>
      </c>
      <c r="O9" s="94">
        <f>$M$5*M9*N9/1000</f>
        <v>4.8</v>
      </c>
      <c r="P9" s="78">
        <v>0.7</v>
      </c>
      <c r="Q9" s="94">
        <f t="shared" ref="Q9:Q33" si="0">O9*P9</f>
        <v>3.36</v>
      </c>
      <c r="R9" s="269"/>
    </row>
    <row r="10" spans="1:18">
      <c r="A10" s="46" t="s">
        <v>22</v>
      </c>
      <c r="B10" s="15">
        <v>3</v>
      </c>
      <c r="C10" s="31">
        <v>2</v>
      </c>
      <c r="D10" s="34">
        <f>B10*C10</f>
        <v>6</v>
      </c>
      <c r="E10" s="17">
        <f>B10*C10</f>
        <v>6</v>
      </c>
      <c r="F10" s="19">
        <f>B10*C10</f>
        <v>6</v>
      </c>
      <c r="G10" s="19">
        <f>B10*C10</f>
        <v>6</v>
      </c>
      <c r="H10" s="19">
        <f>B10*C10</f>
        <v>6</v>
      </c>
      <c r="I10" s="37">
        <f>B10*C10</f>
        <v>6</v>
      </c>
      <c r="L10" s="46"/>
      <c r="M10" s="92"/>
      <c r="N10" s="93"/>
      <c r="O10" s="94">
        <f t="shared" ref="O10:O33" si="1">$M$5*M10*N10/1000</f>
        <v>0</v>
      </c>
      <c r="P10" s="78">
        <v>1</v>
      </c>
      <c r="Q10" s="94">
        <f t="shared" si="0"/>
        <v>0</v>
      </c>
      <c r="R10" s="269"/>
    </row>
    <row r="11" spans="1:18">
      <c r="A11" s="46"/>
      <c r="B11" s="15"/>
      <c r="C11" s="15"/>
      <c r="D11" s="34">
        <f>B11*C11</f>
        <v>0</v>
      </c>
      <c r="E11" s="17">
        <f>B11*C11</f>
        <v>0</v>
      </c>
      <c r="F11" s="17">
        <f>B11*C11</f>
        <v>0</v>
      </c>
      <c r="G11" s="17">
        <f>B11*C11</f>
        <v>0</v>
      </c>
      <c r="H11" s="17">
        <f>B11*C11</f>
        <v>0</v>
      </c>
      <c r="I11" s="39">
        <f>B11*C11</f>
        <v>0</v>
      </c>
      <c r="L11" s="46"/>
      <c r="M11" s="92"/>
      <c r="N11" s="93"/>
      <c r="O11" s="94">
        <f t="shared" si="1"/>
        <v>0</v>
      </c>
      <c r="P11" s="78">
        <v>1</v>
      </c>
      <c r="Q11" s="94">
        <f t="shared" si="0"/>
        <v>0</v>
      </c>
      <c r="R11" s="269"/>
    </row>
    <row r="12" spans="1:18">
      <c r="A12" s="423" t="s">
        <v>23</v>
      </c>
      <c r="B12" s="424"/>
      <c r="C12" s="424"/>
      <c r="D12" s="424"/>
      <c r="E12" s="424"/>
      <c r="F12" s="424"/>
      <c r="G12" s="424"/>
      <c r="H12" s="424"/>
      <c r="I12" s="425"/>
      <c r="L12" s="440" t="s">
        <v>86</v>
      </c>
      <c r="M12" s="440"/>
      <c r="N12" s="440"/>
      <c r="O12" s="440"/>
      <c r="P12" s="440"/>
      <c r="Q12" s="440"/>
      <c r="R12" s="269"/>
    </row>
    <row r="13" spans="1:18">
      <c r="A13" s="46" t="s">
        <v>24</v>
      </c>
      <c r="B13" s="31">
        <v>1</v>
      </c>
      <c r="C13" s="31">
        <v>5</v>
      </c>
      <c r="D13" s="34">
        <f>B13*C13</f>
        <v>5</v>
      </c>
      <c r="E13" s="17">
        <f>B13*C13</f>
        <v>5</v>
      </c>
      <c r="F13" s="19">
        <f>B13*C13</f>
        <v>5</v>
      </c>
      <c r="G13" s="19">
        <f>B13*C13</f>
        <v>5</v>
      </c>
      <c r="H13" s="19">
        <f>B13*C13</f>
        <v>5</v>
      </c>
      <c r="I13" s="37">
        <f>B13*C13</f>
        <v>5</v>
      </c>
      <c r="L13" s="46" t="s">
        <v>87</v>
      </c>
      <c r="M13" s="92">
        <v>0</v>
      </c>
      <c r="N13" s="95">
        <v>0.5</v>
      </c>
      <c r="O13" s="94">
        <f t="shared" si="1"/>
        <v>0</v>
      </c>
      <c r="P13" s="78">
        <v>0.95</v>
      </c>
      <c r="Q13" s="94">
        <f t="shared" si="0"/>
        <v>0</v>
      </c>
      <c r="R13" s="269"/>
    </row>
    <row r="14" spans="1:18">
      <c r="A14" s="46" t="s">
        <v>25</v>
      </c>
      <c r="B14" s="31">
        <v>1</v>
      </c>
      <c r="C14" s="31">
        <v>10</v>
      </c>
      <c r="D14" s="34">
        <f>B14*C14</f>
        <v>10</v>
      </c>
      <c r="E14" s="17">
        <f>B14*C14</f>
        <v>10</v>
      </c>
      <c r="F14" s="19">
        <f>B14*C14</f>
        <v>10</v>
      </c>
      <c r="G14" s="19">
        <v>0</v>
      </c>
      <c r="H14" s="19">
        <v>0</v>
      </c>
      <c r="I14" s="37">
        <v>0</v>
      </c>
      <c r="L14" s="46" t="s">
        <v>88</v>
      </c>
      <c r="M14" s="34">
        <v>0</v>
      </c>
      <c r="N14" s="95">
        <v>0.5</v>
      </c>
      <c r="O14" s="94">
        <f t="shared" si="1"/>
        <v>0</v>
      </c>
      <c r="P14" s="78">
        <v>0.95</v>
      </c>
      <c r="Q14" s="94">
        <f t="shared" si="0"/>
        <v>0</v>
      </c>
      <c r="R14" s="269"/>
    </row>
    <row r="15" spans="1:18">
      <c r="A15" s="46" t="s">
        <v>26</v>
      </c>
      <c r="B15" s="15">
        <v>2</v>
      </c>
      <c r="C15" s="31">
        <v>10</v>
      </c>
      <c r="D15" s="34">
        <f>B15*C15</f>
        <v>20</v>
      </c>
      <c r="E15" s="17">
        <f>B15*C15</f>
        <v>20</v>
      </c>
      <c r="F15" s="19">
        <f>B15*C15</f>
        <v>20</v>
      </c>
      <c r="G15" s="19">
        <v>0</v>
      </c>
      <c r="H15" s="19">
        <v>0</v>
      </c>
      <c r="I15" s="37">
        <v>0</v>
      </c>
      <c r="L15" s="46" t="s">
        <v>89</v>
      </c>
      <c r="M15" s="34">
        <f>M13</f>
        <v>0</v>
      </c>
      <c r="N15" s="95">
        <v>0.5</v>
      </c>
      <c r="O15" s="94">
        <f t="shared" si="1"/>
        <v>0</v>
      </c>
      <c r="P15" s="78">
        <v>0.95</v>
      </c>
      <c r="Q15" s="94">
        <f t="shared" si="0"/>
        <v>0</v>
      </c>
      <c r="R15" s="269"/>
    </row>
    <row r="16" spans="1:18">
      <c r="A16" s="46" t="s">
        <v>27</v>
      </c>
      <c r="B16" s="15">
        <v>0</v>
      </c>
      <c r="C16" s="31">
        <v>2</v>
      </c>
      <c r="D16" s="34">
        <f>B16*C16</f>
        <v>0</v>
      </c>
      <c r="E16" s="17">
        <f>B16*C16</f>
        <v>0</v>
      </c>
      <c r="F16" s="19">
        <f>B16*C16</f>
        <v>0</v>
      </c>
      <c r="G16" s="19">
        <f>B16*C16</f>
        <v>0</v>
      </c>
      <c r="H16" s="19">
        <f>B16*C16</f>
        <v>0</v>
      </c>
      <c r="I16" s="37">
        <f>B16*C16</f>
        <v>0</v>
      </c>
      <c r="L16" s="46" t="s">
        <v>90</v>
      </c>
      <c r="M16" s="33">
        <v>0</v>
      </c>
      <c r="N16" s="95">
        <v>8</v>
      </c>
      <c r="O16" s="94">
        <f t="shared" si="1"/>
        <v>0</v>
      </c>
      <c r="P16" s="78">
        <v>0.95</v>
      </c>
      <c r="Q16" s="94">
        <f t="shared" si="0"/>
        <v>0</v>
      </c>
      <c r="R16" s="269"/>
    </row>
    <row r="17" spans="1:18">
      <c r="A17" s="46"/>
      <c r="B17" s="15"/>
      <c r="C17" s="15"/>
      <c r="D17" s="34">
        <f>B17*C17</f>
        <v>0</v>
      </c>
      <c r="E17" s="17">
        <f>B17*C17</f>
        <v>0</v>
      </c>
      <c r="F17" s="17">
        <f>B17*C17</f>
        <v>0</v>
      </c>
      <c r="G17" s="17">
        <f>B17*C17</f>
        <v>0</v>
      </c>
      <c r="H17" s="17">
        <f>B17*C17</f>
        <v>0</v>
      </c>
      <c r="I17" s="39">
        <f>B17*C17</f>
        <v>0</v>
      </c>
      <c r="L17" s="46"/>
      <c r="M17" s="92"/>
      <c r="N17" s="93"/>
      <c r="O17" s="94">
        <f t="shared" si="1"/>
        <v>0</v>
      </c>
      <c r="P17" s="78">
        <v>1</v>
      </c>
      <c r="Q17" s="94">
        <f t="shared" si="0"/>
        <v>0</v>
      </c>
      <c r="R17" s="269"/>
    </row>
    <row r="18" spans="1:18">
      <c r="A18" s="423" t="s">
        <v>28</v>
      </c>
      <c r="B18" s="424"/>
      <c r="C18" s="424"/>
      <c r="D18" s="424"/>
      <c r="E18" s="424"/>
      <c r="F18" s="424"/>
      <c r="G18" s="424"/>
      <c r="H18" s="424"/>
      <c r="I18" s="425"/>
      <c r="L18" s="440" t="s">
        <v>23</v>
      </c>
      <c r="M18" s="440"/>
      <c r="N18" s="440"/>
      <c r="O18" s="440"/>
      <c r="P18" s="440"/>
      <c r="Q18" s="440"/>
      <c r="R18" s="269"/>
    </row>
    <row r="19" spans="1:18">
      <c r="A19" s="46" t="s">
        <v>29</v>
      </c>
      <c r="B19" s="15">
        <v>2</v>
      </c>
      <c r="C19" s="31">
        <v>10</v>
      </c>
      <c r="D19" s="33">
        <v>0</v>
      </c>
      <c r="E19" s="17">
        <f>B19*C19</f>
        <v>20</v>
      </c>
      <c r="F19" s="29">
        <v>0</v>
      </c>
      <c r="G19" s="29">
        <v>0</v>
      </c>
      <c r="H19" s="29">
        <v>0</v>
      </c>
      <c r="I19" s="38">
        <v>0</v>
      </c>
      <c r="L19" s="46" t="s">
        <v>91</v>
      </c>
      <c r="M19" s="92">
        <v>2</v>
      </c>
      <c r="N19" s="301">
        <v>10</v>
      </c>
      <c r="O19" s="94">
        <f t="shared" si="1"/>
        <v>2.4</v>
      </c>
      <c r="P19" s="78">
        <v>0.95</v>
      </c>
      <c r="Q19" s="94">
        <f t="shared" si="0"/>
        <v>2.2799999999999998</v>
      </c>
      <c r="R19" s="269"/>
    </row>
    <row r="20" spans="1:18">
      <c r="A20" s="46" t="s">
        <v>30</v>
      </c>
      <c r="B20" s="18">
        <f>B19</f>
        <v>2</v>
      </c>
      <c r="C20" s="31">
        <v>12</v>
      </c>
      <c r="D20" s="33">
        <v>0</v>
      </c>
      <c r="E20" s="28">
        <v>0</v>
      </c>
      <c r="F20" s="29">
        <v>0</v>
      </c>
      <c r="G20" s="29">
        <v>0</v>
      </c>
      <c r="H20" s="29">
        <v>0</v>
      </c>
      <c r="I20" s="20">
        <f>B20*C20</f>
        <v>24</v>
      </c>
      <c r="L20" s="46" t="s">
        <v>92</v>
      </c>
      <c r="M20" s="92">
        <v>1</v>
      </c>
      <c r="N20" s="301">
        <v>5</v>
      </c>
      <c r="O20" s="94">
        <f t="shared" si="1"/>
        <v>0.6</v>
      </c>
      <c r="P20" s="78">
        <v>0.4</v>
      </c>
      <c r="Q20" s="94">
        <f t="shared" si="0"/>
        <v>0.24</v>
      </c>
      <c r="R20" s="269"/>
    </row>
    <row r="21" spans="1:18">
      <c r="A21" s="46" t="s">
        <v>241</v>
      </c>
      <c r="B21" s="15">
        <v>3</v>
      </c>
      <c r="C21" s="31">
        <v>5</v>
      </c>
      <c r="D21" s="34">
        <f>B21*C21</f>
        <v>15</v>
      </c>
      <c r="E21" s="17">
        <f>B21*C21</f>
        <v>15</v>
      </c>
      <c r="F21" s="19">
        <f>B21*C21</f>
        <v>15</v>
      </c>
      <c r="G21" s="19">
        <f>B21*C21</f>
        <v>15</v>
      </c>
      <c r="H21" s="19">
        <f>B21*C21</f>
        <v>15</v>
      </c>
      <c r="I21" s="37">
        <f>B21*C21</f>
        <v>15</v>
      </c>
      <c r="K21" s="268">
        <f>16+9+22*3</f>
        <v>91</v>
      </c>
      <c r="L21" s="46" t="s">
        <v>93</v>
      </c>
      <c r="M21" s="92">
        <v>1</v>
      </c>
      <c r="N21" s="301">
        <v>5</v>
      </c>
      <c r="O21" s="94">
        <f t="shared" si="1"/>
        <v>0.6</v>
      </c>
      <c r="P21" s="78">
        <v>0.4</v>
      </c>
      <c r="Q21" s="94">
        <f t="shared" si="0"/>
        <v>0.24</v>
      </c>
      <c r="R21" s="269"/>
    </row>
    <row r="22" spans="1:18">
      <c r="A22" s="46" t="s">
        <v>32</v>
      </c>
      <c r="B22" s="16">
        <v>2</v>
      </c>
      <c r="C22" s="32">
        <v>3</v>
      </c>
      <c r="D22" s="33">
        <v>0</v>
      </c>
      <c r="E22" s="17">
        <f>B22*C22</f>
        <v>6</v>
      </c>
      <c r="F22" s="29">
        <v>0</v>
      </c>
      <c r="G22" s="29">
        <v>0</v>
      </c>
      <c r="H22" s="29">
        <v>0</v>
      </c>
      <c r="I22" s="38">
        <v>0</v>
      </c>
      <c r="K22" s="268">
        <f>K21-22</f>
        <v>69</v>
      </c>
      <c r="L22" s="46" t="s">
        <v>94</v>
      </c>
      <c r="M22" s="92">
        <v>6</v>
      </c>
      <c r="N22" s="301">
        <v>5</v>
      </c>
      <c r="O22" s="94">
        <f t="shared" si="1"/>
        <v>3.6</v>
      </c>
      <c r="P22" s="78">
        <v>0.7</v>
      </c>
      <c r="Q22" s="94">
        <f t="shared" si="0"/>
        <v>2.52</v>
      </c>
      <c r="R22" s="269"/>
    </row>
    <row r="23" spans="1:18">
      <c r="A23" s="46" t="s">
        <v>33</v>
      </c>
      <c r="B23" s="30">
        <f>B22</f>
        <v>2</v>
      </c>
      <c r="C23" s="32">
        <v>10</v>
      </c>
      <c r="D23" s="33">
        <v>0</v>
      </c>
      <c r="E23" s="28">
        <v>0</v>
      </c>
      <c r="F23" s="29">
        <v>0</v>
      </c>
      <c r="G23" s="29">
        <v>0</v>
      </c>
      <c r="H23" s="29">
        <v>0</v>
      </c>
      <c r="I23" s="20">
        <f>B23*C23</f>
        <v>20</v>
      </c>
      <c r="L23" s="46" t="s">
        <v>95</v>
      </c>
      <c r="M23" s="92">
        <v>2</v>
      </c>
      <c r="N23" s="95">
        <v>4</v>
      </c>
      <c r="O23" s="94">
        <f t="shared" si="1"/>
        <v>0.96</v>
      </c>
      <c r="P23" s="78">
        <v>0.25</v>
      </c>
      <c r="Q23" s="94">
        <f t="shared" si="0"/>
        <v>0.24</v>
      </c>
      <c r="R23" s="269"/>
    </row>
    <row r="24" spans="1:18">
      <c r="A24" s="46" t="s">
        <v>34</v>
      </c>
      <c r="B24" s="15">
        <v>2</v>
      </c>
      <c r="C24" s="31">
        <v>3</v>
      </c>
      <c r="D24" s="34">
        <f>B24*C24</f>
        <v>6</v>
      </c>
      <c r="E24" s="17">
        <f>B24*C24</f>
        <v>6</v>
      </c>
      <c r="F24" s="19">
        <f>B24*C24</f>
        <v>6</v>
      </c>
      <c r="G24" s="19">
        <f>B24*C24</f>
        <v>6</v>
      </c>
      <c r="H24" s="19">
        <f>B24*C24</f>
        <v>6</v>
      </c>
      <c r="I24" s="37">
        <f>B24*C24</f>
        <v>6</v>
      </c>
      <c r="L24" s="46" t="s">
        <v>96</v>
      </c>
      <c r="M24" s="33">
        <v>1</v>
      </c>
      <c r="N24" s="95">
        <v>3</v>
      </c>
      <c r="O24" s="94">
        <f t="shared" si="1"/>
        <v>0.36</v>
      </c>
      <c r="P24" s="78">
        <v>0.95</v>
      </c>
      <c r="Q24" s="94">
        <f t="shared" si="0"/>
        <v>0.34199999999999997</v>
      </c>
      <c r="R24" s="269"/>
    </row>
    <row r="25" spans="1:18">
      <c r="A25" s="46" t="s">
        <v>35</v>
      </c>
      <c r="B25" s="15">
        <v>2</v>
      </c>
      <c r="C25" s="31">
        <v>12.6</v>
      </c>
      <c r="D25" s="33">
        <v>0</v>
      </c>
      <c r="E25" s="17">
        <f>B25*C25</f>
        <v>25.2</v>
      </c>
      <c r="F25" s="29">
        <v>0</v>
      </c>
      <c r="G25" s="29">
        <v>0</v>
      </c>
      <c r="H25" s="29">
        <v>0</v>
      </c>
      <c r="I25" s="38">
        <v>0</v>
      </c>
      <c r="L25" s="46" t="s">
        <v>97</v>
      </c>
      <c r="M25" s="92">
        <v>2</v>
      </c>
      <c r="N25" s="301">
        <v>10</v>
      </c>
      <c r="O25" s="94">
        <f t="shared" si="1"/>
        <v>2.4</v>
      </c>
      <c r="P25" s="78">
        <v>0.95</v>
      </c>
      <c r="Q25" s="94">
        <f t="shared" si="0"/>
        <v>2.2799999999999998</v>
      </c>
      <c r="R25" s="269"/>
    </row>
    <row r="26" spans="1:18">
      <c r="A26" s="46" t="s">
        <v>36</v>
      </c>
      <c r="B26" s="18">
        <f>B25</f>
        <v>2</v>
      </c>
      <c r="C26" s="31">
        <v>2.2999999999999998</v>
      </c>
      <c r="D26" s="33">
        <v>0</v>
      </c>
      <c r="E26" s="28">
        <v>0</v>
      </c>
      <c r="F26" s="29">
        <v>0</v>
      </c>
      <c r="G26" s="29">
        <v>0</v>
      </c>
      <c r="H26" s="29">
        <v>0</v>
      </c>
      <c r="I26" s="37">
        <f>B26*C26</f>
        <v>4.5999999999999996</v>
      </c>
      <c r="L26" s="46"/>
      <c r="M26" s="92"/>
      <c r="N26" s="93"/>
      <c r="O26" s="94">
        <f t="shared" si="1"/>
        <v>0</v>
      </c>
      <c r="P26" s="78">
        <v>1</v>
      </c>
      <c r="Q26" s="94">
        <f t="shared" si="0"/>
        <v>0</v>
      </c>
      <c r="R26" s="269"/>
    </row>
    <row r="27" spans="1:18">
      <c r="A27" s="46" t="s">
        <v>37</v>
      </c>
      <c r="B27" s="18">
        <f>B25</f>
        <v>2</v>
      </c>
      <c r="C27" s="31">
        <v>4</v>
      </c>
      <c r="D27" s="33">
        <v>0</v>
      </c>
      <c r="E27" s="28">
        <v>0</v>
      </c>
      <c r="F27" s="29">
        <v>0</v>
      </c>
      <c r="G27" s="29">
        <v>0</v>
      </c>
      <c r="H27" s="29">
        <v>0</v>
      </c>
      <c r="I27" s="37">
        <f>B27*C27</f>
        <v>8</v>
      </c>
      <c r="L27" s="440" t="s">
        <v>51</v>
      </c>
      <c r="M27" s="440"/>
      <c r="N27" s="440"/>
      <c r="O27" s="440"/>
      <c r="P27" s="440"/>
      <c r="Q27" s="440"/>
      <c r="R27" s="269"/>
    </row>
    <row r="28" spans="1:18">
      <c r="A28" s="46"/>
      <c r="B28" s="15"/>
      <c r="C28" s="15"/>
      <c r="D28" s="34">
        <f>B28*C28</f>
        <v>0</v>
      </c>
      <c r="E28" s="17">
        <f>B28*C28</f>
        <v>0</v>
      </c>
      <c r="F28" s="17">
        <f>B28*C28</f>
        <v>0</v>
      </c>
      <c r="G28" s="17">
        <f>B28*C28</f>
        <v>0</v>
      </c>
      <c r="H28" s="17">
        <f>B28*C28</f>
        <v>0</v>
      </c>
      <c r="I28" s="39">
        <f>B28*C28</f>
        <v>0</v>
      </c>
      <c r="L28" s="46" t="s">
        <v>98</v>
      </c>
      <c r="M28" s="92">
        <v>5</v>
      </c>
      <c r="N28" s="95">
        <v>6.6</v>
      </c>
      <c r="O28" s="94">
        <f t="shared" si="1"/>
        <v>3.96</v>
      </c>
      <c r="P28" s="78">
        <v>0.05</v>
      </c>
      <c r="Q28" s="94">
        <f t="shared" si="0"/>
        <v>0.19800000000000001</v>
      </c>
      <c r="R28" s="269"/>
    </row>
    <row r="29" spans="1:18">
      <c r="A29" s="423" t="s">
        <v>38</v>
      </c>
      <c r="B29" s="424"/>
      <c r="C29" s="424"/>
      <c r="D29" s="424"/>
      <c r="E29" s="424"/>
      <c r="F29" s="424"/>
      <c r="G29" s="424"/>
      <c r="H29" s="424"/>
      <c r="I29" s="425"/>
      <c r="L29" s="46" t="s">
        <v>99</v>
      </c>
      <c r="M29" s="92">
        <v>4</v>
      </c>
      <c r="N29" s="95">
        <v>18</v>
      </c>
      <c r="O29" s="94">
        <f t="shared" si="1"/>
        <v>8.64</v>
      </c>
      <c r="P29" s="78">
        <v>0.95</v>
      </c>
      <c r="Q29" s="94">
        <f t="shared" si="0"/>
        <v>8.2080000000000002</v>
      </c>
      <c r="R29" s="269"/>
    </row>
    <row r="30" spans="1:18">
      <c r="A30" s="46" t="s">
        <v>39</v>
      </c>
      <c r="B30" s="15">
        <v>8</v>
      </c>
      <c r="C30" s="31">
        <v>1</v>
      </c>
      <c r="D30" s="34">
        <f>B30*C30</f>
        <v>8</v>
      </c>
      <c r="E30" s="17">
        <f>B30*C30</f>
        <v>8</v>
      </c>
      <c r="F30" s="19">
        <f>B30*C30</f>
        <v>8</v>
      </c>
      <c r="G30" s="19">
        <f>B30*C30</f>
        <v>8</v>
      </c>
      <c r="H30" s="19">
        <f>B30*C30</f>
        <v>8</v>
      </c>
      <c r="I30" s="37">
        <f>B30*C30</f>
        <v>8</v>
      </c>
      <c r="L30" s="46" t="s">
        <v>100</v>
      </c>
      <c r="M30" s="92">
        <v>1</v>
      </c>
      <c r="N30" s="95">
        <v>3</v>
      </c>
      <c r="O30" s="94">
        <f t="shared" si="1"/>
        <v>0.36</v>
      </c>
      <c r="P30" s="78">
        <v>0.25</v>
      </c>
      <c r="Q30" s="94">
        <f t="shared" si="0"/>
        <v>0.09</v>
      </c>
      <c r="R30" s="269"/>
    </row>
    <row r="31" spans="1:18">
      <c r="A31" s="46" t="s">
        <v>40</v>
      </c>
      <c r="B31" s="15">
        <v>4</v>
      </c>
      <c r="C31" s="31">
        <v>1</v>
      </c>
      <c r="D31" s="34">
        <f>B31*C31</f>
        <v>4</v>
      </c>
      <c r="E31" s="17">
        <f>B31*C31</f>
        <v>4</v>
      </c>
      <c r="F31" s="19">
        <f>B31*C31</f>
        <v>4</v>
      </c>
      <c r="G31" s="19">
        <f>B31*C31</f>
        <v>4</v>
      </c>
      <c r="H31" s="19">
        <f>B31*C31</f>
        <v>4</v>
      </c>
      <c r="I31" s="37">
        <f>B31*C31</f>
        <v>4</v>
      </c>
      <c r="L31" s="46" t="s">
        <v>101</v>
      </c>
      <c r="M31" s="92">
        <v>0</v>
      </c>
      <c r="N31" s="95">
        <v>6</v>
      </c>
      <c r="O31" s="94">
        <f t="shared" si="1"/>
        <v>0</v>
      </c>
      <c r="P31" s="78">
        <v>0.4</v>
      </c>
      <c r="Q31" s="94">
        <f t="shared" si="0"/>
        <v>0</v>
      </c>
      <c r="R31" s="269"/>
    </row>
    <row r="32" spans="1:18">
      <c r="A32" s="46"/>
      <c r="B32" s="15"/>
      <c r="C32" s="15"/>
      <c r="D32" s="34">
        <f>B32*C32</f>
        <v>0</v>
      </c>
      <c r="E32" s="17">
        <f>B32*C32</f>
        <v>0</v>
      </c>
      <c r="F32" s="17">
        <f>B32*C32</f>
        <v>0</v>
      </c>
      <c r="G32" s="17">
        <f>B32*C32</f>
        <v>0</v>
      </c>
      <c r="H32" s="17">
        <f>B32*C32</f>
        <v>0</v>
      </c>
      <c r="I32" s="39">
        <f>B32*C32</f>
        <v>0</v>
      </c>
      <c r="L32" s="46" t="s">
        <v>102</v>
      </c>
      <c r="M32" s="33">
        <v>1</v>
      </c>
      <c r="N32" s="95">
        <v>10</v>
      </c>
      <c r="O32" s="94">
        <f t="shared" si="1"/>
        <v>1.2</v>
      </c>
      <c r="P32" s="78">
        <v>0.5</v>
      </c>
      <c r="Q32" s="94">
        <f>O32*P32</f>
        <v>0.6</v>
      </c>
      <c r="R32" s="269"/>
    </row>
    <row r="33" spans="1:18" ht="13.5" thickBot="1">
      <c r="A33" s="423" t="s">
        <v>51</v>
      </c>
      <c r="B33" s="424"/>
      <c r="C33" s="424"/>
      <c r="D33" s="424"/>
      <c r="E33" s="424"/>
      <c r="F33" s="424"/>
      <c r="G33" s="424"/>
      <c r="H33" s="424"/>
      <c r="I33" s="425"/>
      <c r="L33" s="55"/>
      <c r="M33" s="96"/>
      <c r="N33" s="97"/>
      <c r="O33" s="94">
        <f t="shared" si="1"/>
        <v>0</v>
      </c>
      <c r="P33" s="99">
        <v>1</v>
      </c>
      <c r="Q33" s="98">
        <f t="shared" si="0"/>
        <v>0</v>
      </c>
      <c r="R33" s="269"/>
    </row>
    <row r="34" spans="1:18">
      <c r="A34" s="46" t="s">
        <v>52</v>
      </c>
      <c r="B34" s="16">
        <v>1</v>
      </c>
      <c r="C34" s="21">
        <f>M40*1000/B5</f>
        <v>320</v>
      </c>
      <c r="D34" s="40">
        <f>B34*C34</f>
        <v>320</v>
      </c>
      <c r="E34" s="53">
        <f>B34*C34</f>
        <v>320</v>
      </c>
      <c r="F34" s="27">
        <f>B34*C34</f>
        <v>320</v>
      </c>
      <c r="G34" s="27">
        <f>B34*C34/2</f>
        <v>160</v>
      </c>
      <c r="H34" s="27">
        <v>0</v>
      </c>
      <c r="I34" s="20">
        <v>0</v>
      </c>
      <c r="L34" s="407"/>
      <c r="N34" s="404"/>
      <c r="O34" s="91"/>
      <c r="R34" s="269"/>
    </row>
    <row r="35" spans="1:18" ht="23.25" thickBot="1">
      <c r="A35" s="46" t="s">
        <v>53</v>
      </c>
      <c r="B35" s="15">
        <v>14</v>
      </c>
      <c r="C35" s="31">
        <v>2</v>
      </c>
      <c r="D35" s="34">
        <f>B35*C35</f>
        <v>28</v>
      </c>
      <c r="E35" s="54">
        <f>B35*C35</f>
        <v>28</v>
      </c>
      <c r="F35" s="27">
        <f>B35*C35</f>
        <v>28</v>
      </c>
      <c r="G35" s="19">
        <f>B35*C35</f>
        <v>28</v>
      </c>
      <c r="H35" s="19">
        <f>B35*C35</f>
        <v>28</v>
      </c>
      <c r="I35" s="37">
        <f>B35*C35</f>
        <v>28</v>
      </c>
      <c r="L35" s="407"/>
      <c r="M35" s="83" t="s">
        <v>79</v>
      </c>
      <c r="N35" s="83" t="s">
        <v>81</v>
      </c>
      <c r="R35" s="269"/>
    </row>
    <row r="36" spans="1:18" ht="13.5" thickBot="1">
      <c r="A36" s="55"/>
      <c r="B36" s="56"/>
      <c r="C36" s="56"/>
      <c r="D36" s="34">
        <f>B36*C36</f>
        <v>0</v>
      </c>
      <c r="E36" s="45">
        <f>B36*C36</f>
        <v>0</v>
      </c>
      <c r="F36" s="17">
        <f>B36*C36</f>
        <v>0</v>
      </c>
      <c r="G36" s="17">
        <f>B36*C36</f>
        <v>0</v>
      </c>
      <c r="H36" s="17">
        <f>B36*C36</f>
        <v>0</v>
      </c>
      <c r="I36" s="39">
        <f>B36*C36</f>
        <v>0</v>
      </c>
      <c r="L36" s="396" t="s">
        <v>107</v>
      </c>
      <c r="M36" s="79">
        <f>SUM(O8:O33)</f>
        <v>29.879999999999995</v>
      </c>
      <c r="N36" s="84">
        <f>SUM(Q8:Q33)</f>
        <v>20.598000000000003</v>
      </c>
      <c r="R36" s="269"/>
    </row>
    <row r="37" spans="1:18">
      <c r="A37" s="407"/>
      <c r="B37" s="457" t="s">
        <v>107</v>
      </c>
      <c r="C37" s="458"/>
      <c r="D37" s="42">
        <f t="shared" ref="D37:I37" si="2">SUM(D8:D36)</f>
        <v>422</v>
      </c>
      <c r="E37" s="42">
        <f t="shared" si="2"/>
        <v>491.72</v>
      </c>
      <c r="F37" s="49">
        <f t="shared" si="2"/>
        <v>422</v>
      </c>
      <c r="G37" s="49">
        <f t="shared" si="2"/>
        <v>232</v>
      </c>
      <c r="H37" s="49">
        <f t="shared" si="2"/>
        <v>72</v>
      </c>
      <c r="I37" s="50">
        <f t="shared" si="2"/>
        <v>128.6</v>
      </c>
      <c r="L37" s="396" t="str">
        <f>"Efficiency "&amp;Q5*100&amp;"%"</f>
        <v>Efficiency 88%</v>
      </c>
      <c r="M37" s="85">
        <f>M36/$Q$5</f>
        <v>33.954545454545446</v>
      </c>
      <c r="N37" s="85">
        <f>N36/$Q$5</f>
        <v>23.406818181818185</v>
      </c>
      <c r="R37" s="269"/>
    </row>
    <row r="38" spans="1:18" ht="13.5" thickBot="1">
      <c r="A38" s="407"/>
      <c r="B38" s="457" t="str">
        <f>"Plus "&amp;B6*100&amp;"% Margin"</f>
        <v>Plus 10% Margin</v>
      </c>
      <c r="C38" s="458"/>
      <c r="D38" s="41">
        <f t="shared" ref="D38:I38" si="3">D37*$B$6</f>
        <v>42.2</v>
      </c>
      <c r="E38" s="41">
        <f t="shared" si="3"/>
        <v>49.172000000000004</v>
      </c>
      <c r="F38" s="51">
        <f t="shared" si="3"/>
        <v>42.2</v>
      </c>
      <c r="G38" s="51">
        <f t="shared" si="3"/>
        <v>23.200000000000003</v>
      </c>
      <c r="H38" s="51">
        <f t="shared" si="3"/>
        <v>7.2</v>
      </c>
      <c r="I38" s="52">
        <f t="shared" si="3"/>
        <v>12.86</v>
      </c>
      <c r="L38" s="396" t="str">
        <f>"Plus "&amp;M6*100&amp;"% Margin"</f>
        <v>Plus 10% Margin</v>
      </c>
      <c r="M38" s="85">
        <f>M37*$M$6</f>
        <v>3.3954545454545446</v>
      </c>
      <c r="N38" s="85">
        <f>N37*$M$6</f>
        <v>2.3406818181818188</v>
      </c>
      <c r="O38" s="404"/>
      <c r="P38" s="22"/>
      <c r="Q38" s="23"/>
      <c r="R38" s="269"/>
    </row>
    <row r="39" spans="1:18" ht="13.5" thickBot="1">
      <c r="A39" s="407"/>
      <c r="B39" s="457" t="s">
        <v>235</v>
      </c>
      <c r="C39" s="458"/>
      <c r="D39" s="43">
        <f t="shared" ref="D39:I39" si="4">SUM(D37:D38)</f>
        <v>464.2</v>
      </c>
      <c r="E39" s="43">
        <f t="shared" si="4"/>
        <v>540.89200000000005</v>
      </c>
      <c r="F39" s="24">
        <f t="shared" si="4"/>
        <v>464.2</v>
      </c>
      <c r="G39" s="24">
        <f t="shared" si="4"/>
        <v>255.2</v>
      </c>
      <c r="H39" s="24">
        <f t="shared" si="4"/>
        <v>79.2</v>
      </c>
      <c r="I39" s="44">
        <f t="shared" si="4"/>
        <v>141.45999999999998</v>
      </c>
      <c r="L39" s="396" t="s">
        <v>103</v>
      </c>
      <c r="M39" s="87">
        <f>SUM(M37:M38)</f>
        <v>37.349999999999994</v>
      </c>
      <c r="N39" s="88">
        <f>SUM(N37:N38)</f>
        <v>25.747500000000002</v>
      </c>
      <c r="O39" s="22"/>
      <c r="P39" s="22"/>
      <c r="Q39" s="23"/>
      <c r="R39" s="269"/>
    </row>
    <row r="40" spans="1:18" ht="13.5" thickBot="1">
      <c r="A40" s="428" t="s">
        <v>56</v>
      </c>
      <c r="B40" s="428"/>
      <c r="C40" s="22"/>
      <c r="D40" s="22"/>
      <c r="E40" s="25"/>
      <c r="F40" s="25"/>
      <c r="G40" s="25"/>
      <c r="H40" s="25"/>
      <c r="I40" s="25"/>
      <c r="L40" s="396" t="s">
        <v>108</v>
      </c>
      <c r="M40" s="90">
        <v>40</v>
      </c>
      <c r="N40" s="89" t="s">
        <v>79</v>
      </c>
      <c r="Q40" s="23"/>
      <c r="R40" s="244" t="s">
        <v>242</v>
      </c>
    </row>
    <row r="41" spans="1:18" ht="13.5" thickBot="1">
      <c r="A41" s="65" t="s">
        <v>57</v>
      </c>
      <c r="B41" s="66">
        <v>24</v>
      </c>
      <c r="C41" s="22"/>
      <c r="D41" s="428" t="s">
        <v>58</v>
      </c>
      <c r="E41" s="428"/>
      <c r="F41" s="428"/>
      <c r="G41" s="428"/>
      <c r="H41" s="428"/>
      <c r="I41" s="428"/>
    </row>
    <row r="42" spans="1:18" ht="13.5" thickBot="1">
      <c r="A42" s="67" t="s">
        <v>59</v>
      </c>
      <c r="B42" s="68">
        <f>D39+SUM(E42:I42)/B41</f>
        <v>500.87149444444441</v>
      </c>
      <c r="D42" s="73">
        <f>D39</f>
        <v>464.2</v>
      </c>
      <c r="E42" s="74">
        <f>E39*E6/60</f>
        <v>9.0148666666666681</v>
      </c>
      <c r="F42" s="75">
        <f>F39*F6/60</f>
        <v>456.46333333333331</v>
      </c>
      <c r="G42" s="75">
        <f>G39*G6/60</f>
        <v>255.2</v>
      </c>
      <c r="H42" s="75">
        <f>H39*H6/60</f>
        <v>157.08000000000001</v>
      </c>
      <c r="I42" s="76">
        <f>I39*I6/60</f>
        <v>2.3576666666666664</v>
      </c>
    </row>
    <row r="43" spans="1:18" ht="13.5" thickBot="1">
      <c r="A43" s="69" t="s">
        <v>60</v>
      </c>
      <c r="B43" s="70">
        <f>IF(MOD(B42,50)&lt;25,MROUND(B42+50,50),MROUND(B42,50))</f>
        <v>550</v>
      </c>
      <c r="D43" s="455" t="s">
        <v>237</v>
      </c>
      <c r="E43" s="456"/>
      <c r="F43" s="456"/>
      <c r="G43" s="456"/>
      <c r="H43" s="456"/>
      <c r="I43" s="77">
        <f>SUM(E42:I42)</f>
        <v>880.11586666666665</v>
      </c>
    </row>
    <row r="44" spans="1:18">
      <c r="E44" s="23"/>
      <c r="F44" s="23"/>
      <c r="H44" s="23"/>
      <c r="I44" s="23"/>
    </row>
    <row r="45" spans="1:18">
      <c r="E45" s="23"/>
      <c r="F45" s="23"/>
      <c r="H45" s="23"/>
      <c r="I45" s="23"/>
    </row>
    <row r="46" spans="1:18">
      <c r="E46" s="23"/>
      <c r="F46" s="23"/>
      <c r="H46" s="23"/>
      <c r="I46" s="23"/>
    </row>
    <row r="47" spans="1:18">
      <c r="C47" s="22"/>
      <c r="D47" s="22"/>
      <c r="E47" s="23"/>
      <c r="F47" s="23"/>
      <c r="G47" s="23"/>
      <c r="H47" s="23"/>
      <c r="I47" s="23"/>
    </row>
    <row r="48" spans="1:18">
      <c r="A48" s="26"/>
      <c r="C48" s="22"/>
      <c r="D48" s="22"/>
      <c r="E48" s="23"/>
      <c r="F48" s="23"/>
      <c r="G48" s="23"/>
      <c r="H48" s="23"/>
      <c r="I48" s="23"/>
    </row>
    <row r="49" spans="1:1">
      <c r="A49" s="26"/>
    </row>
    <row r="50" spans="1:1">
      <c r="A50" s="272"/>
    </row>
    <row r="51" spans="1:1">
      <c r="A51" s="272"/>
    </row>
    <row r="52" spans="1:1">
      <c r="A52" s="272"/>
    </row>
    <row r="53" spans="1:1">
      <c r="A53" s="272"/>
    </row>
  </sheetData>
  <mergeCells count="24">
    <mergeCell ref="A1:I1"/>
    <mergeCell ref="A2:I2"/>
    <mergeCell ref="A3:I3"/>
    <mergeCell ref="E7:I7"/>
    <mergeCell ref="A8:I8"/>
    <mergeCell ref="L8:Q8"/>
    <mergeCell ref="L12:Q12"/>
    <mergeCell ref="A18:I18"/>
    <mergeCell ref="A29:I29"/>
    <mergeCell ref="A33:I33"/>
    <mergeCell ref="A12:I12"/>
    <mergeCell ref="L18:Q18"/>
    <mergeCell ref="L27:Q27"/>
    <mergeCell ref="L1:Q1"/>
    <mergeCell ref="L2:Q2"/>
    <mergeCell ref="L3:Q3"/>
    <mergeCell ref="N5:P5"/>
    <mergeCell ref="N6:P6"/>
    <mergeCell ref="A40:B40"/>
    <mergeCell ref="D41:I41"/>
    <mergeCell ref="D43:H43"/>
    <mergeCell ref="B37:C37"/>
    <mergeCell ref="B38:C38"/>
    <mergeCell ref="B39:C39"/>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workbookViewId="0">
      <selection activeCell="G46" sqref="G46"/>
    </sheetView>
  </sheetViews>
  <sheetFormatPr defaultRowHeight="12.75"/>
  <cols>
    <col min="1" max="1" width="14.5703125" customWidth="1"/>
    <col min="2" max="2" width="43.85546875" bestFit="1" customWidth="1"/>
    <col min="3" max="3" width="8" bestFit="1" customWidth="1"/>
    <col min="4" max="4" width="20.85546875" bestFit="1" customWidth="1"/>
    <col min="5" max="5" width="10.42578125" bestFit="1" customWidth="1"/>
    <col min="6" max="6" width="33.5703125" bestFit="1" customWidth="1"/>
    <col min="7" max="8" width="7.5703125" bestFit="1" customWidth="1"/>
    <col min="9" max="9" width="8.7109375" bestFit="1" customWidth="1"/>
    <col min="10" max="10" width="7.5703125" bestFit="1" customWidth="1"/>
    <col min="11" max="11" width="10.28515625" bestFit="1" customWidth="1"/>
    <col min="12" max="12" width="3.85546875" bestFit="1" customWidth="1"/>
    <col min="13" max="14" width="14.85546875" customWidth="1"/>
    <col min="15" max="15" width="16.85546875" customWidth="1"/>
    <col min="16" max="16" width="35" bestFit="1" customWidth="1"/>
    <col min="17" max="17" width="21.7109375" bestFit="1" customWidth="1"/>
    <col min="18" max="18" width="20.85546875" bestFit="1" customWidth="1"/>
    <col min="19" max="19" width="10.42578125" bestFit="1" customWidth="1"/>
    <col min="20" max="20" width="17.28515625" bestFit="1" customWidth="1"/>
    <col min="21" max="256" width="14.85546875" customWidth="1"/>
  </cols>
  <sheetData>
    <row r="1" spans="1:21" s="268" customFormat="1" ht="15.75">
      <c r="A1" s="460" t="s">
        <v>243</v>
      </c>
      <c r="B1" s="460"/>
      <c r="C1" s="460"/>
      <c r="D1" s="460"/>
      <c r="E1" s="460"/>
      <c r="F1" s="460"/>
      <c r="G1" s="460"/>
      <c r="H1" s="460"/>
      <c r="I1" s="460"/>
      <c r="J1" s="460"/>
      <c r="K1" s="460"/>
      <c r="L1" s="460"/>
      <c r="O1" s="460" t="s">
        <v>244</v>
      </c>
      <c r="P1" s="460"/>
      <c r="Q1" s="460"/>
      <c r="R1" s="460"/>
      <c r="S1" s="460"/>
      <c r="T1" s="460"/>
    </row>
    <row r="2" spans="1:21" ht="14.25">
      <c r="A2" s="403" t="s">
        <v>245</v>
      </c>
      <c r="B2" s="403" t="s">
        <v>191</v>
      </c>
      <c r="C2" s="403" t="s">
        <v>246</v>
      </c>
      <c r="D2" s="450" t="s">
        <v>247</v>
      </c>
      <c r="E2" s="450"/>
      <c r="F2" s="403" t="s">
        <v>248</v>
      </c>
      <c r="G2" s="450" t="s">
        <v>249</v>
      </c>
      <c r="H2" s="450"/>
      <c r="I2" s="450"/>
      <c r="J2" s="450"/>
      <c r="K2" s="403"/>
      <c r="L2" s="268"/>
      <c r="M2" s="268"/>
      <c r="N2" s="268"/>
      <c r="O2" s="403" t="s">
        <v>245</v>
      </c>
      <c r="P2" s="403" t="s">
        <v>191</v>
      </c>
      <c r="Q2" s="403" t="s">
        <v>246</v>
      </c>
      <c r="R2" s="450" t="s">
        <v>250</v>
      </c>
      <c r="S2" s="450"/>
      <c r="T2" s="403" t="s">
        <v>248</v>
      </c>
      <c r="U2" s="403"/>
    </row>
    <row r="3" spans="1:21">
      <c r="A3" s="403"/>
      <c r="B3" s="403"/>
      <c r="C3" s="403"/>
      <c r="D3" s="403" t="s">
        <v>251</v>
      </c>
      <c r="E3" s="403" t="s">
        <v>252</v>
      </c>
      <c r="F3" s="403"/>
      <c r="G3" s="403">
        <v>1</v>
      </c>
      <c r="H3" s="403" t="s">
        <v>253</v>
      </c>
      <c r="I3" s="403" t="s">
        <v>254</v>
      </c>
      <c r="J3" s="403">
        <v>180</v>
      </c>
      <c r="K3" s="403" t="s">
        <v>255</v>
      </c>
      <c r="L3" s="268"/>
      <c r="M3" s="268"/>
      <c r="N3" s="268"/>
      <c r="O3" s="403"/>
      <c r="P3" s="403"/>
      <c r="Q3" s="403"/>
      <c r="R3" s="403" t="s">
        <v>256</v>
      </c>
      <c r="S3" s="403" t="s">
        <v>252</v>
      </c>
      <c r="T3" s="403"/>
      <c r="U3" s="403"/>
    </row>
    <row r="4" spans="1:21" ht="14.25">
      <c r="A4" s="406" t="s">
        <v>257</v>
      </c>
      <c r="B4" s="403" t="s">
        <v>258</v>
      </c>
      <c r="C4" s="403">
        <v>1</v>
      </c>
      <c r="D4" s="403">
        <v>296</v>
      </c>
      <c r="E4" s="403">
        <f t="shared" ref="E4:E20" si="0">C4*D4</f>
        <v>296</v>
      </c>
      <c r="F4" s="403" t="s">
        <v>259</v>
      </c>
      <c r="G4" s="274">
        <f t="shared" ref="G4:G16" si="1">E4</f>
        <v>296</v>
      </c>
      <c r="H4" s="403">
        <f>E4</f>
        <v>296</v>
      </c>
      <c r="I4" s="403">
        <v>0</v>
      </c>
      <c r="J4" s="403">
        <v>0</v>
      </c>
      <c r="K4" s="403">
        <v>0</v>
      </c>
      <c r="L4" s="268"/>
      <c r="M4" s="268"/>
      <c r="N4" s="268"/>
      <c r="O4" s="406" t="s">
        <v>257</v>
      </c>
      <c r="P4" s="403" t="s">
        <v>260</v>
      </c>
      <c r="Q4" s="403">
        <v>1</v>
      </c>
      <c r="R4" s="403">
        <v>30</v>
      </c>
      <c r="S4" s="274">
        <f t="shared" ref="S4:S13" si="2">Q4*R4</f>
        <v>30</v>
      </c>
      <c r="T4" s="403" t="s">
        <v>261</v>
      </c>
      <c r="U4" s="403"/>
    </row>
    <row r="5" spans="1:21" ht="14.25">
      <c r="A5" s="406" t="s">
        <v>257</v>
      </c>
      <c r="B5" s="403" t="s">
        <v>262</v>
      </c>
      <c r="C5" s="403">
        <v>1</v>
      </c>
      <c r="D5" s="403">
        <v>1.2</v>
      </c>
      <c r="E5" s="403">
        <f t="shared" si="0"/>
        <v>1.2</v>
      </c>
      <c r="F5" s="403" t="s">
        <v>263</v>
      </c>
      <c r="G5" s="274">
        <f t="shared" si="1"/>
        <v>1.2</v>
      </c>
      <c r="H5" s="403">
        <v>0</v>
      </c>
      <c r="I5" s="403">
        <v>0</v>
      </c>
      <c r="J5" s="403">
        <v>1.2</v>
      </c>
      <c r="K5" s="403">
        <v>0</v>
      </c>
      <c r="L5" s="268"/>
      <c r="M5" s="268"/>
      <c r="N5" s="268"/>
      <c r="O5" s="406" t="s">
        <v>257</v>
      </c>
      <c r="P5" s="403" t="s">
        <v>264</v>
      </c>
      <c r="Q5" s="403">
        <v>1</v>
      </c>
      <c r="R5" s="403">
        <v>5</v>
      </c>
      <c r="S5" s="274">
        <f t="shared" si="2"/>
        <v>5</v>
      </c>
      <c r="T5" s="403" t="s">
        <v>261</v>
      </c>
      <c r="U5" s="403"/>
    </row>
    <row r="6" spans="1:21" ht="14.25">
      <c r="A6" s="406" t="s">
        <v>257</v>
      </c>
      <c r="B6" s="403" t="s">
        <v>265</v>
      </c>
      <c r="C6" s="403">
        <v>1</v>
      </c>
      <c r="D6" s="403">
        <v>62.4</v>
      </c>
      <c r="E6" s="403">
        <f t="shared" si="0"/>
        <v>62.4</v>
      </c>
      <c r="F6" s="403" t="s">
        <v>266</v>
      </c>
      <c r="G6" s="274">
        <f t="shared" si="1"/>
        <v>62.4</v>
      </c>
      <c r="H6" s="403">
        <v>0</v>
      </c>
      <c r="I6" s="403">
        <v>0</v>
      </c>
      <c r="J6" s="403">
        <v>62.4</v>
      </c>
      <c r="K6" s="403">
        <v>0</v>
      </c>
      <c r="L6" s="268"/>
      <c r="M6" s="268"/>
      <c r="N6" s="268"/>
      <c r="O6" s="406" t="s">
        <v>257</v>
      </c>
      <c r="P6" s="403" t="s">
        <v>267</v>
      </c>
      <c r="Q6" s="403">
        <v>1</v>
      </c>
      <c r="R6" s="403">
        <v>8.33</v>
      </c>
      <c r="S6" s="274">
        <f t="shared" si="2"/>
        <v>8.33</v>
      </c>
      <c r="T6" s="403" t="s">
        <v>261</v>
      </c>
      <c r="U6" s="274"/>
    </row>
    <row r="7" spans="1:21" ht="14.25">
      <c r="A7" s="406" t="s">
        <v>257</v>
      </c>
      <c r="B7" s="403" t="s">
        <v>268</v>
      </c>
      <c r="C7" s="403">
        <v>1</v>
      </c>
      <c r="D7" s="403">
        <v>12</v>
      </c>
      <c r="E7" s="403">
        <f t="shared" si="0"/>
        <v>12</v>
      </c>
      <c r="F7" s="403" t="s">
        <v>261</v>
      </c>
      <c r="G7" s="274">
        <f t="shared" si="1"/>
        <v>12</v>
      </c>
      <c r="H7" s="403">
        <f t="shared" ref="H7:H15" si="3">E7</f>
        <v>12</v>
      </c>
      <c r="I7" s="403">
        <v>12</v>
      </c>
      <c r="J7" s="403">
        <v>12</v>
      </c>
      <c r="K7" s="403">
        <v>0</v>
      </c>
      <c r="L7" s="268"/>
      <c r="M7" s="268"/>
      <c r="N7" s="268"/>
      <c r="O7" s="406" t="s">
        <v>257</v>
      </c>
      <c r="P7" s="403" t="s">
        <v>269</v>
      </c>
      <c r="Q7" s="403">
        <v>1</v>
      </c>
      <c r="R7" s="403">
        <v>8.33</v>
      </c>
      <c r="S7" s="274">
        <f t="shared" si="2"/>
        <v>8.33</v>
      </c>
      <c r="T7" s="403" t="s">
        <v>261</v>
      </c>
      <c r="U7" s="274"/>
    </row>
    <row r="8" spans="1:21" ht="14.25">
      <c r="A8" s="406" t="s">
        <v>257</v>
      </c>
      <c r="B8" s="403" t="s">
        <v>270</v>
      </c>
      <c r="C8" s="403">
        <v>1</v>
      </c>
      <c r="D8" s="403">
        <v>28.8</v>
      </c>
      <c r="E8" s="403">
        <f t="shared" si="0"/>
        <v>28.8</v>
      </c>
      <c r="F8" s="403" t="s">
        <v>261</v>
      </c>
      <c r="G8" s="274">
        <f t="shared" si="1"/>
        <v>28.8</v>
      </c>
      <c r="H8" s="403">
        <f t="shared" si="3"/>
        <v>28.8</v>
      </c>
      <c r="I8" s="403">
        <f>E8</f>
        <v>28.8</v>
      </c>
      <c r="J8" s="403">
        <f>E8</f>
        <v>28.8</v>
      </c>
      <c r="K8" s="403">
        <f>E8</f>
        <v>28.8</v>
      </c>
      <c r="L8" s="268"/>
      <c r="M8" s="268"/>
      <c r="N8" s="268"/>
      <c r="O8" s="406" t="s">
        <v>257</v>
      </c>
      <c r="P8" s="403" t="s">
        <v>271</v>
      </c>
      <c r="Q8" s="403">
        <v>1</v>
      </c>
      <c r="R8" s="403">
        <v>4.17</v>
      </c>
      <c r="S8" s="274">
        <f t="shared" si="2"/>
        <v>4.17</v>
      </c>
      <c r="T8" s="403" t="s">
        <v>261</v>
      </c>
      <c r="U8" s="274"/>
    </row>
    <row r="9" spans="1:21" ht="14.25">
      <c r="A9" s="406" t="s">
        <v>257</v>
      </c>
      <c r="B9" s="403" t="s">
        <v>272</v>
      </c>
      <c r="C9" s="403">
        <v>1</v>
      </c>
      <c r="D9" s="403">
        <v>60</v>
      </c>
      <c r="E9" s="403">
        <f t="shared" si="0"/>
        <v>60</v>
      </c>
      <c r="F9" s="403" t="s">
        <v>273</v>
      </c>
      <c r="G9" s="274">
        <f t="shared" si="1"/>
        <v>60</v>
      </c>
      <c r="H9" s="403">
        <f t="shared" si="3"/>
        <v>60</v>
      </c>
      <c r="I9" s="403">
        <v>0</v>
      </c>
      <c r="J9" s="403">
        <v>0</v>
      </c>
      <c r="K9" s="274">
        <v>0</v>
      </c>
      <c r="L9" s="268"/>
      <c r="M9" s="268"/>
      <c r="N9" s="268"/>
      <c r="O9" s="406" t="s">
        <v>257</v>
      </c>
      <c r="P9" s="403" t="s">
        <v>274</v>
      </c>
      <c r="Q9" s="403">
        <v>1</v>
      </c>
      <c r="R9" s="403">
        <v>4.17</v>
      </c>
      <c r="S9" s="274">
        <f t="shared" si="2"/>
        <v>4.17</v>
      </c>
      <c r="T9" s="403" t="s">
        <v>273</v>
      </c>
      <c r="U9" s="274"/>
    </row>
    <row r="10" spans="1:21" ht="14.25">
      <c r="A10" s="406" t="s">
        <v>257</v>
      </c>
      <c r="B10" s="403" t="s">
        <v>267</v>
      </c>
      <c r="C10" s="403">
        <v>1</v>
      </c>
      <c r="D10" s="403">
        <v>4</v>
      </c>
      <c r="E10" s="403">
        <f t="shared" si="0"/>
        <v>4</v>
      </c>
      <c r="F10" s="403" t="s">
        <v>261</v>
      </c>
      <c r="G10" s="274">
        <f t="shared" si="1"/>
        <v>4</v>
      </c>
      <c r="H10" s="274">
        <f t="shared" si="3"/>
        <v>4</v>
      </c>
      <c r="I10" s="274">
        <f t="shared" ref="I10:I15" si="4">E10</f>
        <v>4</v>
      </c>
      <c r="J10" s="274">
        <f t="shared" ref="J10:J15" si="5">E10</f>
        <v>4</v>
      </c>
      <c r="K10" s="274">
        <f t="shared" ref="K10:K15" si="6">E10</f>
        <v>4</v>
      </c>
      <c r="L10" s="268"/>
      <c r="M10" s="268"/>
      <c r="N10" s="268"/>
      <c r="O10" s="406" t="s">
        <v>275</v>
      </c>
      <c r="P10" s="403" t="s">
        <v>276</v>
      </c>
      <c r="Q10" s="403">
        <v>4</v>
      </c>
      <c r="R10" s="403">
        <v>20</v>
      </c>
      <c r="S10" s="274">
        <f t="shared" si="2"/>
        <v>80</v>
      </c>
      <c r="T10" s="403" t="s">
        <v>261</v>
      </c>
      <c r="U10" s="274"/>
    </row>
    <row r="11" spans="1:21" ht="14.25">
      <c r="A11" s="406" t="s">
        <v>257</v>
      </c>
      <c r="B11" s="403" t="s">
        <v>269</v>
      </c>
      <c r="C11" s="403">
        <v>1</v>
      </c>
      <c r="D11" s="403">
        <v>16</v>
      </c>
      <c r="E11" s="403">
        <f t="shared" si="0"/>
        <v>16</v>
      </c>
      <c r="F11" s="403" t="s">
        <v>261</v>
      </c>
      <c r="G11" s="274">
        <f t="shared" si="1"/>
        <v>16</v>
      </c>
      <c r="H11" s="274">
        <f t="shared" si="3"/>
        <v>16</v>
      </c>
      <c r="I11" s="274">
        <f t="shared" si="4"/>
        <v>16</v>
      </c>
      <c r="J11" s="274">
        <f t="shared" si="5"/>
        <v>16</v>
      </c>
      <c r="K11" s="274">
        <f t="shared" si="6"/>
        <v>16</v>
      </c>
      <c r="L11" s="268"/>
      <c r="M11" s="268"/>
      <c r="N11" s="268"/>
      <c r="O11" s="406" t="s">
        <v>275</v>
      </c>
      <c r="P11" s="403" t="s">
        <v>277</v>
      </c>
      <c r="Q11" s="403">
        <v>4</v>
      </c>
      <c r="R11" s="403">
        <v>10</v>
      </c>
      <c r="S11" s="274">
        <f t="shared" si="2"/>
        <v>40</v>
      </c>
      <c r="T11" s="403" t="s">
        <v>261</v>
      </c>
      <c r="U11" s="274"/>
    </row>
    <row r="12" spans="1:21" ht="14.25">
      <c r="A12" s="406" t="s">
        <v>257</v>
      </c>
      <c r="B12" s="403" t="s">
        <v>278</v>
      </c>
      <c r="C12" s="403">
        <v>1</v>
      </c>
      <c r="D12" s="403">
        <v>6.4</v>
      </c>
      <c r="E12" s="403">
        <f t="shared" si="0"/>
        <v>6.4</v>
      </c>
      <c r="F12" s="403" t="s">
        <v>261</v>
      </c>
      <c r="G12" s="274">
        <f t="shared" si="1"/>
        <v>6.4</v>
      </c>
      <c r="H12" s="274">
        <f t="shared" si="3"/>
        <v>6.4</v>
      </c>
      <c r="I12" s="274">
        <f t="shared" si="4"/>
        <v>6.4</v>
      </c>
      <c r="J12" s="274">
        <f t="shared" si="5"/>
        <v>6.4</v>
      </c>
      <c r="K12" s="274">
        <f t="shared" si="6"/>
        <v>6.4</v>
      </c>
      <c r="L12" s="268"/>
      <c r="M12" s="268"/>
      <c r="N12" s="268"/>
      <c r="O12" s="406" t="s">
        <v>275</v>
      </c>
      <c r="P12" s="403" t="s">
        <v>279</v>
      </c>
      <c r="Q12" s="403">
        <v>1</v>
      </c>
      <c r="R12" s="403">
        <v>40</v>
      </c>
      <c r="S12" s="274">
        <f t="shared" si="2"/>
        <v>40</v>
      </c>
      <c r="T12" s="403" t="s">
        <v>261</v>
      </c>
      <c r="U12" s="274"/>
    </row>
    <row r="13" spans="1:21" ht="14.25">
      <c r="A13" s="406" t="s">
        <v>257</v>
      </c>
      <c r="B13" s="403" t="s">
        <v>280</v>
      </c>
      <c r="C13" s="403">
        <v>1</v>
      </c>
      <c r="D13" s="403">
        <v>4</v>
      </c>
      <c r="E13" s="403">
        <f t="shared" si="0"/>
        <v>4</v>
      </c>
      <c r="F13" s="403" t="s">
        <v>261</v>
      </c>
      <c r="G13" s="274">
        <f t="shared" si="1"/>
        <v>4</v>
      </c>
      <c r="H13" s="403">
        <f t="shared" si="3"/>
        <v>4</v>
      </c>
      <c r="I13" s="403">
        <f t="shared" si="4"/>
        <v>4</v>
      </c>
      <c r="J13" s="403">
        <f t="shared" si="5"/>
        <v>4</v>
      </c>
      <c r="K13" s="274">
        <f t="shared" si="6"/>
        <v>4</v>
      </c>
      <c r="L13" s="268"/>
      <c r="M13" s="268"/>
      <c r="N13" s="268"/>
      <c r="O13" s="277" t="s">
        <v>275</v>
      </c>
      <c r="P13" s="280" t="s">
        <v>281</v>
      </c>
      <c r="Q13" s="280">
        <v>1</v>
      </c>
      <c r="R13" s="280">
        <v>50</v>
      </c>
      <c r="S13" s="279">
        <f t="shared" si="2"/>
        <v>50</v>
      </c>
      <c r="T13" s="402" t="s">
        <v>261</v>
      </c>
      <c r="U13" s="274"/>
    </row>
    <row r="14" spans="1:21" ht="14.25">
      <c r="A14" s="406" t="s">
        <v>257</v>
      </c>
      <c r="B14" s="403" t="s">
        <v>274</v>
      </c>
      <c r="C14" s="403">
        <v>1</v>
      </c>
      <c r="D14" s="403">
        <v>4</v>
      </c>
      <c r="E14" s="403">
        <f t="shared" si="0"/>
        <v>4</v>
      </c>
      <c r="F14" s="403" t="s">
        <v>282</v>
      </c>
      <c r="G14" s="274">
        <f t="shared" si="1"/>
        <v>4</v>
      </c>
      <c r="H14" s="274">
        <f t="shared" si="3"/>
        <v>4</v>
      </c>
      <c r="I14" s="274">
        <f t="shared" si="4"/>
        <v>4</v>
      </c>
      <c r="J14" s="274">
        <f t="shared" si="5"/>
        <v>4</v>
      </c>
      <c r="K14" s="274">
        <f t="shared" si="6"/>
        <v>4</v>
      </c>
      <c r="L14" s="268"/>
      <c r="M14" s="268"/>
      <c r="N14" s="268"/>
      <c r="O14" s="290" t="s">
        <v>283</v>
      </c>
      <c r="P14" s="475"/>
      <c r="Q14" s="475"/>
      <c r="R14" s="475"/>
      <c r="S14" s="291">
        <f>SUM(S4:S13)</f>
        <v>270</v>
      </c>
      <c r="T14" s="476"/>
      <c r="U14" s="477"/>
    </row>
    <row r="15" spans="1:21">
      <c r="A15" s="406" t="s">
        <v>275</v>
      </c>
      <c r="B15" s="403" t="s">
        <v>91</v>
      </c>
      <c r="C15" s="403">
        <v>6</v>
      </c>
      <c r="D15" s="403">
        <v>10</v>
      </c>
      <c r="E15" s="274">
        <f t="shared" si="0"/>
        <v>60</v>
      </c>
      <c r="F15" s="403" t="s">
        <v>261</v>
      </c>
      <c r="G15" s="274">
        <f t="shared" si="1"/>
        <v>60</v>
      </c>
      <c r="H15" s="403">
        <f t="shared" si="3"/>
        <v>60</v>
      </c>
      <c r="I15" s="403">
        <f t="shared" si="4"/>
        <v>60</v>
      </c>
      <c r="J15" s="403">
        <f t="shared" si="5"/>
        <v>60</v>
      </c>
      <c r="K15" s="403">
        <f t="shared" si="6"/>
        <v>60</v>
      </c>
      <c r="L15" s="268"/>
      <c r="M15" s="268"/>
      <c r="N15" s="268"/>
      <c r="O15" s="292" t="s">
        <v>284</v>
      </c>
      <c r="P15" s="286"/>
      <c r="Q15" s="286"/>
      <c r="R15" s="286"/>
      <c r="S15" s="293">
        <f>S14*1.25</f>
        <v>337.5</v>
      </c>
      <c r="T15" s="403"/>
      <c r="U15" s="274"/>
    </row>
    <row r="16" spans="1:21">
      <c r="A16" s="406" t="s">
        <v>275</v>
      </c>
      <c r="B16" s="403" t="s">
        <v>285</v>
      </c>
      <c r="C16" s="403">
        <v>9</v>
      </c>
      <c r="D16" s="403">
        <v>14</v>
      </c>
      <c r="E16" s="403">
        <f t="shared" si="0"/>
        <v>126</v>
      </c>
      <c r="F16" s="403" t="s">
        <v>266</v>
      </c>
      <c r="G16" s="274">
        <f t="shared" si="1"/>
        <v>126</v>
      </c>
      <c r="H16" s="403">
        <v>0</v>
      </c>
      <c r="I16" s="403">
        <v>0</v>
      </c>
      <c r="J16" s="403">
        <v>0</v>
      </c>
      <c r="K16" s="403">
        <v>0</v>
      </c>
      <c r="L16" s="268"/>
      <c r="M16" s="268"/>
      <c r="N16" s="268"/>
      <c r="O16" s="408"/>
      <c r="P16" s="268"/>
      <c r="Q16" s="268"/>
      <c r="R16" s="268"/>
      <c r="S16" s="291"/>
      <c r="T16" s="403"/>
      <c r="U16" s="274"/>
    </row>
    <row r="17" spans="1:21">
      <c r="A17" s="406" t="s">
        <v>275</v>
      </c>
      <c r="B17" s="403" t="s">
        <v>286</v>
      </c>
      <c r="C17" s="403">
        <v>9</v>
      </c>
      <c r="D17" s="403">
        <v>10</v>
      </c>
      <c r="E17" s="403">
        <f t="shared" si="0"/>
        <v>90</v>
      </c>
      <c r="F17" s="403" t="s">
        <v>266</v>
      </c>
      <c r="G17" s="274">
        <v>0</v>
      </c>
      <c r="H17" s="403">
        <v>0</v>
      </c>
      <c r="I17" s="403">
        <v>0</v>
      </c>
      <c r="J17" s="403">
        <f>E17</f>
        <v>90</v>
      </c>
      <c r="K17" s="403">
        <v>0</v>
      </c>
      <c r="L17" s="268"/>
      <c r="M17" s="268"/>
      <c r="N17" s="268"/>
      <c r="O17" s="408"/>
      <c r="P17" s="268"/>
      <c r="Q17" s="268"/>
      <c r="R17" s="268"/>
      <c r="S17" s="291"/>
      <c r="T17" s="403"/>
      <c r="U17" s="274"/>
    </row>
    <row r="18" spans="1:21">
      <c r="A18" s="406" t="s">
        <v>275</v>
      </c>
      <c r="B18" s="403" t="s">
        <v>287</v>
      </c>
      <c r="C18" s="403">
        <v>4</v>
      </c>
      <c r="D18" s="403">
        <v>9</v>
      </c>
      <c r="E18" s="403">
        <f t="shared" si="0"/>
        <v>36</v>
      </c>
      <c r="F18" s="403" t="s">
        <v>266</v>
      </c>
      <c r="G18" s="274">
        <f>E18</f>
        <v>36</v>
      </c>
      <c r="H18" s="403">
        <v>0</v>
      </c>
      <c r="I18" s="403">
        <v>0</v>
      </c>
      <c r="J18" s="403">
        <v>0</v>
      </c>
      <c r="K18" s="403">
        <v>0</v>
      </c>
      <c r="L18" s="268"/>
      <c r="M18" s="268"/>
      <c r="N18" s="268"/>
      <c r="O18" s="478" t="s">
        <v>288</v>
      </c>
      <c r="P18" s="403" t="s">
        <v>289</v>
      </c>
      <c r="Q18" s="294" t="s">
        <v>284</v>
      </c>
      <c r="R18" s="268"/>
      <c r="S18" s="291"/>
      <c r="T18" s="403"/>
      <c r="U18" s="274"/>
    </row>
    <row r="19" spans="1:21">
      <c r="A19" s="406" t="s">
        <v>275</v>
      </c>
      <c r="B19" s="403" t="s">
        <v>290</v>
      </c>
      <c r="C19" s="403">
        <v>4</v>
      </c>
      <c r="D19" s="403">
        <v>9</v>
      </c>
      <c r="E19" s="403">
        <f t="shared" si="0"/>
        <v>36</v>
      </c>
      <c r="F19" s="403" t="s">
        <v>266</v>
      </c>
      <c r="G19" s="274">
        <v>0</v>
      </c>
      <c r="H19" s="403">
        <v>0</v>
      </c>
      <c r="I19" s="403">
        <v>0</v>
      </c>
      <c r="J19" s="403">
        <f>E19</f>
        <v>36</v>
      </c>
      <c r="K19" s="403">
        <v>0</v>
      </c>
      <c r="L19" s="268"/>
      <c r="M19" s="268"/>
      <c r="N19" s="268"/>
      <c r="O19" s="403" t="s">
        <v>288</v>
      </c>
      <c r="P19" s="403" t="s">
        <v>291</v>
      </c>
      <c r="Q19" s="403" t="s">
        <v>292</v>
      </c>
      <c r="R19" s="268"/>
      <c r="S19" s="291"/>
      <c r="T19" s="403"/>
      <c r="U19" s="274"/>
    </row>
    <row r="20" spans="1:21">
      <c r="A20" s="406" t="s">
        <v>275</v>
      </c>
      <c r="B20" s="403" t="s">
        <v>293</v>
      </c>
      <c r="C20" s="403">
        <v>1</v>
      </c>
      <c r="D20" s="403">
        <v>25</v>
      </c>
      <c r="E20" s="403">
        <f t="shared" si="0"/>
        <v>25</v>
      </c>
      <c r="F20" s="403" t="s">
        <v>261</v>
      </c>
      <c r="G20" s="274">
        <v>150</v>
      </c>
      <c r="H20" s="403">
        <f t="shared" ref="H20:H25" si="7">E20</f>
        <v>25</v>
      </c>
      <c r="I20" s="403">
        <f t="shared" ref="I20:I25" si="8">E20</f>
        <v>25</v>
      </c>
      <c r="J20" s="403">
        <v>100</v>
      </c>
      <c r="K20" s="403">
        <f t="shared" ref="K20:K25" si="9">E20</f>
        <v>25</v>
      </c>
      <c r="L20" s="268"/>
      <c r="M20" s="268"/>
      <c r="N20" s="268"/>
      <c r="O20" s="403" t="s">
        <v>288</v>
      </c>
      <c r="P20" s="403" t="s">
        <v>294</v>
      </c>
      <c r="Q20" s="403" t="s">
        <v>295</v>
      </c>
      <c r="R20" s="268"/>
      <c r="S20" s="291"/>
      <c r="T20" s="403"/>
      <c r="U20" s="274"/>
    </row>
    <row r="21" spans="1:21" ht="14.25">
      <c r="A21" s="275" t="s">
        <v>296</v>
      </c>
      <c r="B21" s="402" t="s">
        <v>297</v>
      </c>
      <c r="C21" s="402">
        <v>1</v>
      </c>
      <c r="D21" s="402">
        <f>C30</f>
        <v>162</v>
      </c>
      <c r="E21" s="402">
        <f>C21*D21</f>
        <v>162</v>
      </c>
      <c r="F21" s="402" t="s">
        <v>261</v>
      </c>
      <c r="G21" s="276">
        <f>E21</f>
        <v>162</v>
      </c>
      <c r="H21" s="402">
        <f t="shared" si="7"/>
        <v>162</v>
      </c>
      <c r="I21" s="402">
        <f t="shared" si="8"/>
        <v>162</v>
      </c>
      <c r="J21" s="402">
        <f>E21</f>
        <v>162</v>
      </c>
      <c r="K21" s="402">
        <f t="shared" si="9"/>
        <v>162</v>
      </c>
      <c r="L21" s="268"/>
      <c r="M21" s="268"/>
      <c r="N21" s="268"/>
      <c r="O21" s="403"/>
      <c r="P21" s="403"/>
      <c r="Q21" s="403"/>
      <c r="R21" s="268"/>
      <c r="S21" s="291"/>
      <c r="T21" s="403"/>
      <c r="U21" s="274"/>
    </row>
    <row r="22" spans="1:21">
      <c r="A22" s="406" t="s">
        <v>275</v>
      </c>
      <c r="B22" s="402" t="s">
        <v>298</v>
      </c>
      <c r="C22" s="402">
        <v>5</v>
      </c>
      <c r="D22" s="402">
        <v>5</v>
      </c>
      <c r="E22" s="402">
        <f>C22*D22</f>
        <v>25</v>
      </c>
      <c r="F22" s="402" t="s">
        <v>261</v>
      </c>
      <c r="G22" s="276">
        <f>E22</f>
        <v>25</v>
      </c>
      <c r="H22" s="402">
        <f t="shared" si="7"/>
        <v>25</v>
      </c>
      <c r="I22" s="402">
        <f t="shared" si="8"/>
        <v>25</v>
      </c>
      <c r="J22" s="402">
        <f>E22</f>
        <v>25</v>
      </c>
      <c r="K22" s="402">
        <f t="shared" si="9"/>
        <v>25</v>
      </c>
      <c r="L22" s="268"/>
      <c r="M22" s="268"/>
      <c r="N22" s="268"/>
      <c r="O22" s="268"/>
      <c r="P22" s="268"/>
      <c r="Q22" s="268"/>
      <c r="R22" s="268"/>
      <c r="S22" s="268"/>
      <c r="T22" s="403"/>
      <c r="U22" s="274"/>
    </row>
    <row r="23" spans="1:21">
      <c r="A23" s="406" t="s">
        <v>275</v>
      </c>
      <c r="B23" s="402" t="s">
        <v>299</v>
      </c>
      <c r="C23" s="402">
        <v>4</v>
      </c>
      <c r="D23" s="402">
        <v>5</v>
      </c>
      <c r="E23" s="402">
        <f>C23*D23</f>
        <v>20</v>
      </c>
      <c r="F23" s="402" t="s">
        <v>261</v>
      </c>
      <c r="G23" s="276">
        <f>E23</f>
        <v>20</v>
      </c>
      <c r="H23" s="402">
        <f t="shared" si="7"/>
        <v>20</v>
      </c>
      <c r="I23" s="402">
        <f t="shared" si="8"/>
        <v>20</v>
      </c>
      <c r="J23" s="402">
        <f>E23</f>
        <v>20</v>
      </c>
      <c r="K23" s="402">
        <f t="shared" si="9"/>
        <v>20</v>
      </c>
      <c r="L23" s="268"/>
      <c r="M23" s="268"/>
      <c r="N23" s="268"/>
      <c r="O23" s="268" t="s">
        <v>300</v>
      </c>
      <c r="P23" s="268"/>
      <c r="Q23" s="268"/>
      <c r="R23" s="268"/>
      <c r="S23" s="268"/>
      <c r="T23" s="403"/>
      <c r="U23" s="274"/>
    </row>
    <row r="24" spans="1:21">
      <c r="A24" s="406" t="s">
        <v>275</v>
      </c>
      <c r="B24" s="402" t="s">
        <v>301</v>
      </c>
      <c r="C24" s="402">
        <v>1</v>
      </c>
      <c r="D24" s="402">
        <v>10</v>
      </c>
      <c r="E24" s="402">
        <f>C24*D24</f>
        <v>10</v>
      </c>
      <c r="F24" s="402" t="s">
        <v>261</v>
      </c>
      <c r="G24" s="276">
        <f>E24</f>
        <v>10</v>
      </c>
      <c r="H24" s="402">
        <f t="shared" si="7"/>
        <v>10</v>
      </c>
      <c r="I24" s="402">
        <f t="shared" si="8"/>
        <v>10</v>
      </c>
      <c r="J24" s="402">
        <f>E24</f>
        <v>10</v>
      </c>
      <c r="K24" s="402">
        <f t="shared" si="9"/>
        <v>10</v>
      </c>
      <c r="L24" s="268"/>
      <c r="M24" s="268"/>
      <c r="N24" s="268"/>
      <c r="O24" s="459" t="s">
        <v>302</v>
      </c>
      <c r="P24" s="459"/>
      <c r="Q24" s="459"/>
      <c r="R24" s="476">
        <v>1</v>
      </c>
      <c r="S24" s="281"/>
      <c r="T24" s="403"/>
      <c r="U24" s="274"/>
    </row>
    <row r="25" spans="1:21" ht="14.25">
      <c r="A25" s="277" t="s">
        <v>275</v>
      </c>
      <c r="B25" s="278" t="s">
        <v>303</v>
      </c>
      <c r="C25" s="278">
        <v>1</v>
      </c>
      <c r="D25" s="278">
        <v>10</v>
      </c>
      <c r="E25" s="278">
        <f>C25*D25</f>
        <v>10</v>
      </c>
      <c r="F25" s="278" t="s">
        <v>261</v>
      </c>
      <c r="G25" s="279">
        <f>E25</f>
        <v>10</v>
      </c>
      <c r="H25" s="280">
        <f t="shared" si="7"/>
        <v>10</v>
      </c>
      <c r="I25" s="280">
        <f t="shared" si="8"/>
        <v>10</v>
      </c>
      <c r="J25" s="280">
        <f>E25</f>
        <v>10</v>
      </c>
      <c r="K25" s="280">
        <f t="shared" si="9"/>
        <v>10</v>
      </c>
      <c r="L25" s="91"/>
      <c r="M25" s="268"/>
      <c r="N25" s="268"/>
      <c r="O25" s="459" t="s">
        <v>304</v>
      </c>
      <c r="P25" s="459"/>
      <c r="Q25" s="459"/>
      <c r="R25" s="476">
        <v>0.8</v>
      </c>
      <c r="S25" s="295"/>
      <c r="T25" s="268"/>
      <c r="U25" s="268"/>
    </row>
    <row r="26" spans="1:21">
      <c r="A26" s="281" t="s">
        <v>103</v>
      </c>
      <c r="B26" s="281"/>
      <c r="C26" s="282"/>
      <c r="D26" s="249"/>
      <c r="E26" s="476">
        <f>SUM(E4:E25)</f>
        <v>1094.8</v>
      </c>
      <c r="F26" s="249"/>
      <c r="G26" s="477">
        <f>SUM(G4:G25)</f>
        <v>1093.8</v>
      </c>
      <c r="H26" s="477">
        <f>SUM(H4:H25)</f>
        <v>743.2</v>
      </c>
      <c r="I26" s="477">
        <f>SUM(I4:I25)</f>
        <v>387.2</v>
      </c>
      <c r="J26" s="477">
        <f>SUM(J4:J25)</f>
        <v>651.79999999999995</v>
      </c>
      <c r="K26" s="477">
        <f>SUM(K4:K25)</f>
        <v>375.2</v>
      </c>
      <c r="L26" s="91"/>
      <c r="M26" s="268"/>
      <c r="N26" s="268"/>
      <c r="O26" s="459" t="s">
        <v>305</v>
      </c>
      <c r="P26" s="459"/>
      <c r="Q26" s="459"/>
      <c r="R26" s="476">
        <f>S15*120</f>
        <v>40500</v>
      </c>
      <c r="S26" s="479" t="s">
        <v>306</v>
      </c>
      <c r="T26" s="268" t="s">
        <v>307</v>
      </c>
      <c r="U26" s="268"/>
    </row>
    <row r="27" spans="1:21">
      <c r="A27" s="281" t="s">
        <v>308</v>
      </c>
      <c r="B27" s="479"/>
      <c r="C27" s="476"/>
      <c r="D27" s="476"/>
      <c r="E27" s="249"/>
      <c r="F27" s="475"/>
      <c r="G27" s="283">
        <f>G26*1.35</f>
        <v>1476.63</v>
      </c>
      <c r="H27" s="283">
        <f>H26*1.35</f>
        <v>1003.3200000000002</v>
      </c>
      <c r="I27" s="283">
        <f>I26*1.35</f>
        <v>522.72</v>
      </c>
      <c r="J27" s="283">
        <f>J26*1.35</f>
        <v>879.93</v>
      </c>
      <c r="K27" s="284"/>
      <c r="L27" s="268"/>
      <c r="M27" s="268"/>
      <c r="N27" s="268"/>
      <c r="O27" s="459" t="s">
        <v>309</v>
      </c>
      <c r="P27" s="459"/>
      <c r="Q27" s="459"/>
      <c r="R27" s="478">
        <f>R26*R24</f>
        <v>40500</v>
      </c>
      <c r="S27" s="268" t="s">
        <v>310</v>
      </c>
      <c r="T27" s="479" t="s">
        <v>311</v>
      </c>
      <c r="U27" s="281"/>
    </row>
    <row r="28" spans="1:21">
      <c r="A28" s="281"/>
      <c r="B28" s="479"/>
      <c r="C28" s="476"/>
      <c r="D28" s="476"/>
      <c r="E28" s="249"/>
      <c r="F28" s="475"/>
      <c r="G28" s="283"/>
      <c r="H28" s="283"/>
      <c r="I28" s="283"/>
      <c r="J28" s="283"/>
      <c r="K28" s="284"/>
      <c r="L28" s="268"/>
      <c r="M28" s="268"/>
      <c r="N28" s="268"/>
      <c r="O28" s="459" t="s">
        <v>312</v>
      </c>
      <c r="P28" s="459"/>
      <c r="Q28" s="459"/>
      <c r="R28" s="478">
        <f>R27/R25</f>
        <v>50625</v>
      </c>
      <c r="S28" s="268" t="s">
        <v>310</v>
      </c>
      <c r="T28" s="479" t="s">
        <v>313</v>
      </c>
      <c r="U28" s="281"/>
    </row>
    <row r="29" spans="1:21">
      <c r="A29" s="268"/>
      <c r="B29" s="268"/>
      <c r="C29" s="268"/>
      <c r="D29" s="268"/>
      <c r="E29" s="268"/>
      <c r="F29" s="268"/>
      <c r="G29" s="268"/>
      <c r="H29" s="268"/>
      <c r="I29" s="268"/>
      <c r="J29" s="268"/>
      <c r="K29" s="268"/>
      <c r="L29" s="268"/>
      <c r="M29" s="268"/>
      <c r="N29" s="268"/>
      <c r="O29" s="459" t="s">
        <v>314</v>
      </c>
      <c r="P29" s="459"/>
      <c r="Q29" s="459"/>
      <c r="R29" s="478">
        <f>R28/125</f>
        <v>405</v>
      </c>
      <c r="S29" s="268" t="s">
        <v>315</v>
      </c>
      <c r="T29" s="479" t="s">
        <v>316</v>
      </c>
      <c r="U29" s="281"/>
    </row>
    <row r="30" spans="1:21" ht="14.25">
      <c r="A30" s="406" t="s">
        <v>317</v>
      </c>
      <c r="B30" s="403" t="s">
        <v>318</v>
      </c>
      <c r="C30" s="403">
        <v>162</v>
      </c>
      <c r="D30" s="479" t="s">
        <v>315</v>
      </c>
      <c r="E30" s="450" t="s">
        <v>319</v>
      </c>
      <c r="F30" s="450"/>
      <c r="G30" s="450"/>
      <c r="H30" s="450"/>
      <c r="I30" s="450"/>
      <c r="J30" s="450"/>
      <c r="K30" s="450"/>
      <c r="L30" s="450"/>
      <c r="M30" s="268"/>
      <c r="N30" s="268"/>
      <c r="O30" s="406" t="s">
        <v>320</v>
      </c>
      <c r="P30" s="406"/>
      <c r="Q30" s="296" t="s">
        <v>321</v>
      </c>
      <c r="R30" s="478">
        <f>R29</f>
        <v>405</v>
      </c>
      <c r="S30" s="268" t="s">
        <v>315</v>
      </c>
      <c r="T30" s="281"/>
      <c r="U30" s="281"/>
    </row>
    <row r="31" spans="1:21">
      <c r="A31" s="406" t="s">
        <v>288</v>
      </c>
      <c r="B31" s="403" t="s">
        <v>322</v>
      </c>
      <c r="C31" s="124">
        <v>0.1</v>
      </c>
      <c r="D31" s="403"/>
      <c r="E31" s="268"/>
      <c r="F31" s="403" t="s">
        <v>323</v>
      </c>
      <c r="G31" s="270">
        <f>G27*1/60</f>
        <v>24.610500000000002</v>
      </c>
      <c r="H31" s="270">
        <f>H27*119/60</f>
        <v>1989.9180000000003</v>
      </c>
      <c r="I31" s="270">
        <f>I27*59/60</f>
        <v>514.00800000000004</v>
      </c>
      <c r="J31" s="270">
        <f>J27*1/60</f>
        <v>14.6655</v>
      </c>
      <c r="K31" s="268"/>
      <c r="L31" s="268"/>
      <c r="M31" s="268"/>
      <c r="N31" s="268"/>
      <c r="O31" s="289" t="s">
        <v>324</v>
      </c>
      <c r="P31" s="289"/>
      <c r="Q31" s="297" t="s">
        <v>321</v>
      </c>
      <c r="R31" s="480">
        <v>40.5</v>
      </c>
      <c r="S31" s="286" t="s">
        <v>306</v>
      </c>
      <c r="T31" s="481" t="s">
        <v>325</v>
      </c>
      <c r="U31" s="285"/>
    </row>
    <row r="32" spans="1:21">
      <c r="A32" s="406" t="s">
        <v>288</v>
      </c>
      <c r="B32" s="403" t="s">
        <v>326</v>
      </c>
      <c r="C32" s="403">
        <v>1.25</v>
      </c>
      <c r="D32" s="268"/>
      <c r="E32" s="268"/>
      <c r="F32" s="285" t="s">
        <v>327</v>
      </c>
      <c r="G32" s="482"/>
      <c r="H32" s="482"/>
      <c r="I32" s="482"/>
      <c r="J32" s="482">
        <f>SUM(G31:J31)</f>
        <v>2543.2020000000002</v>
      </c>
      <c r="K32" s="483" t="s">
        <v>323</v>
      </c>
      <c r="L32" s="268"/>
      <c r="M32" s="268"/>
      <c r="N32" s="268"/>
      <c r="O32" s="268"/>
      <c r="P32" s="268"/>
      <c r="Q32" s="268"/>
      <c r="R32" s="268"/>
      <c r="S32" s="268"/>
      <c r="T32" s="281"/>
      <c r="U32" s="281"/>
    </row>
    <row r="33" spans="1:21" ht="14.25">
      <c r="A33" s="406" t="s">
        <v>288</v>
      </c>
      <c r="B33" s="403" t="s">
        <v>328</v>
      </c>
      <c r="C33" s="403" t="s">
        <v>292</v>
      </c>
      <c r="D33" s="268"/>
      <c r="E33" s="268"/>
      <c r="F33" s="268"/>
      <c r="G33" s="268"/>
      <c r="H33" s="268"/>
      <c r="I33" s="268"/>
      <c r="J33" s="268"/>
      <c r="K33" s="268"/>
      <c r="L33" s="268"/>
      <c r="M33" s="268"/>
      <c r="N33" s="268"/>
      <c r="O33" s="406" t="s">
        <v>329</v>
      </c>
      <c r="P33" s="268"/>
      <c r="Q33" s="406"/>
      <c r="R33" s="478">
        <f>S14*0.5*120*R24/R25/125</f>
        <v>162</v>
      </c>
      <c r="S33" s="268" t="s">
        <v>315</v>
      </c>
      <c r="T33" s="479" t="s">
        <v>316</v>
      </c>
      <c r="U33" s="281"/>
    </row>
    <row r="34" spans="1:21">
      <c r="A34" s="406" t="s">
        <v>288</v>
      </c>
      <c r="B34" s="403" t="s">
        <v>330</v>
      </c>
      <c r="C34" s="403" t="s">
        <v>295</v>
      </c>
      <c r="D34" s="268"/>
      <c r="E34" s="268"/>
      <c r="F34" s="398"/>
      <c r="G34" s="283"/>
      <c r="H34" s="283"/>
      <c r="I34" s="283"/>
      <c r="J34" s="283"/>
      <c r="K34" s="268"/>
      <c r="L34" s="268"/>
      <c r="M34" s="268"/>
      <c r="N34" s="268"/>
      <c r="O34" s="406"/>
      <c r="P34" s="268"/>
      <c r="Q34" s="406"/>
      <c r="R34" s="478"/>
      <c r="S34" s="268"/>
      <c r="T34" s="281"/>
      <c r="U34" s="281"/>
    </row>
    <row r="35" spans="1:21">
      <c r="A35" s="268"/>
      <c r="B35" s="268"/>
      <c r="C35" s="268"/>
      <c r="D35" s="403"/>
      <c r="E35" s="270"/>
      <c r="F35" s="459" t="s">
        <v>331</v>
      </c>
      <c r="G35" s="459"/>
      <c r="H35" s="459"/>
      <c r="I35" s="459"/>
      <c r="J35" s="459"/>
      <c r="K35" s="459"/>
      <c r="L35" s="459"/>
      <c r="M35" s="268"/>
      <c r="N35" s="268"/>
      <c r="O35" s="268"/>
      <c r="P35" s="406"/>
      <c r="Q35" s="268"/>
      <c r="R35" s="268"/>
      <c r="S35" s="268"/>
      <c r="T35" s="295"/>
      <c r="U35" s="295"/>
    </row>
    <row r="36" spans="1:21">
      <c r="A36" s="268"/>
      <c r="B36" s="268"/>
      <c r="C36" s="268"/>
      <c r="D36" s="268"/>
      <c r="E36" s="403"/>
      <c r="F36" s="403" t="s">
        <v>323</v>
      </c>
      <c r="G36" s="270">
        <f>G26*1/60</f>
        <v>18.23</v>
      </c>
      <c r="H36" s="270">
        <f>H26*119/60</f>
        <v>1474.0133333333333</v>
      </c>
      <c r="I36" s="270">
        <f>I26*59/60</f>
        <v>380.74666666666667</v>
      </c>
      <c r="J36" s="270">
        <f>J26*1/60</f>
        <v>10.863333333333333</v>
      </c>
      <c r="K36" s="268"/>
      <c r="L36" s="268"/>
      <c r="M36" s="268"/>
      <c r="N36" s="268"/>
      <c r="O36" s="268" t="s">
        <v>332</v>
      </c>
      <c r="P36" s="268"/>
      <c r="Q36" s="268"/>
      <c r="R36" s="268"/>
      <c r="S36" s="268"/>
      <c r="T36" s="281"/>
      <c r="U36" s="249"/>
    </row>
    <row r="37" spans="1:21" ht="14.25">
      <c r="A37" s="268"/>
      <c r="B37" s="268"/>
      <c r="C37" s="268"/>
      <c r="D37" s="268"/>
      <c r="E37" s="268"/>
      <c r="F37" s="285" t="s">
        <v>333</v>
      </c>
      <c r="G37" s="271"/>
      <c r="H37" s="271"/>
      <c r="I37" s="271"/>
      <c r="J37" s="271">
        <f>SUM(G36:J36)</f>
        <v>1883.8533333333332</v>
      </c>
      <c r="K37" s="286" t="s">
        <v>323</v>
      </c>
      <c r="L37" s="268"/>
      <c r="M37" s="268"/>
      <c r="N37" s="268"/>
      <c r="O37" s="287" t="s">
        <v>334</v>
      </c>
      <c r="P37" s="406"/>
      <c r="Q37" s="268"/>
      <c r="R37" s="268"/>
      <c r="S37" s="268"/>
      <c r="T37" s="281"/>
      <c r="U37" s="249"/>
    </row>
    <row r="38" spans="1:21" ht="14.25">
      <c r="A38" s="268"/>
      <c r="B38" s="268"/>
      <c r="C38" s="268"/>
      <c r="D38" s="268"/>
      <c r="E38" s="268"/>
      <c r="F38" s="268"/>
      <c r="G38" s="268"/>
      <c r="H38" s="268"/>
      <c r="I38" s="268"/>
      <c r="J38" s="268"/>
      <c r="K38" s="268"/>
      <c r="L38" s="268"/>
      <c r="M38" s="268"/>
      <c r="N38" s="268"/>
      <c r="O38" s="288" t="s">
        <v>335</v>
      </c>
      <c r="P38" s="268"/>
      <c r="Q38" s="268"/>
      <c r="R38" s="268"/>
      <c r="S38" s="268"/>
      <c r="T38" s="268"/>
      <c r="U38" s="268"/>
    </row>
    <row r="39" spans="1:21" ht="14.25">
      <c r="A39" s="268"/>
      <c r="B39" s="268"/>
      <c r="C39" s="268"/>
      <c r="D39" s="403"/>
      <c r="E39" s="403"/>
      <c r="F39" s="406" t="s">
        <v>336</v>
      </c>
      <c r="G39" s="406"/>
      <c r="H39" s="406"/>
      <c r="I39" s="406"/>
      <c r="J39" s="399" t="s">
        <v>261</v>
      </c>
      <c r="K39" s="270">
        <f>J37</f>
        <v>1883.8533333333332</v>
      </c>
      <c r="L39" s="268" t="s">
        <v>337</v>
      </c>
      <c r="M39" s="268"/>
      <c r="N39" s="268"/>
      <c r="O39" s="288" t="s">
        <v>338</v>
      </c>
      <c r="P39" s="268"/>
      <c r="Q39" s="268"/>
      <c r="R39" s="268"/>
      <c r="S39" s="268"/>
      <c r="T39" s="268"/>
      <c r="U39" s="268"/>
    </row>
    <row r="40" spans="1:21">
      <c r="A40" s="268"/>
      <c r="B40" s="268"/>
      <c r="C40" s="268"/>
      <c r="D40" s="403"/>
      <c r="E40" s="403"/>
      <c r="F40" s="406" t="s">
        <v>283</v>
      </c>
      <c r="G40" s="406"/>
      <c r="H40" s="406"/>
      <c r="I40" s="406"/>
      <c r="J40" s="399" t="s">
        <v>339</v>
      </c>
      <c r="K40" s="270">
        <f>K26</f>
        <v>375.2</v>
      </c>
      <c r="L40" s="268" t="s">
        <v>315</v>
      </c>
      <c r="M40" s="268"/>
      <c r="N40" s="268"/>
      <c r="O40" s="268"/>
      <c r="P40" s="268"/>
      <c r="Q40" s="268"/>
      <c r="R40" s="268"/>
      <c r="S40" s="268"/>
      <c r="T40" s="268"/>
      <c r="U40" s="268"/>
    </row>
    <row r="41" spans="1:21">
      <c r="A41" s="268" t="s">
        <v>332</v>
      </c>
      <c r="B41" s="268"/>
      <c r="C41" s="268"/>
      <c r="D41" s="403"/>
      <c r="E41" s="403"/>
      <c r="F41" s="406" t="s">
        <v>340</v>
      </c>
      <c r="G41" s="406"/>
      <c r="H41" s="406"/>
      <c r="I41" s="406"/>
      <c r="J41" s="399" t="s">
        <v>341</v>
      </c>
      <c r="K41" s="403">
        <v>12</v>
      </c>
      <c r="L41" s="268" t="s">
        <v>342</v>
      </c>
      <c r="M41" s="268"/>
      <c r="N41" s="268"/>
      <c r="O41" s="268"/>
      <c r="P41" s="268"/>
      <c r="Q41" s="268"/>
      <c r="R41" s="268"/>
      <c r="S41" s="268"/>
      <c r="T41" s="268"/>
      <c r="U41" s="268"/>
    </row>
    <row r="42" spans="1:21" ht="14.25">
      <c r="A42" s="287" t="s">
        <v>343</v>
      </c>
      <c r="B42" s="479"/>
      <c r="C42" s="476"/>
      <c r="D42" s="403"/>
      <c r="E42" s="403"/>
      <c r="F42" s="459" t="s">
        <v>344</v>
      </c>
      <c r="G42" s="459"/>
      <c r="H42" s="459"/>
      <c r="I42" s="459"/>
      <c r="J42" s="268"/>
      <c r="K42" s="403">
        <v>1.1000000000000001</v>
      </c>
      <c r="L42" s="406"/>
      <c r="M42" s="268"/>
      <c r="N42" s="268"/>
      <c r="O42" s="268"/>
      <c r="P42" s="268"/>
      <c r="Q42" s="268"/>
      <c r="R42" s="268"/>
      <c r="S42" s="268"/>
      <c r="T42" s="268"/>
      <c r="U42" s="268"/>
    </row>
    <row r="43" spans="1:21" ht="14.25">
      <c r="A43" s="288" t="s">
        <v>345</v>
      </c>
      <c r="B43" s="268"/>
      <c r="C43" s="268"/>
      <c r="D43" s="403"/>
      <c r="E43" s="403"/>
      <c r="F43" s="268"/>
      <c r="G43" s="268"/>
      <c r="H43" s="268"/>
      <c r="I43" s="268"/>
      <c r="J43" s="268"/>
      <c r="K43" s="268"/>
      <c r="L43" s="268"/>
      <c r="M43" s="268"/>
      <c r="N43" s="268"/>
      <c r="O43" s="268"/>
      <c r="P43" s="268"/>
      <c r="Q43" s="268"/>
      <c r="R43" s="268"/>
      <c r="S43" s="268"/>
      <c r="T43" s="268"/>
      <c r="U43" s="268"/>
    </row>
    <row r="44" spans="1:21" ht="14.25">
      <c r="A44" s="288" t="s">
        <v>346</v>
      </c>
      <c r="B44" s="268"/>
      <c r="C44" s="268"/>
      <c r="D44" s="403"/>
      <c r="E44" s="403"/>
      <c r="F44" s="450" t="s">
        <v>347</v>
      </c>
      <c r="G44" s="450"/>
      <c r="H44" s="450"/>
      <c r="I44" s="268"/>
      <c r="J44" s="268"/>
      <c r="K44" s="268"/>
      <c r="L44" s="268"/>
      <c r="M44" s="268"/>
      <c r="N44" s="268"/>
      <c r="O44" s="268"/>
      <c r="P44" s="268"/>
      <c r="Q44" s="268"/>
      <c r="R44" s="268"/>
      <c r="S44" s="268"/>
      <c r="T44" s="268"/>
      <c r="U44" s="268"/>
    </row>
    <row r="45" spans="1:21">
      <c r="A45" s="268"/>
      <c r="B45" s="403"/>
      <c r="C45" s="403"/>
      <c r="D45" s="403"/>
      <c r="E45" s="403"/>
      <c r="F45" s="461" t="s">
        <v>348</v>
      </c>
      <c r="G45" s="461"/>
      <c r="H45" s="484">
        <f>K40+(K42*K39)/K41</f>
        <v>547.88655555555556</v>
      </c>
      <c r="I45" s="289" t="s">
        <v>315</v>
      </c>
      <c r="J45" s="268"/>
      <c r="K45" s="268"/>
      <c r="L45" s="268"/>
      <c r="M45" s="268"/>
      <c r="N45" s="268"/>
      <c r="O45" s="268"/>
      <c r="P45" s="268"/>
      <c r="Q45" s="268"/>
      <c r="R45" s="268"/>
      <c r="S45" s="268"/>
      <c r="T45" s="268"/>
      <c r="U45" s="268"/>
    </row>
    <row r="46" spans="1:21">
      <c r="A46" s="268"/>
      <c r="B46" s="268"/>
      <c r="C46" s="268"/>
      <c r="D46" s="403"/>
      <c r="E46" s="268"/>
      <c r="F46" s="268" t="s">
        <v>349</v>
      </c>
      <c r="G46" s="268"/>
      <c r="H46" s="268"/>
      <c r="I46" s="144" t="s">
        <v>350</v>
      </c>
      <c r="J46" s="268"/>
      <c r="K46" s="268"/>
      <c r="L46" s="268"/>
      <c r="M46" s="268"/>
      <c r="N46" s="268"/>
      <c r="O46" s="268"/>
      <c r="P46" s="268"/>
      <c r="Q46" s="268"/>
      <c r="R46" s="268"/>
      <c r="S46" s="268"/>
      <c r="T46" s="268"/>
      <c r="U46" s="268"/>
    </row>
    <row r="62" spans="1:5">
      <c r="A62" s="273"/>
      <c r="B62" s="273"/>
      <c r="C62" s="273"/>
      <c r="D62" s="273"/>
      <c r="E62" s="273"/>
    </row>
    <row r="63" spans="1:5">
      <c r="A63" s="273"/>
      <c r="B63" s="273"/>
      <c r="C63" s="273"/>
      <c r="D63" s="273"/>
      <c r="E63" s="273"/>
    </row>
    <row r="64" spans="1:5">
      <c r="A64" s="273"/>
      <c r="B64" s="273"/>
      <c r="C64" s="273"/>
      <c r="D64" s="273"/>
      <c r="E64" s="273"/>
    </row>
    <row r="65" spans="1:5">
      <c r="A65" s="273"/>
      <c r="B65" s="273"/>
      <c r="C65" s="273"/>
      <c r="D65" s="273"/>
      <c r="E65" s="273"/>
    </row>
    <row r="66" spans="1:5">
      <c r="A66" s="273"/>
      <c r="B66" s="273"/>
      <c r="C66" s="273"/>
      <c r="D66" s="273"/>
      <c r="E66" s="273"/>
    </row>
    <row r="67" spans="1:5">
      <c r="A67" s="273"/>
      <c r="B67" s="273"/>
      <c r="C67" s="273"/>
      <c r="D67" s="273"/>
      <c r="E67" s="273"/>
    </row>
    <row r="68" spans="1:5">
      <c r="A68" s="273"/>
      <c r="B68" s="273"/>
      <c r="C68" s="273"/>
      <c r="D68" s="273"/>
      <c r="E68" s="273"/>
    </row>
    <row r="69" spans="1:5">
      <c r="A69" s="273"/>
      <c r="B69" s="273"/>
      <c r="C69" s="273"/>
      <c r="D69" s="273"/>
      <c r="E69" s="273"/>
    </row>
    <row r="70" spans="1:5">
      <c r="A70" s="273"/>
      <c r="B70" s="273"/>
      <c r="C70" s="273"/>
      <c r="D70" s="273"/>
      <c r="E70" s="273"/>
    </row>
    <row r="71" spans="1:5">
      <c r="A71" s="273"/>
      <c r="B71" s="273"/>
      <c r="C71" s="273"/>
      <c r="D71" s="273"/>
      <c r="E71" s="273"/>
    </row>
    <row r="72" spans="1:5">
      <c r="A72" s="273"/>
      <c r="B72" s="273"/>
      <c r="C72" s="273"/>
      <c r="D72" s="273"/>
      <c r="E72" s="273"/>
    </row>
    <row r="73" spans="1:5">
      <c r="A73" s="273"/>
      <c r="B73" s="273"/>
      <c r="C73" s="273"/>
      <c r="D73" s="273"/>
      <c r="E73" s="273"/>
    </row>
    <row r="74" spans="1:5">
      <c r="A74" s="273"/>
      <c r="B74" s="273"/>
      <c r="C74" s="273"/>
      <c r="D74" s="273"/>
      <c r="E74" s="273"/>
    </row>
    <row r="75" spans="1:5">
      <c r="A75" s="273"/>
      <c r="B75" s="273"/>
      <c r="C75" s="273"/>
      <c r="D75" s="273"/>
      <c r="E75" s="273"/>
    </row>
    <row r="76" spans="1:5">
      <c r="A76" s="273"/>
      <c r="B76" s="273"/>
      <c r="C76" s="273"/>
      <c r="D76" s="273"/>
      <c r="E76" s="273"/>
    </row>
    <row r="77" spans="1:5">
      <c r="A77" s="273"/>
      <c r="B77" s="273"/>
      <c r="C77" s="273"/>
      <c r="D77" s="273"/>
      <c r="E77" s="273"/>
    </row>
    <row r="78" spans="1:5">
      <c r="A78" s="273"/>
      <c r="B78" s="273"/>
      <c r="C78" s="273"/>
      <c r="D78" s="273"/>
      <c r="E78" s="273"/>
    </row>
    <row r="79" spans="1:5">
      <c r="A79" s="273"/>
      <c r="B79" s="273"/>
      <c r="C79" s="273"/>
      <c r="D79" s="273"/>
      <c r="E79" s="273"/>
    </row>
    <row r="80" spans="1:5">
      <c r="A80" s="273"/>
      <c r="B80" s="273"/>
      <c r="C80" s="273"/>
      <c r="D80" s="273"/>
      <c r="E80" s="273"/>
    </row>
    <row r="81" spans="1:5">
      <c r="A81" s="273"/>
      <c r="B81" s="273"/>
      <c r="C81" s="273"/>
      <c r="D81" s="273"/>
      <c r="E81" s="273"/>
    </row>
    <row r="82" spans="1:5">
      <c r="A82" s="273"/>
      <c r="B82" s="273"/>
      <c r="C82" s="273"/>
      <c r="D82" s="273"/>
      <c r="E82" s="273"/>
    </row>
    <row r="83" spans="1:5">
      <c r="A83" s="273"/>
      <c r="B83" s="273"/>
      <c r="C83" s="273"/>
      <c r="D83" s="273"/>
      <c r="E83" s="273"/>
    </row>
    <row r="84" spans="1:5">
      <c r="A84" s="273"/>
      <c r="B84" s="273"/>
      <c r="C84" s="273"/>
      <c r="D84" s="273"/>
      <c r="E84" s="273"/>
    </row>
    <row r="85" spans="1:5">
      <c r="A85" s="273"/>
      <c r="B85" s="273"/>
      <c r="C85" s="273"/>
      <c r="D85" s="273"/>
      <c r="E85" s="273"/>
    </row>
  </sheetData>
  <mergeCells count="16">
    <mergeCell ref="F45:G45"/>
    <mergeCell ref="F42:I42"/>
    <mergeCell ref="F35:L35"/>
    <mergeCell ref="F44:H44"/>
    <mergeCell ref="E30:L30"/>
    <mergeCell ref="O28:Q28"/>
    <mergeCell ref="O29:Q29"/>
    <mergeCell ref="A1:L1"/>
    <mergeCell ref="O1:T1"/>
    <mergeCell ref="R2:S2"/>
    <mergeCell ref="O24:Q24"/>
    <mergeCell ref="O25:Q25"/>
    <mergeCell ref="O26:Q26"/>
    <mergeCell ref="O27:Q27"/>
    <mergeCell ref="G2:J2"/>
    <mergeCell ref="D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9"/>
  <sheetViews>
    <sheetView workbookViewId="0">
      <selection activeCell="G46" sqref="G46"/>
    </sheetView>
  </sheetViews>
  <sheetFormatPr defaultRowHeight="12.75"/>
  <cols>
    <col min="1" max="1" width="48.140625" bestFit="1" customWidth="1"/>
    <col min="2" max="6" width="7.85546875" customWidth="1"/>
    <col min="8" max="8" width="44.85546875" bestFit="1" customWidth="1"/>
  </cols>
  <sheetData>
    <row r="2" spans="1:13">
      <c r="A2" s="485" t="s">
        <v>351</v>
      </c>
      <c r="B2" s="486"/>
      <c r="C2" s="486"/>
      <c r="D2" s="486"/>
      <c r="E2" s="486"/>
      <c r="F2" s="487"/>
      <c r="G2" s="268"/>
      <c r="H2" s="485" t="s">
        <v>352</v>
      </c>
      <c r="I2" s="486"/>
      <c r="J2" s="486"/>
      <c r="K2" s="486"/>
      <c r="L2" s="486"/>
      <c r="M2" s="487"/>
    </row>
    <row r="3" spans="1:13" ht="16.5" thickBot="1">
      <c r="A3" s="488" t="s">
        <v>353</v>
      </c>
      <c r="B3" s="485" t="s">
        <v>354</v>
      </c>
      <c r="C3" s="486"/>
      <c r="D3" s="486"/>
      <c r="E3" s="486"/>
      <c r="F3" s="487"/>
      <c r="G3" s="268"/>
      <c r="H3" s="489" t="s">
        <v>355</v>
      </c>
      <c r="I3" s="490" t="s">
        <v>356</v>
      </c>
      <c r="J3" s="490" t="s">
        <v>315</v>
      </c>
      <c r="K3" s="490" t="s">
        <v>357</v>
      </c>
      <c r="L3" s="490" t="s">
        <v>358</v>
      </c>
      <c r="M3" s="490" t="s">
        <v>359</v>
      </c>
    </row>
    <row r="4" spans="1:13">
      <c r="A4" s="491"/>
      <c r="B4" s="492">
        <v>1</v>
      </c>
      <c r="C4" s="492">
        <v>59</v>
      </c>
      <c r="D4" s="493">
        <v>59</v>
      </c>
      <c r="E4" s="492">
        <v>1</v>
      </c>
      <c r="F4" s="492">
        <v>60</v>
      </c>
      <c r="G4" s="268"/>
      <c r="H4" s="494" t="s">
        <v>360</v>
      </c>
      <c r="I4" s="492">
        <v>120</v>
      </c>
      <c r="J4" s="492">
        <v>6.5</v>
      </c>
      <c r="K4" s="493">
        <v>780</v>
      </c>
      <c r="L4" s="492">
        <v>0.85</v>
      </c>
      <c r="M4" s="493">
        <v>663</v>
      </c>
    </row>
    <row r="5" spans="1:13">
      <c r="A5" s="494" t="s">
        <v>361</v>
      </c>
      <c r="B5" s="493">
        <v>0</v>
      </c>
      <c r="C5" s="493">
        <v>0</v>
      </c>
      <c r="D5" s="493">
        <v>0</v>
      </c>
      <c r="E5" s="493">
        <v>3.8</v>
      </c>
      <c r="F5" s="493">
        <v>0</v>
      </c>
      <c r="G5" s="268"/>
      <c r="H5" s="494" t="s">
        <v>362</v>
      </c>
      <c r="I5" s="492">
        <v>120</v>
      </c>
      <c r="J5" s="492">
        <v>8.89</v>
      </c>
      <c r="K5" s="495">
        <v>1067</v>
      </c>
      <c r="L5" s="492">
        <v>0.85</v>
      </c>
      <c r="M5" s="493">
        <v>907</v>
      </c>
    </row>
    <row r="6" spans="1:13">
      <c r="A6" s="494" t="s">
        <v>363</v>
      </c>
      <c r="B6" s="493">
        <v>14.4</v>
      </c>
      <c r="C6" s="493">
        <v>0</v>
      </c>
      <c r="D6" s="493">
        <v>0</v>
      </c>
      <c r="E6" s="493">
        <v>0</v>
      </c>
      <c r="F6" s="493">
        <v>0</v>
      </c>
      <c r="G6" s="268"/>
      <c r="H6" s="494" t="s">
        <v>364</v>
      </c>
      <c r="I6" s="492">
        <v>120</v>
      </c>
      <c r="J6" s="492">
        <v>2.1800000000000002</v>
      </c>
      <c r="K6" s="493">
        <v>262</v>
      </c>
      <c r="L6" s="492">
        <v>0.85</v>
      </c>
      <c r="M6" s="493">
        <v>222</v>
      </c>
    </row>
    <row r="7" spans="1:13">
      <c r="A7" s="494" t="s">
        <v>365</v>
      </c>
      <c r="B7" s="493">
        <v>14.4</v>
      </c>
      <c r="C7" s="493">
        <v>0</v>
      </c>
      <c r="D7" s="493">
        <v>0</v>
      </c>
      <c r="E7" s="493">
        <v>0</v>
      </c>
      <c r="F7" s="493">
        <v>0</v>
      </c>
      <c r="G7" s="268"/>
      <c r="H7" s="494" t="s">
        <v>366</v>
      </c>
      <c r="I7" s="492">
        <v>120</v>
      </c>
      <c r="J7" s="492">
        <v>114.68</v>
      </c>
      <c r="K7" s="495">
        <v>13762</v>
      </c>
      <c r="L7" s="496"/>
      <c r="M7" s="495">
        <v>11697</v>
      </c>
    </row>
    <row r="8" spans="1:13">
      <c r="A8" s="494" t="s">
        <v>367</v>
      </c>
      <c r="B8" s="493">
        <v>0</v>
      </c>
      <c r="C8" s="493">
        <v>0</v>
      </c>
      <c r="D8" s="493">
        <v>0</v>
      </c>
      <c r="E8" s="493">
        <v>3.8</v>
      </c>
      <c r="F8" s="493">
        <v>0</v>
      </c>
      <c r="G8" s="268"/>
      <c r="H8" s="494" t="s">
        <v>368</v>
      </c>
      <c r="I8" s="492">
        <v>120</v>
      </c>
      <c r="J8" s="492">
        <v>61.93</v>
      </c>
      <c r="K8" s="495">
        <v>7432</v>
      </c>
      <c r="L8" s="496"/>
      <c r="M8" s="495">
        <v>5984</v>
      </c>
    </row>
    <row r="9" spans="1:13">
      <c r="A9" s="494" t="s">
        <v>369</v>
      </c>
      <c r="B9" s="493">
        <v>14.4</v>
      </c>
      <c r="C9" s="493">
        <v>0</v>
      </c>
      <c r="D9" s="493">
        <v>0</v>
      </c>
      <c r="E9" s="493">
        <v>0</v>
      </c>
      <c r="F9" s="493">
        <v>0</v>
      </c>
      <c r="G9" s="268"/>
      <c r="H9" s="494" t="s">
        <v>370</v>
      </c>
      <c r="I9" s="492">
        <v>120</v>
      </c>
      <c r="J9" s="492">
        <v>61.93</v>
      </c>
      <c r="K9" s="495">
        <v>7432</v>
      </c>
      <c r="L9" s="496"/>
      <c r="M9" s="495">
        <v>5984</v>
      </c>
    </row>
    <row r="10" spans="1:13">
      <c r="A10" s="494" t="s">
        <v>371</v>
      </c>
      <c r="B10" s="493">
        <v>14.4</v>
      </c>
      <c r="C10" s="493">
        <v>0</v>
      </c>
      <c r="D10" s="493">
        <v>0</v>
      </c>
      <c r="E10" s="493">
        <v>0</v>
      </c>
      <c r="F10" s="493">
        <v>0</v>
      </c>
      <c r="G10" s="268"/>
      <c r="H10" s="494" t="s">
        <v>372</v>
      </c>
      <c r="I10" s="492">
        <v>120</v>
      </c>
      <c r="J10" s="492">
        <v>5</v>
      </c>
      <c r="K10" s="493">
        <v>600</v>
      </c>
      <c r="L10" s="492">
        <v>0.85</v>
      </c>
      <c r="M10" s="493">
        <v>510</v>
      </c>
    </row>
    <row r="11" spans="1:13">
      <c r="A11" s="494" t="s">
        <v>373</v>
      </c>
      <c r="B11" s="493">
        <v>0</v>
      </c>
      <c r="C11" s="493">
        <v>0</v>
      </c>
      <c r="D11" s="493">
        <v>0</v>
      </c>
      <c r="E11" s="493">
        <v>3.8</v>
      </c>
      <c r="F11" s="493">
        <v>0</v>
      </c>
      <c r="G11" s="268"/>
      <c r="H11" s="494" t="s">
        <v>374</v>
      </c>
      <c r="I11" s="492">
        <v>120</v>
      </c>
      <c r="J11" s="492">
        <v>5</v>
      </c>
      <c r="K11" s="493">
        <v>600</v>
      </c>
      <c r="L11" s="492">
        <v>0.85</v>
      </c>
      <c r="M11" s="493">
        <v>510</v>
      </c>
    </row>
    <row r="12" spans="1:13">
      <c r="A12" s="494" t="s">
        <v>375</v>
      </c>
      <c r="B12" s="493">
        <v>14.4</v>
      </c>
      <c r="C12" s="493">
        <v>0</v>
      </c>
      <c r="D12" s="493">
        <v>0</v>
      </c>
      <c r="E12" s="493">
        <v>0</v>
      </c>
      <c r="F12" s="493">
        <v>0</v>
      </c>
      <c r="G12" s="268"/>
      <c r="H12" s="494" t="s">
        <v>376</v>
      </c>
      <c r="I12" s="492">
        <v>120</v>
      </c>
      <c r="J12" s="492">
        <v>5</v>
      </c>
      <c r="K12" s="493">
        <v>600</v>
      </c>
      <c r="L12" s="492">
        <v>0.85</v>
      </c>
      <c r="M12" s="493">
        <v>510</v>
      </c>
    </row>
    <row r="13" spans="1:13">
      <c r="A13" s="494" t="s">
        <v>377</v>
      </c>
      <c r="B13" s="493">
        <v>14.4</v>
      </c>
      <c r="C13" s="493">
        <v>0</v>
      </c>
      <c r="D13" s="493">
        <v>0</v>
      </c>
      <c r="E13" s="493">
        <v>0</v>
      </c>
      <c r="F13" s="493">
        <v>0</v>
      </c>
      <c r="G13" s="268"/>
      <c r="H13" s="494" t="s">
        <v>378</v>
      </c>
      <c r="I13" s="492">
        <v>120</v>
      </c>
      <c r="J13" s="492">
        <v>5</v>
      </c>
      <c r="K13" s="493">
        <v>600</v>
      </c>
      <c r="L13" s="492">
        <v>0.85</v>
      </c>
      <c r="M13" s="493">
        <v>510</v>
      </c>
    </row>
    <row r="14" spans="1:13">
      <c r="A14" s="494" t="s">
        <v>379</v>
      </c>
      <c r="B14" s="493">
        <v>10</v>
      </c>
      <c r="C14" s="493">
        <v>10</v>
      </c>
      <c r="D14" s="493">
        <v>10</v>
      </c>
      <c r="E14" s="493">
        <v>10</v>
      </c>
      <c r="F14" s="493">
        <v>0</v>
      </c>
      <c r="G14" s="268"/>
      <c r="H14" s="497" t="s">
        <v>98</v>
      </c>
      <c r="I14" s="498">
        <v>120</v>
      </c>
      <c r="J14" s="498">
        <v>6.6</v>
      </c>
      <c r="K14" s="499">
        <v>792</v>
      </c>
      <c r="L14" s="498">
        <v>0.43</v>
      </c>
      <c r="M14" s="499">
        <v>341</v>
      </c>
    </row>
    <row r="15" spans="1:13" ht="13.5" thickBot="1">
      <c r="A15" s="494" t="s">
        <v>380</v>
      </c>
      <c r="B15" s="493">
        <v>10</v>
      </c>
      <c r="C15" s="493">
        <v>10</v>
      </c>
      <c r="D15" s="493">
        <v>10</v>
      </c>
      <c r="E15" s="493">
        <v>10</v>
      </c>
      <c r="F15" s="493">
        <v>0</v>
      </c>
      <c r="G15" s="268"/>
      <c r="H15" s="500" t="s">
        <v>207</v>
      </c>
      <c r="I15" s="501">
        <v>120</v>
      </c>
      <c r="J15" s="501">
        <v>10</v>
      </c>
      <c r="K15" s="502">
        <v>1200</v>
      </c>
      <c r="L15" s="501">
        <v>0.85</v>
      </c>
      <c r="M15" s="502">
        <v>1020</v>
      </c>
    </row>
    <row r="16" spans="1:13">
      <c r="A16" s="494" t="s">
        <v>381</v>
      </c>
      <c r="B16" s="493">
        <v>10</v>
      </c>
      <c r="C16" s="493">
        <v>10</v>
      </c>
      <c r="D16" s="493">
        <v>10</v>
      </c>
      <c r="E16" s="493">
        <v>10</v>
      </c>
      <c r="F16" s="493">
        <v>0</v>
      </c>
      <c r="G16" s="268"/>
      <c r="H16" s="494" t="s">
        <v>104</v>
      </c>
      <c r="I16" s="496"/>
      <c r="J16" s="492">
        <v>292.70999999999998</v>
      </c>
      <c r="K16" s="495">
        <v>35125</v>
      </c>
      <c r="L16" s="496"/>
      <c r="M16" s="495">
        <v>28859</v>
      </c>
    </row>
    <row r="17" spans="1:13">
      <c r="A17" s="494" t="s">
        <v>382</v>
      </c>
      <c r="B17" s="493">
        <v>10</v>
      </c>
      <c r="C17" s="493">
        <v>10</v>
      </c>
      <c r="D17" s="493">
        <v>10</v>
      </c>
      <c r="E17" s="493">
        <v>10</v>
      </c>
      <c r="F17" s="493">
        <v>0</v>
      </c>
      <c r="G17" s="268"/>
      <c r="H17" s="268"/>
      <c r="I17" s="268"/>
      <c r="J17" s="268"/>
      <c r="K17" s="268"/>
      <c r="L17" s="268"/>
      <c r="M17" s="268"/>
    </row>
    <row r="18" spans="1:13">
      <c r="A18" s="494" t="s">
        <v>383</v>
      </c>
      <c r="B18" s="493">
        <v>10</v>
      </c>
      <c r="C18" s="493">
        <v>10</v>
      </c>
      <c r="D18" s="493">
        <v>10</v>
      </c>
      <c r="E18" s="493">
        <v>10</v>
      </c>
      <c r="F18" s="493">
        <v>0</v>
      </c>
      <c r="G18" s="268"/>
      <c r="H18" s="485" t="s">
        <v>384</v>
      </c>
      <c r="I18" s="486"/>
      <c r="J18" s="486"/>
      <c r="K18" s="486"/>
      <c r="L18" s="486"/>
      <c r="M18" s="487"/>
    </row>
    <row r="19" spans="1:13" ht="16.5" thickBot="1">
      <c r="A19" s="494" t="s">
        <v>385</v>
      </c>
      <c r="B19" s="493">
        <v>7</v>
      </c>
      <c r="C19" s="493">
        <v>0</v>
      </c>
      <c r="D19" s="493">
        <v>0</v>
      </c>
      <c r="E19" s="493">
        <v>7</v>
      </c>
      <c r="F19" s="493">
        <v>0</v>
      </c>
      <c r="G19" s="268"/>
      <c r="H19" s="489" t="s">
        <v>355</v>
      </c>
      <c r="I19" s="490" t="s">
        <v>356</v>
      </c>
      <c r="J19" s="490" t="s">
        <v>315</v>
      </c>
      <c r="K19" s="490" t="s">
        <v>357</v>
      </c>
      <c r="L19" s="490" t="s">
        <v>358</v>
      </c>
      <c r="M19" s="490" t="s">
        <v>359</v>
      </c>
    </row>
    <row r="20" spans="1:13">
      <c r="A20" s="494" t="s">
        <v>386</v>
      </c>
      <c r="B20" s="493">
        <v>7</v>
      </c>
      <c r="C20" s="493">
        <v>0</v>
      </c>
      <c r="D20" s="493">
        <v>0</v>
      </c>
      <c r="E20" s="493">
        <v>7</v>
      </c>
      <c r="F20" s="493">
        <v>0</v>
      </c>
      <c r="G20" s="268"/>
      <c r="H20" s="494" t="s">
        <v>387</v>
      </c>
      <c r="I20" s="492">
        <v>120</v>
      </c>
      <c r="J20" s="492">
        <v>7.24</v>
      </c>
      <c r="K20" s="493">
        <v>869</v>
      </c>
      <c r="L20" s="492">
        <v>0.85</v>
      </c>
      <c r="M20" s="493">
        <v>738</v>
      </c>
    </row>
    <row r="21" spans="1:13">
      <c r="A21" s="494" t="s">
        <v>388</v>
      </c>
      <c r="B21" s="493">
        <v>10</v>
      </c>
      <c r="C21" s="493">
        <v>10</v>
      </c>
      <c r="D21" s="493">
        <v>10</v>
      </c>
      <c r="E21" s="493">
        <v>10</v>
      </c>
      <c r="F21" s="493">
        <v>0</v>
      </c>
      <c r="G21" s="268"/>
      <c r="H21" s="494" t="s">
        <v>389</v>
      </c>
      <c r="I21" s="492">
        <v>120</v>
      </c>
      <c r="J21" s="492">
        <v>7.24</v>
      </c>
      <c r="K21" s="493">
        <v>869</v>
      </c>
      <c r="L21" s="492">
        <v>0.85</v>
      </c>
      <c r="M21" s="493">
        <v>738</v>
      </c>
    </row>
    <row r="22" spans="1:13">
      <c r="A22" s="494" t="s">
        <v>390</v>
      </c>
      <c r="B22" s="493">
        <v>2.76</v>
      </c>
      <c r="C22" s="493">
        <v>0</v>
      </c>
      <c r="D22" s="493">
        <v>0</v>
      </c>
      <c r="E22" s="493">
        <v>2.76</v>
      </c>
      <c r="F22" s="493">
        <v>0</v>
      </c>
      <c r="G22" s="268"/>
      <c r="H22" s="494" t="s">
        <v>391</v>
      </c>
      <c r="I22" s="492">
        <v>120</v>
      </c>
      <c r="J22" s="492">
        <v>5.6</v>
      </c>
      <c r="K22" s="493">
        <v>672</v>
      </c>
      <c r="L22" s="492">
        <v>0.85</v>
      </c>
      <c r="M22" s="493">
        <v>571</v>
      </c>
    </row>
    <row r="23" spans="1:13">
      <c r="A23" s="494" t="s">
        <v>392</v>
      </c>
      <c r="B23" s="493">
        <v>2.76</v>
      </c>
      <c r="C23" s="493">
        <v>0</v>
      </c>
      <c r="D23" s="493">
        <v>0</v>
      </c>
      <c r="E23" s="493">
        <v>2.76</v>
      </c>
      <c r="F23" s="493">
        <v>0</v>
      </c>
      <c r="G23" s="268"/>
      <c r="H23" s="494" t="s">
        <v>393</v>
      </c>
      <c r="I23" s="492">
        <v>120</v>
      </c>
      <c r="J23" s="492">
        <v>5.6</v>
      </c>
      <c r="K23" s="493">
        <v>672</v>
      </c>
      <c r="L23" s="492">
        <v>0.85</v>
      </c>
      <c r="M23" s="493">
        <v>571</v>
      </c>
    </row>
    <row r="24" spans="1:13">
      <c r="A24" s="494" t="s">
        <v>394</v>
      </c>
      <c r="B24" s="493">
        <v>383.18</v>
      </c>
      <c r="C24" s="493">
        <v>383.18</v>
      </c>
      <c r="D24" s="493">
        <v>383.18</v>
      </c>
      <c r="E24" s="493">
        <v>383.18</v>
      </c>
      <c r="F24" s="493">
        <v>383.18</v>
      </c>
      <c r="G24" s="268"/>
      <c r="H24" s="494" t="s">
        <v>395</v>
      </c>
      <c r="I24" s="492">
        <v>120</v>
      </c>
      <c r="J24" s="492">
        <v>5.6</v>
      </c>
      <c r="K24" s="493">
        <v>672</v>
      </c>
      <c r="L24" s="492">
        <v>0.85</v>
      </c>
      <c r="M24" s="493">
        <v>571</v>
      </c>
    </row>
    <row r="25" spans="1:13">
      <c r="A25" s="494" t="s">
        <v>133</v>
      </c>
      <c r="B25" s="493">
        <v>10</v>
      </c>
      <c r="C25" s="493">
        <v>10</v>
      </c>
      <c r="D25" s="493">
        <v>10</v>
      </c>
      <c r="E25" s="493">
        <v>10</v>
      </c>
      <c r="F25" s="493">
        <v>0</v>
      </c>
      <c r="G25" s="268"/>
      <c r="H25" s="494" t="s">
        <v>396</v>
      </c>
      <c r="I25" s="492">
        <v>120</v>
      </c>
      <c r="J25" s="492">
        <v>4.5999999999999996</v>
      </c>
      <c r="K25" s="493">
        <v>552</v>
      </c>
      <c r="L25" s="492">
        <v>0.85</v>
      </c>
      <c r="M25" s="493">
        <v>469</v>
      </c>
    </row>
    <row r="26" spans="1:13">
      <c r="A26" s="494" t="s">
        <v>162</v>
      </c>
      <c r="B26" s="493">
        <v>615</v>
      </c>
      <c r="C26" s="493">
        <v>128</v>
      </c>
      <c r="D26" s="493">
        <v>0</v>
      </c>
      <c r="E26" s="493">
        <v>0</v>
      </c>
      <c r="F26" s="493">
        <v>0</v>
      </c>
      <c r="G26" s="268"/>
      <c r="H26" s="494" t="s">
        <v>397</v>
      </c>
      <c r="I26" s="492">
        <v>120</v>
      </c>
      <c r="J26" s="492">
        <v>4.5999999999999996</v>
      </c>
      <c r="K26" s="493">
        <v>552</v>
      </c>
      <c r="L26" s="492">
        <v>0.85</v>
      </c>
      <c r="M26" s="493">
        <v>469</v>
      </c>
    </row>
    <row r="27" spans="1:13">
      <c r="A27" s="494" t="s">
        <v>161</v>
      </c>
      <c r="B27" s="493">
        <v>10</v>
      </c>
      <c r="C27" s="493">
        <v>10</v>
      </c>
      <c r="D27" s="493">
        <v>10</v>
      </c>
      <c r="E27" s="493">
        <v>10</v>
      </c>
      <c r="F27" s="493">
        <v>0</v>
      </c>
      <c r="G27" s="268"/>
      <c r="H27" s="494" t="s">
        <v>398</v>
      </c>
      <c r="I27" s="492">
        <v>120</v>
      </c>
      <c r="J27" s="492">
        <v>6</v>
      </c>
      <c r="K27" s="493">
        <v>720</v>
      </c>
      <c r="L27" s="492">
        <v>0.85</v>
      </c>
      <c r="M27" s="493">
        <v>612</v>
      </c>
    </row>
    <row r="28" spans="1:13">
      <c r="A28" s="494" t="s">
        <v>154</v>
      </c>
      <c r="B28" s="493">
        <v>10</v>
      </c>
      <c r="C28" s="493">
        <v>10</v>
      </c>
      <c r="D28" s="493">
        <v>10</v>
      </c>
      <c r="E28" s="493">
        <v>10</v>
      </c>
      <c r="F28" s="493">
        <v>0</v>
      </c>
      <c r="G28" s="268"/>
      <c r="H28" s="494" t="s">
        <v>399</v>
      </c>
      <c r="I28" s="492">
        <v>120</v>
      </c>
      <c r="J28" s="492">
        <v>7.24</v>
      </c>
      <c r="K28" s="493">
        <v>869</v>
      </c>
      <c r="L28" s="492">
        <v>0.85</v>
      </c>
      <c r="M28" s="493">
        <v>738</v>
      </c>
    </row>
    <row r="29" spans="1:13">
      <c r="A29" s="494" t="s">
        <v>155</v>
      </c>
      <c r="B29" s="493">
        <v>10</v>
      </c>
      <c r="C29" s="493">
        <v>10</v>
      </c>
      <c r="D29" s="493">
        <v>10</v>
      </c>
      <c r="E29" s="493">
        <v>10</v>
      </c>
      <c r="F29" s="493">
        <v>0</v>
      </c>
      <c r="G29" s="268"/>
      <c r="H29" s="494" t="s">
        <v>400</v>
      </c>
      <c r="I29" s="492">
        <v>120</v>
      </c>
      <c r="J29" s="492">
        <v>3</v>
      </c>
      <c r="K29" s="493">
        <v>360</v>
      </c>
      <c r="L29" s="492">
        <v>0.85</v>
      </c>
      <c r="M29" s="493">
        <v>306</v>
      </c>
    </row>
    <row r="30" spans="1:13">
      <c r="A30" s="494" t="s">
        <v>156</v>
      </c>
      <c r="B30" s="493">
        <v>8</v>
      </c>
      <c r="C30" s="493">
        <v>8</v>
      </c>
      <c r="D30" s="493">
        <v>8</v>
      </c>
      <c r="E30" s="493">
        <v>8</v>
      </c>
      <c r="F30" s="493">
        <v>0</v>
      </c>
      <c r="G30" s="268"/>
      <c r="H30" s="494" t="s">
        <v>401</v>
      </c>
      <c r="I30" s="492">
        <v>120</v>
      </c>
      <c r="J30" s="492">
        <v>3</v>
      </c>
      <c r="K30" s="493">
        <v>360</v>
      </c>
      <c r="L30" s="492">
        <v>0.85</v>
      </c>
      <c r="M30" s="493">
        <v>306</v>
      </c>
    </row>
    <row r="31" spans="1:13">
      <c r="A31" s="494" t="s">
        <v>157</v>
      </c>
      <c r="B31" s="493">
        <v>8</v>
      </c>
      <c r="C31" s="493">
        <v>8</v>
      </c>
      <c r="D31" s="493">
        <v>8</v>
      </c>
      <c r="E31" s="493">
        <v>8</v>
      </c>
      <c r="F31" s="493">
        <v>0</v>
      </c>
      <c r="G31" s="268"/>
      <c r="H31" s="494" t="s">
        <v>402</v>
      </c>
      <c r="I31" s="492">
        <v>120</v>
      </c>
      <c r="J31" s="492">
        <v>3</v>
      </c>
      <c r="K31" s="493">
        <v>360</v>
      </c>
      <c r="L31" s="492">
        <v>0.85</v>
      </c>
      <c r="M31" s="493">
        <v>306</v>
      </c>
    </row>
    <row r="32" spans="1:13">
      <c r="A32" s="494" t="s">
        <v>158</v>
      </c>
      <c r="B32" s="493">
        <v>10</v>
      </c>
      <c r="C32" s="493">
        <v>10</v>
      </c>
      <c r="D32" s="493">
        <v>10</v>
      </c>
      <c r="E32" s="493">
        <v>10</v>
      </c>
      <c r="F32" s="493">
        <v>0</v>
      </c>
      <c r="G32" s="268"/>
      <c r="H32" s="494" t="s">
        <v>403</v>
      </c>
      <c r="I32" s="492">
        <v>120</v>
      </c>
      <c r="J32" s="492">
        <v>3</v>
      </c>
      <c r="K32" s="493">
        <v>360</v>
      </c>
      <c r="L32" s="492">
        <v>0.85</v>
      </c>
      <c r="M32" s="493">
        <v>306</v>
      </c>
    </row>
    <row r="33" spans="1:13">
      <c r="A33" s="494" t="s">
        <v>159</v>
      </c>
      <c r="B33" s="493">
        <v>10</v>
      </c>
      <c r="C33" s="493">
        <v>10</v>
      </c>
      <c r="D33" s="493">
        <v>10</v>
      </c>
      <c r="E33" s="493">
        <v>10</v>
      </c>
      <c r="F33" s="493">
        <v>0</v>
      </c>
      <c r="G33" s="268"/>
      <c r="H33" s="494" t="s">
        <v>404</v>
      </c>
      <c r="I33" s="492">
        <v>120</v>
      </c>
      <c r="J33" s="492">
        <v>1</v>
      </c>
      <c r="K33" s="493">
        <v>120</v>
      </c>
      <c r="L33" s="492">
        <v>0.85</v>
      </c>
      <c r="M33" s="493">
        <v>102</v>
      </c>
    </row>
    <row r="34" spans="1:13">
      <c r="A34" s="494" t="s">
        <v>160</v>
      </c>
      <c r="B34" s="493">
        <v>10</v>
      </c>
      <c r="C34" s="493">
        <v>10</v>
      </c>
      <c r="D34" s="493">
        <v>10</v>
      </c>
      <c r="E34" s="493">
        <v>10</v>
      </c>
      <c r="F34" s="493">
        <v>0</v>
      </c>
      <c r="G34" s="268"/>
      <c r="H34" s="494" t="s">
        <v>405</v>
      </c>
      <c r="I34" s="492">
        <v>120</v>
      </c>
      <c r="J34" s="492">
        <v>3</v>
      </c>
      <c r="K34" s="493">
        <v>360</v>
      </c>
      <c r="L34" s="492">
        <v>0.85</v>
      </c>
      <c r="M34" s="493">
        <v>306</v>
      </c>
    </row>
    <row r="35" spans="1:13">
      <c r="A35" s="494" t="s">
        <v>406</v>
      </c>
      <c r="B35" s="493">
        <v>10</v>
      </c>
      <c r="C35" s="493">
        <v>10</v>
      </c>
      <c r="D35" s="493">
        <v>10</v>
      </c>
      <c r="E35" s="493">
        <v>10</v>
      </c>
      <c r="F35" s="493">
        <v>0</v>
      </c>
      <c r="G35" s="268"/>
      <c r="H35" s="494" t="s">
        <v>407</v>
      </c>
      <c r="I35" s="492">
        <v>120</v>
      </c>
      <c r="J35" s="492">
        <v>0.5</v>
      </c>
      <c r="K35" s="493">
        <v>60</v>
      </c>
      <c r="L35" s="492">
        <v>0.85</v>
      </c>
      <c r="M35" s="493">
        <v>51</v>
      </c>
    </row>
    <row r="36" spans="1:13" ht="13.5" thickBot="1">
      <c r="A36" s="489" t="s">
        <v>408</v>
      </c>
      <c r="B36" s="503">
        <v>10</v>
      </c>
      <c r="C36" s="503">
        <v>10</v>
      </c>
      <c r="D36" s="503">
        <v>10</v>
      </c>
      <c r="E36" s="503">
        <v>10</v>
      </c>
      <c r="F36" s="503">
        <v>0</v>
      </c>
      <c r="G36" s="268"/>
      <c r="H36" s="494" t="s">
        <v>409</v>
      </c>
      <c r="I36" s="492">
        <v>120</v>
      </c>
      <c r="J36" s="492">
        <v>0.5</v>
      </c>
      <c r="K36" s="493">
        <v>60</v>
      </c>
      <c r="L36" s="492">
        <v>0.85</v>
      </c>
      <c r="M36" s="493">
        <v>51</v>
      </c>
    </row>
    <row r="37" spans="1:13">
      <c r="A37" s="494" t="s">
        <v>107</v>
      </c>
      <c r="B37" s="504">
        <v>1270.0999999999999</v>
      </c>
      <c r="C37" s="493">
        <v>677.18</v>
      </c>
      <c r="D37" s="493">
        <v>549.17999999999995</v>
      </c>
      <c r="E37" s="493">
        <v>580.1</v>
      </c>
      <c r="F37" s="493">
        <v>383.18</v>
      </c>
      <c r="G37" s="268"/>
      <c r="H37" s="494" t="s">
        <v>410</v>
      </c>
      <c r="I37" s="492">
        <v>120</v>
      </c>
      <c r="J37" s="492">
        <v>0.5</v>
      </c>
      <c r="K37" s="493">
        <v>60</v>
      </c>
      <c r="L37" s="492">
        <v>0.85</v>
      </c>
      <c r="M37" s="493">
        <v>51</v>
      </c>
    </row>
    <row r="38" spans="1:13" ht="13.5" thickBot="1">
      <c r="A38" s="489" t="s">
        <v>411</v>
      </c>
      <c r="B38" s="503">
        <v>127.01</v>
      </c>
      <c r="C38" s="503">
        <v>67.72</v>
      </c>
      <c r="D38" s="503">
        <v>54.92</v>
      </c>
      <c r="E38" s="503">
        <v>58.01</v>
      </c>
      <c r="F38" s="503">
        <v>38.32</v>
      </c>
      <c r="G38" s="268"/>
      <c r="H38" s="494" t="s">
        <v>412</v>
      </c>
      <c r="I38" s="492">
        <v>120</v>
      </c>
      <c r="J38" s="492">
        <v>0.5</v>
      </c>
      <c r="K38" s="493">
        <v>60</v>
      </c>
      <c r="L38" s="492">
        <v>0.85</v>
      </c>
      <c r="M38" s="493">
        <v>51</v>
      </c>
    </row>
    <row r="39" spans="1:13">
      <c r="A39" s="494" t="s">
        <v>235</v>
      </c>
      <c r="B39" s="504">
        <v>1397.11</v>
      </c>
      <c r="C39" s="493">
        <v>744.9</v>
      </c>
      <c r="D39" s="493">
        <v>604.1</v>
      </c>
      <c r="E39" s="493">
        <v>638.11</v>
      </c>
      <c r="F39" s="493">
        <v>421.5</v>
      </c>
      <c r="G39" s="268"/>
      <c r="H39" s="494" t="s">
        <v>413</v>
      </c>
      <c r="I39" s="492">
        <v>120</v>
      </c>
      <c r="J39" s="492">
        <v>0.5</v>
      </c>
      <c r="K39" s="493">
        <v>60</v>
      </c>
      <c r="L39" s="492">
        <v>0.85</v>
      </c>
      <c r="M39" s="493">
        <v>51</v>
      </c>
    </row>
    <row r="40" spans="1:13">
      <c r="A40" s="268"/>
      <c r="B40" s="268"/>
      <c r="C40" s="268"/>
      <c r="D40" s="268"/>
      <c r="E40" s="268"/>
      <c r="F40" s="268"/>
      <c r="G40" s="268"/>
      <c r="H40" s="494" t="s">
        <v>414</v>
      </c>
      <c r="I40" s="492">
        <v>120</v>
      </c>
      <c r="J40" s="492">
        <v>0.5</v>
      </c>
      <c r="K40" s="493">
        <v>60</v>
      </c>
      <c r="L40" s="492">
        <v>0.85</v>
      </c>
      <c r="M40" s="493">
        <v>51</v>
      </c>
    </row>
    <row r="41" spans="1:13">
      <c r="A41" s="268"/>
      <c r="B41" s="268"/>
      <c r="C41" s="268"/>
      <c r="D41" s="268"/>
      <c r="E41" s="268"/>
      <c r="F41" s="268"/>
      <c r="G41" s="268"/>
      <c r="H41" s="494" t="s">
        <v>208</v>
      </c>
      <c r="I41" s="492">
        <v>120</v>
      </c>
      <c r="J41" s="492">
        <v>7.24</v>
      </c>
      <c r="K41" s="493">
        <v>869</v>
      </c>
      <c r="L41" s="492">
        <v>0.85</v>
      </c>
      <c r="M41" s="493">
        <v>738</v>
      </c>
    </row>
    <row r="42" spans="1:13">
      <c r="A42" s="268"/>
      <c r="B42" s="268"/>
      <c r="C42" s="268"/>
      <c r="D42" s="268"/>
      <c r="E42" s="268"/>
      <c r="F42" s="268"/>
      <c r="G42" s="268"/>
      <c r="H42" s="494" t="s">
        <v>209</v>
      </c>
      <c r="I42" s="492">
        <v>120</v>
      </c>
      <c r="J42" s="492">
        <v>7.24</v>
      </c>
      <c r="K42" s="493">
        <v>869</v>
      </c>
      <c r="L42" s="492">
        <v>0.85</v>
      </c>
      <c r="M42" s="493">
        <v>738</v>
      </c>
    </row>
    <row r="43" spans="1:13">
      <c r="A43" s="268"/>
      <c r="B43" s="268"/>
      <c r="C43" s="268"/>
      <c r="D43" s="268"/>
      <c r="E43" s="268"/>
      <c r="F43" s="268"/>
      <c r="G43" s="268"/>
      <c r="H43" s="494" t="s">
        <v>210</v>
      </c>
      <c r="I43" s="492">
        <v>120</v>
      </c>
      <c r="J43" s="492">
        <v>7.24</v>
      </c>
      <c r="K43" s="493">
        <v>869</v>
      </c>
      <c r="L43" s="492">
        <v>0.85</v>
      </c>
      <c r="M43" s="493">
        <v>738</v>
      </c>
    </row>
    <row r="44" spans="1:13">
      <c r="A44" s="268"/>
      <c r="B44" s="268"/>
      <c r="C44" s="268"/>
      <c r="D44" s="268"/>
      <c r="E44" s="268"/>
      <c r="F44" s="268"/>
      <c r="G44" s="268"/>
      <c r="H44" s="494" t="s">
        <v>211</v>
      </c>
      <c r="I44" s="492">
        <v>120</v>
      </c>
      <c r="J44" s="492">
        <v>10</v>
      </c>
      <c r="K44" s="495">
        <v>1200</v>
      </c>
      <c r="L44" s="492">
        <v>0.85</v>
      </c>
      <c r="M44" s="495">
        <v>1020</v>
      </c>
    </row>
    <row r="45" spans="1:13">
      <c r="A45" s="268"/>
      <c r="B45" s="268"/>
      <c r="C45" s="268"/>
      <c r="D45" s="268"/>
      <c r="E45" s="268"/>
      <c r="F45" s="268"/>
      <c r="G45" s="268"/>
      <c r="H45" s="494" t="s">
        <v>100</v>
      </c>
      <c r="I45" s="492">
        <v>120</v>
      </c>
      <c r="J45" s="492">
        <v>3</v>
      </c>
      <c r="K45" s="493">
        <v>360</v>
      </c>
      <c r="L45" s="492">
        <v>0.85</v>
      </c>
      <c r="M45" s="493">
        <v>306</v>
      </c>
    </row>
    <row r="46" spans="1:13" ht="13.5" thickBot="1">
      <c r="A46" s="268"/>
      <c r="B46" s="268"/>
      <c r="C46" s="268"/>
      <c r="D46" s="268"/>
      <c r="E46" s="268"/>
      <c r="F46" s="268"/>
      <c r="G46" s="268"/>
      <c r="H46" s="489" t="s">
        <v>101</v>
      </c>
      <c r="I46" s="490">
        <v>120</v>
      </c>
      <c r="J46" s="490">
        <v>7.24</v>
      </c>
      <c r="K46" s="503">
        <v>869</v>
      </c>
      <c r="L46" s="490">
        <v>0.85</v>
      </c>
      <c r="M46" s="503">
        <v>738</v>
      </c>
    </row>
    <row r="47" spans="1:13">
      <c r="A47" s="268"/>
      <c r="B47" s="268"/>
      <c r="C47" s="268"/>
      <c r="D47" s="268"/>
      <c r="E47" s="268"/>
      <c r="F47" s="268"/>
      <c r="G47" s="268"/>
      <c r="H47" s="494" t="s">
        <v>104</v>
      </c>
      <c r="I47" s="496"/>
      <c r="J47" s="492">
        <v>114.68</v>
      </c>
      <c r="K47" s="495">
        <v>13762</v>
      </c>
      <c r="L47" s="496"/>
      <c r="M47" s="495">
        <v>11697</v>
      </c>
    </row>
    <row r="49" spans="8:13">
      <c r="H49" s="485" t="s">
        <v>415</v>
      </c>
      <c r="I49" s="486"/>
      <c r="J49" s="486"/>
      <c r="K49" s="486"/>
      <c r="L49" s="486"/>
      <c r="M49" s="487"/>
    </row>
    <row r="50" spans="8:13" ht="16.5" thickBot="1">
      <c r="H50" s="489" t="s">
        <v>355</v>
      </c>
      <c r="I50" s="490" t="s">
        <v>356</v>
      </c>
      <c r="J50" s="490" t="s">
        <v>315</v>
      </c>
      <c r="K50" s="490" t="s">
        <v>357</v>
      </c>
      <c r="L50" s="490" t="s">
        <v>358</v>
      </c>
      <c r="M50" s="490" t="s">
        <v>359</v>
      </c>
    </row>
    <row r="51" spans="8:13">
      <c r="H51" s="494" t="s">
        <v>416</v>
      </c>
      <c r="I51" s="492">
        <v>120</v>
      </c>
      <c r="J51" s="492">
        <v>10.33</v>
      </c>
      <c r="K51" s="495">
        <v>1240</v>
      </c>
      <c r="L51" s="492">
        <v>0.85</v>
      </c>
      <c r="M51" s="495">
        <v>1054</v>
      </c>
    </row>
    <row r="52" spans="8:13">
      <c r="H52" s="494" t="s">
        <v>417</v>
      </c>
      <c r="I52" s="492">
        <v>120</v>
      </c>
      <c r="J52" s="492">
        <v>5</v>
      </c>
      <c r="K52" s="493">
        <v>600</v>
      </c>
      <c r="L52" s="492">
        <v>0.85</v>
      </c>
      <c r="M52" s="493">
        <v>510</v>
      </c>
    </row>
    <row r="53" spans="8:13">
      <c r="H53" s="494" t="s">
        <v>418</v>
      </c>
      <c r="I53" s="492">
        <v>120</v>
      </c>
      <c r="J53" s="492">
        <v>10</v>
      </c>
      <c r="K53" s="495">
        <v>1200</v>
      </c>
      <c r="L53" s="492">
        <v>0.85</v>
      </c>
      <c r="M53" s="495">
        <v>1020</v>
      </c>
    </row>
    <row r="54" spans="8:13">
      <c r="H54" s="494" t="s">
        <v>419</v>
      </c>
      <c r="I54" s="492">
        <v>120</v>
      </c>
      <c r="J54" s="492">
        <v>10</v>
      </c>
      <c r="K54" s="495">
        <v>1200</v>
      </c>
      <c r="L54" s="492">
        <v>0.85</v>
      </c>
      <c r="M54" s="495">
        <v>1020</v>
      </c>
    </row>
    <row r="55" spans="8:13">
      <c r="H55" s="494" t="s">
        <v>98</v>
      </c>
      <c r="I55" s="492">
        <v>120</v>
      </c>
      <c r="J55" s="492">
        <v>6.6</v>
      </c>
      <c r="K55" s="493">
        <v>792</v>
      </c>
      <c r="L55" s="492">
        <v>0.43</v>
      </c>
      <c r="M55" s="493">
        <v>341</v>
      </c>
    </row>
    <row r="56" spans="8:13">
      <c r="H56" s="494" t="s">
        <v>212</v>
      </c>
      <c r="I56" s="492">
        <v>120</v>
      </c>
      <c r="J56" s="492">
        <v>10</v>
      </c>
      <c r="K56" s="495">
        <v>1200</v>
      </c>
      <c r="L56" s="492">
        <v>0.85</v>
      </c>
      <c r="M56" s="495">
        <v>1020</v>
      </c>
    </row>
    <row r="57" spans="8:13" ht="13.5" thickBot="1">
      <c r="H57" s="489" t="s">
        <v>213</v>
      </c>
      <c r="I57" s="490">
        <v>120</v>
      </c>
      <c r="J57" s="490">
        <v>10</v>
      </c>
      <c r="K57" s="505">
        <v>1200</v>
      </c>
      <c r="L57" s="490">
        <v>0.85</v>
      </c>
      <c r="M57" s="505">
        <v>1020</v>
      </c>
    </row>
    <row r="58" spans="8:13">
      <c r="H58" s="494" t="s">
        <v>104</v>
      </c>
      <c r="I58" s="496"/>
      <c r="J58" s="492">
        <v>61.93</v>
      </c>
      <c r="K58" s="506">
        <v>7432</v>
      </c>
      <c r="L58" s="496"/>
      <c r="M58" s="506">
        <v>5984</v>
      </c>
    </row>
    <row r="60" spans="8:13">
      <c r="H60" s="485" t="s">
        <v>420</v>
      </c>
      <c r="I60" s="486"/>
      <c r="J60" s="486"/>
      <c r="K60" s="486"/>
      <c r="L60" s="486"/>
      <c r="M60" s="487"/>
    </row>
    <row r="61" spans="8:13" ht="16.5" thickBot="1">
      <c r="H61" s="489" t="s">
        <v>355</v>
      </c>
      <c r="I61" s="490" t="s">
        <v>356</v>
      </c>
      <c r="J61" s="490" t="s">
        <v>315</v>
      </c>
      <c r="K61" s="490" t="s">
        <v>357</v>
      </c>
      <c r="L61" s="490" t="s">
        <v>358</v>
      </c>
      <c r="M61" s="490" t="s">
        <v>359</v>
      </c>
    </row>
    <row r="62" spans="8:13">
      <c r="H62" s="494" t="s">
        <v>421</v>
      </c>
      <c r="I62" s="492">
        <v>120</v>
      </c>
      <c r="J62" s="492">
        <v>10.33</v>
      </c>
      <c r="K62" s="495">
        <v>1240</v>
      </c>
      <c r="L62" s="492">
        <v>0.85</v>
      </c>
      <c r="M62" s="495">
        <v>1054</v>
      </c>
    </row>
    <row r="63" spans="8:13">
      <c r="H63" s="494" t="s">
        <v>422</v>
      </c>
      <c r="I63" s="492">
        <v>120</v>
      </c>
      <c r="J63" s="492">
        <v>5</v>
      </c>
      <c r="K63" s="493">
        <v>600</v>
      </c>
      <c r="L63" s="492">
        <v>0.85</v>
      </c>
      <c r="M63" s="493">
        <v>510</v>
      </c>
    </row>
    <row r="64" spans="8:13">
      <c r="H64" s="494" t="s">
        <v>423</v>
      </c>
      <c r="I64" s="492">
        <v>120</v>
      </c>
      <c r="J64" s="492">
        <v>10</v>
      </c>
      <c r="K64" s="495">
        <v>1200</v>
      </c>
      <c r="L64" s="492">
        <v>0.85</v>
      </c>
      <c r="M64" s="495">
        <v>1020</v>
      </c>
    </row>
    <row r="65" spans="8:13">
      <c r="H65" s="494" t="s">
        <v>424</v>
      </c>
      <c r="I65" s="492">
        <v>120</v>
      </c>
      <c r="J65" s="492">
        <v>10</v>
      </c>
      <c r="K65" s="495">
        <v>1200</v>
      </c>
      <c r="L65" s="492">
        <v>0.85</v>
      </c>
      <c r="M65" s="495">
        <v>1020</v>
      </c>
    </row>
    <row r="66" spans="8:13">
      <c r="H66" s="494" t="s">
        <v>98</v>
      </c>
      <c r="I66" s="492">
        <v>120</v>
      </c>
      <c r="J66" s="492">
        <v>6.6</v>
      </c>
      <c r="K66" s="493">
        <v>792</v>
      </c>
      <c r="L66" s="492">
        <v>0.43</v>
      </c>
      <c r="M66" s="493">
        <v>341</v>
      </c>
    </row>
    <row r="67" spans="8:13">
      <c r="H67" s="494" t="s">
        <v>425</v>
      </c>
      <c r="I67" s="492">
        <v>120</v>
      </c>
      <c r="J67" s="492">
        <v>10</v>
      </c>
      <c r="K67" s="495">
        <v>1200</v>
      </c>
      <c r="L67" s="492">
        <v>0.85</v>
      </c>
      <c r="M67" s="495">
        <v>1020</v>
      </c>
    </row>
    <row r="68" spans="8:13" ht="13.5" thickBot="1">
      <c r="H68" s="489" t="s">
        <v>426</v>
      </c>
      <c r="I68" s="490">
        <v>120</v>
      </c>
      <c r="J68" s="490">
        <v>10</v>
      </c>
      <c r="K68" s="505">
        <v>1200</v>
      </c>
      <c r="L68" s="490">
        <v>0.85</v>
      </c>
      <c r="M68" s="505">
        <v>1020</v>
      </c>
    </row>
    <row r="69" spans="8:13">
      <c r="H69" s="494" t="s">
        <v>104</v>
      </c>
      <c r="I69" s="496"/>
      <c r="J69" s="492">
        <v>61.93</v>
      </c>
      <c r="K69" s="506">
        <v>7432</v>
      </c>
      <c r="L69" s="496"/>
      <c r="M69" s="506">
        <v>5984</v>
      </c>
    </row>
  </sheetData>
  <mergeCells count="7">
    <mergeCell ref="H18:M18"/>
    <mergeCell ref="H49:M49"/>
    <mergeCell ref="H60:M60"/>
    <mergeCell ref="A2:F2"/>
    <mergeCell ref="A3:A4"/>
    <mergeCell ref="B3:F3"/>
    <mergeCell ref="H2:M2"/>
  </mergeCells>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7"/>
  <sheetViews>
    <sheetView workbookViewId="0">
      <selection activeCell="G46" sqref="G46"/>
    </sheetView>
  </sheetViews>
  <sheetFormatPr defaultRowHeight="12.75"/>
  <cols>
    <col min="1" max="1" width="40" bestFit="1" customWidth="1"/>
    <col min="7" max="7" width="47.140625" bestFit="1" customWidth="1"/>
  </cols>
  <sheetData>
    <row r="2" spans="1:12">
      <c r="A2" s="485" t="s">
        <v>351</v>
      </c>
      <c r="B2" s="486"/>
      <c r="C2" s="486"/>
      <c r="D2" s="486"/>
      <c r="E2" s="487"/>
      <c r="F2" s="268"/>
      <c r="G2" s="485" t="s">
        <v>352</v>
      </c>
      <c r="H2" s="486"/>
      <c r="I2" s="486"/>
      <c r="J2" s="486"/>
      <c r="K2" s="486"/>
      <c r="L2" s="487"/>
    </row>
    <row r="3" spans="1:12" ht="16.5" thickBot="1">
      <c r="A3" s="488" t="s">
        <v>353</v>
      </c>
      <c r="B3" s="485" t="s">
        <v>354</v>
      </c>
      <c r="C3" s="486"/>
      <c r="D3" s="486"/>
      <c r="E3" s="487"/>
      <c r="F3" s="268"/>
      <c r="G3" s="489" t="s">
        <v>355</v>
      </c>
      <c r="H3" s="490" t="s">
        <v>356</v>
      </c>
      <c r="I3" s="490" t="s">
        <v>315</v>
      </c>
      <c r="J3" s="507" t="s">
        <v>357</v>
      </c>
      <c r="K3" s="490" t="s">
        <v>358</v>
      </c>
      <c r="L3" s="507" t="s">
        <v>359</v>
      </c>
    </row>
    <row r="4" spans="1:12">
      <c r="A4" s="491"/>
      <c r="B4" s="492">
        <v>1</v>
      </c>
      <c r="C4" s="492">
        <v>118</v>
      </c>
      <c r="D4" s="492">
        <v>1</v>
      </c>
      <c r="E4" s="492">
        <v>60</v>
      </c>
      <c r="F4" s="268"/>
      <c r="G4" s="105" t="s">
        <v>427</v>
      </c>
      <c r="H4" s="106">
        <v>120</v>
      </c>
      <c r="I4" s="107">
        <v>4</v>
      </c>
      <c r="J4" s="108">
        <f>H4*I4</f>
        <v>480</v>
      </c>
      <c r="K4" s="106">
        <v>0.7</v>
      </c>
      <c r="L4" s="108">
        <f>J4*K4</f>
        <v>336</v>
      </c>
    </row>
    <row r="5" spans="1:12">
      <c r="A5" s="494" t="s">
        <v>428</v>
      </c>
      <c r="B5" s="493">
        <v>0</v>
      </c>
      <c r="C5" s="493">
        <v>0</v>
      </c>
      <c r="D5" s="493">
        <v>3.8</v>
      </c>
      <c r="E5" s="493">
        <v>0</v>
      </c>
      <c r="F5" s="268"/>
      <c r="G5" s="105" t="s">
        <v>429</v>
      </c>
      <c r="H5" s="106">
        <v>120</v>
      </c>
      <c r="I5" s="107">
        <v>6.5</v>
      </c>
      <c r="J5" s="108">
        <f>H5*I5</f>
        <v>780</v>
      </c>
      <c r="K5" s="106">
        <v>0.7</v>
      </c>
      <c r="L5" s="108">
        <f>J5*K5</f>
        <v>546</v>
      </c>
    </row>
    <row r="6" spans="1:12">
      <c r="A6" s="494" t="s">
        <v>430</v>
      </c>
      <c r="B6" s="493">
        <v>14.4</v>
      </c>
      <c r="C6" s="493">
        <v>0</v>
      </c>
      <c r="D6" s="493">
        <v>0</v>
      </c>
      <c r="E6" s="493">
        <v>0</v>
      </c>
      <c r="F6" s="268"/>
      <c r="G6" s="109" t="s">
        <v>431</v>
      </c>
      <c r="H6" s="110">
        <v>120</v>
      </c>
      <c r="I6" s="111">
        <v>2</v>
      </c>
      <c r="J6" s="108">
        <f>H6*I6</f>
        <v>240</v>
      </c>
      <c r="K6" s="110">
        <v>0.7</v>
      </c>
      <c r="L6" s="108">
        <f>J6*K6</f>
        <v>168</v>
      </c>
    </row>
    <row r="7" spans="1:12">
      <c r="A7" s="494" t="s">
        <v>432</v>
      </c>
      <c r="B7" s="493">
        <v>14.4</v>
      </c>
      <c r="C7" s="493">
        <v>0</v>
      </c>
      <c r="D7" s="493">
        <v>0</v>
      </c>
      <c r="E7" s="493">
        <v>0</v>
      </c>
      <c r="F7" s="268"/>
      <c r="G7" s="112" t="s">
        <v>433</v>
      </c>
      <c r="H7" s="110">
        <v>120</v>
      </c>
      <c r="I7" s="492">
        <f>I49</f>
        <v>77.800000000000011</v>
      </c>
      <c r="J7" s="113">
        <f>J49</f>
        <v>9336</v>
      </c>
      <c r="K7" s="114"/>
      <c r="L7" s="113">
        <f>L49</f>
        <v>7935.5999999999995</v>
      </c>
    </row>
    <row r="8" spans="1:12">
      <c r="A8" s="494" t="s">
        <v>434</v>
      </c>
      <c r="B8" s="493">
        <v>0</v>
      </c>
      <c r="C8" s="493">
        <v>0</v>
      </c>
      <c r="D8" s="493">
        <v>3.8</v>
      </c>
      <c r="E8" s="493">
        <v>0</v>
      </c>
      <c r="F8" s="268"/>
      <c r="G8" s="112" t="s">
        <v>435</v>
      </c>
      <c r="H8" s="110">
        <v>120</v>
      </c>
      <c r="I8" s="111">
        <f>I58</f>
        <v>65.42</v>
      </c>
      <c r="J8" s="113">
        <f>J58</f>
        <v>7850.4</v>
      </c>
      <c r="K8" s="114"/>
      <c r="L8" s="113">
        <f>L58</f>
        <v>6340.2</v>
      </c>
    </row>
    <row r="9" spans="1:12">
      <c r="A9" s="494" t="s">
        <v>436</v>
      </c>
      <c r="B9" s="493">
        <v>14.4</v>
      </c>
      <c r="C9" s="493">
        <v>0</v>
      </c>
      <c r="D9" s="493">
        <v>0</v>
      </c>
      <c r="E9" s="493">
        <v>0</v>
      </c>
      <c r="F9" s="268"/>
      <c r="G9" s="112" t="s">
        <v>437</v>
      </c>
      <c r="H9" s="110">
        <v>120</v>
      </c>
      <c r="I9" s="111">
        <f>I67</f>
        <v>65.42</v>
      </c>
      <c r="J9" s="113">
        <f>J67</f>
        <v>7850.4</v>
      </c>
      <c r="K9" s="114"/>
      <c r="L9" s="113">
        <f>L67</f>
        <v>6340.2</v>
      </c>
    </row>
    <row r="10" spans="1:12">
      <c r="A10" s="494" t="s">
        <v>438</v>
      </c>
      <c r="B10" s="493">
        <v>14.4</v>
      </c>
      <c r="C10" s="493">
        <v>0</v>
      </c>
      <c r="D10" s="493">
        <v>0</v>
      </c>
      <c r="E10" s="493">
        <v>0</v>
      </c>
      <c r="F10" s="268"/>
      <c r="G10" s="115" t="s">
        <v>98</v>
      </c>
      <c r="H10" s="116">
        <v>120</v>
      </c>
      <c r="I10" s="117">
        <v>6.6</v>
      </c>
      <c r="J10" s="118">
        <f>H10*I10</f>
        <v>792</v>
      </c>
      <c r="K10" s="116">
        <v>0.43</v>
      </c>
      <c r="L10" s="118">
        <f>J10*K10</f>
        <v>340.56</v>
      </c>
    </row>
    <row r="11" spans="1:12">
      <c r="A11" s="494" t="s">
        <v>439</v>
      </c>
      <c r="B11" s="493">
        <v>0</v>
      </c>
      <c r="C11" s="493">
        <v>0</v>
      </c>
      <c r="D11" s="493">
        <v>3.8</v>
      </c>
      <c r="E11" s="493">
        <v>0</v>
      </c>
      <c r="F11" s="268"/>
      <c r="G11" s="115" t="s">
        <v>440</v>
      </c>
      <c r="H11" s="116">
        <v>120</v>
      </c>
      <c r="I11" s="117">
        <v>10</v>
      </c>
      <c r="J11" s="113">
        <f>H11*I11</f>
        <v>1200</v>
      </c>
      <c r="K11" s="110">
        <v>0.85</v>
      </c>
      <c r="L11" s="113">
        <f>J11*K11</f>
        <v>1020</v>
      </c>
    </row>
    <row r="12" spans="1:12" ht="13.5" thickBot="1">
      <c r="A12" s="494" t="s">
        <v>441</v>
      </c>
      <c r="B12" s="493">
        <v>14.4</v>
      </c>
      <c r="C12" s="493">
        <v>0</v>
      </c>
      <c r="D12" s="493">
        <v>0</v>
      </c>
      <c r="E12" s="493">
        <v>0</v>
      </c>
      <c r="F12" s="268"/>
      <c r="G12" s="115" t="s">
        <v>442</v>
      </c>
      <c r="H12" s="116">
        <v>120</v>
      </c>
      <c r="I12" s="119">
        <v>3.92</v>
      </c>
      <c r="J12" s="120">
        <f>H12*I12</f>
        <v>470.4</v>
      </c>
      <c r="K12" s="121">
        <v>0.85</v>
      </c>
      <c r="L12" s="120">
        <f>J12*K12</f>
        <v>399.84</v>
      </c>
    </row>
    <row r="13" spans="1:12">
      <c r="A13" s="494" t="s">
        <v>443</v>
      </c>
      <c r="B13" s="493">
        <v>14.4</v>
      </c>
      <c r="C13" s="493">
        <v>0</v>
      </c>
      <c r="D13" s="493">
        <v>0</v>
      </c>
      <c r="E13" s="493">
        <v>0</v>
      </c>
      <c r="F13" s="268"/>
      <c r="G13" s="508" t="s">
        <v>104</v>
      </c>
      <c r="H13" s="509"/>
      <c r="I13" s="510">
        <f>SUM(I4:I12)</f>
        <v>241.66000000000003</v>
      </c>
      <c r="J13" s="511">
        <f>SUM(J6:J12)</f>
        <v>27739.200000000004</v>
      </c>
      <c r="K13" s="509"/>
      <c r="L13" s="511">
        <f>SUM(L6:L12)</f>
        <v>22544.400000000001</v>
      </c>
    </row>
    <row r="14" spans="1:12">
      <c r="A14" s="494" t="s">
        <v>444</v>
      </c>
      <c r="B14" s="493">
        <v>4</v>
      </c>
      <c r="C14" s="493">
        <v>4</v>
      </c>
      <c r="D14" s="493">
        <v>4</v>
      </c>
      <c r="E14" s="493">
        <v>0</v>
      </c>
      <c r="F14" s="268"/>
      <c r="G14" s="268"/>
      <c r="H14" s="268"/>
      <c r="I14" s="268"/>
      <c r="J14" s="122"/>
      <c r="K14" s="268"/>
      <c r="L14" s="122"/>
    </row>
    <row r="15" spans="1:12" ht="15.75">
      <c r="A15" s="494" t="s">
        <v>445</v>
      </c>
      <c r="B15" s="493">
        <v>4</v>
      </c>
      <c r="C15" s="493">
        <v>4</v>
      </c>
      <c r="D15" s="493">
        <v>4</v>
      </c>
      <c r="E15" s="493">
        <v>0</v>
      </c>
      <c r="F15" s="268"/>
      <c r="G15" s="123" t="s">
        <v>446</v>
      </c>
      <c r="H15" s="270">
        <f>I13</f>
        <v>241.66000000000003</v>
      </c>
      <c r="I15" s="268" t="s">
        <v>315</v>
      </c>
      <c r="J15" s="122"/>
      <c r="K15" s="268"/>
      <c r="L15" s="122"/>
    </row>
    <row r="16" spans="1:12" ht="15.75">
      <c r="A16" s="494" t="s">
        <v>447</v>
      </c>
      <c r="B16" s="493">
        <v>4</v>
      </c>
      <c r="C16" s="493">
        <v>4</v>
      </c>
      <c r="D16" s="493">
        <v>4</v>
      </c>
      <c r="E16" s="493">
        <v>0</v>
      </c>
      <c r="F16" s="268"/>
      <c r="G16" s="123" t="s">
        <v>448</v>
      </c>
      <c r="H16" s="124">
        <v>0.88</v>
      </c>
      <c r="I16" s="268"/>
      <c r="J16" s="122"/>
      <c r="K16" s="268"/>
      <c r="L16" s="122"/>
    </row>
    <row r="17" spans="1:12" ht="15.75">
      <c r="A17" s="494" t="s">
        <v>449</v>
      </c>
      <c r="B17" s="493">
        <v>4</v>
      </c>
      <c r="C17" s="493">
        <v>4</v>
      </c>
      <c r="D17" s="493">
        <v>4</v>
      </c>
      <c r="E17" s="493">
        <v>0</v>
      </c>
      <c r="F17" s="268"/>
      <c r="G17" s="123" t="s">
        <v>450</v>
      </c>
      <c r="H17" s="124">
        <v>1.25</v>
      </c>
      <c r="I17" s="268"/>
      <c r="J17" s="122"/>
      <c r="K17" s="268"/>
      <c r="L17" s="122"/>
    </row>
    <row r="18" spans="1:12" ht="31.5">
      <c r="A18" s="494" t="s">
        <v>451</v>
      </c>
      <c r="B18" s="493">
        <v>7</v>
      </c>
      <c r="C18" s="493">
        <v>0</v>
      </c>
      <c r="D18" s="493">
        <v>2</v>
      </c>
      <c r="E18" s="493">
        <v>0</v>
      </c>
      <c r="F18" s="268"/>
      <c r="G18" s="125" t="s">
        <v>452</v>
      </c>
      <c r="H18" s="126">
        <f>120*H15*H17/1000</f>
        <v>36.249000000000009</v>
      </c>
      <c r="I18" s="268" t="s">
        <v>79</v>
      </c>
      <c r="J18" s="122"/>
      <c r="K18" s="268"/>
      <c r="L18" s="122"/>
    </row>
    <row r="19" spans="1:12" ht="15.75">
      <c r="A19" s="494" t="s">
        <v>453</v>
      </c>
      <c r="B19" s="493">
        <v>7</v>
      </c>
      <c r="C19" s="493">
        <v>0</v>
      </c>
      <c r="D19" s="493">
        <v>2</v>
      </c>
      <c r="E19" s="493">
        <v>0</v>
      </c>
      <c r="F19" s="268"/>
      <c r="G19" s="123" t="s">
        <v>454</v>
      </c>
      <c r="H19" s="403">
        <v>40</v>
      </c>
      <c r="I19" s="268" t="s">
        <v>79</v>
      </c>
      <c r="J19" s="122"/>
      <c r="K19" s="268"/>
      <c r="L19" s="122"/>
    </row>
    <row r="20" spans="1:12" ht="15.75">
      <c r="A20" s="494" t="s">
        <v>455</v>
      </c>
      <c r="B20" s="493">
        <v>7</v>
      </c>
      <c r="C20" s="493">
        <v>0</v>
      </c>
      <c r="D20" s="493">
        <v>0</v>
      </c>
      <c r="E20" s="493">
        <v>0</v>
      </c>
      <c r="F20" s="268"/>
      <c r="G20" s="123"/>
      <c r="H20" s="403"/>
      <c r="I20" s="268"/>
      <c r="J20" s="122"/>
      <c r="K20" s="268"/>
      <c r="L20" s="122"/>
    </row>
    <row r="21" spans="1:12" ht="15.75">
      <c r="A21" s="494" t="s">
        <v>456</v>
      </c>
      <c r="B21" s="493">
        <v>15</v>
      </c>
      <c r="C21" s="493">
        <v>0</v>
      </c>
      <c r="D21" s="493">
        <v>0</v>
      </c>
      <c r="E21" s="493">
        <v>0</v>
      </c>
      <c r="F21" s="268"/>
      <c r="G21" s="123" t="s">
        <v>457</v>
      </c>
      <c r="H21" s="403"/>
      <c r="I21" s="268"/>
      <c r="J21" s="122"/>
      <c r="K21" s="268"/>
      <c r="L21" s="122"/>
    </row>
    <row r="22" spans="1:12" ht="15.75">
      <c r="A22" s="494" t="s">
        <v>388</v>
      </c>
      <c r="B22" s="493">
        <v>10</v>
      </c>
      <c r="C22" s="493">
        <v>10</v>
      </c>
      <c r="D22" s="493">
        <v>10</v>
      </c>
      <c r="E22" s="493">
        <v>0</v>
      </c>
      <c r="F22" s="268"/>
      <c r="G22" s="123" t="s">
        <v>458</v>
      </c>
      <c r="H22" s="127">
        <f>H18*1000</f>
        <v>36249.000000000007</v>
      </c>
      <c r="I22" s="268" t="s">
        <v>357</v>
      </c>
      <c r="J22" s="122"/>
      <c r="K22" s="268"/>
      <c r="L22" s="122"/>
    </row>
    <row r="23" spans="1:12" ht="15.75">
      <c r="A23" s="494" t="s">
        <v>459</v>
      </c>
      <c r="B23" s="493">
        <v>2.76</v>
      </c>
      <c r="C23" s="493">
        <v>0</v>
      </c>
      <c r="D23" s="493">
        <v>2.76</v>
      </c>
      <c r="E23" s="493">
        <v>0</v>
      </c>
      <c r="F23" s="268"/>
      <c r="G23" s="123" t="s">
        <v>460</v>
      </c>
      <c r="H23" s="403">
        <f>H22/(125*H16)</f>
        <v>329.53636363636372</v>
      </c>
      <c r="I23" s="268" t="s">
        <v>315</v>
      </c>
      <c r="J23" s="122"/>
      <c r="K23" s="268"/>
      <c r="L23" s="122"/>
    </row>
    <row r="24" spans="1:12">
      <c r="A24" s="494" t="s">
        <v>461</v>
      </c>
      <c r="B24" s="493">
        <v>2.76</v>
      </c>
      <c r="C24" s="493">
        <v>0</v>
      </c>
      <c r="D24" s="493">
        <v>2.76</v>
      </c>
      <c r="E24" s="493">
        <v>0</v>
      </c>
      <c r="F24" s="268"/>
      <c r="G24" s="268"/>
      <c r="H24" s="268"/>
      <c r="I24" s="268"/>
      <c r="J24" s="122"/>
      <c r="K24" s="268"/>
      <c r="L24" s="122"/>
    </row>
    <row r="25" spans="1:12">
      <c r="A25" s="494" t="s">
        <v>462</v>
      </c>
      <c r="B25" s="493">
        <v>363.6</v>
      </c>
      <c r="C25" s="493">
        <v>363.6</v>
      </c>
      <c r="D25" s="493">
        <v>363.6</v>
      </c>
      <c r="E25" s="493">
        <v>363.6</v>
      </c>
      <c r="F25" s="268"/>
      <c r="G25" s="485" t="s">
        <v>384</v>
      </c>
      <c r="H25" s="486"/>
      <c r="I25" s="486"/>
      <c r="J25" s="486"/>
      <c r="K25" s="486"/>
      <c r="L25" s="487"/>
    </row>
    <row r="26" spans="1:12" ht="16.5" thickBot="1">
      <c r="A26" s="494" t="s">
        <v>133</v>
      </c>
      <c r="B26" s="493">
        <v>10</v>
      </c>
      <c r="C26" s="493">
        <v>10</v>
      </c>
      <c r="D26" s="493">
        <v>10</v>
      </c>
      <c r="E26" s="493">
        <v>0</v>
      </c>
      <c r="F26" s="268"/>
      <c r="G26" s="489" t="s">
        <v>355</v>
      </c>
      <c r="H26" s="490" t="s">
        <v>356</v>
      </c>
      <c r="I26" s="490" t="s">
        <v>315</v>
      </c>
      <c r="J26" s="507" t="s">
        <v>357</v>
      </c>
      <c r="K26" s="490" t="s">
        <v>358</v>
      </c>
      <c r="L26" s="507" t="s">
        <v>359</v>
      </c>
    </row>
    <row r="27" spans="1:12">
      <c r="A27" s="494" t="s">
        <v>164</v>
      </c>
      <c r="B27" s="493">
        <v>875</v>
      </c>
      <c r="C27" s="493">
        <v>275</v>
      </c>
      <c r="D27" s="493">
        <v>275</v>
      </c>
      <c r="E27" s="493">
        <v>0</v>
      </c>
      <c r="F27" s="268"/>
      <c r="G27" s="494" t="s">
        <v>391</v>
      </c>
      <c r="H27" s="492">
        <v>120</v>
      </c>
      <c r="I27" s="492">
        <v>3</v>
      </c>
      <c r="J27" s="512">
        <f t="shared" ref="J27:J37" si="0">I27*H27</f>
        <v>360</v>
      </c>
      <c r="K27" s="492">
        <v>0.85</v>
      </c>
      <c r="L27" s="512">
        <f t="shared" ref="L27:L37" si="1">K27*J27</f>
        <v>306</v>
      </c>
    </row>
    <row r="28" spans="1:12">
      <c r="A28" s="494" t="s">
        <v>165</v>
      </c>
      <c r="B28" s="493">
        <v>7</v>
      </c>
      <c r="C28" s="493">
        <v>7</v>
      </c>
      <c r="D28" s="493">
        <v>7</v>
      </c>
      <c r="E28" s="493">
        <v>0</v>
      </c>
      <c r="F28" s="268"/>
      <c r="G28" s="494" t="s">
        <v>393</v>
      </c>
      <c r="H28" s="492">
        <v>120</v>
      </c>
      <c r="I28" s="492">
        <v>3</v>
      </c>
      <c r="J28" s="512">
        <f t="shared" si="0"/>
        <v>360</v>
      </c>
      <c r="K28" s="492">
        <v>0.85</v>
      </c>
      <c r="L28" s="512">
        <f t="shared" si="1"/>
        <v>306</v>
      </c>
    </row>
    <row r="29" spans="1:12">
      <c r="A29" s="494" t="s">
        <v>166</v>
      </c>
      <c r="B29" s="493">
        <v>10</v>
      </c>
      <c r="C29" s="493">
        <v>10</v>
      </c>
      <c r="D29" s="493">
        <v>10</v>
      </c>
      <c r="E29" s="493">
        <v>0</v>
      </c>
      <c r="F29" s="268"/>
      <c r="G29" s="494" t="s">
        <v>396</v>
      </c>
      <c r="H29" s="492">
        <v>120</v>
      </c>
      <c r="I29" s="513">
        <v>12</v>
      </c>
      <c r="J29" s="512">
        <f t="shared" si="0"/>
        <v>1440</v>
      </c>
      <c r="K29" s="492">
        <v>0.85</v>
      </c>
      <c r="L29" s="512">
        <f t="shared" si="1"/>
        <v>1224</v>
      </c>
    </row>
    <row r="30" spans="1:12">
      <c r="A30" s="494" t="s">
        <v>406</v>
      </c>
      <c r="B30" s="493">
        <v>5</v>
      </c>
      <c r="C30" s="493">
        <v>5</v>
      </c>
      <c r="D30" s="493">
        <v>5</v>
      </c>
      <c r="E30" s="493">
        <v>5</v>
      </c>
      <c r="F30" s="268"/>
      <c r="G30" s="494" t="s">
        <v>397</v>
      </c>
      <c r="H30" s="492">
        <v>120</v>
      </c>
      <c r="I30" s="492">
        <v>3</v>
      </c>
      <c r="J30" s="512">
        <f t="shared" si="0"/>
        <v>360</v>
      </c>
      <c r="K30" s="492">
        <v>0.85</v>
      </c>
      <c r="L30" s="512">
        <f t="shared" si="1"/>
        <v>306</v>
      </c>
    </row>
    <row r="31" spans="1:12" ht="13.5" thickBot="1">
      <c r="A31" s="489" t="s">
        <v>408</v>
      </c>
      <c r="B31" s="499">
        <v>5</v>
      </c>
      <c r="C31" s="499">
        <v>5</v>
      </c>
      <c r="D31" s="499">
        <v>5</v>
      </c>
      <c r="E31" s="499">
        <v>5</v>
      </c>
      <c r="F31" s="268"/>
      <c r="G31" s="494" t="s">
        <v>398</v>
      </c>
      <c r="H31" s="492">
        <v>120</v>
      </c>
      <c r="I31" s="492">
        <v>6</v>
      </c>
      <c r="J31" s="512">
        <f t="shared" si="0"/>
        <v>720</v>
      </c>
      <c r="K31" s="492">
        <v>0.85</v>
      </c>
      <c r="L31" s="512">
        <f t="shared" si="1"/>
        <v>612</v>
      </c>
    </row>
    <row r="32" spans="1:12">
      <c r="A32" s="494" t="s">
        <v>463</v>
      </c>
      <c r="B32" s="514">
        <f>SUM(B5:B31)</f>
        <v>1429.52</v>
      </c>
      <c r="C32" s="515">
        <f>SUM(C5:C31)</f>
        <v>701.6</v>
      </c>
      <c r="D32" s="515">
        <f>SUM(D5:D31)</f>
        <v>722.52</v>
      </c>
      <c r="E32" s="515">
        <f>SUM(E5:E31)</f>
        <v>373.6</v>
      </c>
      <c r="F32" s="268"/>
      <c r="G32" s="494" t="s">
        <v>399</v>
      </c>
      <c r="H32" s="492">
        <v>120</v>
      </c>
      <c r="I32" s="492">
        <v>3</v>
      </c>
      <c r="J32" s="512">
        <f t="shared" si="0"/>
        <v>360</v>
      </c>
      <c r="K32" s="492">
        <v>0.85</v>
      </c>
      <c r="L32" s="512">
        <f t="shared" si="1"/>
        <v>306</v>
      </c>
    </row>
    <row r="33" spans="7:12">
      <c r="G33" s="494" t="s">
        <v>400</v>
      </c>
      <c r="H33" s="492">
        <v>120</v>
      </c>
      <c r="I33" s="492">
        <v>4</v>
      </c>
      <c r="J33" s="512">
        <f t="shared" si="0"/>
        <v>480</v>
      </c>
      <c r="K33" s="492">
        <v>0.85</v>
      </c>
      <c r="L33" s="512">
        <f t="shared" si="1"/>
        <v>408</v>
      </c>
    </row>
    <row r="34" spans="7:12">
      <c r="G34" s="494" t="s">
        <v>401</v>
      </c>
      <c r="H34" s="492">
        <v>120</v>
      </c>
      <c r="I34" s="492">
        <v>4</v>
      </c>
      <c r="J34" s="512">
        <f t="shared" si="0"/>
        <v>480</v>
      </c>
      <c r="K34" s="492">
        <v>0.85</v>
      </c>
      <c r="L34" s="512">
        <f t="shared" si="1"/>
        <v>408</v>
      </c>
    </row>
    <row r="35" spans="7:12">
      <c r="G35" s="494" t="s">
        <v>404</v>
      </c>
      <c r="H35" s="492">
        <v>120</v>
      </c>
      <c r="I35" s="492">
        <v>0.6</v>
      </c>
      <c r="J35" s="512">
        <f t="shared" si="0"/>
        <v>72</v>
      </c>
      <c r="K35" s="492">
        <v>0.85</v>
      </c>
      <c r="L35" s="512">
        <f t="shared" si="1"/>
        <v>61.199999999999996</v>
      </c>
    </row>
    <row r="36" spans="7:12">
      <c r="G36" s="494" t="s">
        <v>405</v>
      </c>
      <c r="H36" s="492">
        <v>120</v>
      </c>
      <c r="I36" s="492">
        <v>3</v>
      </c>
      <c r="J36" s="512">
        <f t="shared" si="0"/>
        <v>360</v>
      </c>
      <c r="K36" s="492">
        <v>0.85</v>
      </c>
      <c r="L36" s="512">
        <f t="shared" si="1"/>
        <v>306</v>
      </c>
    </row>
    <row r="37" spans="7:12">
      <c r="G37" s="494" t="s">
        <v>464</v>
      </c>
      <c r="H37" s="492">
        <v>120</v>
      </c>
      <c r="I37" s="492">
        <v>3.2</v>
      </c>
      <c r="J37" s="512">
        <f t="shared" si="0"/>
        <v>384</v>
      </c>
      <c r="K37" s="492">
        <v>0.85</v>
      </c>
      <c r="L37" s="512">
        <f t="shared" si="1"/>
        <v>326.39999999999998</v>
      </c>
    </row>
    <row r="38" spans="7:12">
      <c r="G38" s="112" t="s">
        <v>465</v>
      </c>
      <c r="H38" s="110">
        <v>120</v>
      </c>
      <c r="I38" s="111">
        <v>5</v>
      </c>
      <c r="J38" s="108">
        <f>H38*I38</f>
        <v>600</v>
      </c>
      <c r="K38" s="110">
        <v>0.85</v>
      </c>
      <c r="L38" s="108">
        <f>J38*K38</f>
        <v>510</v>
      </c>
    </row>
    <row r="39" spans="7:12">
      <c r="G39" s="494" t="s">
        <v>466</v>
      </c>
      <c r="H39" s="492">
        <v>120</v>
      </c>
      <c r="I39" s="492">
        <v>0.5</v>
      </c>
      <c r="J39" s="512">
        <f t="shared" ref="J39:J48" si="2">I39*H39</f>
        <v>60</v>
      </c>
      <c r="K39" s="492">
        <v>0.85</v>
      </c>
      <c r="L39" s="512">
        <f t="shared" ref="L39:L48" si="3">K39*J39</f>
        <v>51</v>
      </c>
    </row>
    <row r="40" spans="7:12">
      <c r="G40" s="494" t="s">
        <v>467</v>
      </c>
      <c r="H40" s="492">
        <v>120</v>
      </c>
      <c r="I40" s="492">
        <v>0.5</v>
      </c>
      <c r="J40" s="512">
        <f t="shared" si="2"/>
        <v>60</v>
      </c>
      <c r="K40" s="492">
        <v>0.85</v>
      </c>
      <c r="L40" s="512">
        <f t="shared" si="3"/>
        <v>51</v>
      </c>
    </row>
    <row r="41" spans="7:12">
      <c r="G41" s="494" t="s">
        <v>468</v>
      </c>
      <c r="H41" s="492">
        <v>120</v>
      </c>
      <c r="I41" s="492">
        <v>0.5</v>
      </c>
      <c r="J41" s="512">
        <f t="shared" si="2"/>
        <v>60</v>
      </c>
      <c r="K41" s="492">
        <v>0.85</v>
      </c>
      <c r="L41" s="512">
        <f t="shared" si="3"/>
        <v>51</v>
      </c>
    </row>
    <row r="42" spans="7:12">
      <c r="G42" s="494" t="s">
        <v>469</v>
      </c>
      <c r="H42" s="492">
        <v>120</v>
      </c>
      <c r="I42" s="492">
        <v>0.5</v>
      </c>
      <c r="J42" s="512">
        <f t="shared" si="2"/>
        <v>60</v>
      </c>
      <c r="K42" s="492">
        <v>0.85</v>
      </c>
      <c r="L42" s="512">
        <f t="shared" si="3"/>
        <v>51</v>
      </c>
    </row>
    <row r="43" spans="7:12">
      <c r="G43" s="494" t="s">
        <v>470</v>
      </c>
      <c r="H43" s="492">
        <v>120</v>
      </c>
      <c r="I43" s="492">
        <v>0.5</v>
      </c>
      <c r="J43" s="512">
        <f t="shared" si="2"/>
        <v>60</v>
      </c>
      <c r="K43" s="492">
        <v>0.85</v>
      </c>
      <c r="L43" s="512">
        <f t="shared" si="3"/>
        <v>51</v>
      </c>
    </row>
    <row r="44" spans="7:12">
      <c r="G44" s="494" t="s">
        <v>471</v>
      </c>
      <c r="H44" s="492">
        <v>120</v>
      </c>
      <c r="I44" s="492">
        <v>0.5</v>
      </c>
      <c r="J44" s="512">
        <f t="shared" si="2"/>
        <v>60</v>
      </c>
      <c r="K44" s="492">
        <v>0.85</v>
      </c>
      <c r="L44" s="512">
        <f t="shared" si="3"/>
        <v>51</v>
      </c>
    </row>
    <row r="45" spans="7:12">
      <c r="G45" s="494" t="s">
        <v>472</v>
      </c>
      <c r="H45" s="492">
        <v>120</v>
      </c>
      <c r="I45" s="513">
        <v>7</v>
      </c>
      <c r="J45" s="512">
        <f t="shared" si="2"/>
        <v>840</v>
      </c>
      <c r="K45" s="492">
        <v>0.85</v>
      </c>
      <c r="L45" s="512">
        <f t="shared" si="3"/>
        <v>714</v>
      </c>
    </row>
    <row r="46" spans="7:12">
      <c r="G46" s="494" t="s">
        <v>473</v>
      </c>
      <c r="H46" s="492">
        <v>120</v>
      </c>
      <c r="I46" s="513">
        <v>7</v>
      </c>
      <c r="J46" s="512">
        <f t="shared" si="2"/>
        <v>840</v>
      </c>
      <c r="K46" s="492">
        <v>0.85</v>
      </c>
      <c r="L46" s="512">
        <f t="shared" si="3"/>
        <v>714</v>
      </c>
    </row>
    <row r="47" spans="7:12">
      <c r="G47" s="494" t="s">
        <v>100</v>
      </c>
      <c r="H47" s="492">
        <v>120</v>
      </c>
      <c r="I47" s="513">
        <v>4</v>
      </c>
      <c r="J47" s="512">
        <f t="shared" si="2"/>
        <v>480</v>
      </c>
      <c r="K47" s="492">
        <v>0.85</v>
      </c>
      <c r="L47" s="512">
        <f t="shared" si="3"/>
        <v>408</v>
      </c>
    </row>
    <row r="48" spans="7:12" ht="13.5" thickBot="1">
      <c r="G48" s="489" t="s">
        <v>101</v>
      </c>
      <c r="H48" s="490">
        <v>120</v>
      </c>
      <c r="I48" s="516">
        <v>7</v>
      </c>
      <c r="J48" s="512">
        <f t="shared" si="2"/>
        <v>840</v>
      </c>
      <c r="K48" s="490">
        <v>0.85</v>
      </c>
      <c r="L48" s="512">
        <f t="shared" si="3"/>
        <v>714</v>
      </c>
    </row>
    <row r="49" spans="7:12">
      <c r="G49" s="494" t="s">
        <v>104</v>
      </c>
      <c r="H49" s="496"/>
      <c r="I49" s="492">
        <f>SUM(I27:I48)</f>
        <v>77.800000000000011</v>
      </c>
      <c r="J49" s="512">
        <f>SUM(J27:J48)</f>
        <v>9336</v>
      </c>
      <c r="K49" s="496"/>
      <c r="L49" s="512">
        <f>SUM(L27:L48)</f>
        <v>7935.5999999999995</v>
      </c>
    </row>
    <row r="50" spans="7:12">
      <c r="G50" s="268"/>
      <c r="H50" s="268"/>
      <c r="I50" s="268"/>
      <c r="J50" s="122"/>
      <c r="K50" s="268"/>
      <c r="L50" s="122"/>
    </row>
    <row r="51" spans="7:12">
      <c r="G51" s="485" t="s">
        <v>474</v>
      </c>
      <c r="H51" s="486"/>
      <c r="I51" s="486"/>
      <c r="J51" s="486"/>
      <c r="K51" s="486"/>
      <c r="L51" s="487"/>
    </row>
    <row r="52" spans="7:12" ht="16.5" thickBot="1">
      <c r="G52" s="489" t="s">
        <v>355</v>
      </c>
      <c r="H52" s="490" t="s">
        <v>356</v>
      </c>
      <c r="I52" s="490" t="s">
        <v>315</v>
      </c>
      <c r="J52" s="507" t="s">
        <v>357</v>
      </c>
      <c r="K52" s="490" t="s">
        <v>358</v>
      </c>
      <c r="L52" s="507" t="s">
        <v>359</v>
      </c>
    </row>
    <row r="53" spans="7:12">
      <c r="G53" s="494" t="s">
        <v>475</v>
      </c>
      <c r="H53" s="492">
        <v>120</v>
      </c>
      <c r="I53" s="492">
        <v>8</v>
      </c>
      <c r="J53" s="512">
        <f>I53*H53</f>
        <v>960</v>
      </c>
      <c r="K53" s="492">
        <v>0.85</v>
      </c>
      <c r="L53" s="512">
        <f>K53*J53</f>
        <v>816</v>
      </c>
    </row>
    <row r="54" spans="7:12">
      <c r="G54" s="494" t="s">
        <v>476</v>
      </c>
      <c r="H54" s="492">
        <v>120</v>
      </c>
      <c r="I54" s="492">
        <v>18</v>
      </c>
      <c r="J54" s="512">
        <f>I54*H54</f>
        <v>2160</v>
      </c>
      <c r="K54" s="492">
        <v>0.85</v>
      </c>
      <c r="L54" s="512">
        <f>K54*J54</f>
        <v>1836</v>
      </c>
    </row>
    <row r="55" spans="7:12">
      <c r="G55" s="494" t="s">
        <v>98</v>
      </c>
      <c r="H55" s="492">
        <v>120</v>
      </c>
      <c r="I55" s="492">
        <v>6.6</v>
      </c>
      <c r="J55" s="512">
        <f>I55*H55</f>
        <v>792</v>
      </c>
      <c r="K55" s="492">
        <v>0.43</v>
      </c>
      <c r="L55" s="512">
        <f>K55*J55</f>
        <v>340.56</v>
      </c>
    </row>
    <row r="56" spans="7:12">
      <c r="G56" s="494" t="s">
        <v>477</v>
      </c>
      <c r="H56" s="492">
        <v>120</v>
      </c>
      <c r="I56" s="513">
        <v>8.82</v>
      </c>
      <c r="J56" s="512">
        <f>I56*H56</f>
        <v>1058.4000000000001</v>
      </c>
      <c r="K56" s="492">
        <v>0.85</v>
      </c>
      <c r="L56" s="512">
        <f>K56*J56</f>
        <v>899.6400000000001</v>
      </c>
    </row>
    <row r="57" spans="7:12">
      <c r="G57" s="494" t="s">
        <v>478</v>
      </c>
      <c r="H57" s="492">
        <v>120</v>
      </c>
      <c r="I57" s="513">
        <v>24</v>
      </c>
      <c r="J57" s="512">
        <f>I57*H57</f>
        <v>2880</v>
      </c>
      <c r="K57" s="492">
        <v>0.85</v>
      </c>
      <c r="L57" s="512">
        <f>K57*J57</f>
        <v>2448</v>
      </c>
    </row>
    <row r="58" spans="7:12">
      <c r="G58" s="494" t="s">
        <v>104</v>
      </c>
      <c r="H58" s="496"/>
      <c r="I58" s="492">
        <f>SUM(I53:I57)</f>
        <v>65.42</v>
      </c>
      <c r="J58" s="517">
        <f>SUM(J53:J57)</f>
        <v>7850.4</v>
      </c>
      <c r="K58" s="496"/>
      <c r="L58" s="517">
        <f>SUM(L53:L57)</f>
        <v>6340.2</v>
      </c>
    </row>
    <row r="59" spans="7:12">
      <c r="G59" s="268"/>
      <c r="H59" s="268"/>
      <c r="I59" s="268"/>
      <c r="J59" s="122"/>
      <c r="K59" s="268"/>
      <c r="L59" s="122"/>
    </row>
    <row r="60" spans="7:12">
      <c r="G60" s="485" t="s">
        <v>479</v>
      </c>
      <c r="H60" s="486"/>
      <c r="I60" s="486"/>
      <c r="J60" s="486"/>
      <c r="K60" s="486"/>
      <c r="L60" s="487"/>
    </row>
    <row r="61" spans="7:12" ht="16.5" thickBot="1">
      <c r="G61" s="489" t="s">
        <v>355</v>
      </c>
      <c r="H61" s="490" t="s">
        <v>356</v>
      </c>
      <c r="I61" s="490" t="s">
        <v>315</v>
      </c>
      <c r="J61" s="507" t="s">
        <v>357</v>
      </c>
      <c r="K61" s="490" t="s">
        <v>358</v>
      </c>
      <c r="L61" s="507" t="s">
        <v>359</v>
      </c>
    </row>
    <row r="62" spans="7:12">
      <c r="G62" s="494" t="s">
        <v>480</v>
      </c>
      <c r="H62" s="492">
        <v>120</v>
      </c>
      <c r="I62" s="492">
        <v>8</v>
      </c>
      <c r="J62" s="512">
        <f>I62*H62</f>
        <v>960</v>
      </c>
      <c r="K62" s="492">
        <v>0.85</v>
      </c>
      <c r="L62" s="512">
        <f>K62*J62</f>
        <v>816</v>
      </c>
    </row>
    <row r="63" spans="7:12">
      <c r="G63" s="494" t="s">
        <v>481</v>
      </c>
      <c r="H63" s="492">
        <v>120</v>
      </c>
      <c r="I63" s="492">
        <v>18</v>
      </c>
      <c r="J63" s="512">
        <f>I63*H63</f>
        <v>2160</v>
      </c>
      <c r="K63" s="492">
        <v>0.85</v>
      </c>
      <c r="L63" s="512">
        <f>K63*J63</f>
        <v>1836</v>
      </c>
    </row>
    <row r="64" spans="7:12">
      <c r="G64" s="494" t="s">
        <v>98</v>
      </c>
      <c r="H64" s="492">
        <v>120</v>
      </c>
      <c r="I64" s="492">
        <v>6.6</v>
      </c>
      <c r="J64" s="512">
        <f>I64*H64</f>
        <v>792</v>
      </c>
      <c r="K64" s="492">
        <v>0.43</v>
      </c>
      <c r="L64" s="512">
        <f>K64*J64</f>
        <v>340.56</v>
      </c>
    </row>
    <row r="65" spans="7:12">
      <c r="G65" s="494" t="s">
        <v>477</v>
      </c>
      <c r="H65" s="492">
        <v>120</v>
      </c>
      <c r="I65" s="513">
        <v>8.82</v>
      </c>
      <c r="J65" s="512">
        <f>I65*H65</f>
        <v>1058.4000000000001</v>
      </c>
      <c r="K65" s="492">
        <v>0.85</v>
      </c>
      <c r="L65" s="512">
        <f>K65*J65</f>
        <v>899.6400000000001</v>
      </c>
    </row>
    <row r="66" spans="7:12">
      <c r="G66" s="494" t="s">
        <v>482</v>
      </c>
      <c r="H66" s="492">
        <v>120</v>
      </c>
      <c r="I66" s="513">
        <v>24</v>
      </c>
      <c r="J66" s="512">
        <f>I66*H66</f>
        <v>2880</v>
      </c>
      <c r="K66" s="492">
        <v>0.85</v>
      </c>
      <c r="L66" s="512">
        <f>K66*J66</f>
        <v>2448</v>
      </c>
    </row>
    <row r="67" spans="7:12">
      <c r="G67" s="494" t="s">
        <v>104</v>
      </c>
      <c r="H67" s="496"/>
      <c r="I67" s="492">
        <f>SUM(I62:I66)</f>
        <v>65.42</v>
      </c>
      <c r="J67" s="517">
        <f>SUM(J62:J66)</f>
        <v>7850.4</v>
      </c>
      <c r="K67" s="496"/>
      <c r="L67" s="517">
        <f>SUM(L62:L66)</f>
        <v>6340.2</v>
      </c>
    </row>
  </sheetData>
  <mergeCells count="7">
    <mergeCell ref="G25:L25"/>
    <mergeCell ref="G51:L51"/>
    <mergeCell ref="G60:L60"/>
    <mergeCell ref="A2:E2"/>
    <mergeCell ref="A3:A4"/>
    <mergeCell ref="B3:E3"/>
    <mergeCell ref="G2:L2"/>
  </mergeCells>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268613D51F7E499E76130AD749936A" ma:contentTypeVersion="0" ma:contentTypeDescription="Create a new document." ma:contentTypeScope="" ma:versionID="c3bdd3bb09a2c7fb1af202422067cc83">
  <xsd:schema xmlns:xsd="http://www.w3.org/2001/XMLSchema" xmlns:xs="http://www.w3.org/2001/XMLSchema" xmlns:p="http://schemas.microsoft.com/office/2006/metadata/properties" targetNamespace="http://schemas.microsoft.com/office/2006/metadata/properties" ma:root="true" ma:fieldsID="24616a41127b310a1de35a69c8921ab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4.xml><?xml version="1.0" encoding="utf-8"?>
<ct:contentTypeSchema xmlns:ct="http://schemas.microsoft.com/office/2006/metadata/contentType" xmlns:ma="http://schemas.microsoft.com/office/2006/metadata/properties/metaAttributes" ct:_="" ma:_="" ma:contentTypeName="Project Estimate ES-03" ma:contentTypeID="0x010100F67935030963E344B2D6443E349B383100E85796468D2B3A4783E2B15F77D13D6A69010087D48EC773564F4086BFE42BE2383970" ma:contentTypeVersion="37" ma:contentTypeDescription="" ma:contentTypeScope="" ma:versionID="44d65b2dbb716c4a1a5de6028202f2d9">
  <xsd:schema xmlns:xsd="http://www.w3.org/2001/XMLSchema" xmlns:xs="http://www.w3.org/2001/XMLSchema" xmlns:p="http://schemas.microsoft.com/office/2006/metadata/properties" xmlns:ns2="3b3663a6-f29f-4d3a-8b65-d75a6b5d9c03" xmlns:ns3="25a88295-8a17-448b-a839-b699cbfad62b" targetNamespace="http://schemas.microsoft.com/office/2006/metadata/properties" ma:root="true" ma:fieldsID="239f6bc14044ec7977c1a5db89cbd64e" ns2:_="" ns3:_="">
    <xsd:import namespace="3b3663a6-f29f-4d3a-8b65-d75a6b5d9c03"/>
    <xsd:import namespace="25a88295-8a17-448b-a839-b699cbfad62b"/>
    <xsd:element name="properties">
      <xsd:complexType>
        <xsd:sequence>
          <xsd:element name="documentManagement">
            <xsd:complexType>
              <xsd:all>
                <xsd:element ref="ns2:District" minOccurs="0"/>
                <xsd:element ref="ns2:ProfitCenter" minOccurs="0"/>
                <xsd:element ref="ns2:OpportunityID" minOccurs="0"/>
                <xsd:element ref="ns2:ProjectCompletion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3663a6-f29f-4d3a-8b65-d75a6b5d9c03" elementFormDefault="qualified">
    <xsd:import namespace="http://schemas.microsoft.com/office/2006/documentManagement/types"/>
    <xsd:import namespace="http://schemas.microsoft.com/office/infopath/2007/PartnerControls"/>
    <xsd:element name="District" ma:index="8" nillable="true" ma:displayName="District" ma:format="Dropdown" ma:internalName="District" ma:readOnly="false">
      <xsd:simpleType>
        <xsd:restriction base="dms:Choice">
          <xsd:enumeration value="Aero Automatic/Jet Pipe"/>
          <xsd:enumeration value="Central"/>
          <xsd:enumeration value="Cherne Contracting"/>
          <xsd:enumeration value="Continental Fire Alarm"/>
          <xsd:enumeration value="Crane"/>
          <xsd:enumeration value="Eastern"/>
          <xsd:enumeration value="Eastern Canada"/>
          <xsd:enumeration value="Federal"/>
          <xsd:enumeration value="Ganotec"/>
          <xsd:enumeration value="Ganotec West"/>
          <xsd:enumeration value="Ibberson District"/>
          <xsd:enumeration value="KECo"/>
          <xsd:enumeration value="Kiewit Australia"/>
          <xsd:enumeration value="Kiewit Bridge and Marine"/>
          <xsd:enumeration value="Kiewit Building Group"/>
          <xsd:enumeration value="Kiewit Energy - Canada"/>
          <xsd:enumeration value="Kiewit Energy - US"/>
          <xsd:enumeration value="Kiewit Power Constructors"/>
          <xsd:enumeration value="Kiewit Engineering &amp; Design Co"/>
          <xsd:enumeration value="Kiewit Power Nuclear"/>
          <xsd:enumeration value="Kiewit Energy Group Shared Services"/>
          <xsd:enumeration value="Kiewit Infrastructure Engineers"/>
          <xsd:enumeration value="Kiewit Infrastructure Procurement"/>
          <xsd:enumeration value="Kiewit Infrastructure Proposal Group"/>
          <xsd:enumeration value="Kiewit Offshore Services"/>
          <xsd:enumeration value="Kiewit Operations General Construction"/>
          <xsd:enumeration value="MEC Industrial"/>
          <xsd:enumeration value="MEC Transportation"/>
          <xsd:enumeration value="Midwest Aviation"/>
          <xsd:enumeration value="Mining"/>
          <xsd:enumeration value="Northern California"/>
          <xsd:enumeration value="Northwest"/>
          <xsd:enumeration value="South Central"/>
          <xsd:enumeration value="Southeast"/>
          <xsd:enumeration value="Southern California"/>
          <xsd:enumeration value="Southwest"/>
          <xsd:enumeration value="Ganotec West"/>
          <xsd:enumeration value="TIC - Corporate"/>
          <xsd:enumeration value="TIC - Marine &amp; Heavy Civil"/>
          <xsd:enumeration value="TIC - Southern"/>
          <xsd:enumeration value="TIC - Southwest"/>
          <xsd:enumeration value="TIC - Western"/>
          <xsd:enumeration value="TIC - Wyoming"/>
          <xsd:enumeration value="Underground"/>
          <xsd:enumeration value="Western Canada"/>
          <xsd:enumeration value="Western Summit"/>
          <xsd:enumeration value="Accounting"/>
          <xsd:enumeration value="Building and Administration"/>
          <xsd:enumeration value="Corporate Communication"/>
          <xsd:enumeration value="Corporate Tax"/>
          <xsd:enumeration value="Environmental"/>
          <xsd:enumeration value="Ethics and Compliance"/>
          <xsd:enumeration value="Executive Management"/>
          <xsd:enumeration value="HO-Business Management Group"/>
          <xsd:enumeration value="Home Office Equipment"/>
          <xsd:enumeration value="Human Resources"/>
          <xsd:enumeration value="Information Management"/>
          <xsd:enumeration value="Internal Audit"/>
          <xsd:enumeration value="KieCore"/>
          <xsd:enumeration value="KieCore Continuous Improvement"/>
          <xsd:enumeration value="Kiewit Business Services"/>
          <xsd:enumeration value="Kiewit University"/>
          <xsd:enumeration value="Leadership Development"/>
          <xsd:enumeration value="Legal"/>
          <xsd:enumeration value="P3"/>
          <xsd:enumeration value="Procurement"/>
          <xsd:enumeration value="Purchasing &amp; Sales"/>
          <xsd:enumeration value="Quality"/>
          <xsd:enumeration value="Real Estate"/>
          <xsd:enumeration value="Risk Management"/>
          <xsd:enumeration value="Safety"/>
          <xsd:enumeration value="Stock Registrar"/>
          <xsd:enumeration value="Strategy and Development"/>
          <xsd:enumeration value="Travel"/>
          <xsd:enumeration value="Treasury"/>
        </xsd:restriction>
      </xsd:simpleType>
    </xsd:element>
    <xsd:element name="ProfitCenter" ma:index="9" nillable="true" ma:displayName="ProfitCenter" ma:internalName="ProfitCenter">
      <xsd:simpleType>
        <xsd:restriction base="dms:Text">
          <xsd:maxLength value="255"/>
        </xsd:restriction>
      </xsd:simpleType>
    </xsd:element>
    <xsd:element name="OpportunityID" ma:index="10" nillable="true" ma:displayName="OpportunityID" ma:internalName="OpportunityID">
      <xsd:simpleType>
        <xsd:restriction base="dms:Text">
          <xsd:maxLength value="255"/>
        </xsd:restriction>
      </xsd:simpleType>
    </xsd:element>
    <xsd:element name="ProjectCompletionDate" ma:index="11" nillable="true" ma:displayName="ProjectCompletionDate" ma:format="DateOnly" ma:internalName="ProjectCompletion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5a88295-8a17-448b-a839-b699cbfad62b" elementFormDefault="qualified">
    <xsd:import namespace="http://schemas.microsoft.com/office/2006/documentManagement/types"/>
    <xsd:import namespace="http://schemas.microsoft.com/office/infopath/2007/PartnerControls"/>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f80ea469-1d81-4d10-a97e-7dfee9d60b6a" ContentTypeId="0x010100F67935030963E344B2D6443E349B383100E85796468D2B3A4783E2B15F77D13D6A6901" PreviousValue="false"/>
</file>

<file path=customXml/itemProps1.xml><?xml version="1.0" encoding="utf-8"?>
<ds:datastoreItem xmlns:ds="http://schemas.openxmlformats.org/officeDocument/2006/customXml" ds:itemID="{5C1253F3-8E9A-4744-9054-FB6F27C7D56F}"/>
</file>

<file path=customXml/itemProps2.xml><?xml version="1.0" encoding="utf-8"?>
<ds:datastoreItem xmlns:ds="http://schemas.openxmlformats.org/officeDocument/2006/customXml" ds:itemID="{89059D68-593E-41D0-A76B-0805F248281C}">
  <ds:schemaRefs>
    <ds:schemaRef ds:uri="http://schemas.microsoft.com/sharepoint/v3/contenttype/forms"/>
  </ds:schemaRefs>
</ds:datastoreItem>
</file>

<file path=customXml/itemProps3.xml><?xml version="1.0" encoding="utf-8"?>
<ds:datastoreItem xmlns:ds="http://schemas.openxmlformats.org/officeDocument/2006/customXml" ds:itemID="{599F1CB8-E4EA-4062-9FAD-1D1273B35A9A}">
  <ds:schemaRefs>
    <ds:schemaRef ds:uri="http://www.w3.org/XML/1998/namespace"/>
    <ds:schemaRef ds:uri="http://purl.org/dc/elements/1.1/"/>
    <ds:schemaRef ds:uri="http://schemas.microsoft.com/office/infopath/2007/PartnerControls"/>
    <ds:schemaRef ds:uri="http://purl.org/dc/dcmitype/"/>
    <ds:schemaRef ds:uri="http://schemas.microsoft.com/office/2006/metadata/properties"/>
    <ds:schemaRef ds:uri="http://schemas.openxmlformats.org/package/2006/metadata/core-properties"/>
    <ds:schemaRef ds:uri="25a88295-8a17-448b-a839-b699cbfad62b"/>
    <ds:schemaRef ds:uri="http://schemas.microsoft.com/office/2006/documentManagement/types"/>
    <ds:schemaRef ds:uri="http://purl.org/dc/terms/"/>
    <ds:schemaRef ds:uri="3b3663a6-f29f-4d3a-8b65-d75a6b5d9c03"/>
  </ds:schemaRefs>
</ds:datastoreItem>
</file>

<file path=customXml/itemProps4.xml><?xml version="1.0" encoding="utf-8"?>
<ds:datastoreItem xmlns:ds="http://schemas.openxmlformats.org/officeDocument/2006/customXml" ds:itemID="{1E934692-C3A8-4610-907A-C9D251C9E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3663a6-f29f-4d3a-8b65-d75a6b5d9c03"/>
    <ds:schemaRef ds:uri="25a88295-8a17-448b-a839-b699cbfad6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2A27322-BC3D-4A95-B88F-A7B02BD1D46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 Web App</Application>
  <Manager/>
  <Company>Bibb and Associates, Inc.</Company>
  <HyperlinkBase/>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Battery and UPS Calc 5-5-08</dc:title>
  <dc:subject/>
  <dc:creator>Dominic.Reuter</dc:creator>
  <cp:keywords/>
  <dc:description/>
  <cp:lastModifiedBy>Administrator</cp:lastModifiedBy>
  <dcterms:created xsi:type="dcterms:W3CDTF">2002-03-15T13:12:13Z</dcterms:created>
  <dcterms:modified xsi:type="dcterms:W3CDTF">2017-01-17T22:35:32Z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0x010100BB268613D51F7E499E76130AD749936A</vt:lpwstr>
  </property>
  <property fmtid="{D5CDD505-2E9C-101B-9397-08002B2CF9AE}" pid="3" name="Order">
    <vt:r8>3700</vt:r8>
  </property>
  <property fmtid="{D5CDD505-2E9C-101B-9397-08002B2CF9AE}" pid="4" name="_dlc_DocIdItemGuid">
    <vt:lpwstr>3c29dcee-4ae9-449e-b762-014faf5e8204</vt:lpwstr>
  </property>
  <property fmtid="{D5CDD505-2E9C-101B-9397-08002B2CF9AE}" pid="5" name="Document Owner for Migration">
    <vt:lpwstr>Thomas.Struchtemeyer</vt:lpwstr>
  </property>
  <property fmtid="{D5CDD505-2E9C-101B-9397-08002B2CF9AE}" pid="6" name="Delete0">
    <vt:lpwstr>6</vt:lpwstr>
  </property>
  <property fmtid="{D5CDD505-2E9C-101B-9397-08002B2CF9AE}" pid="7" name="WorkflowChangePath">
    <vt:lpwstr>912b1662-6ef8-4a00-85a8-1848f8309ec7,12;1581b2ab-fff9-47b8-aa27-ce8006be555e,15;b4126cde-64cf-42ed-b38f-a3501a6fbb0c,18;b4126cde-64cf-42ed-b38f-a3501a6fbb0c,22;b4126cde-64cf-42ed-b38f-a3501a6fbb0c,26;b4126cde-64cf-42ed-b38f-a3501a6fbb0c,30;b4126cde-64cf-4</vt:lpwstr>
  </property>
  <property fmtid="{D5CDD505-2E9C-101B-9397-08002B2CF9AE}" pid="8" name="update">
    <vt:bool>true</vt:bool>
  </property>
  <property fmtid="{D5CDD505-2E9C-101B-9397-08002B2CF9AE}" pid="9" name="AccountCode(View)">
    <vt:lpwstr>94.03.06.100 - Emergency Power Systems - 125V DC Battery</vt:lpwstr>
  </property>
</Properties>
</file>